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6.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7.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customProperty2.bin" ContentType="application/vnd.openxmlformats-officedocument.spreadsheetml.customProperty"/>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xl/customProperty26.bin" ContentType="application/vnd.openxmlformats-officedocument.spreadsheetml.customProperty"/>
  <Override PartName="/docProps/app.xml" ContentType="application/vnd.openxmlformats-officedocument.extended-properties+xml"/>
  <Override PartName="/xl/customProperty25.bin" ContentType="application/vnd.openxmlformats-officedocument.spreadsheetml.customProperty"/>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ustomProperty24.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7.bin" ContentType="application/vnd.openxmlformats-officedocument.spreadsheetml.customProperty"/>
  <Override PartName="/xl/customProperty6.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19.bin" ContentType="application/vnd.openxmlformats-officedocument.spreadsheetml.customProperty"/>
  <Override PartName="/xl/customProperty18.bin" ContentType="application/vnd.openxmlformats-officedocument.spreadsheetml.customProperty"/>
  <Override PartName="/xl/customProperty17.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Schedules\Schedule 141TEP\2024 TEP Tracker Filing\"/>
    </mc:Choice>
  </mc:AlternateContent>
  <bookViews>
    <workbookView xWindow="14505" yWindow="165" windowWidth="14295" windowHeight="11610" tabRatio="912" activeTab="2"/>
  </bookViews>
  <sheets>
    <sheet name="Lead Sheet" sheetId="98" r:id="rId1"/>
    <sheet name="Rate Impact and Spread--&gt;" sheetId="102" r:id="rId2"/>
    <sheet name="Rev Req 2024" sheetId="103" r:id="rId3"/>
    <sheet name="WorkPapers--&gt;" sheetId="104" r:id="rId4"/>
    <sheet name="TEP Leadsheet" sheetId="87" r:id="rId5"/>
    <sheet name="IRR" sheetId="97" r:id="rId6"/>
    <sheet name="TEP Plant Closings Mo" sheetId="96" r:id="rId7"/>
    <sheet name="Closings by Depr Group" sheetId="105" r:id="rId8"/>
    <sheet name="AMA Totals By Depr Grp" sheetId="132" r:id="rId9"/>
    <sheet name="E368" sheetId="142" r:id="rId10"/>
    <sheet name="E3711" sheetId="133" r:id="rId11"/>
    <sheet name="E3912" sheetId="147" r:id="rId12"/>
    <sheet name="E303.3" sheetId="134" r:id="rId13"/>
    <sheet name="TEP By Depr Grp" sheetId="135" r:id="rId14"/>
    <sheet name="TEP Opex and Revenues" sheetId="127" r:id="rId15"/>
    <sheet name="MACRS" sheetId="130" r:id="rId16"/>
    <sheet name="Exh. NWA-4" sheetId="131" r:id="rId17"/>
    <sheet name="Approved ROR-CF" sheetId="129" r:id="rId18"/>
    <sheet name="Checks==&gt;" sheetId="154" r:id="rId19"/>
    <sheet name="Load==&gt;" sheetId="148" r:id="rId20"/>
    <sheet name="F22 Load used in UE-230040" sheetId="151" r:id="rId21"/>
    <sheet name="Rate Impacts from UE-230040" sheetId="152" r:id="rId22"/>
    <sheet name="2023 Actuals==&gt;" sheetId="137" r:id="rId23"/>
    <sheet name="TEP_2023" sheetId="139" r:id="rId24"/>
    <sheet name="JE Detail" sheetId="149" r:id="rId25"/>
    <sheet name="SOE" sheetId="153" r:id="rId26"/>
  </sheets>
  <externalReferences>
    <externalReference r:id="rId27"/>
    <externalReference r:id="rId28"/>
  </externalReferences>
  <definedNames>
    <definedName name="______Jun09">" BS!$AI$7:$AI$1643"</definedName>
    <definedName name="_____Jun09">" BS!$AI$7:$AI$1643"</definedName>
    <definedName name="____Jun09">" BS!$AI$7:$AI$1643"</definedName>
    <definedName name="___Jun09">" BS!$AI$7:$AI$1643"</definedName>
    <definedName name="__Jun09">" BS!$AI$7:$AI$1643"</definedName>
    <definedName name="_Fill" localSheetId="12" hidden="1">#REF!</definedName>
    <definedName name="_Fill" localSheetId="9" hidden="1">#REF!</definedName>
    <definedName name="_Fill" localSheetId="10" hidden="1">#REF!</definedName>
    <definedName name="_Fill" hidden="1">#REF!</definedName>
    <definedName name="_Order1">255</definedName>
    <definedName name="_Order2">255</definedName>
    <definedName name="_Regression_Int">1</definedName>
    <definedName name="AAAAAAAAAAAAAA" localSheetId="8" hidden="1">{#N/A,#N/A,FALSE,"Coversheet";#N/A,#N/A,FALSE,"QA"}</definedName>
    <definedName name="AAAAAAAAAAAAAA" localSheetId="12" hidden="1">{#N/A,#N/A,FALSE,"Coversheet";#N/A,#N/A,FALSE,"QA"}</definedName>
    <definedName name="AAAAAAAAAAAAAA" localSheetId="10" hidden="1">{#N/A,#N/A,FALSE,"Coversheet";#N/A,#N/A,FALSE,"QA"}</definedName>
    <definedName name="AAAAAAAAAAAAAA" localSheetId="25" hidden="1">{#N/A,#N/A,FALSE,"Coversheet";#N/A,#N/A,FALSE,"QA"}</definedName>
    <definedName name="AAAAAAAAAAAAAA" localSheetId="13" hidden="1">{#N/A,#N/A,FALSE,"Coversheet";#N/A,#N/A,FALSE,"QA"}</definedName>
    <definedName name="AAAAAAAAAAAAAA" hidden="1">{#N/A,#N/A,FALSE,"Coversheet";#N/A,#N/A,FALSE,"QA"}</definedName>
    <definedName name="AccessDatabase">"I:\COMTREL\FINICLE\TradeSummary.mdb"</definedName>
    <definedName name="AS2DocOpenMode">"AS2DocumentEdit"</definedName>
    <definedName name="Aurora_Prices">"Monthly Price Summary'!$C$4:$H$63"</definedName>
    <definedName name="b" localSheetId="8" hidden="1">{#N/A,#N/A,FALSE,"Coversheet";#N/A,#N/A,FALSE,"QA"}</definedName>
    <definedName name="b" localSheetId="12" hidden="1">{#N/A,#N/A,FALSE,"Coversheet";#N/A,#N/A,FALSE,"QA"}</definedName>
    <definedName name="b" localSheetId="10" hidden="1">{#N/A,#N/A,FALSE,"Coversheet";#N/A,#N/A,FALSE,"QA"}</definedName>
    <definedName name="b" localSheetId="25" hidden="1">{#N/A,#N/A,FALSE,"Coversheet";#N/A,#N/A,FALSE,"QA"}</definedName>
    <definedName name="b" localSheetId="13" hidden="1">{#N/A,#N/A,FALSE,"Coversheet";#N/A,#N/A,FALSE,"QA"}</definedName>
    <definedName name="b" hidden="1">{#N/A,#N/A,FALSE,"Coversheet";#N/A,#N/A,FALSE,"QA"}</definedName>
    <definedName name="Button_1">"TradeSummary_Ken_Finicle_List"</definedName>
    <definedName name="CBWorkbookPriority">-2060790043</definedName>
    <definedName name="Company" localSheetId="21">'[1]Named Ranges E'!$B$2</definedName>
    <definedName name="Company">'[2]Named Ranges E'!$B$2</definedName>
    <definedName name="DELETE01" localSheetId="8" hidden="1">{#N/A,#N/A,FALSE,"Coversheet";#N/A,#N/A,FALSE,"QA"}</definedName>
    <definedName name="DELETE01" localSheetId="12" hidden="1">{#N/A,#N/A,FALSE,"Coversheet";#N/A,#N/A,FALSE,"QA"}</definedName>
    <definedName name="DELETE01" localSheetId="10" hidden="1">{#N/A,#N/A,FALSE,"Coversheet";#N/A,#N/A,FALSE,"QA"}</definedName>
    <definedName name="DELETE01" localSheetId="25" hidden="1">{#N/A,#N/A,FALSE,"Coversheet";#N/A,#N/A,FALSE,"QA"}</definedName>
    <definedName name="DELETE01" localSheetId="13" hidden="1">{#N/A,#N/A,FALSE,"Coversheet";#N/A,#N/A,FALSE,"QA"}</definedName>
    <definedName name="DELETE01" hidden="1">{#N/A,#N/A,FALSE,"Coversheet";#N/A,#N/A,FALSE,"QA"}</definedName>
    <definedName name="DELETE02" localSheetId="8" hidden="1">{#N/A,#N/A,FALSE,"Schedule F";#N/A,#N/A,FALSE,"Schedule G"}</definedName>
    <definedName name="DELETE02" localSheetId="12" hidden="1">{#N/A,#N/A,FALSE,"Schedule F";#N/A,#N/A,FALSE,"Schedule G"}</definedName>
    <definedName name="DELETE02" localSheetId="10" hidden="1">{#N/A,#N/A,FALSE,"Schedule F";#N/A,#N/A,FALSE,"Schedule G"}</definedName>
    <definedName name="DELETE02" localSheetId="25" hidden="1">{#N/A,#N/A,FALSE,"Schedule F";#N/A,#N/A,FALSE,"Schedule G"}</definedName>
    <definedName name="DELETE02" localSheetId="13" hidden="1">{#N/A,#N/A,FALSE,"Schedule F";#N/A,#N/A,FALSE,"Schedule G"}</definedName>
    <definedName name="DELETE02" hidden="1">{#N/A,#N/A,FALSE,"Schedule F";#N/A,#N/A,FALSE,"Schedule G"}</definedName>
    <definedName name="Delete06" localSheetId="8" hidden="1">{#N/A,#N/A,FALSE,"Coversheet";#N/A,#N/A,FALSE,"QA"}</definedName>
    <definedName name="Delete06" localSheetId="12" hidden="1">{#N/A,#N/A,FALSE,"Coversheet";#N/A,#N/A,FALSE,"QA"}</definedName>
    <definedName name="Delete06" localSheetId="10" hidden="1">{#N/A,#N/A,FALSE,"Coversheet";#N/A,#N/A,FALSE,"QA"}</definedName>
    <definedName name="Delete06" localSheetId="25" hidden="1">{#N/A,#N/A,FALSE,"Coversheet";#N/A,#N/A,FALSE,"QA"}</definedName>
    <definedName name="Delete06" localSheetId="13" hidden="1">{#N/A,#N/A,FALSE,"Coversheet";#N/A,#N/A,FALSE,"QA"}</definedName>
    <definedName name="Delete06" hidden="1">{#N/A,#N/A,FALSE,"Coversheet";#N/A,#N/A,FALSE,"QA"}</definedName>
    <definedName name="Delete1" localSheetId="8" hidden="1">{#N/A,#N/A,FALSE,"Coversheet";#N/A,#N/A,FALSE,"QA"}</definedName>
    <definedName name="Delete1" localSheetId="12" hidden="1">{#N/A,#N/A,FALSE,"Coversheet";#N/A,#N/A,FALSE,"QA"}</definedName>
    <definedName name="Delete1" localSheetId="10" hidden="1">{#N/A,#N/A,FALSE,"Coversheet";#N/A,#N/A,FALSE,"QA"}</definedName>
    <definedName name="Delete1" localSheetId="25" hidden="1">{#N/A,#N/A,FALSE,"Coversheet";#N/A,#N/A,FALSE,"QA"}</definedName>
    <definedName name="Delete1" localSheetId="13" hidden="1">{#N/A,#N/A,FALSE,"Coversheet";#N/A,#N/A,FALSE,"QA"}</definedName>
    <definedName name="Delete1" hidden="1">{#N/A,#N/A,FALSE,"Coversheet";#N/A,#N/A,FALSE,"QA"}</definedName>
    <definedName name="FIT" localSheetId="21">'[1]Named Ranges E'!$B$10</definedName>
    <definedName name="FIT">'[2]Named Ranges E'!$B$10</definedName>
    <definedName name="HTML_CodePage">1252</definedName>
    <definedName name="HTML_Control" localSheetId="25">{"'Sheet1'!$A$1:$J$121"}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limcount">1</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Number_of_Payments" localSheetId="25">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ROJECT_ID">"PROJECT_TBL_VW"</definedName>
    <definedName name="NvsValTbl.STATISTICS_CODE">"STAT_TBL"</definedName>
    <definedName name="_xlnm.Print_Area" localSheetId="16">'Exh. NWA-4'!$A$1:$U$377</definedName>
    <definedName name="_xlnm.Print_Area" localSheetId="21">'Rate Impacts from UE-230040'!$A$1:$K$49</definedName>
    <definedName name="_xlnm.Print_Titles" localSheetId="16">'Exh. NWA-4'!$1:$12</definedName>
    <definedName name="RateCase">'[1]Named Ranges E'!$B$7</definedName>
    <definedName name="RENAME" localSheetId="12" hidden="1">#REF!</definedName>
    <definedName name="RENAME" localSheetId="9" hidden="1">#REF!</definedName>
    <definedName name="RENAME" localSheetId="10" hidden="1">#REF!</definedName>
    <definedName name="RENAME" hidden="1">#REF!</definedName>
    <definedName name="RENAME2" localSheetId="12" hidden="1">#REF!</definedName>
    <definedName name="RENAME2" localSheetId="9" hidden="1">#REF!</definedName>
    <definedName name="RENAME2" localSheetId="10" hidden="1">#REF!</definedName>
    <definedName name="RENAME2" hidden="1">#REF!</definedName>
    <definedName name="SAPBEXhrIndnt">"Wide"</definedName>
    <definedName name="SAPsysID">"708C5W7SBKP804JT78WJ0JNKI"</definedName>
    <definedName name="SAPwbID">"ARS"</definedName>
    <definedName name="solver_eval">0</definedName>
    <definedName name="solver_ntri">1000</definedName>
    <definedName name="solver_rsmp">1</definedName>
    <definedName name="solver_seed">0</definedName>
    <definedName name="TEst" localSheetId="8" hidden="1">{#N/A,#N/A,FALSE,"Coversheet";#N/A,#N/A,FALSE,"QA"}</definedName>
    <definedName name="TEst" localSheetId="12" hidden="1">{#N/A,#N/A,FALSE,"Coversheet";#N/A,#N/A,FALSE,"QA"}</definedName>
    <definedName name="TEst" localSheetId="10" hidden="1">{#N/A,#N/A,FALSE,"Coversheet";#N/A,#N/A,FALSE,"QA"}</definedName>
    <definedName name="TEst" localSheetId="25" hidden="1">{#N/A,#N/A,FALSE,"Coversheet";#N/A,#N/A,FALSE,"QA"}</definedName>
    <definedName name="TEst" localSheetId="13" hidden="1">{#N/A,#N/A,FALSE,"Coversheet";#N/A,#N/A,FALSE,"QA"}</definedName>
    <definedName name="TEst" hidden="1">{#N/A,#N/A,FALSE,"Coversheet";#N/A,#N/A,FALSE,"QA"}</definedName>
    <definedName name="TestYear">'[1]Named Ranges E'!$B$3</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alues_Entered" localSheetId="25">IF(Loan_Amount*Interest_Rate*Loan_Years*Loan_Start&gt;0,1,0)</definedName>
    <definedName name="Values_Entered">IF(Loan_Amount*Interest_Rate*Loan_Years*Loan_Start&gt;0,1,0)</definedName>
    <definedName name="w" localSheetId="12" hidden="1">#REF!</definedName>
    <definedName name="w" localSheetId="9" hidden="1">#REF!</definedName>
    <definedName name="w" localSheetId="10" hidden="1">#REF!</definedName>
    <definedName name="w" hidden="1">#REF!</definedName>
    <definedName name="wrn.Fundamental." localSheetId="8" hidden="1">{#N/A,#N/A,TRUE,"CoverPage";#N/A,#N/A,TRUE,"Gas";#N/A,#N/A,TRUE,"Power";#N/A,#N/A,TRUE,"Historical DJ Mthly Prices"}</definedName>
    <definedName name="wrn.Fundamental." localSheetId="12" hidden="1">{#N/A,#N/A,TRUE,"CoverPage";#N/A,#N/A,TRUE,"Gas";#N/A,#N/A,TRUE,"Power";#N/A,#N/A,TRUE,"Historical DJ Mthly Prices"}</definedName>
    <definedName name="wrn.Fundamental." localSheetId="10" hidden="1">{#N/A,#N/A,TRUE,"CoverPage";#N/A,#N/A,TRUE,"Gas";#N/A,#N/A,TRUE,"Power";#N/A,#N/A,TRUE,"Historical DJ Mthly Prices"}</definedName>
    <definedName name="wrn.Fundamental." localSheetId="25" hidden="1">{#N/A,#N/A,TRUE,"CoverPage";#N/A,#N/A,TRUE,"Gas";#N/A,#N/A,TRUE,"Power";#N/A,#N/A,TRUE,"Historical DJ Mthly Prices"}</definedName>
    <definedName name="wrn.Fundamental." localSheetId="13" hidden="1">{#N/A,#N/A,TRUE,"CoverPage";#N/A,#N/A,TRUE,"Gas";#N/A,#N/A,TRUE,"Power";#N/A,#N/A,TRUE,"Historical DJ Mthly Prices"}</definedName>
    <definedName name="wrn.Fundamental." hidden="1">{#N/A,#N/A,TRUE,"CoverPage";#N/A,#N/A,TRUE,"Gas";#N/A,#N/A,TRUE,"Power";#N/A,#N/A,TRUE,"Historical DJ Mthly Prices"}</definedName>
    <definedName name="wrn.Incentive._.Overhead." localSheetId="8" hidden="1">{#N/A,#N/A,FALSE,"Coversheet";#N/A,#N/A,FALSE,"QA"}</definedName>
    <definedName name="wrn.Incentive._.Overhead." localSheetId="12" hidden="1">{#N/A,#N/A,FALSE,"Coversheet";#N/A,#N/A,FALSE,"QA"}</definedName>
    <definedName name="wrn.Incentive._.Overhead." localSheetId="10" hidden="1">{#N/A,#N/A,FALSE,"Coversheet";#N/A,#N/A,FALSE,"QA"}</definedName>
    <definedName name="wrn.Incentive._.Overhead." localSheetId="25" hidden="1">{#N/A,#N/A,FALSE,"Coversheet";#N/A,#N/A,FALSE,"QA"}</definedName>
    <definedName name="wrn.Incentive._.Overhead." localSheetId="13" hidden="1">{#N/A,#N/A,FALSE,"Coversheet";#N/A,#N/A,FALSE,"QA"}</definedName>
    <definedName name="wrn.Incentive._.Overhead." hidden="1">{#N/A,#N/A,FALSE,"Coversheet";#N/A,#N/A,FALSE,"QA"}</definedName>
    <definedName name="wrn.limit_reports." localSheetId="8" hidden="1">{#N/A,#N/A,FALSE,"Schedule F";#N/A,#N/A,FALSE,"Schedule G"}</definedName>
    <definedName name="wrn.limit_reports." localSheetId="12" hidden="1">{#N/A,#N/A,FALSE,"Schedule F";#N/A,#N/A,FALSE,"Schedule G"}</definedName>
    <definedName name="wrn.limit_reports." localSheetId="10" hidden="1">{#N/A,#N/A,FALSE,"Schedule F";#N/A,#N/A,FALSE,"Schedule G"}</definedName>
    <definedName name="wrn.limit_reports." localSheetId="25" hidden="1">{#N/A,#N/A,FALSE,"Schedule F";#N/A,#N/A,FALSE,"Schedule G"}</definedName>
    <definedName name="wrn.limit_reports." localSheetId="13" hidden="1">{#N/A,#N/A,FALSE,"Schedule F";#N/A,#N/A,FALSE,"Schedule G"}</definedName>
    <definedName name="wrn.limit_reports." hidden="1">{#N/A,#N/A,FALSE,"Schedule F";#N/A,#N/A,FALSE,"Schedule G"}</definedName>
    <definedName name="wrn.MARGIN_WO_QTR." localSheetId="8" hidden="1">{#N/A,#N/A,FALSE,"Month ";#N/A,#N/A,FALSE,"YTD";#N/A,#N/A,FALSE,"12 mo ended"}</definedName>
    <definedName name="wrn.MARGIN_WO_QTR." localSheetId="12" hidden="1">{#N/A,#N/A,FALSE,"Month ";#N/A,#N/A,FALSE,"YTD";#N/A,#N/A,FALSE,"12 mo ended"}</definedName>
    <definedName name="wrn.MARGIN_WO_QTR." localSheetId="10" hidden="1">{#N/A,#N/A,FALSE,"Month ";#N/A,#N/A,FALSE,"YTD";#N/A,#N/A,FALSE,"12 mo ended"}</definedName>
    <definedName name="wrn.MARGIN_WO_QTR." localSheetId="25" hidden="1">{#N/A,#N/A,FALSE,"Month ";#N/A,#N/A,FALSE,"YTD";#N/A,#N/A,FALSE,"12 mo ended"}</definedName>
    <definedName name="wrn.MARGIN_WO_QTR." localSheetId="13" hidden="1">{#N/A,#N/A,FALSE,"Month ";#N/A,#N/A,FALSE,"YTD";#N/A,#N/A,FALSE,"12 mo ended"}</definedName>
    <definedName name="wrn.MARGIN_WO_QTR." hidden="1">{#N/A,#N/A,FALSE,"Month ";#N/A,#N/A,FALSE,"YTD";#N/A,#N/A,FALSE,"12 mo ended"}</definedName>
  </definedNames>
  <calcPr calcId="162913" concurrentManualCount="8"/>
</workbook>
</file>

<file path=xl/calcChain.xml><?xml version="1.0" encoding="utf-8"?>
<calcChain xmlns="http://schemas.openxmlformats.org/spreadsheetml/2006/main">
  <c r="M4" i="135" l="1"/>
  <c r="K4" i="135"/>
  <c r="H5" i="135"/>
  <c r="G5" i="135"/>
  <c r="F5" i="135"/>
  <c r="A8" i="151" l="1"/>
  <c r="C30" i="151"/>
  <c r="J30" i="151"/>
  <c r="K30" i="151"/>
  <c r="L30" i="151"/>
  <c r="N30" i="151"/>
  <c r="T30" i="151"/>
  <c r="U30" i="151"/>
  <c r="V30" i="151"/>
  <c r="X30" i="151"/>
  <c r="Y30" i="151"/>
  <c r="AH30" i="151"/>
  <c r="AJ30" i="151"/>
  <c r="AL30" i="151"/>
  <c r="AM30" i="151"/>
  <c r="C31" i="151"/>
  <c r="J31" i="151"/>
  <c r="L31" i="151" s="1"/>
  <c r="N31" i="151"/>
  <c r="T31" i="151"/>
  <c r="U31" i="151"/>
  <c r="V31" i="151" s="1"/>
  <c r="X31" i="151" s="1"/>
  <c r="Y31" i="151"/>
  <c r="Z31" i="151" s="1"/>
  <c r="AH31" i="151"/>
  <c r="AJ31" i="151"/>
  <c r="AL31" i="151"/>
  <c r="C32" i="151"/>
  <c r="J32" i="151"/>
  <c r="L32" i="151"/>
  <c r="K32" i="151" s="1"/>
  <c r="N32" i="151"/>
  <c r="AL32" i="151" s="1"/>
  <c r="AM32" i="151" s="1"/>
  <c r="O32" i="151"/>
  <c r="T32" i="151"/>
  <c r="U32" i="151"/>
  <c r="V32" i="151"/>
  <c r="X32" i="151"/>
  <c r="W32" i="151" s="1"/>
  <c r="Y32" i="151"/>
  <c r="Z32" i="151"/>
  <c r="AA32" i="151"/>
  <c r="AH32" i="151"/>
  <c r="AJ32" i="151"/>
  <c r="AI32" i="151" s="1"/>
  <c r="C33" i="151"/>
  <c r="J33" i="151"/>
  <c r="L33" i="151" s="1"/>
  <c r="O33" i="151" s="1"/>
  <c r="K33" i="151"/>
  <c r="N33" i="151"/>
  <c r="T33" i="151"/>
  <c r="U33" i="151"/>
  <c r="V33" i="151"/>
  <c r="X33" i="151"/>
  <c r="Y33" i="151"/>
  <c r="Z33" i="151" s="1"/>
  <c r="AH33" i="151"/>
  <c r="AJ33" i="151"/>
  <c r="AI33" i="151" s="1"/>
  <c r="AL33" i="151"/>
  <c r="AM33" i="151"/>
  <c r="C34" i="151"/>
  <c r="J34" i="151"/>
  <c r="K34" i="151"/>
  <c r="L34" i="151"/>
  <c r="N34" i="151"/>
  <c r="AL34" i="151" s="1"/>
  <c r="O34" i="151"/>
  <c r="T34" i="151"/>
  <c r="U34" i="151"/>
  <c r="Y34" i="151"/>
  <c r="Z34" i="151"/>
  <c r="AH34" i="151"/>
  <c r="AJ34" i="151" s="1"/>
  <c r="C35" i="151"/>
  <c r="J35" i="151"/>
  <c r="L35" i="151"/>
  <c r="N35" i="151"/>
  <c r="AL35" i="151" s="1"/>
  <c r="AM35" i="151" s="1"/>
  <c r="T35" i="151"/>
  <c r="U35" i="151"/>
  <c r="V35" i="151" s="1"/>
  <c r="X35" i="151" s="1"/>
  <c r="Y35" i="151"/>
  <c r="Z35" i="151" s="1"/>
  <c r="AH35" i="151"/>
  <c r="AI35" i="151"/>
  <c r="AJ35" i="151"/>
  <c r="C36" i="151"/>
  <c r="J36" i="151"/>
  <c r="L36" i="151" s="1"/>
  <c r="N36" i="151"/>
  <c r="T36" i="151"/>
  <c r="U36" i="151"/>
  <c r="V36" i="151"/>
  <c r="X36" i="151" s="1"/>
  <c r="AA36" i="151" s="1"/>
  <c r="W36" i="151"/>
  <c r="Y36" i="151"/>
  <c r="Z36" i="151"/>
  <c r="AH36" i="151"/>
  <c r="AJ36" i="151"/>
  <c r="AL36" i="151"/>
  <c r="C37" i="151"/>
  <c r="J37" i="151"/>
  <c r="L37" i="151"/>
  <c r="K37" i="151" s="1"/>
  <c r="N37" i="151"/>
  <c r="AL37" i="151" s="1"/>
  <c r="O37" i="151"/>
  <c r="T37" i="151"/>
  <c r="V37" i="151" s="1"/>
  <c r="X37" i="151" s="1"/>
  <c r="W37" i="151" s="1"/>
  <c r="U37" i="151"/>
  <c r="Y37" i="151"/>
  <c r="Z37" i="151"/>
  <c r="AA37" i="151"/>
  <c r="AH37" i="151"/>
  <c r="AJ37" i="151" s="1"/>
  <c r="C38" i="151"/>
  <c r="J38" i="151"/>
  <c r="K38" i="151"/>
  <c r="L38" i="151"/>
  <c r="O38" i="151" s="1"/>
  <c r="N38" i="151"/>
  <c r="T38" i="151"/>
  <c r="U38" i="151"/>
  <c r="V38" i="151"/>
  <c r="X38" i="151"/>
  <c r="Y38" i="151"/>
  <c r="Z38" i="151" s="1"/>
  <c r="AH38" i="151"/>
  <c r="AJ38" i="151"/>
  <c r="AI38" i="151" s="1"/>
  <c r="AL38" i="151"/>
  <c r="AM38" i="151"/>
  <c r="C39" i="151"/>
  <c r="J39" i="151"/>
  <c r="L39" i="151"/>
  <c r="K39" i="151" s="1"/>
  <c r="N39" i="151"/>
  <c r="O39" i="151"/>
  <c r="T39" i="151"/>
  <c r="U39" i="151"/>
  <c r="V39" i="151" s="1"/>
  <c r="X39" i="151" s="1"/>
  <c r="Y39" i="151"/>
  <c r="Z39" i="151" s="1"/>
  <c r="AH39" i="151"/>
  <c r="AJ39" i="151" s="1"/>
  <c r="AL39" i="151"/>
  <c r="C40" i="151"/>
  <c r="J40" i="151"/>
  <c r="L40" i="151"/>
  <c r="K40" i="151" s="1"/>
  <c r="N40" i="151"/>
  <c r="AL40" i="151" s="1"/>
  <c r="AM40" i="151" s="1"/>
  <c r="T40" i="151"/>
  <c r="U40" i="151"/>
  <c r="V40" i="151"/>
  <c r="X40" i="151"/>
  <c r="W40" i="151" s="1"/>
  <c r="Y40" i="151"/>
  <c r="Z40" i="151" s="1"/>
  <c r="AA40" i="151"/>
  <c r="AH40" i="151"/>
  <c r="AJ40" i="151"/>
  <c r="AI40" i="151" s="1"/>
  <c r="C41" i="151"/>
  <c r="J41" i="151"/>
  <c r="L41" i="151" s="1"/>
  <c r="O41" i="151" s="1"/>
  <c r="K41" i="151"/>
  <c r="N41" i="151"/>
  <c r="T41" i="151"/>
  <c r="U41" i="151"/>
  <c r="V41" i="151" s="1"/>
  <c r="X41" i="151" s="1"/>
  <c r="Y41" i="151"/>
  <c r="Z41" i="151" s="1"/>
  <c r="AH41" i="151"/>
  <c r="AJ41" i="151"/>
  <c r="AL41" i="151"/>
  <c r="A42" i="151"/>
  <c r="B42" i="151"/>
  <c r="C42" i="151"/>
  <c r="J42" i="151"/>
  <c r="L42" i="151"/>
  <c r="N42" i="151"/>
  <c r="AL42" i="151" s="1"/>
  <c r="AM42" i="151" s="1"/>
  <c r="T42" i="151"/>
  <c r="U42" i="151"/>
  <c r="V42" i="151"/>
  <c r="X42" i="151"/>
  <c r="Y42" i="151"/>
  <c r="Z42" i="151"/>
  <c r="AH42" i="151"/>
  <c r="AJ42" i="151"/>
  <c r="AI42" i="151" s="1"/>
  <c r="A43" i="151"/>
  <c r="B43" i="151"/>
  <c r="C43" i="151" s="1"/>
  <c r="J43" i="151"/>
  <c r="L43" i="151"/>
  <c r="K43" i="151" s="1"/>
  <c r="N43" i="151"/>
  <c r="O43" i="151"/>
  <c r="T43" i="151"/>
  <c r="U43" i="151"/>
  <c r="V43" i="151"/>
  <c r="X43" i="151" s="1"/>
  <c r="W43" i="151" s="1"/>
  <c r="Y43" i="151"/>
  <c r="Z43" i="151" s="1"/>
  <c r="AH43" i="151"/>
  <c r="AJ43" i="151" s="1"/>
  <c r="AL43" i="151"/>
  <c r="AT43" i="151"/>
  <c r="AV43" i="151"/>
  <c r="AW43" i="151"/>
  <c r="A44" i="151"/>
  <c r="B44" i="151"/>
  <c r="J44" i="151"/>
  <c r="K44" i="151"/>
  <c r="L44" i="151"/>
  <c r="N44" i="151"/>
  <c r="AL44" i="151" s="1"/>
  <c r="O44" i="151"/>
  <c r="T44" i="151"/>
  <c r="U44" i="151"/>
  <c r="Y44" i="151"/>
  <c r="Z44" i="151"/>
  <c r="AH44" i="151"/>
  <c r="AJ44" i="151" s="1"/>
  <c r="AI44" i="151"/>
  <c r="AM44" i="151"/>
  <c r="A45" i="151"/>
  <c r="C45" i="151" s="1"/>
  <c r="B45" i="151"/>
  <c r="J45" i="151"/>
  <c r="L45" i="151"/>
  <c r="K45" i="151" s="1"/>
  <c r="N45" i="151"/>
  <c r="AL45" i="151" s="1"/>
  <c r="O45" i="151"/>
  <c r="T45" i="151"/>
  <c r="U45" i="151"/>
  <c r="V45" i="151" s="1"/>
  <c r="X45" i="151" s="1"/>
  <c r="W45" i="151" s="1"/>
  <c r="Y45" i="151"/>
  <c r="Z45" i="151" s="1"/>
  <c r="AH45" i="151"/>
  <c r="AJ45" i="151"/>
  <c r="AM45" i="151" s="1"/>
  <c r="A46" i="151"/>
  <c r="C46" i="151" s="1"/>
  <c r="B46" i="151"/>
  <c r="J46" i="151"/>
  <c r="L46" i="151" s="1"/>
  <c r="N46" i="151"/>
  <c r="T46" i="151"/>
  <c r="V46" i="151" s="1"/>
  <c r="X46" i="151" s="1"/>
  <c r="U46" i="151"/>
  <c r="Y46" i="151"/>
  <c r="Z46" i="151"/>
  <c r="AH46" i="151"/>
  <c r="AJ46" i="151" s="1"/>
  <c r="AL46" i="151"/>
  <c r="A47" i="151"/>
  <c r="C47" i="151" s="1"/>
  <c r="B47" i="151"/>
  <c r="J47" i="151"/>
  <c r="L47" i="151" s="1"/>
  <c r="K47" i="151"/>
  <c r="N47" i="151"/>
  <c r="O47" i="151"/>
  <c r="T47" i="151"/>
  <c r="U47" i="151"/>
  <c r="V47" i="151" s="1"/>
  <c r="X47" i="151" s="1"/>
  <c r="Y47" i="151"/>
  <c r="Z47" i="151"/>
  <c r="AH47" i="151"/>
  <c r="AI47" i="151"/>
  <c r="AJ47" i="151"/>
  <c r="AM47" i="151" s="1"/>
  <c r="AL47" i="151"/>
  <c r="A48" i="151"/>
  <c r="C48" i="151" s="1"/>
  <c r="B48" i="151"/>
  <c r="J48" i="151"/>
  <c r="L48" i="151" s="1"/>
  <c r="N48" i="151"/>
  <c r="T48" i="151"/>
  <c r="V48" i="151" s="1"/>
  <c r="X48" i="151" s="1"/>
  <c r="W48" i="151" s="1"/>
  <c r="U48" i="151"/>
  <c r="Y48" i="151"/>
  <c r="Z48" i="151" s="1"/>
  <c r="AH48" i="151"/>
  <c r="AJ48" i="151"/>
  <c r="AI48" i="151" s="1"/>
  <c r="AL48" i="151"/>
  <c r="AM48" i="151"/>
  <c r="A49" i="151"/>
  <c r="B49" i="151"/>
  <c r="C49" i="151" s="1"/>
  <c r="J49" i="151"/>
  <c r="L49" i="151"/>
  <c r="O49" i="151" s="1"/>
  <c r="N49" i="151"/>
  <c r="T49" i="151"/>
  <c r="V49" i="151" s="1"/>
  <c r="X49" i="151" s="1"/>
  <c r="U49" i="151"/>
  <c r="Y49" i="151"/>
  <c r="Z49" i="151"/>
  <c r="AH49" i="151"/>
  <c r="AJ49" i="151" s="1"/>
  <c r="AL49" i="151"/>
  <c r="A50" i="151"/>
  <c r="B50" i="151"/>
  <c r="J50" i="151"/>
  <c r="L50" i="151" s="1"/>
  <c r="O50" i="151" s="1"/>
  <c r="N50" i="151"/>
  <c r="T50" i="151"/>
  <c r="U50" i="151"/>
  <c r="V50" i="151" s="1"/>
  <c r="X50" i="151" s="1"/>
  <c r="Y50" i="151"/>
  <c r="Z50" i="151"/>
  <c r="AH50" i="151"/>
  <c r="AI50" i="151"/>
  <c r="AJ50" i="151"/>
  <c r="AL50" i="151"/>
  <c r="AM50" i="151"/>
  <c r="A51" i="151"/>
  <c r="A63" i="151" s="1"/>
  <c r="B51" i="151"/>
  <c r="C51" i="151"/>
  <c r="J51" i="151"/>
  <c r="K51" i="151"/>
  <c r="L51" i="151"/>
  <c r="O51" i="151" s="1"/>
  <c r="N51" i="151"/>
  <c r="T51" i="151"/>
  <c r="U51" i="151"/>
  <c r="V51" i="151"/>
  <c r="X51" i="151" s="1"/>
  <c r="Y51" i="151"/>
  <c r="Z51" i="151" s="1"/>
  <c r="AH51" i="151"/>
  <c r="AJ51" i="151" s="1"/>
  <c r="AL51" i="151"/>
  <c r="A52" i="151"/>
  <c r="B52" i="151"/>
  <c r="B64" i="151" s="1"/>
  <c r="C64" i="151" s="1"/>
  <c r="J52" i="151"/>
  <c r="L52" i="151" s="1"/>
  <c r="N52" i="151"/>
  <c r="T52" i="151"/>
  <c r="U52" i="151"/>
  <c r="Y52" i="151"/>
  <c r="Z52" i="151"/>
  <c r="AH52" i="151"/>
  <c r="AJ52" i="151" s="1"/>
  <c r="AM52" i="151" s="1"/>
  <c r="AL52" i="151"/>
  <c r="A53" i="151"/>
  <c r="B53" i="151"/>
  <c r="C53" i="151"/>
  <c r="J53" i="151"/>
  <c r="K53" i="151"/>
  <c r="L53" i="151"/>
  <c r="N53" i="151"/>
  <c r="T53" i="151"/>
  <c r="U53" i="151"/>
  <c r="V53" i="151"/>
  <c r="X53" i="151" s="1"/>
  <c r="W53" i="151" s="1"/>
  <c r="Y53" i="151"/>
  <c r="Z53" i="151"/>
  <c r="AA53" i="151"/>
  <c r="AH53" i="151"/>
  <c r="AJ53" i="151"/>
  <c r="AI53" i="151" s="1"/>
  <c r="A54" i="151"/>
  <c r="C54" i="151" s="1"/>
  <c r="B54" i="151"/>
  <c r="J54" i="151"/>
  <c r="L54" i="151" s="1"/>
  <c r="N54" i="151"/>
  <c r="T54" i="151"/>
  <c r="V54" i="151" s="1"/>
  <c r="X54" i="151" s="1"/>
  <c r="U54" i="151"/>
  <c r="W54" i="151"/>
  <c r="Y54" i="151"/>
  <c r="Z54" i="151" s="1"/>
  <c r="AA54" i="151"/>
  <c r="AH54" i="151"/>
  <c r="AJ54" i="151" s="1"/>
  <c r="AL54" i="151"/>
  <c r="A55" i="151"/>
  <c r="C55" i="151" s="1"/>
  <c r="B55" i="151"/>
  <c r="B67" i="151" s="1"/>
  <c r="B79" i="151" s="1"/>
  <c r="J55" i="151"/>
  <c r="L55" i="151" s="1"/>
  <c r="O55" i="151" s="1"/>
  <c r="K55" i="151"/>
  <c r="N55" i="151"/>
  <c r="AL55" i="151" s="1"/>
  <c r="T55" i="151"/>
  <c r="V55" i="151" s="1"/>
  <c r="X55" i="151" s="1"/>
  <c r="U55" i="151"/>
  <c r="Y55" i="151"/>
  <c r="Z55" i="151"/>
  <c r="AH55" i="151"/>
  <c r="AJ55" i="151" s="1"/>
  <c r="AM55" i="151" s="1"/>
  <c r="AI55" i="151"/>
  <c r="B56" i="151"/>
  <c r="J56" i="151"/>
  <c r="L56" i="151"/>
  <c r="N56" i="151"/>
  <c r="AL56" i="151" s="1"/>
  <c r="T56" i="151"/>
  <c r="U56" i="151"/>
  <c r="V56" i="151" s="1"/>
  <c r="X56" i="151" s="1"/>
  <c r="Y56" i="151"/>
  <c r="Z56" i="151" s="1"/>
  <c r="AH56" i="151"/>
  <c r="AI56" i="151"/>
  <c r="AJ56" i="151"/>
  <c r="A57" i="151"/>
  <c r="C57" i="151" s="1"/>
  <c r="B57" i="151"/>
  <c r="J57" i="151"/>
  <c r="L57" i="151"/>
  <c r="N57" i="151"/>
  <c r="T57" i="151"/>
  <c r="U57" i="151"/>
  <c r="V57" i="151"/>
  <c r="X57" i="151" s="1"/>
  <c r="Y57" i="151"/>
  <c r="Z57" i="151" s="1"/>
  <c r="AH57" i="151"/>
  <c r="AJ57" i="151"/>
  <c r="AL57" i="151"/>
  <c r="A58" i="151"/>
  <c r="J58" i="151"/>
  <c r="L58" i="151" s="1"/>
  <c r="N58" i="151"/>
  <c r="T58" i="151"/>
  <c r="V58" i="151" s="1"/>
  <c r="X58" i="151" s="1"/>
  <c r="U58" i="151"/>
  <c r="Y58" i="151"/>
  <c r="Z58" i="151" s="1"/>
  <c r="AH58" i="151"/>
  <c r="AJ58" i="151" s="1"/>
  <c r="AL58" i="151"/>
  <c r="J59" i="151"/>
  <c r="L59" i="151" s="1"/>
  <c r="N59" i="151"/>
  <c r="T59" i="151"/>
  <c r="V59" i="151" s="1"/>
  <c r="X59" i="151" s="1"/>
  <c r="U59" i="151"/>
  <c r="Y59" i="151"/>
  <c r="Z59" i="151"/>
  <c r="AH59" i="151"/>
  <c r="AJ59" i="151" s="1"/>
  <c r="AL59" i="151"/>
  <c r="A60" i="151"/>
  <c r="B60" i="151"/>
  <c r="J60" i="151"/>
  <c r="L60" i="151" s="1"/>
  <c r="N60" i="151"/>
  <c r="AL60" i="151" s="1"/>
  <c r="T60" i="151"/>
  <c r="V60" i="151" s="1"/>
  <c r="X60" i="151" s="1"/>
  <c r="AA60" i="151" s="1"/>
  <c r="U60" i="151"/>
  <c r="Y60" i="151"/>
  <c r="Z60" i="151"/>
  <c r="AH60" i="151"/>
  <c r="AJ60" i="151" s="1"/>
  <c r="AI60" i="151" s="1"/>
  <c r="A61" i="151"/>
  <c r="A73" i="151" s="1"/>
  <c r="A85" i="151" s="1"/>
  <c r="J61" i="151"/>
  <c r="L61" i="151" s="1"/>
  <c r="O61" i="151" s="1"/>
  <c r="N61" i="151"/>
  <c r="AL61" i="151" s="1"/>
  <c r="T61" i="151"/>
  <c r="V61" i="151" s="1"/>
  <c r="U61" i="151"/>
  <c r="X61" i="151"/>
  <c r="Y61" i="151"/>
  <c r="Z61" i="151"/>
  <c r="AH61" i="151"/>
  <c r="AJ61" i="151" s="1"/>
  <c r="AI61" i="151" s="1"/>
  <c r="A62" i="151"/>
  <c r="J62" i="151"/>
  <c r="L62" i="151" s="1"/>
  <c r="N62" i="151"/>
  <c r="T62" i="151"/>
  <c r="U62" i="151"/>
  <c r="V62" i="151" s="1"/>
  <c r="X62" i="151" s="1"/>
  <c r="Y62" i="151"/>
  <c r="Z62" i="151"/>
  <c r="AH62" i="151"/>
  <c r="AI62" i="151"/>
  <c r="AJ62" i="151"/>
  <c r="AL62" i="151"/>
  <c r="AM62" i="151" s="1"/>
  <c r="B63" i="151"/>
  <c r="C63" i="151"/>
  <c r="J63" i="151"/>
  <c r="K63" i="151"/>
  <c r="L63" i="151"/>
  <c r="N63" i="151"/>
  <c r="AL63" i="151" s="1"/>
  <c r="O63" i="151"/>
  <c r="T63" i="151"/>
  <c r="U63" i="151"/>
  <c r="V63" i="151"/>
  <c r="X63" i="151" s="1"/>
  <c r="Y63" i="151"/>
  <c r="Z63" i="151"/>
  <c r="AH63" i="151"/>
  <c r="AJ63" i="151"/>
  <c r="AI63" i="151" s="1"/>
  <c r="AM63" i="151"/>
  <c r="A64" i="151"/>
  <c r="A76" i="151" s="1"/>
  <c r="A88" i="151" s="1"/>
  <c r="A100" i="151" s="1"/>
  <c r="J64" i="151"/>
  <c r="L64" i="151"/>
  <c r="K64" i="151" s="1"/>
  <c r="N64" i="151"/>
  <c r="T64" i="151"/>
  <c r="U64" i="151"/>
  <c r="V64" i="151" s="1"/>
  <c r="X64" i="151" s="1"/>
  <c r="Y64" i="151"/>
  <c r="Z64" i="151" s="1"/>
  <c r="AH64" i="151"/>
  <c r="AI64" i="151"/>
  <c r="AJ64" i="151"/>
  <c r="AM64" i="151" s="1"/>
  <c r="AL64" i="151"/>
  <c r="A65" i="151"/>
  <c r="C65" i="151" s="1"/>
  <c r="B65" i="151"/>
  <c r="J65" i="151"/>
  <c r="L65" i="151"/>
  <c r="O65" i="151" s="1"/>
  <c r="N65" i="151"/>
  <c r="T65" i="151"/>
  <c r="V65" i="151" s="1"/>
  <c r="X65" i="151" s="1"/>
  <c r="U65" i="151"/>
  <c r="Y65" i="151"/>
  <c r="Z65" i="151" s="1"/>
  <c r="AH65" i="151"/>
  <c r="AJ65" i="151"/>
  <c r="AI65" i="151" s="1"/>
  <c r="AL65" i="151"/>
  <c r="AM65" i="151"/>
  <c r="A66" i="151"/>
  <c r="B66" i="151"/>
  <c r="J66" i="151"/>
  <c r="L66" i="151" s="1"/>
  <c r="N66" i="151"/>
  <c r="T66" i="151"/>
  <c r="V66" i="151" s="1"/>
  <c r="X66" i="151" s="1"/>
  <c r="U66" i="151"/>
  <c r="W66" i="151"/>
  <c r="Y66" i="151"/>
  <c r="Z66" i="151" s="1"/>
  <c r="AA66" i="151"/>
  <c r="AH66" i="151"/>
  <c r="AJ66" i="151" s="1"/>
  <c r="AL66" i="151"/>
  <c r="A67" i="151"/>
  <c r="J67" i="151"/>
  <c r="L67" i="151" s="1"/>
  <c r="N67" i="151"/>
  <c r="AL67" i="151" s="1"/>
  <c r="T67" i="151"/>
  <c r="U67" i="151"/>
  <c r="V67" i="151"/>
  <c r="X67" i="151" s="1"/>
  <c r="AA67" i="151" s="1"/>
  <c r="W67" i="151"/>
  <c r="Y67" i="151"/>
  <c r="Z67" i="151"/>
  <c r="AH67" i="151"/>
  <c r="AJ67" i="151" s="1"/>
  <c r="B68" i="151"/>
  <c r="J68" i="151"/>
  <c r="L68" i="151" s="1"/>
  <c r="K68" i="151"/>
  <c r="N68" i="151"/>
  <c r="AL68" i="151" s="1"/>
  <c r="T68" i="151"/>
  <c r="V68" i="151" s="1"/>
  <c r="X68" i="151" s="1"/>
  <c r="U68" i="151"/>
  <c r="Y68" i="151"/>
  <c r="Z68" i="151"/>
  <c r="AH68" i="151"/>
  <c r="AJ68" i="151" s="1"/>
  <c r="AI68" i="151"/>
  <c r="A69" i="151"/>
  <c r="C69" i="151" s="1"/>
  <c r="B69" i="151"/>
  <c r="B81" i="151" s="1"/>
  <c r="J69" i="151"/>
  <c r="L69" i="151" s="1"/>
  <c r="K69" i="151"/>
  <c r="N69" i="151"/>
  <c r="AL69" i="151" s="1"/>
  <c r="O69" i="151"/>
  <c r="T69" i="151"/>
  <c r="V69" i="151" s="1"/>
  <c r="X69" i="151" s="1"/>
  <c r="W69" i="151" s="1"/>
  <c r="U69" i="151"/>
  <c r="Y69" i="151"/>
  <c r="Z69" i="151"/>
  <c r="AA69" i="151"/>
  <c r="AH69" i="151"/>
  <c r="AJ69" i="151" s="1"/>
  <c r="AI69" i="151"/>
  <c r="AM69" i="151"/>
  <c r="J70" i="151"/>
  <c r="L70" i="151" s="1"/>
  <c r="O70" i="151" s="1"/>
  <c r="K70" i="151"/>
  <c r="N70" i="151"/>
  <c r="T70" i="151"/>
  <c r="U70" i="151"/>
  <c r="V70" i="151" s="1"/>
  <c r="X70" i="151" s="1"/>
  <c r="Y70" i="151"/>
  <c r="Z70" i="151"/>
  <c r="AH70" i="151"/>
  <c r="AI70" i="151"/>
  <c r="AJ70" i="151"/>
  <c r="AL70" i="151"/>
  <c r="AM70" i="151" s="1"/>
  <c r="J71" i="151"/>
  <c r="L71" i="151"/>
  <c r="N71" i="151"/>
  <c r="AL71" i="151" s="1"/>
  <c r="T71" i="151"/>
  <c r="U71" i="151"/>
  <c r="V71" i="151"/>
  <c r="X71" i="151"/>
  <c r="W71" i="151" s="1"/>
  <c r="Y71" i="151"/>
  <c r="Z71" i="151"/>
  <c r="AA71" i="151"/>
  <c r="AH71" i="151"/>
  <c r="AJ71" i="151"/>
  <c r="AI71" i="151" s="1"/>
  <c r="A72" i="151"/>
  <c r="A84" i="151" s="1"/>
  <c r="B72" i="151"/>
  <c r="J72" i="151"/>
  <c r="L72" i="151"/>
  <c r="N72" i="151"/>
  <c r="T72" i="151"/>
  <c r="U72" i="151"/>
  <c r="V72" i="151"/>
  <c r="X72" i="151" s="1"/>
  <c r="W72" i="151" s="1"/>
  <c r="Y72" i="151"/>
  <c r="Z72" i="151" s="1"/>
  <c r="AA72" i="151"/>
  <c r="AH72" i="151"/>
  <c r="AJ72" i="151" s="1"/>
  <c r="AL72" i="151"/>
  <c r="J73" i="151"/>
  <c r="K73" i="151"/>
  <c r="L73" i="151"/>
  <c r="O73" i="151" s="1"/>
  <c r="N73" i="151"/>
  <c r="T73" i="151"/>
  <c r="V73" i="151" s="1"/>
  <c r="X73" i="151" s="1"/>
  <c r="U73" i="151"/>
  <c r="W73" i="151"/>
  <c r="Y73" i="151"/>
  <c r="Z73" i="151" s="1"/>
  <c r="AH73" i="151"/>
  <c r="AJ73" i="151" s="1"/>
  <c r="AL73" i="151"/>
  <c r="A74" i="151"/>
  <c r="J74" i="151"/>
  <c r="L74" i="151" s="1"/>
  <c r="K74" i="151" s="1"/>
  <c r="N74" i="151"/>
  <c r="T74" i="151"/>
  <c r="V74" i="151" s="1"/>
  <c r="X74" i="151" s="1"/>
  <c r="U74" i="151"/>
  <c r="W74" i="151"/>
  <c r="Y74" i="151"/>
  <c r="AA74" i="151" s="1"/>
  <c r="Z74" i="151"/>
  <c r="AH74" i="151"/>
  <c r="AJ74" i="151" s="1"/>
  <c r="AL74" i="151"/>
  <c r="A75" i="151"/>
  <c r="A87" i="151" s="1"/>
  <c r="B75" i="151"/>
  <c r="B87" i="151" s="1"/>
  <c r="B99" i="151" s="1"/>
  <c r="J75" i="151"/>
  <c r="L75" i="151" s="1"/>
  <c r="N75" i="151"/>
  <c r="AL75" i="151" s="1"/>
  <c r="T75" i="151"/>
  <c r="U75" i="151"/>
  <c r="V75" i="151"/>
  <c r="X75" i="151" s="1"/>
  <c r="Y75" i="151"/>
  <c r="Z75" i="151"/>
  <c r="AH75" i="151"/>
  <c r="AJ75" i="151" s="1"/>
  <c r="AI75" i="151" s="1"/>
  <c r="B76" i="151"/>
  <c r="B88" i="151" s="1"/>
  <c r="J76" i="151"/>
  <c r="K76" i="151"/>
  <c r="L76" i="151"/>
  <c r="N76" i="151"/>
  <c r="T76" i="151"/>
  <c r="V76" i="151" s="1"/>
  <c r="U76" i="151"/>
  <c r="W76" i="151"/>
  <c r="X76" i="151"/>
  <c r="AA76" i="151" s="1"/>
  <c r="Y76" i="151"/>
  <c r="Z76" i="151"/>
  <c r="AH76" i="151"/>
  <c r="AJ76" i="151" s="1"/>
  <c r="AI76" i="151"/>
  <c r="AL76" i="151"/>
  <c r="A77" i="151"/>
  <c r="B77" i="151"/>
  <c r="B89" i="151" s="1"/>
  <c r="B101" i="151" s="1"/>
  <c r="B113" i="151" s="1"/>
  <c r="J77" i="151"/>
  <c r="L77" i="151" s="1"/>
  <c r="K77" i="151"/>
  <c r="N77" i="151"/>
  <c r="AL77" i="151" s="1"/>
  <c r="O77" i="151"/>
  <c r="T77" i="151"/>
  <c r="V77" i="151" s="1"/>
  <c r="U77" i="151"/>
  <c r="X77" i="151"/>
  <c r="Y77" i="151"/>
  <c r="Z77" i="151"/>
  <c r="AH77" i="151"/>
  <c r="AJ77" i="151" s="1"/>
  <c r="AI77" i="151"/>
  <c r="AM77" i="151"/>
  <c r="B78" i="151"/>
  <c r="B90" i="151" s="1"/>
  <c r="J78" i="151"/>
  <c r="L78" i="151" s="1"/>
  <c r="N78" i="151"/>
  <c r="T78" i="151"/>
  <c r="U78" i="151"/>
  <c r="V78" i="151" s="1"/>
  <c r="W78" i="151"/>
  <c r="X78" i="151"/>
  <c r="AA78" i="151" s="1"/>
  <c r="Y78" i="151"/>
  <c r="Z78" i="151"/>
  <c r="AH78" i="151"/>
  <c r="AI78" i="151"/>
  <c r="AJ78" i="151"/>
  <c r="AL78" i="151"/>
  <c r="AM78" i="151"/>
  <c r="J79" i="151"/>
  <c r="L79" i="151"/>
  <c r="K79" i="151" s="1"/>
  <c r="N79" i="151"/>
  <c r="AL79" i="151" s="1"/>
  <c r="T79" i="151"/>
  <c r="U79" i="151"/>
  <c r="V79" i="151"/>
  <c r="X79" i="151"/>
  <c r="W79" i="151" s="1"/>
  <c r="Y79" i="151"/>
  <c r="Z79" i="151"/>
  <c r="AA79" i="151"/>
  <c r="AH79" i="151"/>
  <c r="AJ79" i="151"/>
  <c r="AI79" i="151" s="1"/>
  <c r="AM79" i="151"/>
  <c r="B80" i="151"/>
  <c r="J80" i="151"/>
  <c r="L80" i="151"/>
  <c r="K80" i="151" s="1"/>
  <c r="N80" i="151"/>
  <c r="T80" i="151"/>
  <c r="V80" i="151" s="1"/>
  <c r="X80" i="151" s="1"/>
  <c r="U80" i="151"/>
  <c r="Y80" i="151"/>
  <c r="Z80" i="151" s="1"/>
  <c r="AH80" i="151"/>
  <c r="AJ80" i="151" s="1"/>
  <c r="AL80" i="151"/>
  <c r="J81" i="151"/>
  <c r="L81" i="151"/>
  <c r="N81" i="151"/>
  <c r="T81" i="151"/>
  <c r="V81" i="151" s="1"/>
  <c r="X81" i="151" s="1"/>
  <c r="U81" i="151"/>
  <c r="Y81" i="151"/>
  <c r="Z81" i="151" s="1"/>
  <c r="AH81" i="151"/>
  <c r="AJ81" i="151" s="1"/>
  <c r="AI81" i="151" s="1"/>
  <c r="AL81" i="151"/>
  <c r="AM81" i="151" s="1"/>
  <c r="J82" i="151"/>
  <c r="L82" i="151" s="1"/>
  <c r="K82" i="151" s="1"/>
  <c r="N82" i="151"/>
  <c r="O82" i="151"/>
  <c r="T82" i="151"/>
  <c r="V82" i="151" s="1"/>
  <c r="X82" i="151" s="1"/>
  <c r="U82" i="151"/>
  <c r="W82" i="151"/>
  <c r="Y82" i="151"/>
  <c r="Z82" i="151"/>
  <c r="AA82" i="151" s="1"/>
  <c r="AH82" i="151"/>
  <c r="AJ82" i="151" s="1"/>
  <c r="AL82" i="151"/>
  <c r="J83" i="151"/>
  <c r="L83" i="151" s="1"/>
  <c r="N83" i="151"/>
  <c r="AL83" i="151" s="1"/>
  <c r="T83" i="151"/>
  <c r="U83" i="151"/>
  <c r="V83" i="151"/>
  <c r="X83" i="151" s="1"/>
  <c r="Y83" i="151"/>
  <c r="Z83" i="151"/>
  <c r="AH83" i="151"/>
  <c r="AI83" i="151"/>
  <c r="AJ83" i="151"/>
  <c r="B84" i="151"/>
  <c r="J84" i="151"/>
  <c r="L84" i="151"/>
  <c r="O84" i="151" s="1"/>
  <c r="N84" i="151"/>
  <c r="T84" i="151"/>
  <c r="V84" i="151" s="1"/>
  <c r="X84" i="151" s="1"/>
  <c r="U84" i="151"/>
  <c r="Y84" i="151"/>
  <c r="Z84" i="151"/>
  <c r="AH84" i="151"/>
  <c r="AJ84" i="151" s="1"/>
  <c r="AL84" i="151"/>
  <c r="J85" i="151"/>
  <c r="L85" i="151" s="1"/>
  <c r="O85" i="151" s="1"/>
  <c r="K85" i="151"/>
  <c r="N85" i="151"/>
  <c r="AL85" i="151" s="1"/>
  <c r="T85" i="151"/>
  <c r="V85" i="151" s="1"/>
  <c r="X85" i="151" s="1"/>
  <c r="W85" i="151" s="1"/>
  <c r="U85" i="151"/>
  <c r="Y85" i="151"/>
  <c r="Z85" i="151"/>
  <c r="AA85" i="151"/>
  <c r="AH85" i="151"/>
  <c r="AJ85" i="151" s="1"/>
  <c r="J86" i="151"/>
  <c r="L86" i="151" s="1"/>
  <c r="K86" i="151" s="1"/>
  <c r="N86" i="151"/>
  <c r="O86" i="151"/>
  <c r="T86" i="151"/>
  <c r="U86" i="151"/>
  <c r="V86" i="151" s="1"/>
  <c r="X86" i="151" s="1"/>
  <c r="Y86" i="151"/>
  <c r="Z86" i="151"/>
  <c r="AH86" i="151"/>
  <c r="AI86" i="151"/>
  <c r="AJ86" i="151"/>
  <c r="AL86" i="151"/>
  <c r="AM86" i="151"/>
  <c r="J87" i="151"/>
  <c r="K87" i="151"/>
  <c r="L87" i="151"/>
  <c r="N87" i="151"/>
  <c r="T87" i="151"/>
  <c r="U87" i="151"/>
  <c r="V87" i="151"/>
  <c r="X87" i="151"/>
  <c r="W87" i="151" s="1"/>
  <c r="Y87" i="151"/>
  <c r="AH87" i="151"/>
  <c r="AJ87" i="151"/>
  <c r="AI87" i="151" s="1"/>
  <c r="J88" i="151"/>
  <c r="L88" i="151"/>
  <c r="N88" i="151"/>
  <c r="T88" i="151"/>
  <c r="U88" i="151"/>
  <c r="V88" i="151"/>
  <c r="X88" i="151" s="1"/>
  <c r="Y88" i="151"/>
  <c r="Z88" i="151" s="1"/>
  <c r="AH88" i="151"/>
  <c r="AJ88" i="151" s="1"/>
  <c r="AL88" i="151"/>
  <c r="J89" i="151"/>
  <c r="L89" i="151" s="1"/>
  <c r="N89" i="151"/>
  <c r="T89" i="151"/>
  <c r="V89" i="151" s="1"/>
  <c r="U89" i="151"/>
  <c r="W89" i="151"/>
  <c r="X89" i="151"/>
  <c r="AA89" i="151" s="1"/>
  <c r="Y89" i="151"/>
  <c r="Z89" i="151" s="1"/>
  <c r="AH89" i="151"/>
  <c r="AJ89" i="151" s="1"/>
  <c r="AI89" i="151" s="1"/>
  <c r="AL89" i="151"/>
  <c r="J90" i="151"/>
  <c r="L90" i="151" s="1"/>
  <c r="N90" i="151"/>
  <c r="T90" i="151"/>
  <c r="V90" i="151" s="1"/>
  <c r="X90" i="151" s="1"/>
  <c r="U90" i="151"/>
  <c r="W90" i="151"/>
  <c r="Y90" i="151"/>
  <c r="Z90" i="151"/>
  <c r="AA90" i="151" s="1"/>
  <c r="AH90" i="151"/>
  <c r="AJ90" i="151" s="1"/>
  <c r="AL90" i="151"/>
  <c r="B91" i="151"/>
  <c r="B103" i="151" s="1"/>
  <c r="J91" i="151"/>
  <c r="L91" i="151" s="1"/>
  <c r="N91" i="151"/>
  <c r="AL91" i="151" s="1"/>
  <c r="T91" i="151"/>
  <c r="U91" i="151"/>
  <c r="V91" i="151"/>
  <c r="X91" i="151" s="1"/>
  <c r="Y91" i="151"/>
  <c r="Z91" i="151"/>
  <c r="AH91" i="151"/>
  <c r="AJ91" i="151"/>
  <c r="AM91" i="151" s="1"/>
  <c r="B92" i="151"/>
  <c r="B104" i="151" s="1"/>
  <c r="J92" i="151"/>
  <c r="K92" i="151"/>
  <c r="L92" i="151"/>
  <c r="O92" i="151" s="1"/>
  <c r="N92" i="151"/>
  <c r="T92" i="151"/>
  <c r="V92" i="151" s="1"/>
  <c r="X92" i="151" s="1"/>
  <c r="U92" i="151"/>
  <c r="Y92" i="151"/>
  <c r="Z92" i="151"/>
  <c r="AH92" i="151"/>
  <c r="AJ92" i="151" s="1"/>
  <c r="AI92" i="151" s="1"/>
  <c r="AL92" i="151"/>
  <c r="AM92" i="151"/>
  <c r="B93" i="151"/>
  <c r="B105" i="151" s="1"/>
  <c r="B117" i="151" s="1"/>
  <c r="B129" i="151" s="1"/>
  <c r="J93" i="151"/>
  <c r="L93" i="151" s="1"/>
  <c r="K93" i="151"/>
  <c r="N93" i="151"/>
  <c r="AL93" i="151" s="1"/>
  <c r="T93" i="151"/>
  <c r="U93" i="151"/>
  <c r="Y93" i="151"/>
  <c r="Z93" i="151"/>
  <c r="AH93" i="151"/>
  <c r="AJ93" i="151" s="1"/>
  <c r="AI93" i="151" s="1"/>
  <c r="AM93" i="151"/>
  <c r="J94" i="151"/>
  <c r="L94" i="151" s="1"/>
  <c r="K94" i="151"/>
  <c r="N94" i="151"/>
  <c r="O94" i="151"/>
  <c r="T94" i="151"/>
  <c r="U94" i="151"/>
  <c r="V94" i="151"/>
  <c r="X94" i="151" s="1"/>
  <c r="Y94" i="151"/>
  <c r="Z94" i="151"/>
  <c r="AH94" i="151"/>
  <c r="AI94" i="151"/>
  <c r="AJ94" i="151"/>
  <c r="AL94" i="151"/>
  <c r="AM94" i="151"/>
  <c r="J95" i="151"/>
  <c r="K95" i="151"/>
  <c r="L95" i="151"/>
  <c r="N95" i="151"/>
  <c r="AL95" i="151" s="1"/>
  <c r="AM95" i="151" s="1"/>
  <c r="T95" i="151"/>
  <c r="U95" i="151"/>
  <c r="V95" i="151"/>
  <c r="X95" i="151"/>
  <c r="W95" i="151" s="1"/>
  <c r="Y95" i="151"/>
  <c r="Z95" i="151" s="1"/>
  <c r="AA95" i="151"/>
  <c r="AH95" i="151"/>
  <c r="AJ95" i="151"/>
  <c r="AI95" i="151" s="1"/>
  <c r="A96" i="151"/>
  <c r="A108" i="151" s="1"/>
  <c r="B96" i="151"/>
  <c r="C96" i="151"/>
  <c r="J96" i="151"/>
  <c r="L96" i="151"/>
  <c r="N96" i="151"/>
  <c r="T96" i="151"/>
  <c r="U96" i="151"/>
  <c r="V96" i="151"/>
  <c r="X96" i="151" s="1"/>
  <c r="Y96" i="151"/>
  <c r="Z96" i="151" s="1"/>
  <c r="AH96" i="151"/>
  <c r="AJ96" i="151" s="1"/>
  <c r="AM96" i="151" s="1"/>
  <c r="AL96" i="151"/>
  <c r="A97" i="151"/>
  <c r="J97" i="151"/>
  <c r="L97" i="151"/>
  <c r="N97" i="151"/>
  <c r="T97" i="151"/>
  <c r="U97" i="151"/>
  <c r="V97" i="151"/>
  <c r="X97" i="151" s="1"/>
  <c r="Y97" i="151"/>
  <c r="Z97" i="151" s="1"/>
  <c r="AH97" i="151"/>
  <c r="AJ97" i="151" s="1"/>
  <c r="AL97" i="151"/>
  <c r="J98" i="151"/>
  <c r="L98" i="151" s="1"/>
  <c r="N98" i="151"/>
  <c r="T98" i="151"/>
  <c r="V98" i="151" s="1"/>
  <c r="X98" i="151" s="1"/>
  <c r="U98" i="151"/>
  <c r="W98" i="151"/>
  <c r="Y98" i="151"/>
  <c r="Z98" i="151" s="1"/>
  <c r="AH98" i="151"/>
  <c r="AJ98" i="151" s="1"/>
  <c r="AL98" i="151"/>
  <c r="A99" i="151"/>
  <c r="A111" i="151" s="1"/>
  <c r="C99" i="151"/>
  <c r="J99" i="151"/>
  <c r="L99" i="151" s="1"/>
  <c r="N99" i="151"/>
  <c r="AL99" i="151" s="1"/>
  <c r="T99" i="151"/>
  <c r="V99" i="151" s="1"/>
  <c r="X99" i="151" s="1"/>
  <c r="U99" i="151"/>
  <c r="Y99" i="151"/>
  <c r="Z99" i="151"/>
  <c r="AH99" i="151"/>
  <c r="AI99" i="151"/>
  <c r="AJ99" i="151"/>
  <c r="J100" i="151"/>
  <c r="L100" i="151"/>
  <c r="N100" i="151"/>
  <c r="T100" i="151"/>
  <c r="V100" i="151" s="1"/>
  <c r="U100" i="151"/>
  <c r="X100" i="151"/>
  <c r="Y100" i="151"/>
  <c r="Z100" i="151" s="1"/>
  <c r="AH100" i="151"/>
  <c r="AJ100" i="151" s="1"/>
  <c r="AI100" i="151"/>
  <c r="AL100" i="151"/>
  <c r="AM100" i="151" s="1"/>
  <c r="J101" i="151"/>
  <c r="L101" i="151" s="1"/>
  <c r="K101" i="151" s="1"/>
  <c r="N101" i="151"/>
  <c r="T101" i="151"/>
  <c r="U101" i="151"/>
  <c r="Y101" i="151"/>
  <c r="Z101" i="151"/>
  <c r="AH101" i="151"/>
  <c r="AJ101" i="151" s="1"/>
  <c r="AI101" i="151" s="1"/>
  <c r="B102" i="151"/>
  <c r="B114" i="151" s="1"/>
  <c r="B126" i="151" s="1"/>
  <c r="B138" i="151" s="1"/>
  <c r="J102" i="151"/>
  <c r="L102" i="151" s="1"/>
  <c r="K102" i="151"/>
  <c r="N102" i="151"/>
  <c r="O102" i="151"/>
  <c r="T102" i="151"/>
  <c r="U102" i="151"/>
  <c r="V102" i="151"/>
  <c r="X102" i="151" s="1"/>
  <c r="Y102" i="151"/>
  <c r="Z102" i="151"/>
  <c r="AH102" i="151"/>
  <c r="AI102" i="151"/>
  <c r="AJ102" i="151"/>
  <c r="AL102" i="151"/>
  <c r="AM102" i="151"/>
  <c r="J103" i="151"/>
  <c r="L103" i="151"/>
  <c r="K103" i="151" s="1"/>
  <c r="N103" i="151"/>
  <c r="AL103" i="151" s="1"/>
  <c r="T103" i="151"/>
  <c r="U103" i="151"/>
  <c r="V103" i="151"/>
  <c r="X103" i="151" s="1"/>
  <c r="W103" i="151" s="1"/>
  <c r="Y103" i="151"/>
  <c r="Z103" i="151"/>
  <c r="AA103" i="151"/>
  <c r="AH103" i="151"/>
  <c r="AJ103" i="151"/>
  <c r="AI103" i="151" s="1"/>
  <c r="AM103" i="151"/>
  <c r="J104" i="151"/>
  <c r="L104" i="151"/>
  <c r="N104" i="151"/>
  <c r="T104" i="151"/>
  <c r="V104" i="151" s="1"/>
  <c r="X104" i="151" s="1"/>
  <c r="W104" i="151" s="1"/>
  <c r="U104" i="151"/>
  <c r="Y104" i="151"/>
  <c r="Z104" i="151" s="1"/>
  <c r="AH104" i="151"/>
  <c r="AJ104" i="151" s="1"/>
  <c r="AM104" i="151" s="1"/>
  <c r="AI104" i="151"/>
  <c r="AL104" i="151"/>
  <c r="J105" i="151"/>
  <c r="L105" i="151"/>
  <c r="N105" i="151"/>
  <c r="T105" i="151"/>
  <c r="U105" i="151"/>
  <c r="V105" i="151"/>
  <c r="X105" i="151"/>
  <c r="Y105" i="151"/>
  <c r="Z105" i="151" s="1"/>
  <c r="AH105" i="151"/>
  <c r="AJ105" i="151"/>
  <c r="AL105" i="151"/>
  <c r="J106" i="151"/>
  <c r="L106" i="151"/>
  <c r="K106" i="151" s="1"/>
  <c r="N106" i="151"/>
  <c r="O106" i="151" s="1"/>
  <c r="T106" i="151"/>
  <c r="V106" i="151" s="1"/>
  <c r="X106" i="151" s="1"/>
  <c r="U106" i="151"/>
  <c r="Y106" i="151"/>
  <c r="Z106" i="151" s="1"/>
  <c r="AH106" i="151"/>
  <c r="AJ106" i="151" s="1"/>
  <c r="AL106" i="151"/>
  <c r="J107" i="151"/>
  <c r="L107" i="151" s="1"/>
  <c r="N107" i="151"/>
  <c r="T107" i="151"/>
  <c r="U107" i="151"/>
  <c r="V107" i="151"/>
  <c r="X107" i="151" s="1"/>
  <c r="W107" i="151"/>
  <c r="Y107" i="151"/>
  <c r="Z107" i="151"/>
  <c r="AH107" i="151"/>
  <c r="AJ107" i="151" s="1"/>
  <c r="AL107" i="151"/>
  <c r="B108" i="151"/>
  <c r="J108" i="151"/>
  <c r="L108" i="151"/>
  <c r="N108" i="151"/>
  <c r="AL108" i="151" s="1"/>
  <c r="T108" i="151"/>
  <c r="U108" i="151"/>
  <c r="Y108" i="151"/>
  <c r="Z108" i="151" s="1"/>
  <c r="AH108" i="151"/>
  <c r="AJ108" i="151" s="1"/>
  <c r="AM108" i="151" s="1"/>
  <c r="AI108" i="151"/>
  <c r="A109" i="151"/>
  <c r="J109" i="151"/>
  <c r="L109" i="151" s="1"/>
  <c r="K109" i="151" s="1"/>
  <c r="N109" i="151"/>
  <c r="AL109" i="151" s="1"/>
  <c r="O109" i="151"/>
  <c r="T109" i="151"/>
  <c r="U109" i="151"/>
  <c r="Y109" i="151"/>
  <c r="Z109" i="151"/>
  <c r="AH109" i="151"/>
  <c r="AJ109" i="151" s="1"/>
  <c r="AI109" i="151"/>
  <c r="J110" i="151"/>
  <c r="L110" i="151" s="1"/>
  <c r="O110" i="151" s="1"/>
  <c r="N110" i="151"/>
  <c r="T110" i="151"/>
  <c r="U110" i="151"/>
  <c r="V110" i="151"/>
  <c r="X110" i="151"/>
  <c r="AA110" i="151" s="1"/>
  <c r="Y110" i="151"/>
  <c r="Z110" i="151"/>
  <c r="AH110" i="151"/>
  <c r="AJ110" i="151"/>
  <c r="AI110" i="151" s="1"/>
  <c r="AL110" i="151"/>
  <c r="AM110" i="151"/>
  <c r="B111" i="151"/>
  <c r="B123" i="151" s="1"/>
  <c r="J111" i="151"/>
  <c r="K111" i="151"/>
  <c r="L111" i="151"/>
  <c r="N111" i="151"/>
  <c r="AL111" i="151" s="1"/>
  <c r="O111" i="151"/>
  <c r="T111" i="151"/>
  <c r="U111" i="151"/>
  <c r="V111" i="151" s="1"/>
  <c r="X111" i="151"/>
  <c r="W111" i="151" s="1"/>
  <c r="Y111" i="151"/>
  <c r="Z111" i="151" s="1"/>
  <c r="AA111" i="151"/>
  <c r="AH111" i="151"/>
  <c r="AJ111" i="151"/>
  <c r="AM111" i="151" s="1"/>
  <c r="A112" i="151"/>
  <c r="J112" i="151"/>
  <c r="L112" i="151"/>
  <c r="N112" i="151"/>
  <c r="T112" i="151"/>
  <c r="U112" i="151"/>
  <c r="Y112" i="151"/>
  <c r="Z112" i="151" s="1"/>
  <c r="AH112" i="151"/>
  <c r="AJ112" i="151"/>
  <c r="AL112" i="151"/>
  <c r="J113" i="151"/>
  <c r="L113" i="151" s="1"/>
  <c r="K113" i="151"/>
  <c r="N113" i="151"/>
  <c r="O113" i="151"/>
  <c r="T113" i="151"/>
  <c r="U113" i="151"/>
  <c r="V113" i="151"/>
  <c r="X113" i="151"/>
  <c r="W113" i="151" s="1"/>
  <c r="Y113" i="151"/>
  <c r="Z113" i="151" s="1"/>
  <c r="AA113" i="151"/>
  <c r="AH113" i="151"/>
  <c r="AJ113" i="151" s="1"/>
  <c r="AI113" i="151" s="1"/>
  <c r="AL113" i="151"/>
  <c r="AM113" i="151" s="1"/>
  <c r="J114" i="151"/>
  <c r="L114" i="151"/>
  <c r="N114" i="151"/>
  <c r="T114" i="151"/>
  <c r="U114" i="151"/>
  <c r="V114" i="151"/>
  <c r="X114" i="151" s="1"/>
  <c r="W114" i="151" s="1"/>
  <c r="Y114" i="151"/>
  <c r="Z114" i="151"/>
  <c r="AH114" i="151"/>
  <c r="AJ114" i="151"/>
  <c r="AL114" i="151"/>
  <c r="B115" i="151"/>
  <c r="J115" i="151"/>
  <c r="L115" i="151"/>
  <c r="N115" i="151"/>
  <c r="T115" i="151"/>
  <c r="U115" i="151"/>
  <c r="V115" i="151"/>
  <c r="X115" i="151" s="1"/>
  <c r="Y115" i="151"/>
  <c r="Z115" i="151"/>
  <c r="AH115" i="151"/>
  <c r="AJ115" i="151"/>
  <c r="AL115" i="151"/>
  <c r="B116" i="151"/>
  <c r="B128" i="151" s="1"/>
  <c r="B140" i="151" s="1"/>
  <c r="B152" i="151" s="1"/>
  <c r="B164" i="151" s="1"/>
  <c r="B176" i="151" s="1"/>
  <c r="B188" i="151" s="1"/>
  <c r="B200" i="151" s="1"/>
  <c r="B212" i="151" s="1"/>
  <c r="B224" i="151" s="1"/>
  <c r="B236" i="151" s="1"/>
  <c r="J116" i="151"/>
  <c r="L116" i="151"/>
  <c r="O116" i="151" s="1"/>
  <c r="N116" i="151"/>
  <c r="T116" i="151"/>
  <c r="U116" i="151"/>
  <c r="Y116" i="151"/>
  <c r="Z116" i="151"/>
  <c r="AH116" i="151"/>
  <c r="AJ116" i="151" s="1"/>
  <c r="AI116" i="151" s="1"/>
  <c r="AL116" i="151"/>
  <c r="AM116" i="151"/>
  <c r="J117" i="151"/>
  <c r="L117" i="151" s="1"/>
  <c r="O117" i="151" s="1"/>
  <c r="K117" i="151"/>
  <c r="N117" i="151"/>
  <c r="T117" i="151"/>
  <c r="U117" i="151"/>
  <c r="Y117" i="151"/>
  <c r="Z117" i="151"/>
  <c r="AH117" i="151"/>
  <c r="AJ117" i="151" s="1"/>
  <c r="AI117" i="151"/>
  <c r="AL117" i="151"/>
  <c r="AM117" i="151"/>
  <c r="J118" i="151"/>
  <c r="L118" i="151" s="1"/>
  <c r="O118" i="151" s="1"/>
  <c r="K118" i="151"/>
  <c r="N118" i="151"/>
  <c r="T118" i="151"/>
  <c r="U118" i="151"/>
  <c r="V118" i="151"/>
  <c r="X118" i="151"/>
  <c r="W118" i="151" s="1"/>
  <c r="Y118" i="151"/>
  <c r="Z118" i="151"/>
  <c r="AH118" i="151"/>
  <c r="AJ118" i="151"/>
  <c r="AI118" i="151" s="1"/>
  <c r="AL118" i="151"/>
  <c r="AM118" i="151"/>
  <c r="J119" i="151"/>
  <c r="K119" i="151"/>
  <c r="L119" i="151"/>
  <c r="N119" i="151"/>
  <c r="AL119" i="151" s="1"/>
  <c r="T119" i="151"/>
  <c r="U119" i="151"/>
  <c r="V119" i="151" s="1"/>
  <c r="X119" i="151"/>
  <c r="W119" i="151" s="1"/>
  <c r="Y119" i="151"/>
  <c r="Z119" i="151"/>
  <c r="AH119" i="151"/>
  <c r="AJ119" i="151"/>
  <c r="AM119" i="151" s="1"/>
  <c r="A120" i="151"/>
  <c r="C120" i="151" s="1"/>
  <c r="B120" i="151"/>
  <c r="J120" i="151"/>
  <c r="L120" i="151"/>
  <c r="N120" i="151"/>
  <c r="T120" i="151"/>
  <c r="U120" i="151"/>
  <c r="V120" i="151"/>
  <c r="X120" i="151" s="1"/>
  <c r="W120" i="151"/>
  <c r="Y120" i="151"/>
  <c r="Z120" i="151" s="1"/>
  <c r="AA120" i="151"/>
  <c r="AH120" i="151"/>
  <c r="AJ120" i="151"/>
  <c r="AI120" i="151" s="1"/>
  <c r="AL120" i="151"/>
  <c r="AM120" i="151"/>
  <c r="J121" i="151"/>
  <c r="L121" i="151"/>
  <c r="N121" i="151"/>
  <c r="AL121" i="151" s="1"/>
  <c r="AM121" i="151" s="1"/>
  <c r="T121" i="151"/>
  <c r="U121" i="151"/>
  <c r="V121" i="151"/>
  <c r="X121" i="151" s="1"/>
  <c r="W121" i="151"/>
  <c r="Y121" i="151"/>
  <c r="Z121" i="151"/>
  <c r="AA121" i="151" s="1"/>
  <c r="AH121" i="151"/>
  <c r="AJ121" i="151" s="1"/>
  <c r="AI121" i="151" s="1"/>
  <c r="J122" i="151"/>
  <c r="L122" i="151"/>
  <c r="N122" i="151"/>
  <c r="T122" i="151"/>
  <c r="U122" i="151"/>
  <c r="V122" i="151"/>
  <c r="X122" i="151" s="1"/>
  <c r="W122" i="151"/>
  <c r="Y122" i="151"/>
  <c r="Z122" i="151"/>
  <c r="AH122" i="151"/>
  <c r="AJ122" i="151" s="1"/>
  <c r="AM122" i="151" s="1"/>
  <c r="AL122" i="151"/>
  <c r="A123" i="151"/>
  <c r="J123" i="151"/>
  <c r="K123" i="151"/>
  <c r="L123" i="151"/>
  <c r="O123" i="151" s="1"/>
  <c r="N123" i="151"/>
  <c r="T123" i="151"/>
  <c r="U123" i="151"/>
  <c r="V123" i="151"/>
  <c r="X123" i="151" s="1"/>
  <c r="W123" i="151"/>
  <c r="Y123" i="151"/>
  <c r="Z123" i="151"/>
  <c r="AH123" i="151"/>
  <c r="AJ123" i="151"/>
  <c r="AI123" i="151" s="1"/>
  <c r="AL123" i="151"/>
  <c r="AM123" i="151"/>
  <c r="A124" i="151"/>
  <c r="A136" i="151" s="1"/>
  <c r="A148" i="151" s="1"/>
  <c r="J124" i="151"/>
  <c r="L124" i="151" s="1"/>
  <c r="N124" i="151"/>
  <c r="T124" i="151"/>
  <c r="U124" i="151"/>
  <c r="Y124" i="151"/>
  <c r="Z124" i="151"/>
  <c r="AH124" i="151"/>
  <c r="AJ124" i="151"/>
  <c r="AI124" i="151" s="1"/>
  <c r="AL124" i="151"/>
  <c r="B125" i="151"/>
  <c r="B137" i="151" s="1"/>
  <c r="J125" i="151"/>
  <c r="L125" i="151"/>
  <c r="K125" i="151" s="1"/>
  <c r="N125" i="151"/>
  <c r="AL125" i="151" s="1"/>
  <c r="O125" i="151"/>
  <c r="T125" i="151"/>
  <c r="U125" i="151"/>
  <c r="V125" i="151" s="1"/>
  <c r="X125" i="151" s="1"/>
  <c r="Y125" i="151"/>
  <c r="Z125" i="151"/>
  <c r="AH125" i="151"/>
  <c r="AI125" i="151"/>
  <c r="AJ125" i="151"/>
  <c r="AM125" i="151" s="1"/>
  <c r="J126" i="151"/>
  <c r="K126" i="151"/>
  <c r="L126" i="151"/>
  <c r="O126" i="151" s="1"/>
  <c r="N126" i="151"/>
  <c r="AL126" i="151" s="1"/>
  <c r="T126" i="151"/>
  <c r="U126" i="151"/>
  <c r="V126" i="151"/>
  <c r="X126" i="151" s="1"/>
  <c r="Y126" i="151"/>
  <c r="Z126" i="151" s="1"/>
  <c r="AH126" i="151"/>
  <c r="AJ126" i="151"/>
  <c r="AI126" i="151" s="1"/>
  <c r="AM126" i="151"/>
  <c r="B127" i="151"/>
  <c r="B139" i="151" s="1"/>
  <c r="B151" i="151" s="1"/>
  <c r="B163" i="151" s="1"/>
  <c r="B175" i="151" s="1"/>
  <c r="B187" i="151" s="1"/>
  <c r="J127" i="151"/>
  <c r="L127" i="151"/>
  <c r="K127" i="151" s="1"/>
  <c r="N127" i="151"/>
  <c r="O127" i="151"/>
  <c r="T127" i="151"/>
  <c r="U127" i="151"/>
  <c r="V127" i="151" s="1"/>
  <c r="X127" i="151" s="1"/>
  <c r="Y127" i="151"/>
  <c r="Z127" i="151" s="1"/>
  <c r="AH127" i="151"/>
  <c r="AJ127" i="151"/>
  <c r="AL127" i="151"/>
  <c r="J128" i="151"/>
  <c r="L128" i="151" s="1"/>
  <c r="N128" i="151"/>
  <c r="AL128" i="151" s="1"/>
  <c r="AM128" i="151" s="1"/>
  <c r="T128" i="151"/>
  <c r="U128" i="151"/>
  <c r="V128" i="151"/>
  <c r="X128" i="151"/>
  <c r="Y128" i="151"/>
  <c r="Z128" i="151"/>
  <c r="AH128" i="151"/>
  <c r="AJ128" i="151"/>
  <c r="AI128" i="151" s="1"/>
  <c r="J129" i="151"/>
  <c r="L129" i="151" s="1"/>
  <c r="N129" i="151"/>
  <c r="T129" i="151"/>
  <c r="V129" i="151" s="1"/>
  <c r="X129" i="151" s="1"/>
  <c r="U129" i="151"/>
  <c r="W129" i="151"/>
  <c r="Y129" i="151"/>
  <c r="Z129" i="151" s="1"/>
  <c r="AH129" i="151"/>
  <c r="AJ129" i="151"/>
  <c r="AM129" i="151" s="1"/>
  <c r="AL129" i="151"/>
  <c r="J130" i="151"/>
  <c r="L130" i="151"/>
  <c r="N130" i="151"/>
  <c r="AL130" i="151" s="1"/>
  <c r="T130" i="151"/>
  <c r="U130" i="151"/>
  <c r="V130" i="151" s="1"/>
  <c r="X130" i="151" s="1"/>
  <c r="Y130" i="151"/>
  <c r="Z130" i="151"/>
  <c r="AH130" i="151"/>
  <c r="AJ130" i="151"/>
  <c r="J131" i="151"/>
  <c r="L131" i="151" s="1"/>
  <c r="N131" i="151"/>
  <c r="AL131" i="151" s="1"/>
  <c r="T131" i="151"/>
  <c r="U131" i="151"/>
  <c r="Y131" i="151"/>
  <c r="Z131" i="151" s="1"/>
  <c r="AH131" i="151"/>
  <c r="AJ131" i="151" s="1"/>
  <c r="AI131" i="151" s="1"/>
  <c r="A132" i="151"/>
  <c r="C132" i="151" s="1"/>
  <c r="B132" i="151"/>
  <c r="J132" i="151"/>
  <c r="L132" i="151" s="1"/>
  <c r="N132" i="151"/>
  <c r="T132" i="151"/>
  <c r="U132" i="151"/>
  <c r="V132" i="151"/>
  <c r="X132" i="151"/>
  <c r="Y132" i="151"/>
  <c r="Z132" i="151"/>
  <c r="AH132" i="151"/>
  <c r="AJ132" i="151"/>
  <c r="AI132" i="151" s="1"/>
  <c r="AL132" i="151"/>
  <c r="AM132" i="151"/>
  <c r="J133" i="151"/>
  <c r="L133" i="151"/>
  <c r="K133" i="151" s="1"/>
  <c r="N133" i="151"/>
  <c r="AL133" i="151" s="1"/>
  <c r="T133" i="151"/>
  <c r="U133" i="151"/>
  <c r="V133" i="151" s="1"/>
  <c r="X133" i="151" s="1"/>
  <c r="Y133" i="151"/>
  <c r="Z133" i="151"/>
  <c r="AH133" i="151"/>
  <c r="AJ133" i="151" s="1"/>
  <c r="J134" i="151"/>
  <c r="L134" i="151" s="1"/>
  <c r="N134" i="151"/>
  <c r="T134" i="151"/>
  <c r="U134" i="151"/>
  <c r="Y134" i="151"/>
  <c r="Z134" i="151"/>
  <c r="AH134" i="151"/>
  <c r="AJ134" i="151" s="1"/>
  <c r="AM134" i="151" s="1"/>
  <c r="AL134" i="151"/>
  <c r="A135" i="151"/>
  <c r="J135" i="151"/>
  <c r="L135" i="151" s="1"/>
  <c r="K135" i="151"/>
  <c r="N135" i="151"/>
  <c r="AL135" i="151" s="1"/>
  <c r="AM135" i="151" s="1"/>
  <c r="O135" i="151"/>
  <c r="T135" i="151"/>
  <c r="U135" i="151"/>
  <c r="V135" i="151" s="1"/>
  <c r="X135" i="151"/>
  <c r="W135" i="151" s="1"/>
  <c r="Y135" i="151"/>
  <c r="Z135" i="151"/>
  <c r="AA135" i="151"/>
  <c r="AH135" i="151"/>
  <c r="AI135" i="151"/>
  <c r="AJ135" i="151"/>
  <c r="J136" i="151"/>
  <c r="K136" i="151"/>
  <c r="L136" i="151"/>
  <c r="N136" i="151"/>
  <c r="AL136" i="151" s="1"/>
  <c r="O136" i="151"/>
  <c r="T136" i="151"/>
  <c r="U136" i="151"/>
  <c r="V136" i="151" s="1"/>
  <c r="X136" i="151" s="1"/>
  <c r="Y136" i="151"/>
  <c r="Z136" i="151"/>
  <c r="AH136" i="151"/>
  <c r="AI136" i="151"/>
  <c r="AJ136" i="151"/>
  <c r="J137" i="151"/>
  <c r="L137" i="151"/>
  <c r="O137" i="151" s="1"/>
  <c r="N137" i="151"/>
  <c r="T137" i="151"/>
  <c r="U137" i="151"/>
  <c r="V137" i="151"/>
  <c r="X137" i="151"/>
  <c r="Y137" i="151"/>
  <c r="Z137" i="151" s="1"/>
  <c r="AH137" i="151"/>
  <c r="AJ137" i="151"/>
  <c r="AI137" i="151" s="1"/>
  <c r="AL137" i="151"/>
  <c r="AM137" i="151"/>
  <c r="J138" i="151"/>
  <c r="L138" i="151"/>
  <c r="K138" i="151" s="1"/>
  <c r="N138" i="151"/>
  <c r="O138" i="151"/>
  <c r="T138" i="151"/>
  <c r="V138" i="151" s="1"/>
  <c r="X138" i="151" s="1"/>
  <c r="W138" i="151" s="1"/>
  <c r="U138" i="151"/>
  <c r="Y138" i="151"/>
  <c r="Z138" i="151" s="1"/>
  <c r="AH138" i="151"/>
  <c r="AJ138" i="151" s="1"/>
  <c r="AL138" i="151"/>
  <c r="J139" i="151"/>
  <c r="L139" i="151" s="1"/>
  <c r="N139" i="151"/>
  <c r="T139" i="151"/>
  <c r="V139" i="151" s="1"/>
  <c r="X139" i="151" s="1"/>
  <c r="U139" i="151"/>
  <c r="Y139" i="151"/>
  <c r="Z139" i="151" s="1"/>
  <c r="AH139" i="151"/>
  <c r="AJ139" i="151"/>
  <c r="AL139" i="151"/>
  <c r="J140" i="151"/>
  <c r="L140" i="151" s="1"/>
  <c r="N140" i="151"/>
  <c r="T140" i="151"/>
  <c r="U140" i="151"/>
  <c r="V140" i="151"/>
  <c r="X140" i="151" s="1"/>
  <c r="W140" i="151"/>
  <c r="Y140" i="151"/>
  <c r="Z140" i="151"/>
  <c r="AH140" i="151"/>
  <c r="AJ140" i="151"/>
  <c r="AI140" i="151" s="1"/>
  <c r="AL140" i="151"/>
  <c r="B141" i="151"/>
  <c r="B153" i="151" s="1"/>
  <c r="J141" i="151"/>
  <c r="L141" i="151"/>
  <c r="K141" i="151" s="1"/>
  <c r="N141" i="151"/>
  <c r="AL141" i="151" s="1"/>
  <c r="T141" i="151"/>
  <c r="V141" i="151" s="1"/>
  <c r="X141" i="151" s="1"/>
  <c r="U141" i="151"/>
  <c r="Y141" i="151"/>
  <c r="Z141" i="151"/>
  <c r="AH141" i="151"/>
  <c r="AJ141" i="151" s="1"/>
  <c r="AI141" i="151"/>
  <c r="J142" i="151"/>
  <c r="L142" i="151" s="1"/>
  <c r="N142" i="151"/>
  <c r="T142" i="151"/>
  <c r="V142" i="151" s="1"/>
  <c r="U142" i="151"/>
  <c r="X142" i="151"/>
  <c r="AA142" i="151" s="1"/>
  <c r="Y142" i="151"/>
  <c r="Z142" i="151"/>
  <c r="AH142" i="151"/>
  <c r="AJ142" i="151" s="1"/>
  <c r="AI142" i="151" s="1"/>
  <c r="AL142" i="151"/>
  <c r="J143" i="151"/>
  <c r="L143" i="151" s="1"/>
  <c r="K143" i="151"/>
  <c r="N143" i="151"/>
  <c r="AL143" i="151" s="1"/>
  <c r="AM143" i="151" s="1"/>
  <c r="O143" i="151"/>
  <c r="T143" i="151"/>
  <c r="U143" i="151"/>
  <c r="V143" i="151" s="1"/>
  <c r="X143" i="151"/>
  <c r="W143" i="151" s="1"/>
  <c r="Y143" i="151"/>
  <c r="Z143" i="151"/>
  <c r="AA143" i="151"/>
  <c r="AH143" i="151"/>
  <c r="AI143" i="151"/>
  <c r="AJ143" i="151"/>
  <c r="B144" i="151"/>
  <c r="B156" i="151" s="1"/>
  <c r="J144" i="151"/>
  <c r="K144" i="151"/>
  <c r="L144" i="151"/>
  <c r="N144" i="151"/>
  <c r="AL144" i="151" s="1"/>
  <c r="O144" i="151"/>
  <c r="T144" i="151"/>
  <c r="U144" i="151"/>
  <c r="V144" i="151" s="1"/>
  <c r="X144" i="151" s="1"/>
  <c r="Y144" i="151"/>
  <c r="Z144" i="151"/>
  <c r="AH144" i="151"/>
  <c r="AI144" i="151"/>
  <c r="AJ144" i="151"/>
  <c r="J145" i="151"/>
  <c r="L145" i="151"/>
  <c r="O145" i="151" s="1"/>
  <c r="N145" i="151"/>
  <c r="T145" i="151"/>
  <c r="U145" i="151"/>
  <c r="V145" i="151"/>
  <c r="X145" i="151"/>
  <c r="Y145" i="151"/>
  <c r="Z145" i="151" s="1"/>
  <c r="AH145" i="151"/>
  <c r="AJ145" i="151"/>
  <c r="AI145" i="151" s="1"/>
  <c r="AL145" i="151"/>
  <c r="AM145" i="151"/>
  <c r="J146" i="151"/>
  <c r="L146" i="151"/>
  <c r="K146" i="151" s="1"/>
  <c r="N146" i="151"/>
  <c r="O146" i="151"/>
  <c r="T146" i="151"/>
  <c r="V146" i="151" s="1"/>
  <c r="X146" i="151" s="1"/>
  <c r="W146" i="151" s="1"/>
  <c r="U146" i="151"/>
  <c r="Y146" i="151"/>
  <c r="Z146" i="151" s="1"/>
  <c r="AH146" i="151"/>
  <c r="AJ146" i="151" s="1"/>
  <c r="AL146" i="151"/>
  <c r="A147" i="151"/>
  <c r="A159" i="151" s="1"/>
  <c r="J147" i="151"/>
  <c r="L147" i="151" s="1"/>
  <c r="N147" i="151"/>
  <c r="T147" i="151"/>
  <c r="V147" i="151" s="1"/>
  <c r="X147" i="151" s="1"/>
  <c r="U147" i="151"/>
  <c r="Y147" i="151"/>
  <c r="Z147" i="151" s="1"/>
  <c r="AH147" i="151"/>
  <c r="AJ147" i="151"/>
  <c r="AL147" i="151"/>
  <c r="J148" i="151"/>
  <c r="L148" i="151" s="1"/>
  <c r="N148" i="151"/>
  <c r="T148" i="151"/>
  <c r="U148" i="151"/>
  <c r="V148" i="151"/>
  <c r="X148" i="151" s="1"/>
  <c r="W148" i="151"/>
  <c r="Y148" i="151"/>
  <c r="Z148" i="151"/>
  <c r="AH148" i="151"/>
  <c r="AJ148" i="151"/>
  <c r="AI148" i="151" s="1"/>
  <c r="AL148" i="151"/>
  <c r="B149" i="151"/>
  <c r="B161" i="151" s="1"/>
  <c r="J149" i="151"/>
  <c r="L149" i="151"/>
  <c r="K149" i="151" s="1"/>
  <c r="N149" i="151"/>
  <c r="AL149" i="151" s="1"/>
  <c r="T149" i="151"/>
  <c r="V149" i="151" s="1"/>
  <c r="X149" i="151" s="1"/>
  <c r="U149" i="151"/>
  <c r="Y149" i="151"/>
  <c r="Z149" i="151"/>
  <c r="AH149" i="151"/>
  <c r="AJ149" i="151" s="1"/>
  <c r="AI149" i="151"/>
  <c r="B150" i="151"/>
  <c r="B162" i="151" s="1"/>
  <c r="J150" i="151"/>
  <c r="L150" i="151" s="1"/>
  <c r="N150" i="151"/>
  <c r="T150" i="151"/>
  <c r="V150" i="151" s="1"/>
  <c r="U150" i="151"/>
  <c r="X150" i="151"/>
  <c r="AA150" i="151" s="1"/>
  <c r="Y150" i="151"/>
  <c r="Z150" i="151"/>
  <c r="AH150" i="151"/>
  <c r="AJ150" i="151" s="1"/>
  <c r="AI150" i="151" s="1"/>
  <c r="AL150" i="151"/>
  <c r="J151" i="151"/>
  <c r="L151" i="151" s="1"/>
  <c r="K151" i="151"/>
  <c r="N151" i="151"/>
  <c r="AL151" i="151" s="1"/>
  <c r="AM151" i="151" s="1"/>
  <c r="O151" i="151"/>
  <c r="T151" i="151"/>
  <c r="U151" i="151"/>
  <c r="V151" i="151" s="1"/>
  <c r="X151" i="151"/>
  <c r="W151" i="151" s="1"/>
  <c r="Y151" i="151"/>
  <c r="Z151" i="151"/>
  <c r="AA151" i="151"/>
  <c r="AH151" i="151"/>
  <c r="AI151" i="151"/>
  <c r="AJ151" i="151"/>
  <c r="J152" i="151"/>
  <c r="K152" i="151"/>
  <c r="L152" i="151"/>
  <c r="N152" i="151"/>
  <c r="AL152" i="151" s="1"/>
  <c r="O152" i="151"/>
  <c r="T152" i="151"/>
  <c r="U152" i="151"/>
  <c r="V152" i="151" s="1"/>
  <c r="X152" i="151" s="1"/>
  <c r="Y152" i="151"/>
  <c r="Z152" i="151"/>
  <c r="AH152" i="151"/>
  <c r="AI152" i="151"/>
  <c r="AJ152" i="151"/>
  <c r="J153" i="151"/>
  <c r="L153" i="151"/>
  <c r="O153" i="151" s="1"/>
  <c r="N153" i="151"/>
  <c r="T153" i="151"/>
  <c r="U153" i="151"/>
  <c r="V153" i="151"/>
  <c r="X153" i="151"/>
  <c r="Y153" i="151"/>
  <c r="Z153" i="151" s="1"/>
  <c r="AH153" i="151"/>
  <c r="AJ153" i="151"/>
  <c r="AI153" i="151" s="1"/>
  <c r="AL153" i="151"/>
  <c r="AM153" i="151"/>
  <c r="J154" i="151"/>
  <c r="L154" i="151"/>
  <c r="K154" i="151" s="1"/>
  <c r="N154" i="151"/>
  <c r="O154" i="151"/>
  <c r="T154" i="151"/>
  <c r="V154" i="151" s="1"/>
  <c r="X154" i="151" s="1"/>
  <c r="W154" i="151" s="1"/>
  <c r="U154" i="151"/>
  <c r="Y154" i="151"/>
  <c r="Z154" i="151" s="1"/>
  <c r="AH154" i="151"/>
  <c r="AJ154" i="151" s="1"/>
  <c r="AL154" i="151"/>
  <c r="J155" i="151"/>
  <c r="L155" i="151" s="1"/>
  <c r="N155" i="151"/>
  <c r="T155" i="151"/>
  <c r="V155" i="151" s="1"/>
  <c r="X155" i="151" s="1"/>
  <c r="U155" i="151"/>
  <c r="Y155" i="151"/>
  <c r="Z155" i="151" s="1"/>
  <c r="AH155" i="151"/>
  <c r="AJ155" i="151"/>
  <c r="AL155" i="151"/>
  <c r="J156" i="151"/>
  <c r="L156" i="151" s="1"/>
  <c r="N156" i="151"/>
  <c r="T156" i="151"/>
  <c r="U156" i="151"/>
  <c r="V156" i="151"/>
  <c r="X156" i="151" s="1"/>
  <c r="W156" i="151"/>
  <c r="Y156" i="151"/>
  <c r="Z156" i="151"/>
  <c r="AH156" i="151"/>
  <c r="AJ156" i="151"/>
  <c r="AI156" i="151" s="1"/>
  <c r="AL156" i="151"/>
  <c r="J157" i="151"/>
  <c r="L157" i="151"/>
  <c r="K157" i="151" s="1"/>
  <c r="N157" i="151"/>
  <c r="AL157" i="151" s="1"/>
  <c r="T157" i="151"/>
  <c r="V157" i="151" s="1"/>
  <c r="X157" i="151" s="1"/>
  <c r="U157" i="151"/>
  <c r="Y157" i="151"/>
  <c r="Z157" i="151"/>
  <c r="AH157" i="151"/>
  <c r="AJ157" i="151" s="1"/>
  <c r="AI157" i="151"/>
  <c r="J158" i="151"/>
  <c r="L158" i="151" s="1"/>
  <c r="N158" i="151"/>
  <c r="T158" i="151"/>
  <c r="V158" i="151" s="1"/>
  <c r="U158" i="151"/>
  <c r="X158" i="151"/>
  <c r="AA158" i="151" s="1"/>
  <c r="Y158" i="151"/>
  <c r="Z158" i="151"/>
  <c r="AH158" i="151"/>
  <c r="AJ158" i="151" s="1"/>
  <c r="AI158" i="151" s="1"/>
  <c r="AL158" i="151"/>
  <c r="J159" i="151"/>
  <c r="L159" i="151" s="1"/>
  <c r="K159" i="151"/>
  <c r="N159" i="151"/>
  <c r="AL159" i="151" s="1"/>
  <c r="AM159" i="151" s="1"/>
  <c r="O159" i="151"/>
  <c r="T159" i="151"/>
  <c r="U159" i="151"/>
  <c r="V159" i="151" s="1"/>
  <c r="X159" i="151"/>
  <c r="W159" i="151" s="1"/>
  <c r="Y159" i="151"/>
  <c r="Z159" i="151"/>
  <c r="AA159" i="151"/>
  <c r="AH159" i="151"/>
  <c r="AI159" i="151"/>
  <c r="AJ159" i="151"/>
  <c r="J160" i="151"/>
  <c r="K160" i="151"/>
  <c r="L160" i="151"/>
  <c r="N160" i="151"/>
  <c r="AL160" i="151" s="1"/>
  <c r="O160" i="151"/>
  <c r="T160" i="151"/>
  <c r="U160" i="151"/>
  <c r="V160" i="151" s="1"/>
  <c r="X160" i="151" s="1"/>
  <c r="Y160" i="151"/>
  <c r="Z160" i="151"/>
  <c r="AH160" i="151"/>
  <c r="AI160" i="151"/>
  <c r="AJ160" i="151"/>
  <c r="J161" i="151"/>
  <c r="L161" i="151"/>
  <c r="O161" i="151" s="1"/>
  <c r="N161" i="151"/>
  <c r="T161" i="151"/>
  <c r="U161" i="151"/>
  <c r="V161" i="151"/>
  <c r="X161" i="151"/>
  <c r="Y161" i="151"/>
  <c r="Z161" i="151" s="1"/>
  <c r="AH161" i="151"/>
  <c r="AJ161" i="151"/>
  <c r="AI161" i="151" s="1"/>
  <c r="AL161" i="151"/>
  <c r="AM161" i="151"/>
  <c r="J162" i="151"/>
  <c r="L162" i="151"/>
  <c r="K162" i="151" s="1"/>
  <c r="N162" i="151"/>
  <c r="O162" i="151"/>
  <c r="T162" i="151"/>
  <c r="V162" i="151" s="1"/>
  <c r="X162" i="151" s="1"/>
  <c r="W162" i="151" s="1"/>
  <c r="U162" i="151"/>
  <c r="Y162" i="151"/>
  <c r="Z162" i="151" s="1"/>
  <c r="AH162" i="151"/>
  <c r="AJ162" i="151" s="1"/>
  <c r="AL162" i="151"/>
  <c r="J163" i="151"/>
  <c r="L163" i="151" s="1"/>
  <c r="N163" i="151"/>
  <c r="T163" i="151"/>
  <c r="V163" i="151" s="1"/>
  <c r="X163" i="151" s="1"/>
  <c r="U163" i="151"/>
  <c r="Y163" i="151"/>
  <c r="Z163" i="151"/>
  <c r="AH163" i="151"/>
  <c r="AJ163" i="151" s="1"/>
  <c r="AL163" i="151"/>
  <c r="J164" i="151"/>
  <c r="L164" i="151" s="1"/>
  <c r="N164" i="151"/>
  <c r="AL164" i="151" s="1"/>
  <c r="T164" i="151"/>
  <c r="U164" i="151"/>
  <c r="V164" i="151"/>
  <c r="X164" i="151" s="1"/>
  <c r="AA164" i="151" s="1"/>
  <c r="Y164" i="151"/>
  <c r="Z164" i="151" s="1"/>
  <c r="AH164" i="151"/>
  <c r="AJ164" i="151"/>
  <c r="AI164" i="151" s="1"/>
  <c r="B165" i="151"/>
  <c r="J165" i="151"/>
  <c r="L165" i="151"/>
  <c r="K165" i="151" s="1"/>
  <c r="N165" i="151"/>
  <c r="AL165" i="151" s="1"/>
  <c r="T165" i="151"/>
  <c r="U165" i="151"/>
  <c r="Y165" i="151"/>
  <c r="Z165" i="151"/>
  <c r="AH165" i="151"/>
  <c r="AJ165" i="151" s="1"/>
  <c r="J166" i="151"/>
  <c r="L166" i="151" s="1"/>
  <c r="O166" i="151" s="1"/>
  <c r="N166" i="151"/>
  <c r="T166" i="151"/>
  <c r="U166" i="151"/>
  <c r="Y166" i="151"/>
  <c r="Z166" i="151"/>
  <c r="AH166" i="151"/>
  <c r="AJ166" i="151" s="1"/>
  <c r="AI166" i="151"/>
  <c r="AL166" i="151"/>
  <c r="AM166" i="151"/>
  <c r="J167" i="151"/>
  <c r="L167" i="151" s="1"/>
  <c r="N167" i="151"/>
  <c r="AL167" i="151" s="1"/>
  <c r="AM167" i="151" s="1"/>
  <c r="T167" i="151"/>
  <c r="U167" i="151"/>
  <c r="V167" i="151" s="1"/>
  <c r="X167" i="151" s="1"/>
  <c r="Y167" i="151"/>
  <c r="Z167" i="151"/>
  <c r="AH167" i="151"/>
  <c r="AJ167" i="151"/>
  <c r="AI167" i="151" s="1"/>
  <c r="B168" i="151"/>
  <c r="B180" i="151" s="1"/>
  <c r="J168" i="151"/>
  <c r="L168" i="151"/>
  <c r="K168" i="151" s="1"/>
  <c r="N168" i="151"/>
  <c r="AL168" i="151" s="1"/>
  <c r="O168" i="151"/>
  <c r="T168" i="151"/>
  <c r="U168" i="151"/>
  <c r="V168" i="151"/>
  <c r="X168" i="151" s="1"/>
  <c r="W168" i="151" s="1"/>
  <c r="Y168" i="151"/>
  <c r="Z168" i="151"/>
  <c r="AA168" i="151"/>
  <c r="AH168" i="151"/>
  <c r="AI168" i="151"/>
  <c r="AJ168" i="151"/>
  <c r="AM168" i="151" s="1"/>
  <c r="J169" i="151"/>
  <c r="L169" i="151"/>
  <c r="O169" i="151" s="1"/>
  <c r="N169" i="151"/>
  <c r="T169" i="151"/>
  <c r="U169" i="151"/>
  <c r="V169" i="151"/>
  <c r="X169" i="151" s="1"/>
  <c r="Y169" i="151"/>
  <c r="Z169" i="151" s="1"/>
  <c r="AH169" i="151"/>
  <c r="AJ169" i="151"/>
  <c r="AI169" i="151" s="1"/>
  <c r="AL169" i="151"/>
  <c r="J170" i="151"/>
  <c r="L170" i="151"/>
  <c r="K170" i="151" s="1"/>
  <c r="N170" i="151"/>
  <c r="T170" i="151"/>
  <c r="V170" i="151" s="1"/>
  <c r="X170" i="151" s="1"/>
  <c r="U170" i="151"/>
  <c r="Y170" i="151"/>
  <c r="Z170" i="151" s="1"/>
  <c r="AH170" i="151"/>
  <c r="AJ170" i="151" s="1"/>
  <c r="AI170" i="151" s="1"/>
  <c r="AL170" i="151"/>
  <c r="A171" i="151"/>
  <c r="A183" i="151" s="1"/>
  <c r="J171" i="151"/>
  <c r="L171" i="151" s="1"/>
  <c r="K171" i="151" s="1"/>
  <c r="N171" i="151"/>
  <c r="O171" i="151"/>
  <c r="T171" i="151"/>
  <c r="V171" i="151" s="1"/>
  <c r="X171" i="151" s="1"/>
  <c r="U171" i="151"/>
  <c r="Y171" i="151"/>
  <c r="Z171" i="151"/>
  <c r="AH171" i="151"/>
  <c r="AJ171" i="151" s="1"/>
  <c r="AL171" i="151"/>
  <c r="J172" i="151"/>
  <c r="L172" i="151"/>
  <c r="N172" i="151"/>
  <c r="T172" i="151"/>
  <c r="U172" i="151"/>
  <c r="V172" i="151"/>
  <c r="X172" i="151" s="1"/>
  <c r="AA172" i="151" s="1"/>
  <c r="Y172" i="151"/>
  <c r="Z172" i="151"/>
  <c r="AH172" i="151"/>
  <c r="AJ172" i="151"/>
  <c r="AL172" i="151"/>
  <c r="B173" i="151"/>
  <c r="B185" i="151" s="1"/>
  <c r="B197" i="151" s="1"/>
  <c r="B209" i="151" s="1"/>
  <c r="B221" i="151" s="1"/>
  <c r="B233" i="151" s="1"/>
  <c r="B245" i="151" s="1"/>
  <c r="B257" i="151" s="1"/>
  <c r="J173" i="151"/>
  <c r="L173" i="151"/>
  <c r="N173" i="151"/>
  <c r="AL173" i="151" s="1"/>
  <c r="T173" i="151"/>
  <c r="V173" i="151" s="1"/>
  <c r="X173" i="151" s="1"/>
  <c r="U173" i="151"/>
  <c r="Y173" i="151"/>
  <c r="Z173" i="151" s="1"/>
  <c r="AH173" i="151"/>
  <c r="AJ173" i="151" s="1"/>
  <c r="B174" i="151"/>
  <c r="B186" i="151" s="1"/>
  <c r="J174" i="151"/>
  <c r="L174" i="151" s="1"/>
  <c r="N174" i="151"/>
  <c r="T174" i="151"/>
  <c r="U174" i="151"/>
  <c r="Y174" i="151"/>
  <c r="Z174" i="151"/>
  <c r="AH174" i="151"/>
  <c r="AJ174" i="151" s="1"/>
  <c r="AI174" i="151"/>
  <c r="AL174" i="151"/>
  <c r="AM174" i="151"/>
  <c r="J175" i="151"/>
  <c r="L175" i="151" s="1"/>
  <c r="K175" i="151" s="1"/>
  <c r="N175" i="151"/>
  <c r="O175" i="151"/>
  <c r="T175" i="151"/>
  <c r="U175" i="151"/>
  <c r="V175" i="151"/>
  <c r="W175" i="151"/>
  <c r="X175" i="151"/>
  <c r="Y175" i="151"/>
  <c r="Z175" i="151"/>
  <c r="AA175" i="151"/>
  <c r="AH175" i="151"/>
  <c r="AJ175" i="151"/>
  <c r="AI175" i="151" s="1"/>
  <c r="AL175" i="151"/>
  <c r="AM175" i="151"/>
  <c r="J176" i="151"/>
  <c r="L176" i="151"/>
  <c r="K176" i="151" s="1"/>
  <c r="N176" i="151"/>
  <c r="AL176" i="151" s="1"/>
  <c r="O176" i="151"/>
  <c r="T176" i="151"/>
  <c r="U176" i="151"/>
  <c r="V176" i="151" s="1"/>
  <c r="X176" i="151" s="1"/>
  <c r="W176" i="151" s="1"/>
  <c r="Y176" i="151"/>
  <c r="Z176" i="151"/>
  <c r="AH176" i="151"/>
  <c r="AI176" i="151"/>
  <c r="AJ176" i="151"/>
  <c r="AM176" i="151" s="1"/>
  <c r="B177" i="151"/>
  <c r="B189" i="151" s="1"/>
  <c r="B201" i="151" s="1"/>
  <c r="B213" i="151" s="1"/>
  <c r="B225" i="151" s="1"/>
  <c r="B237" i="151" s="1"/>
  <c r="B249" i="151" s="1"/>
  <c r="B261" i="151" s="1"/>
  <c r="J177" i="151"/>
  <c r="L177" i="151"/>
  <c r="N177" i="151"/>
  <c r="AL177" i="151" s="1"/>
  <c r="T177" i="151"/>
  <c r="U177" i="151"/>
  <c r="V177" i="151"/>
  <c r="X177" i="151" s="1"/>
  <c r="Y177" i="151"/>
  <c r="Z177" i="151" s="1"/>
  <c r="AH177" i="151"/>
  <c r="AI177" i="151"/>
  <c r="AJ177" i="151"/>
  <c r="AM177" i="151"/>
  <c r="J178" i="151"/>
  <c r="K178" i="151"/>
  <c r="L178" i="151"/>
  <c r="N178" i="151"/>
  <c r="O178" i="151"/>
  <c r="T178" i="151"/>
  <c r="V178" i="151" s="1"/>
  <c r="U178" i="151"/>
  <c r="X178" i="151"/>
  <c r="W178" i="151" s="1"/>
  <c r="Y178" i="151"/>
  <c r="Z178" i="151" s="1"/>
  <c r="AH178" i="151"/>
  <c r="AJ178" i="151" s="1"/>
  <c r="AI178" i="151" s="1"/>
  <c r="AL178" i="151"/>
  <c r="AM178" i="151"/>
  <c r="J179" i="151"/>
  <c r="L179" i="151" s="1"/>
  <c r="K179" i="151" s="1"/>
  <c r="N179" i="151"/>
  <c r="T179" i="151"/>
  <c r="U179" i="151"/>
  <c r="V179" i="151"/>
  <c r="X179" i="151" s="1"/>
  <c r="W179" i="151" s="1"/>
  <c r="Y179" i="151"/>
  <c r="Z179" i="151"/>
  <c r="AA179" i="151"/>
  <c r="AH179" i="151"/>
  <c r="AJ179" i="151" s="1"/>
  <c r="AL179" i="151"/>
  <c r="J180" i="151"/>
  <c r="L180" i="151"/>
  <c r="N180" i="151"/>
  <c r="T180" i="151"/>
  <c r="U180" i="151"/>
  <c r="V180" i="151"/>
  <c r="X180" i="151" s="1"/>
  <c r="W180" i="151"/>
  <c r="Y180" i="151"/>
  <c r="Z180" i="151" s="1"/>
  <c r="AH180" i="151"/>
  <c r="AJ180" i="151"/>
  <c r="AL180" i="151"/>
  <c r="J181" i="151"/>
  <c r="L181" i="151"/>
  <c r="N181" i="151"/>
  <c r="AL181" i="151" s="1"/>
  <c r="T181" i="151"/>
  <c r="V181" i="151" s="1"/>
  <c r="X181" i="151" s="1"/>
  <c r="U181" i="151"/>
  <c r="Y181" i="151"/>
  <c r="Z181" i="151" s="1"/>
  <c r="AH181" i="151"/>
  <c r="AJ181" i="151" s="1"/>
  <c r="AI181" i="151"/>
  <c r="J182" i="151"/>
  <c r="L182" i="151" s="1"/>
  <c r="N182" i="151"/>
  <c r="T182" i="151"/>
  <c r="V182" i="151" s="1"/>
  <c r="U182" i="151"/>
  <c r="X182" i="151"/>
  <c r="Y182" i="151"/>
  <c r="Z182" i="151"/>
  <c r="AH182" i="151"/>
  <c r="AJ182" i="151" s="1"/>
  <c r="AM182" i="151" s="1"/>
  <c r="AI182" i="151"/>
  <c r="AL182" i="151"/>
  <c r="J183" i="151"/>
  <c r="L183" i="151" s="1"/>
  <c r="K183" i="151"/>
  <c r="N183" i="151"/>
  <c r="O183" i="151"/>
  <c r="T183" i="151"/>
  <c r="U183" i="151"/>
  <c r="V183" i="151"/>
  <c r="X183" i="151"/>
  <c r="W183" i="151" s="1"/>
  <c r="Y183" i="151"/>
  <c r="Z183" i="151"/>
  <c r="AA183" i="151"/>
  <c r="AH183" i="151"/>
  <c r="AJ183" i="151"/>
  <c r="AI183" i="151" s="1"/>
  <c r="AL183" i="151"/>
  <c r="AM183" i="151" s="1"/>
  <c r="J184" i="151"/>
  <c r="L184" i="151"/>
  <c r="K184" i="151" s="1"/>
  <c r="N184" i="151"/>
  <c r="AL184" i="151" s="1"/>
  <c r="O184" i="151"/>
  <c r="T184" i="151"/>
  <c r="U184" i="151"/>
  <c r="V184" i="151"/>
  <c r="X184" i="151" s="1"/>
  <c r="W184" i="151" s="1"/>
  <c r="Y184" i="151"/>
  <c r="Z184" i="151"/>
  <c r="AA184" i="151"/>
  <c r="AH184" i="151"/>
  <c r="AI184" i="151"/>
  <c r="AJ184" i="151"/>
  <c r="J185" i="151"/>
  <c r="L185" i="151"/>
  <c r="N185" i="151"/>
  <c r="AL185" i="151" s="1"/>
  <c r="T185" i="151"/>
  <c r="U185" i="151"/>
  <c r="V185" i="151" s="1"/>
  <c r="X185" i="151" s="1"/>
  <c r="Y185" i="151"/>
  <c r="Z185" i="151" s="1"/>
  <c r="AH185" i="151"/>
  <c r="AI185" i="151"/>
  <c r="AJ185" i="151"/>
  <c r="AM185" i="151"/>
  <c r="J186" i="151"/>
  <c r="L186" i="151"/>
  <c r="K186" i="151" s="1"/>
  <c r="N186" i="151"/>
  <c r="T186" i="151"/>
  <c r="V186" i="151" s="1"/>
  <c r="X186" i="151" s="1"/>
  <c r="U186" i="151"/>
  <c r="Y186" i="151"/>
  <c r="Z186" i="151" s="1"/>
  <c r="AH186" i="151"/>
  <c r="AJ186" i="151" s="1"/>
  <c r="AI186" i="151" s="1"/>
  <c r="AL186" i="151"/>
  <c r="J187" i="151"/>
  <c r="L187" i="151" s="1"/>
  <c r="K187" i="151" s="1"/>
  <c r="N187" i="151"/>
  <c r="O187" i="151"/>
  <c r="T187" i="151"/>
  <c r="U187" i="151"/>
  <c r="V187" i="151"/>
  <c r="X187" i="151" s="1"/>
  <c r="Y187" i="151"/>
  <c r="Z187" i="151"/>
  <c r="AH187" i="151"/>
  <c r="AJ187" i="151"/>
  <c r="AL187" i="151"/>
  <c r="J188" i="151"/>
  <c r="L188" i="151" s="1"/>
  <c r="N188" i="151"/>
  <c r="T188" i="151"/>
  <c r="U188" i="151"/>
  <c r="V188" i="151" s="1"/>
  <c r="X188" i="151" s="1"/>
  <c r="AA188" i="151" s="1"/>
  <c r="Y188" i="151"/>
  <c r="Z188" i="151"/>
  <c r="AH188" i="151"/>
  <c r="AJ188" i="151"/>
  <c r="AL188" i="151"/>
  <c r="J189" i="151"/>
  <c r="K189" i="151"/>
  <c r="L189" i="151"/>
  <c r="O189" i="151" s="1"/>
  <c r="N189" i="151"/>
  <c r="AL189" i="151" s="1"/>
  <c r="T189" i="151"/>
  <c r="U189" i="151"/>
  <c r="Y189" i="151"/>
  <c r="Z189" i="151" s="1"/>
  <c r="AH189" i="151"/>
  <c r="AJ189" i="151" s="1"/>
  <c r="J190" i="151"/>
  <c r="L190" i="151" s="1"/>
  <c r="K190" i="151"/>
  <c r="N190" i="151"/>
  <c r="O190" i="151"/>
  <c r="T190" i="151"/>
  <c r="V190" i="151" s="1"/>
  <c r="U190" i="151"/>
  <c r="X190" i="151"/>
  <c r="Y190" i="151"/>
  <c r="Z190" i="151"/>
  <c r="AH190" i="151"/>
  <c r="AJ190" i="151" s="1"/>
  <c r="AL190" i="151"/>
  <c r="J191" i="151"/>
  <c r="L191" i="151" s="1"/>
  <c r="O191" i="151" s="1"/>
  <c r="K191" i="151"/>
  <c r="N191" i="151"/>
  <c r="AL191" i="151" s="1"/>
  <c r="T191" i="151"/>
  <c r="U191" i="151"/>
  <c r="V191" i="151"/>
  <c r="X191" i="151" s="1"/>
  <c r="Y191" i="151"/>
  <c r="Z191" i="151"/>
  <c r="AH191" i="151"/>
  <c r="AJ191" i="151"/>
  <c r="AI191" i="151" s="1"/>
  <c r="B192" i="151"/>
  <c r="J192" i="151"/>
  <c r="L192" i="151"/>
  <c r="K192" i="151" s="1"/>
  <c r="N192" i="151"/>
  <c r="AL192" i="151" s="1"/>
  <c r="T192" i="151"/>
  <c r="U192" i="151"/>
  <c r="V192" i="151" s="1"/>
  <c r="X192" i="151" s="1"/>
  <c r="Y192" i="151"/>
  <c r="Z192" i="151"/>
  <c r="AH192" i="151"/>
  <c r="AJ192" i="151"/>
  <c r="J193" i="151"/>
  <c r="L193" i="151"/>
  <c r="K193" i="151" s="1"/>
  <c r="N193" i="151"/>
  <c r="AL193" i="151" s="1"/>
  <c r="O193" i="151"/>
  <c r="T193" i="151"/>
  <c r="U193" i="151"/>
  <c r="V193" i="151"/>
  <c r="X193" i="151"/>
  <c r="W193" i="151" s="1"/>
  <c r="Y193" i="151"/>
  <c r="Z193" i="151" s="1"/>
  <c r="AH193" i="151"/>
  <c r="AJ193" i="151" s="1"/>
  <c r="AM193" i="151" s="1"/>
  <c r="J194" i="151"/>
  <c r="K194" i="151"/>
  <c r="L194" i="151"/>
  <c r="O194" i="151" s="1"/>
  <c r="N194" i="151"/>
  <c r="T194" i="151"/>
  <c r="U194" i="151"/>
  <c r="V194" i="151"/>
  <c r="X194" i="151" s="1"/>
  <c r="W194" i="151" s="1"/>
  <c r="Y194" i="151"/>
  <c r="Z194" i="151" s="1"/>
  <c r="AH194" i="151"/>
  <c r="AJ194" i="151" s="1"/>
  <c r="AI194" i="151" s="1"/>
  <c r="AL194" i="151"/>
  <c r="A195" i="151"/>
  <c r="J195" i="151"/>
  <c r="L195" i="151"/>
  <c r="N195" i="151"/>
  <c r="T195" i="151"/>
  <c r="V195" i="151" s="1"/>
  <c r="X195" i="151" s="1"/>
  <c r="U195" i="151"/>
  <c r="Y195" i="151"/>
  <c r="Z195" i="151" s="1"/>
  <c r="AH195" i="151"/>
  <c r="AJ195" i="151"/>
  <c r="AI195" i="151" s="1"/>
  <c r="AL195" i="151"/>
  <c r="J196" i="151"/>
  <c r="L196" i="151" s="1"/>
  <c r="K196" i="151" s="1"/>
  <c r="N196" i="151"/>
  <c r="T196" i="151"/>
  <c r="U196" i="151"/>
  <c r="V196" i="151" s="1"/>
  <c r="X196" i="151" s="1"/>
  <c r="Y196" i="151"/>
  <c r="Z196" i="151" s="1"/>
  <c r="AH196" i="151"/>
  <c r="AJ196" i="151" s="1"/>
  <c r="AL196" i="151"/>
  <c r="J197" i="151"/>
  <c r="L197" i="151" s="1"/>
  <c r="N197" i="151"/>
  <c r="AL197" i="151" s="1"/>
  <c r="T197" i="151"/>
  <c r="V197" i="151" s="1"/>
  <c r="X197" i="151" s="1"/>
  <c r="U197" i="151"/>
  <c r="Y197" i="151"/>
  <c r="Z197" i="151"/>
  <c r="AH197" i="151"/>
  <c r="AJ197" i="151" s="1"/>
  <c r="AI197" i="151" s="1"/>
  <c r="B198" i="151"/>
  <c r="B210" i="151" s="1"/>
  <c r="B222" i="151" s="1"/>
  <c r="B234" i="151" s="1"/>
  <c r="B246" i="151" s="1"/>
  <c r="B258" i="151" s="1"/>
  <c r="B270" i="151" s="1"/>
  <c r="B282" i="151" s="1"/>
  <c r="J198" i="151"/>
  <c r="L198" i="151" s="1"/>
  <c r="K198" i="151" s="1"/>
  <c r="N198" i="151"/>
  <c r="O198" i="151"/>
  <c r="T198" i="151"/>
  <c r="U198" i="151"/>
  <c r="V198" i="151" s="1"/>
  <c r="X198" i="151" s="1"/>
  <c r="Y198" i="151"/>
  <c r="Z198" i="151"/>
  <c r="AH198" i="151"/>
  <c r="AI198" i="151"/>
  <c r="AJ198" i="151"/>
  <c r="AM198" i="151" s="1"/>
  <c r="AL198" i="151"/>
  <c r="B199" i="151"/>
  <c r="J199" i="151"/>
  <c r="L199" i="151"/>
  <c r="N199" i="151"/>
  <c r="AL199" i="151" s="1"/>
  <c r="T199" i="151"/>
  <c r="U199" i="151"/>
  <c r="V199" i="151"/>
  <c r="X199" i="151" s="1"/>
  <c r="Y199" i="151"/>
  <c r="Z199" i="151"/>
  <c r="AH199" i="151"/>
  <c r="AJ199" i="151"/>
  <c r="AI199" i="151" s="1"/>
  <c r="J200" i="151"/>
  <c r="L200" i="151"/>
  <c r="K200" i="151" s="1"/>
  <c r="N200" i="151"/>
  <c r="AL200" i="151" s="1"/>
  <c r="O200" i="151"/>
  <c r="T200" i="151"/>
  <c r="V200" i="151" s="1"/>
  <c r="X200" i="151" s="1"/>
  <c r="W200" i="151" s="1"/>
  <c r="U200" i="151"/>
  <c r="Y200" i="151"/>
  <c r="Z200" i="151" s="1"/>
  <c r="AH200" i="151"/>
  <c r="AJ200" i="151" s="1"/>
  <c r="AI200" i="151"/>
  <c r="J201" i="151"/>
  <c r="L201" i="151" s="1"/>
  <c r="O201" i="151" s="1"/>
  <c r="N201" i="151"/>
  <c r="T201" i="151"/>
  <c r="V201" i="151" s="1"/>
  <c r="X201" i="151" s="1"/>
  <c r="U201" i="151"/>
  <c r="Y201" i="151"/>
  <c r="Z201" i="151" s="1"/>
  <c r="AH201" i="151"/>
  <c r="AJ201" i="151" s="1"/>
  <c r="AL201" i="151"/>
  <c r="J202" i="151"/>
  <c r="L202" i="151"/>
  <c r="K202" i="151" s="1"/>
  <c r="N202" i="151"/>
  <c r="AL202" i="151" s="1"/>
  <c r="T202" i="151"/>
  <c r="U202" i="151"/>
  <c r="V202" i="151"/>
  <c r="X202" i="151" s="1"/>
  <c r="W202" i="151" s="1"/>
  <c r="Y202" i="151"/>
  <c r="Z202" i="151"/>
  <c r="AA202" i="151"/>
  <c r="AH202" i="151"/>
  <c r="AJ202" i="151"/>
  <c r="AI202" i="151" s="1"/>
  <c r="J203" i="151"/>
  <c r="L203" i="151"/>
  <c r="K203" i="151" s="1"/>
  <c r="N203" i="151"/>
  <c r="AL203" i="151" s="1"/>
  <c r="T203" i="151"/>
  <c r="V203" i="151" s="1"/>
  <c r="X203" i="151" s="1"/>
  <c r="U203" i="151"/>
  <c r="Y203" i="151"/>
  <c r="Z203" i="151"/>
  <c r="AH203" i="151"/>
  <c r="AJ203" i="151" s="1"/>
  <c r="AM203" i="151" s="1"/>
  <c r="B204" i="151"/>
  <c r="B216" i="151" s="1"/>
  <c r="B228" i="151" s="1"/>
  <c r="B240" i="151" s="1"/>
  <c r="B252" i="151" s="1"/>
  <c r="B264" i="151" s="1"/>
  <c r="B276" i="151" s="1"/>
  <c r="B288" i="151" s="1"/>
  <c r="J204" i="151"/>
  <c r="K204" i="151"/>
  <c r="L204" i="151"/>
  <c r="O204" i="151" s="1"/>
  <c r="N204" i="151"/>
  <c r="T204" i="151"/>
  <c r="U204" i="151"/>
  <c r="Y204" i="151"/>
  <c r="Z204" i="151" s="1"/>
  <c r="AH204" i="151"/>
  <c r="AJ204" i="151" s="1"/>
  <c r="AI204" i="151" s="1"/>
  <c r="AL204" i="151"/>
  <c r="AM204" i="151"/>
  <c r="J205" i="151"/>
  <c r="L205" i="151" s="1"/>
  <c r="K205" i="151" s="1"/>
  <c r="N205" i="151"/>
  <c r="AL205" i="151" s="1"/>
  <c r="T205" i="151"/>
  <c r="V205" i="151" s="1"/>
  <c r="U205" i="151"/>
  <c r="X205" i="151"/>
  <c r="W205" i="151" s="1"/>
  <c r="Y205" i="151"/>
  <c r="Z205" i="151"/>
  <c r="AH205" i="151"/>
  <c r="AJ205" i="151" s="1"/>
  <c r="AI205" i="151" s="1"/>
  <c r="AM205" i="151"/>
  <c r="J206" i="151"/>
  <c r="L206" i="151" s="1"/>
  <c r="K206" i="151" s="1"/>
  <c r="N206" i="151"/>
  <c r="T206" i="151"/>
  <c r="U206" i="151"/>
  <c r="V206" i="151"/>
  <c r="X206" i="151" s="1"/>
  <c r="W206" i="151" s="1"/>
  <c r="Y206" i="151"/>
  <c r="Z206" i="151"/>
  <c r="AA206" i="151"/>
  <c r="AH206" i="151"/>
  <c r="AI206" i="151"/>
  <c r="AJ206" i="151"/>
  <c r="AL206" i="151"/>
  <c r="A207" i="151"/>
  <c r="J207" i="151"/>
  <c r="K207" i="151"/>
  <c r="L207" i="151"/>
  <c r="O207" i="151" s="1"/>
  <c r="N207" i="151"/>
  <c r="AL207" i="151" s="1"/>
  <c r="T207" i="151"/>
  <c r="U207" i="151"/>
  <c r="V207" i="151"/>
  <c r="X207" i="151" s="1"/>
  <c r="Y207" i="151"/>
  <c r="Z207" i="151"/>
  <c r="AH207" i="151"/>
  <c r="AJ207" i="151"/>
  <c r="AI207" i="151" s="1"/>
  <c r="J208" i="151"/>
  <c r="L208" i="151"/>
  <c r="K208" i="151" s="1"/>
  <c r="N208" i="151"/>
  <c r="AL208" i="151" s="1"/>
  <c r="T208" i="151"/>
  <c r="V208" i="151" s="1"/>
  <c r="X208" i="151" s="1"/>
  <c r="W208" i="151" s="1"/>
  <c r="U208" i="151"/>
  <c r="Y208" i="151"/>
  <c r="Z208" i="151" s="1"/>
  <c r="AH208" i="151"/>
  <c r="AJ208" i="151" s="1"/>
  <c r="AI208" i="151"/>
  <c r="J209" i="151"/>
  <c r="L209" i="151" s="1"/>
  <c r="O209" i="151" s="1"/>
  <c r="N209" i="151"/>
  <c r="T209" i="151"/>
  <c r="U209" i="151"/>
  <c r="V209" i="151"/>
  <c r="X209" i="151" s="1"/>
  <c r="AA209" i="151" s="1"/>
  <c r="Y209" i="151"/>
  <c r="Z209" i="151" s="1"/>
  <c r="AH209" i="151"/>
  <c r="AJ209" i="151"/>
  <c r="AI209" i="151" s="1"/>
  <c r="AL209" i="151"/>
  <c r="J210" i="151"/>
  <c r="L210" i="151"/>
  <c r="N210" i="151"/>
  <c r="AL210" i="151" s="1"/>
  <c r="T210" i="151"/>
  <c r="U210" i="151"/>
  <c r="V210" i="151"/>
  <c r="X210" i="151" s="1"/>
  <c r="W210" i="151" s="1"/>
  <c r="Y210" i="151"/>
  <c r="AA210" i="151" s="1"/>
  <c r="Z210" i="151"/>
  <c r="AH210" i="151"/>
  <c r="AJ210" i="151"/>
  <c r="AI210" i="151" s="1"/>
  <c r="B211" i="151"/>
  <c r="B223" i="151" s="1"/>
  <c r="J211" i="151"/>
  <c r="L211" i="151"/>
  <c r="K211" i="151" s="1"/>
  <c r="N211" i="151"/>
  <c r="AL211" i="151" s="1"/>
  <c r="T211" i="151"/>
  <c r="U211" i="151"/>
  <c r="V211" i="151" s="1"/>
  <c r="X211" i="151" s="1"/>
  <c r="Y211" i="151"/>
  <c r="Z211" i="151"/>
  <c r="AH211" i="151"/>
  <c r="AJ211" i="151" s="1"/>
  <c r="J212" i="151"/>
  <c r="L212" i="151" s="1"/>
  <c r="N212" i="151"/>
  <c r="T212" i="151"/>
  <c r="V212" i="151" s="1"/>
  <c r="X212" i="151" s="1"/>
  <c r="U212" i="151"/>
  <c r="Y212" i="151"/>
  <c r="Z212" i="151" s="1"/>
  <c r="AH212" i="151"/>
  <c r="AJ212" i="151" s="1"/>
  <c r="AI212" i="151" s="1"/>
  <c r="AL212" i="151"/>
  <c r="AM212" i="151"/>
  <c r="J213" i="151"/>
  <c r="L213" i="151" s="1"/>
  <c r="K213" i="151" s="1"/>
  <c r="N213" i="151"/>
  <c r="AL213" i="151" s="1"/>
  <c r="T213" i="151"/>
  <c r="V213" i="151" s="1"/>
  <c r="U213" i="151"/>
  <c r="X213" i="151"/>
  <c r="Y213" i="151"/>
  <c r="Z213" i="151"/>
  <c r="AH213" i="151"/>
  <c r="AJ213" i="151" s="1"/>
  <c r="AI213" i="151" s="1"/>
  <c r="J214" i="151"/>
  <c r="L214" i="151" s="1"/>
  <c r="N214" i="151"/>
  <c r="T214" i="151"/>
  <c r="U214" i="151"/>
  <c r="V214" i="151" s="1"/>
  <c r="X214" i="151" s="1"/>
  <c r="Y214" i="151"/>
  <c r="Z214" i="151"/>
  <c r="AH214" i="151"/>
  <c r="AJ214" i="151"/>
  <c r="AM214" i="151" s="1"/>
  <c r="AL214" i="151"/>
  <c r="J215" i="151"/>
  <c r="K215" i="151"/>
  <c r="L215" i="151"/>
  <c r="O215" i="151" s="1"/>
  <c r="N215" i="151"/>
  <c r="AL215" i="151" s="1"/>
  <c r="T215" i="151"/>
  <c r="U215" i="151"/>
  <c r="V215" i="151"/>
  <c r="X215" i="151" s="1"/>
  <c r="Y215" i="151"/>
  <c r="Z215" i="151"/>
  <c r="AH215" i="151"/>
  <c r="AJ215" i="151"/>
  <c r="AI215" i="151" s="1"/>
  <c r="J216" i="151"/>
  <c r="L216" i="151"/>
  <c r="K216" i="151" s="1"/>
  <c r="N216" i="151"/>
  <c r="AL216" i="151" s="1"/>
  <c r="T216" i="151"/>
  <c r="V216" i="151" s="1"/>
  <c r="X216" i="151" s="1"/>
  <c r="W216" i="151" s="1"/>
  <c r="U216" i="151"/>
  <c r="Y216" i="151"/>
  <c r="Z216" i="151" s="1"/>
  <c r="AH216" i="151"/>
  <c r="AJ216" i="151" s="1"/>
  <c r="AI216" i="151"/>
  <c r="J217" i="151"/>
  <c r="L217" i="151" s="1"/>
  <c r="O217" i="151" s="1"/>
  <c r="N217" i="151"/>
  <c r="T217" i="151"/>
  <c r="U217" i="151"/>
  <c r="V217" i="151"/>
  <c r="X217" i="151" s="1"/>
  <c r="AA217" i="151" s="1"/>
  <c r="W217" i="151"/>
  <c r="Y217" i="151"/>
  <c r="Z217" i="151" s="1"/>
  <c r="AH217" i="151"/>
  <c r="AJ217" i="151"/>
  <c r="AI217" i="151" s="1"/>
  <c r="AL217" i="151"/>
  <c r="J218" i="151"/>
  <c r="L218" i="151"/>
  <c r="N218" i="151"/>
  <c r="AL218" i="151" s="1"/>
  <c r="T218" i="151"/>
  <c r="U218" i="151"/>
  <c r="V218" i="151"/>
  <c r="X218" i="151" s="1"/>
  <c r="W218" i="151" s="1"/>
  <c r="Y218" i="151"/>
  <c r="AA218" i="151" s="1"/>
  <c r="Z218" i="151"/>
  <c r="AH218" i="151"/>
  <c r="AJ218" i="151"/>
  <c r="AI218" i="151" s="1"/>
  <c r="A219" i="151"/>
  <c r="A231" i="151" s="1"/>
  <c r="J219" i="151"/>
  <c r="L219" i="151"/>
  <c r="K219" i="151" s="1"/>
  <c r="N219" i="151"/>
  <c r="AL219" i="151" s="1"/>
  <c r="T219" i="151"/>
  <c r="U219" i="151"/>
  <c r="V219" i="151" s="1"/>
  <c r="X219" i="151" s="1"/>
  <c r="Y219" i="151"/>
  <c r="Z219" i="151"/>
  <c r="AH219" i="151"/>
  <c r="AJ219" i="151" s="1"/>
  <c r="J220" i="151"/>
  <c r="L220" i="151" s="1"/>
  <c r="N220" i="151"/>
  <c r="T220" i="151"/>
  <c r="V220" i="151" s="1"/>
  <c r="X220" i="151" s="1"/>
  <c r="U220" i="151"/>
  <c r="Y220" i="151"/>
  <c r="Z220" i="151" s="1"/>
  <c r="AH220" i="151"/>
  <c r="AJ220" i="151" s="1"/>
  <c r="AI220" i="151" s="1"/>
  <c r="AL220" i="151"/>
  <c r="AM220" i="151"/>
  <c r="J221" i="151"/>
  <c r="L221" i="151" s="1"/>
  <c r="K221" i="151" s="1"/>
  <c r="N221" i="151"/>
  <c r="AL221" i="151" s="1"/>
  <c r="T221" i="151"/>
  <c r="V221" i="151" s="1"/>
  <c r="U221" i="151"/>
  <c r="X221" i="151"/>
  <c r="Y221" i="151"/>
  <c r="Z221" i="151"/>
  <c r="AH221" i="151"/>
  <c r="AJ221" i="151" s="1"/>
  <c r="AI221" i="151" s="1"/>
  <c r="J222" i="151"/>
  <c r="L222" i="151" s="1"/>
  <c r="N222" i="151"/>
  <c r="T222" i="151"/>
  <c r="U222" i="151"/>
  <c r="V222" i="151" s="1"/>
  <c r="X222" i="151" s="1"/>
  <c r="Y222" i="151"/>
  <c r="Z222" i="151"/>
  <c r="AH222" i="151"/>
  <c r="AJ222" i="151"/>
  <c r="AM222" i="151" s="1"/>
  <c r="AL222" i="151"/>
  <c r="J223" i="151"/>
  <c r="K223" i="151"/>
  <c r="L223" i="151"/>
  <c r="O223" i="151" s="1"/>
  <c r="N223" i="151"/>
  <c r="AL223" i="151" s="1"/>
  <c r="T223" i="151"/>
  <c r="U223" i="151"/>
  <c r="V223" i="151"/>
  <c r="X223" i="151" s="1"/>
  <c r="Y223" i="151"/>
  <c r="Z223" i="151"/>
  <c r="AH223" i="151"/>
  <c r="AJ223" i="151"/>
  <c r="AI223" i="151" s="1"/>
  <c r="J224" i="151"/>
  <c r="L224" i="151"/>
  <c r="K224" i="151" s="1"/>
  <c r="N224" i="151"/>
  <c r="AL224" i="151" s="1"/>
  <c r="T224" i="151"/>
  <c r="V224" i="151" s="1"/>
  <c r="X224" i="151" s="1"/>
  <c r="W224" i="151" s="1"/>
  <c r="U224" i="151"/>
  <c r="Y224" i="151"/>
  <c r="Z224" i="151" s="1"/>
  <c r="AH224" i="151"/>
  <c r="AJ224" i="151" s="1"/>
  <c r="AI224" i="151"/>
  <c r="J225" i="151"/>
  <c r="L225" i="151" s="1"/>
  <c r="O225" i="151" s="1"/>
  <c r="N225" i="151"/>
  <c r="T225" i="151"/>
  <c r="U225" i="151"/>
  <c r="V225" i="151"/>
  <c r="X225" i="151" s="1"/>
  <c r="AA225" i="151" s="1"/>
  <c r="Y225" i="151"/>
  <c r="Z225" i="151" s="1"/>
  <c r="AH225" i="151"/>
  <c r="AJ225" i="151"/>
  <c r="AI225" i="151" s="1"/>
  <c r="AL225" i="151"/>
  <c r="J226" i="151"/>
  <c r="L226" i="151"/>
  <c r="N226" i="151"/>
  <c r="AL226" i="151" s="1"/>
  <c r="T226" i="151"/>
  <c r="U226" i="151"/>
  <c r="V226" i="151"/>
  <c r="X226" i="151" s="1"/>
  <c r="W226" i="151" s="1"/>
  <c r="Y226" i="151"/>
  <c r="Z226" i="151"/>
  <c r="AA226" i="151" s="1"/>
  <c r="AH226" i="151"/>
  <c r="AJ226" i="151"/>
  <c r="J227" i="151"/>
  <c r="L227" i="151"/>
  <c r="N227" i="151"/>
  <c r="AL227" i="151" s="1"/>
  <c r="T227" i="151"/>
  <c r="U227" i="151"/>
  <c r="V227" i="151" s="1"/>
  <c r="X227" i="151" s="1"/>
  <c r="Y227" i="151"/>
  <c r="Z227" i="151"/>
  <c r="AH227" i="151"/>
  <c r="AJ227" i="151" s="1"/>
  <c r="J228" i="151"/>
  <c r="L228" i="151"/>
  <c r="O228" i="151" s="1"/>
  <c r="N228" i="151"/>
  <c r="T228" i="151"/>
  <c r="V228" i="151" s="1"/>
  <c r="X228" i="151" s="1"/>
  <c r="U228" i="151"/>
  <c r="Y228" i="151"/>
  <c r="Z228" i="151" s="1"/>
  <c r="AH228" i="151"/>
  <c r="AJ228" i="151" s="1"/>
  <c r="AI228" i="151"/>
  <c r="AL228" i="151"/>
  <c r="AM228" i="151" s="1"/>
  <c r="J229" i="151"/>
  <c r="L229" i="151" s="1"/>
  <c r="K229" i="151"/>
  <c r="N229" i="151"/>
  <c r="O229" i="151" s="1"/>
  <c r="T229" i="151"/>
  <c r="V229" i="151" s="1"/>
  <c r="X229" i="151" s="1"/>
  <c r="U229" i="151"/>
  <c r="Y229" i="151"/>
  <c r="Z229" i="151"/>
  <c r="AH229" i="151"/>
  <c r="AJ229" i="151" s="1"/>
  <c r="AI229" i="151" s="1"/>
  <c r="AL229" i="151"/>
  <c r="AM229" i="151"/>
  <c r="J230" i="151"/>
  <c r="L230" i="151" s="1"/>
  <c r="K230" i="151" s="1"/>
  <c r="N230" i="151"/>
  <c r="O230" i="151" s="1"/>
  <c r="T230" i="151"/>
  <c r="U230" i="151"/>
  <c r="V230" i="151"/>
  <c r="X230" i="151" s="1"/>
  <c r="Y230" i="151"/>
  <c r="Z230" i="151"/>
  <c r="AH230" i="151"/>
  <c r="AJ230" i="151"/>
  <c r="AL230" i="151"/>
  <c r="J231" i="151"/>
  <c r="K231" i="151"/>
  <c r="L231" i="151"/>
  <c r="O231" i="151" s="1"/>
  <c r="N231" i="151"/>
  <c r="AL231" i="151" s="1"/>
  <c r="T231" i="151"/>
  <c r="U231" i="151"/>
  <c r="V231" i="151" s="1"/>
  <c r="X231" i="151" s="1"/>
  <c r="Y231" i="151"/>
  <c r="Z231" i="151"/>
  <c r="AH231" i="151"/>
  <c r="AJ231" i="151"/>
  <c r="AI231" i="151" s="1"/>
  <c r="AM231" i="151"/>
  <c r="J232" i="151"/>
  <c r="K232" i="151"/>
  <c r="L232" i="151"/>
  <c r="N232" i="151"/>
  <c r="AL232" i="151" s="1"/>
  <c r="O232" i="151"/>
  <c r="T232" i="151"/>
  <c r="V232" i="151" s="1"/>
  <c r="X232" i="151" s="1"/>
  <c r="U232" i="151"/>
  <c r="Y232" i="151"/>
  <c r="Z232" i="151" s="1"/>
  <c r="AH232" i="151"/>
  <c r="AJ232" i="151" s="1"/>
  <c r="AI232" i="151" s="1"/>
  <c r="AM232" i="151"/>
  <c r="J233" i="151"/>
  <c r="L233" i="151" s="1"/>
  <c r="K233" i="151" s="1"/>
  <c r="N233" i="151"/>
  <c r="T233" i="151"/>
  <c r="U233" i="151"/>
  <c r="V233" i="151"/>
  <c r="X233" i="151" s="1"/>
  <c r="Y233" i="151"/>
  <c r="Z233" i="151" s="1"/>
  <c r="AH233" i="151"/>
  <c r="AJ233" i="151" s="1"/>
  <c r="AI233" i="151" s="1"/>
  <c r="AL233" i="151"/>
  <c r="AM233" i="151"/>
  <c r="J234" i="151"/>
  <c r="L234" i="151" s="1"/>
  <c r="N234" i="151"/>
  <c r="T234" i="151"/>
  <c r="U234" i="151"/>
  <c r="V234" i="151"/>
  <c r="X234" i="151" s="1"/>
  <c r="Y234" i="151"/>
  <c r="Z234" i="151" s="1"/>
  <c r="AH234" i="151"/>
  <c r="AJ234" i="151"/>
  <c r="AL234" i="151"/>
  <c r="B235" i="151"/>
  <c r="J235" i="151"/>
  <c r="L235" i="151"/>
  <c r="N235" i="151"/>
  <c r="AL235" i="151" s="1"/>
  <c r="T235" i="151"/>
  <c r="U235" i="151"/>
  <c r="V235" i="151"/>
  <c r="X235" i="151" s="1"/>
  <c r="Y235" i="151"/>
  <c r="Z235" i="151" s="1"/>
  <c r="AH235" i="151"/>
  <c r="AJ235" i="151" s="1"/>
  <c r="J236" i="151"/>
  <c r="L236" i="151" s="1"/>
  <c r="N236" i="151"/>
  <c r="T236" i="151"/>
  <c r="V236" i="151" s="1"/>
  <c r="U236" i="151"/>
  <c r="X236" i="151"/>
  <c r="Y236" i="151"/>
  <c r="Z236" i="151" s="1"/>
  <c r="AH236" i="151"/>
  <c r="AJ236" i="151" s="1"/>
  <c r="AI236" i="151" s="1"/>
  <c r="AL236" i="151"/>
  <c r="J237" i="151"/>
  <c r="L237" i="151" s="1"/>
  <c r="K237" i="151"/>
  <c r="N237" i="151"/>
  <c r="T237" i="151"/>
  <c r="V237" i="151" s="1"/>
  <c r="X237" i="151" s="1"/>
  <c r="W237" i="151" s="1"/>
  <c r="U237" i="151"/>
  <c r="Y237" i="151"/>
  <c r="Z237" i="151"/>
  <c r="AA237" i="151"/>
  <c r="AH237" i="151"/>
  <c r="AJ237" i="151" s="1"/>
  <c r="AI237" i="151" s="1"/>
  <c r="J238" i="151"/>
  <c r="L238" i="151" s="1"/>
  <c r="K238" i="151" s="1"/>
  <c r="N238" i="151"/>
  <c r="AL238" i="151" s="1"/>
  <c r="O238" i="151"/>
  <c r="T238" i="151"/>
  <c r="U238" i="151"/>
  <c r="V238" i="151" s="1"/>
  <c r="X238" i="151" s="1"/>
  <c r="Y238" i="151"/>
  <c r="Z238" i="151"/>
  <c r="AH238" i="151"/>
  <c r="AI238" i="151"/>
  <c r="AJ238" i="151"/>
  <c r="J239" i="151"/>
  <c r="L239" i="151"/>
  <c r="N239" i="151"/>
  <c r="AL239" i="151" s="1"/>
  <c r="T239" i="151"/>
  <c r="U239" i="151"/>
  <c r="V239" i="151"/>
  <c r="X239" i="151" s="1"/>
  <c r="Y239" i="151"/>
  <c r="Z239" i="151"/>
  <c r="AH239" i="151"/>
  <c r="AI239" i="151"/>
  <c r="AJ239" i="151"/>
  <c r="AM239" i="151" s="1"/>
  <c r="J240" i="151"/>
  <c r="L240" i="151"/>
  <c r="N240" i="151"/>
  <c r="AL240" i="151" s="1"/>
  <c r="T240" i="151"/>
  <c r="U240" i="151"/>
  <c r="Y240" i="151"/>
  <c r="Z240" i="151" s="1"/>
  <c r="AH240" i="151"/>
  <c r="AJ240" i="151" s="1"/>
  <c r="J241" i="151"/>
  <c r="L241" i="151" s="1"/>
  <c r="K241" i="151" s="1"/>
  <c r="N241" i="151"/>
  <c r="O241" i="151"/>
  <c r="T241" i="151"/>
  <c r="V241" i="151" s="1"/>
  <c r="X241" i="151" s="1"/>
  <c r="U241" i="151"/>
  <c r="Y241" i="151"/>
  <c r="Z241" i="151" s="1"/>
  <c r="AH241" i="151"/>
  <c r="AJ241" i="151" s="1"/>
  <c r="AL241" i="151"/>
  <c r="J242" i="151"/>
  <c r="L242" i="151" s="1"/>
  <c r="K242" i="151" s="1"/>
  <c r="N242" i="151"/>
  <c r="AL242" i="151" s="1"/>
  <c r="T242" i="151"/>
  <c r="U242" i="151"/>
  <c r="V242" i="151"/>
  <c r="X242" i="151" s="1"/>
  <c r="W242" i="151"/>
  <c r="Y242" i="151"/>
  <c r="Z242" i="151" s="1"/>
  <c r="AA242" i="151" s="1"/>
  <c r="AH242" i="151"/>
  <c r="AJ242" i="151"/>
  <c r="A243" i="151"/>
  <c r="A255" i="151" s="1"/>
  <c r="J243" i="151"/>
  <c r="L243" i="151"/>
  <c r="N243" i="151"/>
  <c r="AL243" i="151" s="1"/>
  <c r="T243" i="151"/>
  <c r="V243" i="151" s="1"/>
  <c r="X243" i="151" s="1"/>
  <c r="U243" i="151"/>
  <c r="Y243" i="151"/>
  <c r="Z243" i="151" s="1"/>
  <c r="AH243" i="151"/>
  <c r="AJ243" i="151"/>
  <c r="J244" i="151"/>
  <c r="L244" i="151" s="1"/>
  <c r="N244" i="151"/>
  <c r="T244" i="151"/>
  <c r="U244" i="151"/>
  <c r="Y244" i="151"/>
  <c r="Z244" i="151" s="1"/>
  <c r="AH244" i="151"/>
  <c r="AJ244" i="151" s="1"/>
  <c r="AI244" i="151" s="1"/>
  <c r="AL244" i="151"/>
  <c r="AM244" i="151"/>
  <c r="J245" i="151"/>
  <c r="L245" i="151" s="1"/>
  <c r="K245" i="151" s="1"/>
  <c r="N245" i="151"/>
  <c r="AL245" i="151" s="1"/>
  <c r="T245" i="151"/>
  <c r="V245" i="151" s="1"/>
  <c r="U245" i="151"/>
  <c r="X245" i="151"/>
  <c r="Y245" i="151"/>
  <c r="Z245" i="151"/>
  <c r="AH245" i="151"/>
  <c r="AJ245" i="151" s="1"/>
  <c r="AI245" i="151" s="1"/>
  <c r="J246" i="151"/>
  <c r="L246" i="151" s="1"/>
  <c r="K246" i="151" s="1"/>
  <c r="N246" i="151"/>
  <c r="AL246" i="151" s="1"/>
  <c r="T246" i="151"/>
  <c r="U246" i="151"/>
  <c r="V246" i="151" s="1"/>
  <c r="X246" i="151" s="1"/>
  <c r="Y246" i="151"/>
  <c r="Z246" i="151"/>
  <c r="AH246" i="151"/>
  <c r="AI246" i="151"/>
  <c r="AJ246" i="151"/>
  <c r="B247" i="151"/>
  <c r="B259" i="151" s="1"/>
  <c r="B271" i="151" s="1"/>
  <c r="B283" i="151" s="1"/>
  <c r="J247" i="151"/>
  <c r="K247" i="151"/>
  <c r="L247" i="151"/>
  <c r="N247" i="151"/>
  <c r="AL247" i="151" s="1"/>
  <c r="T247" i="151"/>
  <c r="U247" i="151"/>
  <c r="V247" i="151"/>
  <c r="X247" i="151"/>
  <c r="Y247" i="151"/>
  <c r="Z247" i="151" s="1"/>
  <c r="AH247" i="151"/>
  <c r="AI247" i="151"/>
  <c r="AJ247" i="151"/>
  <c r="AM247" i="151" s="1"/>
  <c r="B248" i="151"/>
  <c r="B260" i="151" s="1"/>
  <c r="B272" i="151" s="1"/>
  <c r="B284" i="151" s="1"/>
  <c r="J248" i="151"/>
  <c r="K248" i="151"/>
  <c r="L248" i="151"/>
  <c r="O248" i="151" s="1"/>
  <c r="N248" i="151"/>
  <c r="AL248" i="151" s="1"/>
  <c r="T248" i="151"/>
  <c r="U248" i="151"/>
  <c r="Y248" i="151"/>
  <c r="Z248" i="151" s="1"/>
  <c r="AH248" i="151"/>
  <c r="AJ248" i="151" s="1"/>
  <c r="AM248" i="151" s="1"/>
  <c r="AI248" i="151"/>
  <c r="J249" i="151"/>
  <c r="L249" i="151" s="1"/>
  <c r="N249" i="151"/>
  <c r="T249" i="151"/>
  <c r="V249" i="151" s="1"/>
  <c r="U249" i="151"/>
  <c r="X249" i="151"/>
  <c r="Y249" i="151"/>
  <c r="Z249" i="151" s="1"/>
  <c r="AH249" i="151"/>
  <c r="AJ249" i="151"/>
  <c r="AI249" i="151" s="1"/>
  <c r="AL249" i="151"/>
  <c r="J250" i="151"/>
  <c r="L250" i="151" s="1"/>
  <c r="N250" i="151"/>
  <c r="AL250" i="151" s="1"/>
  <c r="T250" i="151"/>
  <c r="U250" i="151"/>
  <c r="V250" i="151"/>
  <c r="X250" i="151" s="1"/>
  <c r="W250" i="151"/>
  <c r="Y250" i="151"/>
  <c r="AH250" i="151"/>
  <c r="AJ250" i="151"/>
  <c r="J251" i="151"/>
  <c r="L251" i="151"/>
  <c r="N251" i="151"/>
  <c r="AL251" i="151" s="1"/>
  <c r="T251" i="151"/>
  <c r="V251" i="151" s="1"/>
  <c r="X251" i="151" s="1"/>
  <c r="U251" i="151"/>
  <c r="Y251" i="151"/>
  <c r="Z251" i="151"/>
  <c r="AH251" i="151"/>
  <c r="AJ251" i="151" s="1"/>
  <c r="J252" i="151"/>
  <c r="L252" i="151"/>
  <c r="N252" i="151"/>
  <c r="T252" i="151"/>
  <c r="V252" i="151" s="1"/>
  <c r="X252" i="151" s="1"/>
  <c r="U252" i="151"/>
  <c r="Y252" i="151"/>
  <c r="Z252" i="151" s="1"/>
  <c r="AH252" i="151"/>
  <c r="AJ252" i="151" s="1"/>
  <c r="AM252" i="151" s="1"/>
  <c r="AI252" i="151"/>
  <c r="AL252" i="151"/>
  <c r="J253" i="151"/>
  <c r="L253" i="151" s="1"/>
  <c r="K253" i="151" s="1"/>
  <c r="N253" i="151"/>
  <c r="O253" i="151"/>
  <c r="T253" i="151"/>
  <c r="V253" i="151" s="1"/>
  <c r="X253" i="151" s="1"/>
  <c r="U253" i="151"/>
  <c r="Y253" i="151"/>
  <c r="Z253" i="151"/>
  <c r="AH253" i="151"/>
  <c r="AJ253" i="151" s="1"/>
  <c r="AI253" i="151" s="1"/>
  <c r="AL253" i="151"/>
  <c r="AM253" i="151" s="1"/>
  <c r="J254" i="151"/>
  <c r="L254" i="151" s="1"/>
  <c r="K254" i="151" s="1"/>
  <c r="N254" i="151"/>
  <c r="T254" i="151"/>
  <c r="U254" i="151"/>
  <c r="V254" i="151" s="1"/>
  <c r="X254" i="151" s="1"/>
  <c r="Y254" i="151"/>
  <c r="Z254" i="151"/>
  <c r="AH254" i="151"/>
  <c r="AJ254" i="151"/>
  <c r="AL254" i="151"/>
  <c r="J255" i="151"/>
  <c r="L255" i="151"/>
  <c r="N255" i="151"/>
  <c r="AL255" i="151" s="1"/>
  <c r="T255" i="151"/>
  <c r="U255" i="151"/>
  <c r="V255" i="151" s="1"/>
  <c r="X255" i="151" s="1"/>
  <c r="Y255" i="151"/>
  <c r="Z255" i="151" s="1"/>
  <c r="AH255" i="151"/>
  <c r="AJ255" i="151"/>
  <c r="J256" i="151"/>
  <c r="L256" i="151"/>
  <c r="K256" i="151" s="1"/>
  <c r="N256" i="151"/>
  <c r="O256" i="151"/>
  <c r="T256" i="151"/>
  <c r="V256" i="151" s="1"/>
  <c r="X256" i="151" s="1"/>
  <c r="U256" i="151"/>
  <c r="Y256" i="151"/>
  <c r="Z256" i="151" s="1"/>
  <c r="AH256" i="151"/>
  <c r="AJ256" i="151" s="1"/>
  <c r="AI256" i="151"/>
  <c r="AL256" i="151"/>
  <c r="AM256" i="151"/>
  <c r="J257" i="151"/>
  <c r="L257" i="151" s="1"/>
  <c r="K257" i="151" s="1"/>
  <c r="N257" i="151"/>
  <c r="O257" i="151"/>
  <c r="T257" i="151"/>
  <c r="V257" i="151" s="1"/>
  <c r="X257" i="151" s="1"/>
  <c r="U257" i="151"/>
  <c r="Y257" i="151"/>
  <c r="Z257" i="151"/>
  <c r="AH257" i="151"/>
  <c r="AJ257" i="151" s="1"/>
  <c r="AL257" i="151"/>
  <c r="J258" i="151"/>
  <c r="L258" i="151"/>
  <c r="K258" i="151" s="1"/>
  <c r="N258" i="151"/>
  <c r="AL258" i="151" s="1"/>
  <c r="O258" i="151"/>
  <c r="T258" i="151"/>
  <c r="U258" i="151"/>
  <c r="V258" i="151"/>
  <c r="X258" i="151" s="1"/>
  <c r="W258" i="151"/>
  <c r="Y258" i="151"/>
  <c r="Z258" i="151"/>
  <c r="AA258" i="151"/>
  <c r="AH258" i="151"/>
  <c r="AJ258" i="151"/>
  <c r="J259" i="151"/>
  <c r="L259" i="151"/>
  <c r="N259" i="151"/>
  <c r="AL259" i="151" s="1"/>
  <c r="T259" i="151"/>
  <c r="V259" i="151" s="1"/>
  <c r="X259" i="151" s="1"/>
  <c r="U259" i="151"/>
  <c r="Y259" i="151"/>
  <c r="Z259" i="151" s="1"/>
  <c r="AH259" i="151"/>
  <c r="AJ259" i="151"/>
  <c r="J260" i="151"/>
  <c r="L260" i="151" s="1"/>
  <c r="N260" i="151"/>
  <c r="T260" i="151"/>
  <c r="U260" i="151"/>
  <c r="Y260" i="151"/>
  <c r="Z260" i="151" s="1"/>
  <c r="AH260" i="151"/>
  <c r="AJ260" i="151" s="1"/>
  <c r="AI260" i="151" s="1"/>
  <c r="AL260" i="151"/>
  <c r="AM260" i="151"/>
  <c r="J261" i="151"/>
  <c r="L261" i="151" s="1"/>
  <c r="K261" i="151" s="1"/>
  <c r="N261" i="151"/>
  <c r="T261" i="151"/>
  <c r="U261" i="151"/>
  <c r="V261" i="151"/>
  <c r="X261" i="151" s="1"/>
  <c r="Y261" i="151"/>
  <c r="Z261" i="151"/>
  <c r="AH261" i="151"/>
  <c r="AJ261" i="151"/>
  <c r="AI261" i="151" s="1"/>
  <c r="AL261" i="151"/>
  <c r="AM261" i="151" s="1"/>
  <c r="J262" i="151"/>
  <c r="L262" i="151" s="1"/>
  <c r="N262" i="151"/>
  <c r="T262" i="151"/>
  <c r="U262" i="151"/>
  <c r="V262" i="151" s="1"/>
  <c r="X262" i="151" s="1"/>
  <c r="Y262" i="151"/>
  <c r="Z262" i="151" s="1"/>
  <c r="AH262" i="151"/>
  <c r="AI262" i="151"/>
  <c r="AJ262" i="151"/>
  <c r="AM262" i="151" s="1"/>
  <c r="AL262" i="151"/>
  <c r="J263" i="151"/>
  <c r="L263" i="151"/>
  <c r="N263" i="151"/>
  <c r="AL263" i="151" s="1"/>
  <c r="T263" i="151"/>
  <c r="V263" i="151" s="1"/>
  <c r="X263" i="151" s="1"/>
  <c r="U263" i="151"/>
  <c r="Y263" i="151"/>
  <c r="Z263" i="151"/>
  <c r="AH263" i="151"/>
  <c r="AJ263" i="151" s="1"/>
  <c r="J264" i="151"/>
  <c r="L264" i="151"/>
  <c r="N264" i="151"/>
  <c r="T264" i="151"/>
  <c r="U264" i="151"/>
  <c r="Y264" i="151"/>
  <c r="Z264" i="151"/>
  <c r="AH264" i="151"/>
  <c r="AJ264" i="151" s="1"/>
  <c r="AL264" i="151"/>
  <c r="J265" i="151"/>
  <c r="L265" i="151" s="1"/>
  <c r="N265" i="151"/>
  <c r="T265" i="151"/>
  <c r="U265" i="151"/>
  <c r="V265" i="151" s="1"/>
  <c r="X265" i="151" s="1"/>
  <c r="Y265" i="151"/>
  <c r="Z265" i="151" s="1"/>
  <c r="AH265" i="151"/>
  <c r="AI265" i="151"/>
  <c r="AJ265" i="151"/>
  <c r="AM265" i="151" s="1"/>
  <c r="AL265" i="151"/>
  <c r="J266" i="151"/>
  <c r="K266" i="151"/>
  <c r="L266" i="151"/>
  <c r="O266" i="151" s="1"/>
  <c r="N266" i="151"/>
  <c r="T266" i="151"/>
  <c r="V266" i="151" s="1"/>
  <c r="U266" i="151"/>
  <c r="X266" i="151"/>
  <c r="Y266" i="151"/>
  <c r="Z266" i="151" s="1"/>
  <c r="AH266" i="151"/>
  <c r="AJ266" i="151" s="1"/>
  <c r="AI266" i="151" s="1"/>
  <c r="AL266" i="151"/>
  <c r="AM266" i="151"/>
  <c r="A267" i="151"/>
  <c r="J267" i="151"/>
  <c r="L267" i="151" s="1"/>
  <c r="K267" i="151" s="1"/>
  <c r="N267" i="151"/>
  <c r="AL267" i="151" s="1"/>
  <c r="O267" i="151"/>
  <c r="T267" i="151"/>
  <c r="V267" i="151" s="1"/>
  <c r="X267" i="151" s="1"/>
  <c r="W267" i="151" s="1"/>
  <c r="U267" i="151"/>
  <c r="Y267" i="151"/>
  <c r="Z267" i="151"/>
  <c r="AH267" i="151"/>
  <c r="AJ267" i="151" s="1"/>
  <c r="J268" i="151"/>
  <c r="L268" i="151" s="1"/>
  <c r="N268" i="151"/>
  <c r="T268" i="151"/>
  <c r="U268" i="151"/>
  <c r="V268" i="151"/>
  <c r="X268" i="151" s="1"/>
  <c r="Y268" i="151"/>
  <c r="Z268" i="151"/>
  <c r="AH268" i="151"/>
  <c r="AJ268" i="151"/>
  <c r="AL268" i="151"/>
  <c r="B269" i="151"/>
  <c r="J269" i="151"/>
  <c r="L269" i="151"/>
  <c r="N269" i="151"/>
  <c r="AL269" i="151" s="1"/>
  <c r="T269" i="151"/>
  <c r="V269" i="151" s="1"/>
  <c r="X269" i="151" s="1"/>
  <c r="U269" i="151"/>
  <c r="Y269" i="151"/>
  <c r="Z269" i="151" s="1"/>
  <c r="AH269" i="151"/>
  <c r="AJ269" i="151" s="1"/>
  <c r="J270" i="151"/>
  <c r="L270" i="151" s="1"/>
  <c r="N270" i="151"/>
  <c r="T270" i="151"/>
  <c r="V270" i="151" s="1"/>
  <c r="X270" i="151" s="1"/>
  <c r="U270" i="151"/>
  <c r="Y270" i="151"/>
  <c r="Z270" i="151"/>
  <c r="AH270" i="151"/>
  <c r="AJ270" i="151" s="1"/>
  <c r="AL270" i="151"/>
  <c r="J271" i="151"/>
  <c r="L271" i="151" s="1"/>
  <c r="N271" i="151"/>
  <c r="T271" i="151"/>
  <c r="U271" i="151"/>
  <c r="V271" i="151"/>
  <c r="W271" i="151"/>
  <c r="X271" i="151"/>
  <c r="AA271" i="151" s="1"/>
  <c r="Y271" i="151"/>
  <c r="Z271" i="151" s="1"/>
  <c r="AH271" i="151"/>
  <c r="AJ271" i="151"/>
  <c r="AI271" i="151" s="1"/>
  <c r="AL271" i="151"/>
  <c r="AM271" i="151" s="1"/>
  <c r="J272" i="151"/>
  <c r="L272" i="151"/>
  <c r="K272" i="151" s="1"/>
  <c r="N272" i="151"/>
  <c r="T272" i="151"/>
  <c r="V272" i="151" s="1"/>
  <c r="X272" i="151" s="1"/>
  <c r="U272" i="151"/>
  <c r="Y272" i="151"/>
  <c r="Z272" i="151"/>
  <c r="AH272" i="151"/>
  <c r="AJ272" i="151" s="1"/>
  <c r="B273" i="151"/>
  <c r="B285" i="151" s="1"/>
  <c r="J273" i="151"/>
  <c r="L273" i="151" s="1"/>
  <c r="N273" i="151"/>
  <c r="T273" i="151"/>
  <c r="U273" i="151"/>
  <c r="V273" i="151" s="1"/>
  <c r="X273" i="151" s="1"/>
  <c r="Y273" i="151"/>
  <c r="Z273" i="151" s="1"/>
  <c r="AH273" i="151"/>
  <c r="AI273" i="151"/>
  <c r="AJ273" i="151"/>
  <c r="AM273" i="151" s="1"/>
  <c r="AL273" i="151"/>
  <c r="J274" i="151"/>
  <c r="K274" i="151"/>
  <c r="L274" i="151"/>
  <c r="O274" i="151" s="1"/>
  <c r="N274" i="151"/>
  <c r="T274" i="151"/>
  <c r="V274" i="151" s="1"/>
  <c r="U274" i="151"/>
  <c r="X274" i="151"/>
  <c r="Y274" i="151"/>
  <c r="Z274" i="151" s="1"/>
  <c r="AH274" i="151"/>
  <c r="AJ274" i="151" s="1"/>
  <c r="AI274" i="151" s="1"/>
  <c r="AL274" i="151"/>
  <c r="J275" i="151"/>
  <c r="L275" i="151" s="1"/>
  <c r="K275" i="151" s="1"/>
  <c r="N275" i="151"/>
  <c r="AL275" i="151" s="1"/>
  <c r="O275" i="151"/>
  <c r="T275" i="151"/>
  <c r="V275" i="151" s="1"/>
  <c r="X275" i="151" s="1"/>
  <c r="W275" i="151" s="1"/>
  <c r="U275" i="151"/>
  <c r="Y275" i="151"/>
  <c r="Z275" i="151"/>
  <c r="AH275" i="151"/>
  <c r="AJ275" i="151" s="1"/>
  <c r="J276" i="151"/>
  <c r="L276" i="151" s="1"/>
  <c r="N276" i="151"/>
  <c r="T276" i="151"/>
  <c r="U276" i="151"/>
  <c r="V276" i="151"/>
  <c r="X276" i="151" s="1"/>
  <c r="Y276" i="151"/>
  <c r="Z276" i="151"/>
  <c r="AH276" i="151"/>
  <c r="AJ276" i="151"/>
  <c r="AL276" i="151"/>
  <c r="J277" i="151"/>
  <c r="L277" i="151"/>
  <c r="N277" i="151"/>
  <c r="AL277" i="151" s="1"/>
  <c r="T277" i="151"/>
  <c r="V277" i="151" s="1"/>
  <c r="X277" i="151" s="1"/>
  <c r="U277" i="151"/>
  <c r="Y277" i="151"/>
  <c r="Z277" i="151" s="1"/>
  <c r="AH277" i="151"/>
  <c r="AJ277" i="151" s="1"/>
  <c r="J278" i="151"/>
  <c r="L278" i="151" s="1"/>
  <c r="N278" i="151"/>
  <c r="T278" i="151"/>
  <c r="V278" i="151" s="1"/>
  <c r="X278" i="151" s="1"/>
  <c r="U278" i="151"/>
  <c r="Y278" i="151"/>
  <c r="Z278" i="151"/>
  <c r="AH278" i="151"/>
  <c r="AJ278" i="151" s="1"/>
  <c r="AL278" i="151"/>
  <c r="J279" i="151"/>
  <c r="L279" i="151" s="1"/>
  <c r="N279" i="151"/>
  <c r="T279" i="151"/>
  <c r="U279" i="151"/>
  <c r="V279" i="151"/>
  <c r="W279" i="151"/>
  <c r="X279" i="151"/>
  <c r="AA279" i="151" s="1"/>
  <c r="Y279" i="151"/>
  <c r="Z279" i="151" s="1"/>
  <c r="AH279" i="151"/>
  <c r="AJ279" i="151"/>
  <c r="AI279" i="151" s="1"/>
  <c r="AL279" i="151"/>
  <c r="AM279" i="151" s="1"/>
  <c r="J280" i="151"/>
  <c r="L280" i="151"/>
  <c r="K280" i="151" s="1"/>
  <c r="N280" i="151"/>
  <c r="AL280" i="151" s="1"/>
  <c r="O280" i="151"/>
  <c r="T280" i="151"/>
  <c r="V280" i="151" s="1"/>
  <c r="X280" i="151" s="1"/>
  <c r="W280" i="151" s="1"/>
  <c r="U280" i="151"/>
  <c r="Y280" i="151"/>
  <c r="Z280" i="151"/>
  <c r="AH280" i="151"/>
  <c r="AJ280" i="151" s="1"/>
  <c r="B281" i="151"/>
  <c r="B293" i="151" s="1"/>
  <c r="J281" i="151"/>
  <c r="L281" i="151" s="1"/>
  <c r="N281" i="151"/>
  <c r="T281" i="151"/>
  <c r="U281" i="151"/>
  <c r="V281" i="151" s="1"/>
  <c r="X281" i="151" s="1"/>
  <c r="Y281" i="151"/>
  <c r="Z281" i="151" s="1"/>
  <c r="AH281" i="151"/>
  <c r="AI281" i="151"/>
  <c r="AJ281" i="151"/>
  <c r="AM281" i="151" s="1"/>
  <c r="AL281" i="151"/>
  <c r="J282" i="151"/>
  <c r="K282" i="151"/>
  <c r="L282" i="151"/>
  <c r="O282" i="151" s="1"/>
  <c r="N282" i="151"/>
  <c r="AL282" i="151" s="1"/>
  <c r="T282" i="151"/>
  <c r="V282" i="151" s="1"/>
  <c r="U282" i="151"/>
  <c r="X282" i="151"/>
  <c r="Y282" i="151"/>
  <c r="Z282" i="151" s="1"/>
  <c r="AH282" i="151"/>
  <c r="AJ282" i="151" s="1"/>
  <c r="AI282" i="151" s="1"/>
  <c r="AM282" i="151"/>
  <c r="J283" i="151"/>
  <c r="L283" i="151" s="1"/>
  <c r="K283" i="151" s="1"/>
  <c r="N283" i="151"/>
  <c r="AL283" i="151" s="1"/>
  <c r="O283" i="151"/>
  <c r="T283" i="151"/>
  <c r="V283" i="151" s="1"/>
  <c r="X283" i="151" s="1"/>
  <c r="W283" i="151" s="1"/>
  <c r="U283" i="151"/>
  <c r="Y283" i="151"/>
  <c r="Z283" i="151"/>
  <c r="AH283" i="151"/>
  <c r="AJ283" i="151" s="1"/>
  <c r="J284" i="151"/>
  <c r="L284" i="151" s="1"/>
  <c r="N284" i="151"/>
  <c r="T284" i="151"/>
  <c r="U284" i="151"/>
  <c r="V284" i="151"/>
  <c r="X284" i="151" s="1"/>
  <c r="AA284" i="151" s="1"/>
  <c r="Y284" i="151"/>
  <c r="Z284" i="151"/>
  <c r="AH284" i="151"/>
  <c r="AJ284" i="151"/>
  <c r="AL284" i="151"/>
  <c r="J285" i="151"/>
  <c r="L285" i="151"/>
  <c r="N285" i="151"/>
  <c r="AL285" i="151" s="1"/>
  <c r="T285" i="151"/>
  <c r="V285" i="151" s="1"/>
  <c r="X285" i="151" s="1"/>
  <c r="U285" i="151"/>
  <c r="Y285" i="151"/>
  <c r="Z285" i="151" s="1"/>
  <c r="AH285" i="151"/>
  <c r="AJ285" i="151" s="1"/>
  <c r="J286" i="151"/>
  <c r="L286" i="151" s="1"/>
  <c r="N286" i="151"/>
  <c r="T286" i="151"/>
  <c r="U286" i="151"/>
  <c r="Y286" i="151"/>
  <c r="Z286" i="151"/>
  <c r="AH286" i="151"/>
  <c r="AJ286" i="151" s="1"/>
  <c r="AM286" i="151" s="1"/>
  <c r="AI286" i="151"/>
  <c r="AL286" i="151"/>
  <c r="J287" i="151"/>
  <c r="L287" i="151" s="1"/>
  <c r="O287" i="151" s="1"/>
  <c r="N287" i="151"/>
  <c r="T287" i="151"/>
  <c r="U287" i="151"/>
  <c r="V287" i="151"/>
  <c r="W287" i="151"/>
  <c r="X287" i="151"/>
  <c r="Y287" i="151"/>
  <c r="Z287" i="151" s="1"/>
  <c r="AH287" i="151"/>
  <c r="AJ287" i="151"/>
  <c r="AI287" i="151" s="1"/>
  <c r="AL287" i="151"/>
  <c r="AM287" i="151" s="1"/>
  <c r="J288" i="151"/>
  <c r="L288" i="151"/>
  <c r="K288" i="151" s="1"/>
  <c r="N288" i="151"/>
  <c r="AL288" i="151" s="1"/>
  <c r="O288" i="151"/>
  <c r="T288" i="151"/>
  <c r="V288" i="151" s="1"/>
  <c r="X288" i="151" s="1"/>
  <c r="W288" i="151" s="1"/>
  <c r="U288" i="151"/>
  <c r="Y288" i="151"/>
  <c r="Z288" i="151"/>
  <c r="AA288" i="151"/>
  <c r="AH288" i="151"/>
  <c r="AJ288" i="151" s="1"/>
  <c r="J289" i="151"/>
  <c r="L289" i="151" s="1"/>
  <c r="N289" i="151"/>
  <c r="T289" i="151"/>
  <c r="U289" i="151"/>
  <c r="V289" i="151"/>
  <c r="X289" i="151" s="1"/>
  <c r="Y289" i="151"/>
  <c r="Z289" i="151" s="1"/>
  <c r="AH289" i="151"/>
  <c r="AI289" i="151"/>
  <c r="AJ289" i="151"/>
  <c r="AM289" i="151" s="1"/>
  <c r="AL289" i="151"/>
  <c r="J290" i="151"/>
  <c r="L290" i="151"/>
  <c r="O290" i="151" s="1"/>
  <c r="N290" i="151"/>
  <c r="AL290" i="151" s="1"/>
  <c r="T290" i="151"/>
  <c r="V290" i="151" s="1"/>
  <c r="U290" i="151"/>
  <c r="X290" i="151"/>
  <c r="Y290" i="151"/>
  <c r="Z290" i="151" s="1"/>
  <c r="AH290" i="151"/>
  <c r="AJ290" i="151" s="1"/>
  <c r="AI290" i="151" s="1"/>
  <c r="J291" i="151"/>
  <c r="L291" i="151" s="1"/>
  <c r="K291" i="151" s="1"/>
  <c r="N291" i="151"/>
  <c r="AL291" i="151" s="1"/>
  <c r="T291" i="151"/>
  <c r="V291" i="151" s="1"/>
  <c r="X291" i="151" s="1"/>
  <c r="W291" i="151" s="1"/>
  <c r="U291" i="151"/>
  <c r="Y291" i="151"/>
  <c r="Z291" i="151"/>
  <c r="AA291" i="151"/>
  <c r="AH291" i="151"/>
  <c r="AJ291" i="151" s="1"/>
  <c r="J292" i="151"/>
  <c r="L292" i="151" s="1"/>
  <c r="N292" i="151"/>
  <c r="T292" i="151"/>
  <c r="U292" i="151"/>
  <c r="V292" i="151"/>
  <c r="X292" i="151" s="1"/>
  <c r="AA292" i="151" s="1"/>
  <c r="W292" i="151"/>
  <c r="Y292" i="151"/>
  <c r="Z292" i="151"/>
  <c r="AH292" i="151"/>
  <c r="AJ292" i="151"/>
  <c r="AL292" i="151"/>
  <c r="J293" i="151"/>
  <c r="L293" i="151"/>
  <c r="N293" i="151"/>
  <c r="AL293" i="151" s="1"/>
  <c r="T293" i="151"/>
  <c r="V293" i="151" s="1"/>
  <c r="X293" i="151" s="1"/>
  <c r="U293" i="151"/>
  <c r="Y293" i="151"/>
  <c r="Z293" i="151" s="1"/>
  <c r="AH293" i="151"/>
  <c r="AJ293" i="151" s="1"/>
  <c r="E295" i="151"/>
  <c r="F295" i="151"/>
  <c r="G295" i="151"/>
  <c r="H295" i="151"/>
  <c r="I295" i="151"/>
  <c r="J295" i="151"/>
  <c r="E296" i="151"/>
  <c r="F296" i="151"/>
  <c r="AU43" i="151" s="1"/>
  <c r="G296" i="151"/>
  <c r="G297" i="151" s="1"/>
  <c r="H296" i="151"/>
  <c r="I296" i="151"/>
  <c r="J296" i="151"/>
  <c r="H297" i="151"/>
  <c r="I297" i="151"/>
  <c r="J297" i="151"/>
  <c r="AQ46" i="151" l="1"/>
  <c r="AV46" i="151" s="1"/>
  <c r="AQ52" i="151"/>
  <c r="AV52" i="151" s="1"/>
  <c r="AQ51" i="151"/>
  <c r="AV51" i="151" s="1"/>
  <c r="AQ47" i="151"/>
  <c r="AV47" i="151" s="1"/>
  <c r="AQ50" i="151"/>
  <c r="AV50" i="151" s="1"/>
  <c r="AQ49" i="151"/>
  <c r="AV49" i="151" s="1"/>
  <c r="AQ55" i="151"/>
  <c r="AV55" i="151" s="1"/>
  <c r="AQ45" i="151"/>
  <c r="AV45" i="151" s="1"/>
  <c r="AQ48" i="151"/>
  <c r="AV48" i="151" s="1"/>
  <c r="AQ44" i="151"/>
  <c r="AQ53" i="151"/>
  <c r="AV53" i="151" s="1"/>
  <c r="AQ54" i="151"/>
  <c r="AV54" i="151" s="1"/>
  <c r="AA201" i="151"/>
  <c r="W201" i="151"/>
  <c r="W281" i="151"/>
  <c r="AA281" i="151"/>
  <c r="AL272" i="151"/>
  <c r="O272" i="151"/>
  <c r="K268" i="151"/>
  <c r="O268" i="151"/>
  <c r="O264" i="151"/>
  <c r="K264" i="151"/>
  <c r="AA261" i="151"/>
  <c r="W261" i="151"/>
  <c r="AM254" i="151"/>
  <c r="AI254" i="151"/>
  <c r="AA249" i="151"/>
  <c r="W249" i="151"/>
  <c r="AA239" i="151"/>
  <c r="W239" i="151"/>
  <c r="AA233" i="151"/>
  <c r="W233" i="151"/>
  <c r="AA230" i="151"/>
  <c r="W230" i="151"/>
  <c r="K222" i="151"/>
  <c r="O222" i="151"/>
  <c r="AA212" i="151"/>
  <c r="W212" i="151"/>
  <c r="AA199" i="151"/>
  <c r="W199" i="151"/>
  <c r="AI192" i="151"/>
  <c r="AM192" i="151"/>
  <c r="AA293" i="151"/>
  <c r="W293" i="151"/>
  <c r="AM268" i="151"/>
  <c r="AI268" i="151"/>
  <c r="AA266" i="151"/>
  <c r="W266" i="151"/>
  <c r="O263" i="151"/>
  <c r="K263" i="151"/>
  <c r="W257" i="151"/>
  <c r="AA257" i="151"/>
  <c r="O252" i="151"/>
  <c r="K252" i="151"/>
  <c r="O244" i="151"/>
  <c r="K244" i="151"/>
  <c r="W241" i="151"/>
  <c r="AA241" i="151"/>
  <c r="O236" i="151"/>
  <c r="K236" i="151"/>
  <c r="AM227" i="151"/>
  <c r="AI227" i="151"/>
  <c r="K226" i="151"/>
  <c r="O226" i="151"/>
  <c r="O220" i="151"/>
  <c r="K220" i="151"/>
  <c r="O293" i="151"/>
  <c r="K293" i="151"/>
  <c r="AM290" i="151"/>
  <c r="K290" i="151"/>
  <c r="AI285" i="151"/>
  <c r="AM285" i="151"/>
  <c r="O279" i="151"/>
  <c r="K279" i="151"/>
  <c r="K278" i="151"/>
  <c r="O278" i="151"/>
  <c r="K273" i="151"/>
  <c r="O273" i="151"/>
  <c r="AM243" i="151"/>
  <c r="AI243" i="151"/>
  <c r="O242" i="151"/>
  <c r="O240" i="151"/>
  <c r="K240" i="151"/>
  <c r="AM235" i="151"/>
  <c r="AI235" i="151"/>
  <c r="AA223" i="151"/>
  <c r="W223" i="151"/>
  <c r="AM219" i="151"/>
  <c r="AI219" i="151"/>
  <c r="O197" i="151"/>
  <c r="K197" i="151"/>
  <c r="K181" i="151"/>
  <c r="O181" i="151"/>
  <c r="AM59" i="151"/>
  <c r="AI59" i="151"/>
  <c r="O285" i="151"/>
  <c r="K285" i="151"/>
  <c r="AA276" i="151"/>
  <c r="W276" i="151"/>
  <c r="K265" i="151"/>
  <c r="O265" i="151"/>
  <c r="AI255" i="151"/>
  <c r="AM255" i="151"/>
  <c r="W289" i="151"/>
  <c r="AA289" i="151"/>
  <c r="O277" i="151"/>
  <c r="K277" i="151"/>
  <c r="AM284" i="151"/>
  <c r="AI284" i="151"/>
  <c r="AA282" i="151"/>
  <c r="W282" i="151"/>
  <c r="K281" i="151"/>
  <c r="O281" i="151"/>
  <c r="AA274" i="151"/>
  <c r="W274" i="151"/>
  <c r="AA269" i="151"/>
  <c r="W269" i="151"/>
  <c r="AI267" i="151"/>
  <c r="AM267" i="151"/>
  <c r="AI264" i="151"/>
  <c r="AM264" i="151"/>
  <c r="AM263" i="151"/>
  <c r="AI263" i="151"/>
  <c r="K262" i="151"/>
  <c r="O262" i="151"/>
  <c r="W259" i="151"/>
  <c r="AA259" i="151"/>
  <c r="W256" i="151"/>
  <c r="AA256" i="151"/>
  <c r="AA255" i="151"/>
  <c r="W255" i="151"/>
  <c r="AM251" i="151"/>
  <c r="AI251" i="151"/>
  <c r="W232" i="151"/>
  <c r="AA232" i="151"/>
  <c r="K218" i="151"/>
  <c r="O218" i="151"/>
  <c r="K214" i="151"/>
  <c r="O214" i="151"/>
  <c r="O212" i="151"/>
  <c r="K212" i="151"/>
  <c r="W209" i="151"/>
  <c r="O182" i="151"/>
  <c r="K182" i="151"/>
  <c r="AI288" i="151"/>
  <c r="AM288" i="151"/>
  <c r="AM270" i="151"/>
  <c r="AI270" i="151"/>
  <c r="AM278" i="151"/>
  <c r="AI278" i="151"/>
  <c r="AA246" i="151"/>
  <c r="W246" i="151"/>
  <c r="W227" i="151"/>
  <c r="AA227" i="151"/>
  <c r="AM211" i="151"/>
  <c r="AI211" i="151"/>
  <c r="W203" i="151"/>
  <c r="AA203" i="151"/>
  <c r="AI201" i="151"/>
  <c r="AM201" i="151"/>
  <c r="AM196" i="151"/>
  <c r="AI196" i="151"/>
  <c r="W272" i="151"/>
  <c r="AA272" i="151"/>
  <c r="AI293" i="151"/>
  <c r="AM293" i="151"/>
  <c r="K284" i="151"/>
  <c r="O284" i="151"/>
  <c r="AI277" i="151"/>
  <c r="AM277" i="151"/>
  <c r="K250" i="151"/>
  <c r="O250" i="151"/>
  <c r="AA245" i="151"/>
  <c r="W245" i="151"/>
  <c r="W238" i="151"/>
  <c r="AA238" i="151"/>
  <c r="K234" i="151"/>
  <c r="O234" i="151"/>
  <c r="AA215" i="151"/>
  <c r="W215" i="151"/>
  <c r="E297" i="151"/>
  <c r="AM292" i="151"/>
  <c r="AI292" i="151"/>
  <c r="AA290" i="151"/>
  <c r="W290" i="151"/>
  <c r="K289" i="151"/>
  <c r="O289" i="151"/>
  <c r="K287" i="151"/>
  <c r="V286" i="151"/>
  <c r="X286" i="151" s="1"/>
  <c r="O269" i="151"/>
  <c r="K269" i="151"/>
  <c r="AA268" i="151"/>
  <c r="W268" i="151"/>
  <c r="W265" i="151"/>
  <c r="AA265" i="151"/>
  <c r="AI257" i="151"/>
  <c r="AM257" i="151"/>
  <c r="W254" i="151"/>
  <c r="AA254" i="151"/>
  <c r="O249" i="151"/>
  <c r="K249" i="151"/>
  <c r="AA247" i="151"/>
  <c r="W247" i="151"/>
  <c r="AM240" i="151"/>
  <c r="AI240" i="151"/>
  <c r="O239" i="151"/>
  <c r="K239" i="151"/>
  <c r="AA228" i="151"/>
  <c r="W228" i="151"/>
  <c r="W221" i="151"/>
  <c r="AA221" i="151"/>
  <c r="W219" i="151"/>
  <c r="AA219" i="151"/>
  <c r="K210" i="151"/>
  <c r="O210" i="151"/>
  <c r="O199" i="151"/>
  <c r="K199" i="151"/>
  <c r="W192" i="151"/>
  <c r="AA192" i="151"/>
  <c r="AM276" i="151"/>
  <c r="AI276" i="151"/>
  <c r="W270" i="151"/>
  <c r="AA270" i="151"/>
  <c r="AA229" i="151"/>
  <c r="W229" i="151"/>
  <c r="K292" i="151"/>
  <c r="O292" i="151"/>
  <c r="AI283" i="151"/>
  <c r="AM283" i="151"/>
  <c r="AI280" i="151"/>
  <c r="AM280" i="151"/>
  <c r="AI275" i="151"/>
  <c r="AM275" i="151"/>
  <c r="O271" i="151"/>
  <c r="K271" i="151"/>
  <c r="K270" i="151"/>
  <c r="O270" i="151"/>
  <c r="O260" i="151"/>
  <c r="K260" i="151"/>
  <c r="W253" i="151"/>
  <c r="AA253" i="151"/>
  <c r="Z250" i="151"/>
  <c r="AA250" i="151" s="1"/>
  <c r="W243" i="151"/>
  <c r="AA243" i="151"/>
  <c r="AI241" i="151"/>
  <c r="AM241" i="151"/>
  <c r="AA231" i="151"/>
  <c r="W231" i="151"/>
  <c r="W222" i="151"/>
  <c r="AA222" i="151"/>
  <c r="AA207" i="151"/>
  <c r="W207" i="151"/>
  <c r="W198" i="151"/>
  <c r="AA198" i="151"/>
  <c r="AA196" i="151"/>
  <c r="W196" i="151"/>
  <c r="AA194" i="151"/>
  <c r="W187" i="151"/>
  <c r="AA187" i="151"/>
  <c r="AI291" i="151"/>
  <c r="AM291" i="151"/>
  <c r="AI269" i="151"/>
  <c r="AM269" i="151"/>
  <c r="K276" i="151"/>
  <c r="O276" i="151"/>
  <c r="AI272" i="151"/>
  <c r="AM272" i="151"/>
  <c r="AA267" i="151"/>
  <c r="W235" i="151"/>
  <c r="AA235" i="151"/>
  <c r="O291" i="151"/>
  <c r="AA285" i="151"/>
  <c r="W285" i="151"/>
  <c r="AA287" i="151"/>
  <c r="K286" i="151"/>
  <c r="O286" i="151"/>
  <c r="W284" i="151"/>
  <c r="AA283" i="151"/>
  <c r="AA280" i="151"/>
  <c r="AA277" i="151"/>
  <c r="W277" i="151"/>
  <c r="AA275" i="151"/>
  <c r="AM274" i="151"/>
  <c r="W273" i="151"/>
  <c r="AA273" i="151"/>
  <c r="AA263" i="151"/>
  <c r="W263" i="151"/>
  <c r="AM259" i="151"/>
  <c r="AI259" i="151"/>
  <c r="AA252" i="151"/>
  <c r="W252" i="151"/>
  <c r="W251" i="151"/>
  <c r="AA251" i="151"/>
  <c r="AL237" i="151"/>
  <c r="AM237" i="151" s="1"/>
  <c r="O237" i="151"/>
  <c r="W225" i="151"/>
  <c r="AA220" i="151"/>
  <c r="W220" i="151"/>
  <c r="W213" i="151"/>
  <c r="AA213" i="151"/>
  <c r="W211" i="151"/>
  <c r="AA211" i="151"/>
  <c r="AI203" i="151"/>
  <c r="AA191" i="151"/>
  <c r="W191" i="151"/>
  <c r="W171" i="151"/>
  <c r="AA171" i="151"/>
  <c r="W278" i="151"/>
  <c r="AA278" i="151"/>
  <c r="W262" i="151"/>
  <c r="AA262" i="151"/>
  <c r="AA234" i="151"/>
  <c r="W234" i="151"/>
  <c r="W214" i="151"/>
  <c r="AA214" i="151"/>
  <c r="W197" i="151"/>
  <c r="AA197" i="151"/>
  <c r="O172" i="151"/>
  <c r="K172" i="151"/>
  <c r="AI258" i="151"/>
  <c r="AM258" i="151"/>
  <c r="AI242" i="151"/>
  <c r="AM242" i="151"/>
  <c r="K227" i="151"/>
  <c r="O227" i="151"/>
  <c r="O224" i="151"/>
  <c r="O216" i="151"/>
  <c r="O208" i="151"/>
  <c r="O206" i="151"/>
  <c r="O202" i="151"/>
  <c r="AA195" i="151"/>
  <c r="AA190" i="151"/>
  <c r="W190" i="151"/>
  <c r="AI189" i="151"/>
  <c r="AM189" i="151"/>
  <c r="AM186" i="151"/>
  <c r="AM179" i="151"/>
  <c r="AI179" i="151"/>
  <c r="AM173" i="151"/>
  <c r="AI173" i="151"/>
  <c r="W144" i="151"/>
  <c r="AA144" i="151"/>
  <c r="AA139" i="151"/>
  <c r="W139" i="151"/>
  <c r="K259" i="151"/>
  <c r="O259" i="151"/>
  <c r="K243" i="151"/>
  <c r="O243" i="151"/>
  <c r="AM230" i="151"/>
  <c r="V204" i="151"/>
  <c r="X204" i="151" s="1"/>
  <c r="K195" i="151"/>
  <c r="O195" i="151"/>
  <c r="O188" i="151"/>
  <c r="K188" i="151"/>
  <c r="O185" i="151"/>
  <c r="K185" i="151"/>
  <c r="AA163" i="151"/>
  <c r="W163" i="151"/>
  <c r="W152" i="151"/>
  <c r="AA152" i="151"/>
  <c r="AA147" i="151"/>
  <c r="W147" i="151"/>
  <c r="O140" i="151"/>
  <c r="K140" i="151"/>
  <c r="AI133" i="151"/>
  <c r="AM133" i="151"/>
  <c r="AA236" i="151"/>
  <c r="O255" i="151"/>
  <c r="O254" i="151"/>
  <c r="AM249" i="151"/>
  <c r="V248" i="151"/>
  <c r="X248" i="151" s="1"/>
  <c r="AM245" i="151"/>
  <c r="W236" i="151"/>
  <c r="AI234" i="151"/>
  <c r="AM234" i="151"/>
  <c r="AI230" i="151"/>
  <c r="K228" i="151"/>
  <c r="AM225" i="151"/>
  <c r="AM224" i="151"/>
  <c r="AM217" i="151"/>
  <c r="AM216" i="151"/>
  <c r="AM209" i="151"/>
  <c r="AM208" i="151"/>
  <c r="O196" i="151"/>
  <c r="AA177" i="151"/>
  <c r="W177" i="151"/>
  <c r="W173" i="151"/>
  <c r="AA173" i="151"/>
  <c r="W170" i="151"/>
  <c r="AA170" i="151"/>
  <c r="O158" i="151"/>
  <c r="K158" i="151"/>
  <c r="Z87" i="151"/>
  <c r="AA87" i="151"/>
  <c r="W86" i="151"/>
  <c r="AA86" i="151"/>
  <c r="F297" i="151"/>
  <c r="V260" i="151"/>
  <c r="X260" i="151" s="1"/>
  <c r="V244" i="151"/>
  <c r="X244" i="151" s="1"/>
  <c r="A279" i="151"/>
  <c r="O261" i="151"/>
  <c r="K255" i="151"/>
  <c r="AM246" i="151"/>
  <c r="O233" i="151"/>
  <c r="AA224" i="151"/>
  <c r="AM221" i="151"/>
  <c r="O221" i="151"/>
  <c r="AA216" i="151"/>
  <c r="AM213" i="151"/>
  <c r="O213" i="151"/>
  <c r="AA208" i="151"/>
  <c r="AM200" i="151"/>
  <c r="AI193" i="151"/>
  <c r="O180" i="151"/>
  <c r="K180" i="151"/>
  <c r="AM171" i="151"/>
  <c r="AI171" i="151"/>
  <c r="AA169" i="151"/>
  <c r="W169" i="151"/>
  <c r="W167" i="151"/>
  <c r="AA167" i="151"/>
  <c r="AM165" i="151"/>
  <c r="AI165" i="151"/>
  <c r="O164" i="151"/>
  <c r="K164" i="151"/>
  <c r="O148" i="151"/>
  <c r="K148" i="151"/>
  <c r="AM236" i="151"/>
  <c r="K235" i="151"/>
  <c r="O235" i="151"/>
  <c r="O205" i="151"/>
  <c r="AA200" i="151"/>
  <c r="AI190" i="151"/>
  <c r="AM190" i="151"/>
  <c r="AM187" i="151"/>
  <c r="AI187" i="151"/>
  <c r="W186" i="151"/>
  <c r="AA186" i="151"/>
  <c r="AA182" i="151"/>
  <c r="W182" i="151"/>
  <c r="AA176" i="151"/>
  <c r="AA155" i="151"/>
  <c r="W155" i="151"/>
  <c r="O142" i="151"/>
  <c r="K142" i="151"/>
  <c r="W136" i="151"/>
  <c r="AA136" i="151"/>
  <c r="AA100" i="151"/>
  <c r="W100" i="151"/>
  <c r="K98" i="151"/>
  <c r="O98" i="151"/>
  <c r="AI250" i="151"/>
  <c r="AM250" i="151"/>
  <c r="O245" i="151"/>
  <c r="V264" i="151"/>
  <c r="X264" i="151" s="1"/>
  <c r="O247" i="151"/>
  <c r="O246" i="151"/>
  <c r="V240" i="151"/>
  <c r="X240" i="151" s="1"/>
  <c r="AI226" i="151"/>
  <c r="AM226" i="151"/>
  <c r="K225" i="151"/>
  <c r="AM223" i="151"/>
  <c r="AI222" i="151"/>
  <c r="K217" i="151"/>
  <c r="AM215" i="151"/>
  <c r="AI214" i="151"/>
  <c r="K209" i="151"/>
  <c r="AM207" i="151"/>
  <c r="AM206" i="151"/>
  <c r="AM197" i="151"/>
  <c r="W195" i="151"/>
  <c r="AM194" i="151"/>
  <c r="AA193" i="151"/>
  <c r="W188" i="151"/>
  <c r="O186" i="151"/>
  <c r="O174" i="151"/>
  <c r="K174" i="151"/>
  <c r="AM163" i="151"/>
  <c r="AI163" i="151"/>
  <c r="O150" i="151"/>
  <c r="K150" i="151"/>
  <c r="K251" i="151"/>
  <c r="O251" i="151"/>
  <c r="AM238" i="151"/>
  <c r="AA205" i="151"/>
  <c r="K201" i="151"/>
  <c r="AM199" i="151"/>
  <c r="AM191" i="151"/>
  <c r="AA185" i="151"/>
  <c r="W185" i="151"/>
  <c r="W181" i="151"/>
  <c r="AA181" i="151"/>
  <c r="O177" i="151"/>
  <c r="K177" i="151"/>
  <c r="O167" i="151"/>
  <c r="K167" i="151"/>
  <c r="W160" i="151"/>
  <c r="AA160" i="151"/>
  <c r="O156" i="151"/>
  <c r="K156" i="151"/>
  <c r="A121" i="151"/>
  <c r="O219" i="151"/>
  <c r="AM218" i="151"/>
  <c r="O211" i="151"/>
  <c r="AM210" i="151"/>
  <c r="O203" i="151"/>
  <c r="AM202" i="151"/>
  <c r="AM195" i="151"/>
  <c r="O192" i="151"/>
  <c r="AI172" i="151"/>
  <c r="AM172" i="151"/>
  <c r="AM169" i="151"/>
  <c r="W164" i="151"/>
  <c r="AA130" i="151"/>
  <c r="W130" i="151"/>
  <c r="K121" i="151"/>
  <c r="O121" i="151"/>
  <c r="W106" i="151"/>
  <c r="AA106" i="151"/>
  <c r="K66" i="151"/>
  <c r="O66" i="151"/>
  <c r="K163" i="151"/>
  <c r="O163" i="151"/>
  <c r="AM155" i="151"/>
  <c r="AI155" i="151"/>
  <c r="K155" i="151"/>
  <c r="O155" i="151"/>
  <c r="AM147" i="151"/>
  <c r="AI147" i="151"/>
  <c r="K147" i="151"/>
  <c r="O147" i="151"/>
  <c r="AM139" i="151"/>
  <c r="AI139" i="151"/>
  <c r="K139" i="151"/>
  <c r="O139" i="151"/>
  <c r="O128" i="151"/>
  <c r="K128" i="151"/>
  <c r="W126" i="151"/>
  <c r="AA126" i="151"/>
  <c r="B135" i="151"/>
  <c r="C123" i="151"/>
  <c r="AL101" i="151"/>
  <c r="AM101" i="151" s="1"/>
  <c r="O101" i="151"/>
  <c r="AA92" i="151"/>
  <c r="W92" i="151"/>
  <c r="K90" i="151"/>
  <c r="O90" i="151"/>
  <c r="O71" i="151"/>
  <c r="K71" i="151"/>
  <c r="W70" i="151"/>
  <c r="AA70" i="151"/>
  <c r="AA68" i="151"/>
  <c r="W68" i="151"/>
  <c r="W47" i="151"/>
  <c r="AA47" i="151"/>
  <c r="V189" i="151"/>
  <c r="X189" i="151" s="1"/>
  <c r="AM188" i="151"/>
  <c r="K161" i="151"/>
  <c r="W158" i="151"/>
  <c r="AM157" i="151"/>
  <c r="AA156" i="151"/>
  <c r="K153" i="151"/>
  <c r="W150" i="151"/>
  <c r="AM149" i="151"/>
  <c r="AA148" i="151"/>
  <c r="K145" i="151"/>
  <c r="W142" i="151"/>
  <c r="AM141" i="151"/>
  <c r="AA140" i="151"/>
  <c r="K137" i="151"/>
  <c r="W133" i="151"/>
  <c r="AA133" i="151"/>
  <c r="K132" i="151"/>
  <c r="O132" i="151"/>
  <c r="O112" i="151"/>
  <c r="K112" i="151"/>
  <c r="AM107" i="151"/>
  <c r="AI107" i="151"/>
  <c r="AI97" i="151"/>
  <c r="AM97" i="151"/>
  <c r="K96" i="151"/>
  <c r="O96" i="151"/>
  <c r="W94" i="151"/>
  <c r="AA94" i="151"/>
  <c r="O89" i="151"/>
  <c r="K89" i="151"/>
  <c r="AA84" i="151"/>
  <c r="W84" i="151"/>
  <c r="AI73" i="151"/>
  <c r="AM73" i="151"/>
  <c r="AI188" i="151"/>
  <c r="AM181" i="151"/>
  <c r="AA180" i="151"/>
  <c r="K173" i="151"/>
  <c r="O173" i="151"/>
  <c r="AM170" i="151"/>
  <c r="O170" i="151"/>
  <c r="K169" i="151"/>
  <c r="V166" i="151"/>
  <c r="X166" i="151" s="1"/>
  <c r="AM158" i="151"/>
  <c r="AM150" i="151"/>
  <c r="AM142" i="151"/>
  <c r="V134" i="151"/>
  <c r="X134" i="151" s="1"/>
  <c r="O131" i="151"/>
  <c r="K131" i="151"/>
  <c r="AM127" i="151"/>
  <c r="AI127" i="151"/>
  <c r="W102" i="151"/>
  <c r="AA102" i="151"/>
  <c r="AA99" i="151"/>
  <c r="W99" i="151"/>
  <c r="K88" i="151"/>
  <c r="O88" i="151"/>
  <c r="B100" i="151"/>
  <c r="B112" i="151" s="1"/>
  <c r="B124" i="151" s="1"/>
  <c r="B136" i="151" s="1"/>
  <c r="C88" i="151"/>
  <c r="AM184" i="151"/>
  <c r="O179" i="151"/>
  <c r="AA178" i="151"/>
  <c r="W172" i="151"/>
  <c r="AA161" i="151"/>
  <c r="W161" i="151"/>
  <c r="AA153" i="151"/>
  <c r="W153" i="151"/>
  <c r="AA145" i="151"/>
  <c r="W145" i="151"/>
  <c r="AA137" i="151"/>
  <c r="W137" i="151"/>
  <c r="AM130" i="151"/>
  <c r="AI130" i="151"/>
  <c r="AA129" i="151"/>
  <c r="AA128" i="151"/>
  <c r="K124" i="151"/>
  <c r="O124" i="151"/>
  <c r="AM112" i="151"/>
  <c r="AI112" i="151"/>
  <c r="AA97" i="151"/>
  <c r="W97" i="151"/>
  <c r="AI85" i="151"/>
  <c r="AM85" i="151"/>
  <c r="K166" i="151"/>
  <c r="V165" i="151"/>
  <c r="X165" i="151" s="1"/>
  <c r="AI162" i="151"/>
  <c r="AM162" i="151"/>
  <c r="AM160" i="151"/>
  <c r="AI154" i="151"/>
  <c r="AM154" i="151"/>
  <c r="AM152" i="151"/>
  <c r="AI146" i="151"/>
  <c r="AM146" i="151"/>
  <c r="AM144" i="151"/>
  <c r="AI138" i="151"/>
  <c r="AM138" i="151"/>
  <c r="AM136" i="151"/>
  <c r="AI134" i="151"/>
  <c r="K134" i="151"/>
  <c r="O134" i="151"/>
  <c r="AA132" i="151"/>
  <c r="W132" i="151"/>
  <c r="W125" i="151"/>
  <c r="AA125" i="151"/>
  <c r="A160" i="151"/>
  <c r="AA115" i="151"/>
  <c r="W115" i="151"/>
  <c r="AI105" i="151"/>
  <c r="AM105" i="151"/>
  <c r="O105" i="151"/>
  <c r="K105" i="151"/>
  <c r="AA98" i="151"/>
  <c r="AM80" i="151"/>
  <c r="AI80" i="151"/>
  <c r="AI180" i="151"/>
  <c r="AM180" i="151"/>
  <c r="V174" i="151"/>
  <c r="X174" i="151" s="1"/>
  <c r="AA162" i="151"/>
  <c r="W157" i="151"/>
  <c r="AA157" i="151"/>
  <c r="AA154" i="151"/>
  <c r="W149" i="151"/>
  <c r="AA149" i="151"/>
  <c r="AA146" i="151"/>
  <c r="W141" i="151"/>
  <c r="AA141" i="151"/>
  <c r="AA138" i="151"/>
  <c r="K129" i="151"/>
  <c r="O129" i="151"/>
  <c r="W127" i="151"/>
  <c r="AA127" i="151"/>
  <c r="K122" i="151"/>
  <c r="O122" i="151"/>
  <c r="O57" i="151"/>
  <c r="K57" i="151"/>
  <c r="W56" i="151"/>
  <c r="AA56" i="151"/>
  <c r="O165" i="151"/>
  <c r="AM164" i="151"/>
  <c r="O157" i="151"/>
  <c r="AM156" i="151"/>
  <c r="O149" i="151"/>
  <c r="AM148" i="151"/>
  <c r="A144" i="151"/>
  <c r="O141" i="151"/>
  <c r="AM140" i="151"/>
  <c r="O133" i="151"/>
  <c r="AM124" i="151"/>
  <c r="AI114" i="151"/>
  <c r="AM114" i="151"/>
  <c r="K110" i="151"/>
  <c r="O103" i="151"/>
  <c r="K99" i="151"/>
  <c r="O99" i="151"/>
  <c r="AI96" i="151"/>
  <c r="AA81" i="151"/>
  <c r="W81" i="151"/>
  <c r="K78" i="151"/>
  <c r="O78" i="151"/>
  <c r="W77" i="151"/>
  <c r="AA77" i="151"/>
  <c r="C77" i="151"/>
  <c r="A89" i="151"/>
  <c r="AA65" i="151"/>
  <c r="W65" i="151"/>
  <c r="AI57" i="151"/>
  <c r="AM57" i="151"/>
  <c r="AA49" i="151"/>
  <c r="W49" i="151"/>
  <c r="C124" i="151"/>
  <c r="O108" i="151"/>
  <c r="K108" i="151"/>
  <c r="AA91" i="151"/>
  <c r="W91" i="151"/>
  <c r="AM88" i="151"/>
  <c r="AI88" i="151"/>
  <c r="W80" i="151"/>
  <c r="AA80" i="151"/>
  <c r="AM75" i="151"/>
  <c r="K72" i="151"/>
  <c r="O72" i="151"/>
  <c r="K62" i="151"/>
  <c r="O62" i="151"/>
  <c r="AI51" i="151"/>
  <c r="AM51" i="151"/>
  <c r="C50" i="151"/>
  <c r="B62" i="151"/>
  <c r="AM46" i="151"/>
  <c r="AI46" i="151"/>
  <c r="O130" i="151"/>
  <c r="AI129" i="151"/>
  <c r="W128" i="151"/>
  <c r="AA123" i="151"/>
  <c r="AA122" i="151"/>
  <c r="V116" i="151"/>
  <c r="X116" i="151" s="1"/>
  <c r="AM115" i="151"/>
  <c r="AI115" i="151"/>
  <c r="AA114" i="151"/>
  <c r="K114" i="151"/>
  <c r="O114" i="151"/>
  <c r="W110" i="151"/>
  <c r="AA107" i="151"/>
  <c r="AI106" i="151"/>
  <c r="AM106" i="151"/>
  <c r="AA105" i="151"/>
  <c r="W105" i="151"/>
  <c r="C111" i="151"/>
  <c r="V93" i="151"/>
  <c r="X93" i="151" s="1"/>
  <c r="AI84" i="151"/>
  <c r="AM84" i="151"/>
  <c r="K84" i="151"/>
  <c r="AA83" i="151"/>
  <c r="W83" i="151"/>
  <c r="O81" i="151"/>
  <c r="K81" i="151"/>
  <c r="O80" i="151"/>
  <c r="O74" i="151"/>
  <c r="AM72" i="151"/>
  <c r="AI72" i="151"/>
  <c r="O68" i="151"/>
  <c r="K56" i="151"/>
  <c r="O56" i="151"/>
  <c r="K54" i="151"/>
  <c r="O54" i="151"/>
  <c r="AM131" i="151"/>
  <c r="K130" i="151"/>
  <c r="V124" i="151"/>
  <c r="X124" i="151" s="1"/>
  <c r="K115" i="151"/>
  <c r="O115" i="151"/>
  <c r="C112" i="151"/>
  <c r="K104" i="151"/>
  <c r="O104" i="151"/>
  <c r="O100" i="151"/>
  <c r="K100" i="151"/>
  <c r="O97" i="151"/>
  <c r="K97" i="151"/>
  <c r="W96" i="151"/>
  <c r="AA96" i="151"/>
  <c r="C108" i="151"/>
  <c r="W88" i="151"/>
  <c r="AA88" i="151"/>
  <c r="AM76" i="151"/>
  <c r="AA73" i="151"/>
  <c r="AM68" i="151"/>
  <c r="W64" i="151"/>
  <c r="AA64" i="151"/>
  <c r="O60" i="151"/>
  <c r="K60" i="151"/>
  <c r="AA59" i="151"/>
  <c r="W59" i="151"/>
  <c r="W58" i="151"/>
  <c r="AA58" i="151"/>
  <c r="AA57" i="151"/>
  <c r="W57" i="151"/>
  <c r="W55" i="151"/>
  <c r="AA55" i="151"/>
  <c r="AA51" i="151"/>
  <c r="W51" i="151"/>
  <c r="AI119" i="151"/>
  <c r="V117" i="151"/>
  <c r="X117" i="151" s="1"/>
  <c r="AM89" i="151"/>
  <c r="AL87" i="151"/>
  <c r="AM87" i="151" s="1"/>
  <c r="O87" i="151"/>
  <c r="AA75" i="151"/>
  <c r="W75" i="151"/>
  <c r="AI74" i="151"/>
  <c r="AM74" i="151"/>
  <c r="AM67" i="151"/>
  <c r="AI67" i="151"/>
  <c r="K67" i="151"/>
  <c r="O67" i="151"/>
  <c r="AM49" i="151"/>
  <c r="AI49" i="151"/>
  <c r="AA42" i="151"/>
  <c r="AA41" i="151"/>
  <c r="W41" i="151"/>
  <c r="V131" i="151"/>
  <c r="X131" i="151" s="1"/>
  <c r="AI122" i="151"/>
  <c r="O119" i="151"/>
  <c r="K116" i="151"/>
  <c r="V112" i="151"/>
  <c r="X112" i="151" s="1"/>
  <c r="AI111" i="151"/>
  <c r="AM109" i="151"/>
  <c r="V101" i="151"/>
  <c r="X101" i="151" s="1"/>
  <c r="O95" i="151"/>
  <c r="O93" i="151"/>
  <c r="AI91" i="151"/>
  <c r="A79" i="151"/>
  <c r="C67" i="151"/>
  <c r="K58" i="151"/>
  <c r="O58" i="151"/>
  <c r="O52" i="151"/>
  <c r="K52" i="151"/>
  <c r="AA50" i="151"/>
  <c r="W50" i="151"/>
  <c r="O120" i="151"/>
  <c r="K120" i="151"/>
  <c r="AA119" i="151"/>
  <c r="AA118" i="151"/>
  <c r="K107" i="151"/>
  <c r="O107" i="151"/>
  <c r="AA104" i="151"/>
  <c r="AM99" i="151"/>
  <c r="W63" i="151"/>
  <c r="AA63" i="151"/>
  <c r="AA62" i="151"/>
  <c r="W62" i="151"/>
  <c r="W61" i="151"/>
  <c r="AA61" i="151"/>
  <c r="AL53" i="151"/>
  <c r="AM53" i="151" s="1"/>
  <c r="O53" i="151"/>
  <c r="O48" i="151"/>
  <c r="K48" i="151"/>
  <c r="AI98" i="151"/>
  <c r="AM98" i="151"/>
  <c r="K91" i="151"/>
  <c r="O91" i="151"/>
  <c r="C87" i="151"/>
  <c r="O79" i="151"/>
  <c r="C72" i="151"/>
  <c r="O64" i="151"/>
  <c r="A59" i="151"/>
  <c r="C52" i="151"/>
  <c r="K46" i="151"/>
  <c r="O46" i="151"/>
  <c r="AA45" i="151"/>
  <c r="AM43" i="151"/>
  <c r="AI43" i="151"/>
  <c r="K31" i="151"/>
  <c r="O31" i="151"/>
  <c r="AM60" i="151"/>
  <c r="AA43" i="151"/>
  <c r="W42" i="151"/>
  <c r="AI82" i="151"/>
  <c r="AM82" i="151"/>
  <c r="K75" i="151"/>
  <c r="O75" i="151"/>
  <c r="A86" i="151"/>
  <c r="C84" i="151"/>
  <c r="K65" i="151"/>
  <c r="AM61" i="151"/>
  <c r="AI58" i="151"/>
  <c r="AM58" i="151"/>
  <c r="AA48" i="151"/>
  <c r="AI37" i="151"/>
  <c r="AM37" i="151"/>
  <c r="AM31" i="151"/>
  <c r="AI31" i="151"/>
  <c r="AM83" i="151"/>
  <c r="O76" i="151"/>
  <c r="C75" i="151"/>
  <c r="AM71" i="151"/>
  <c r="AI66" i="151"/>
  <c r="AM66" i="151"/>
  <c r="K61" i="151"/>
  <c r="C60" i="151"/>
  <c r="AI54" i="151"/>
  <c r="AM54" i="151"/>
  <c r="V52" i="151"/>
  <c r="X52" i="151" s="1"/>
  <c r="C44" i="151"/>
  <c r="A56" i="151"/>
  <c r="AM39" i="151"/>
  <c r="AI39" i="151"/>
  <c r="AM34" i="151"/>
  <c r="AI34" i="151"/>
  <c r="AA33" i="151"/>
  <c r="W33" i="151"/>
  <c r="W60" i="151"/>
  <c r="A70" i="151"/>
  <c r="AM41" i="151"/>
  <c r="AI41" i="151"/>
  <c r="V109" i="151"/>
  <c r="X109" i="151" s="1"/>
  <c r="V108" i="151"/>
  <c r="X108" i="151" s="1"/>
  <c r="AI90" i="151"/>
  <c r="AM90" i="151"/>
  <c r="K83" i="151"/>
  <c r="O83" i="151"/>
  <c r="A81" i="151"/>
  <c r="B61" i="151"/>
  <c r="B73" i="151" s="1"/>
  <c r="AM56" i="151"/>
  <c r="AI52" i="151"/>
  <c r="K50" i="151"/>
  <c r="B59" i="151"/>
  <c r="B71" i="151" s="1"/>
  <c r="B83" i="151" s="1"/>
  <c r="B95" i="151" s="1"/>
  <c r="B107" i="151" s="1"/>
  <c r="B119" i="151" s="1"/>
  <c r="B131" i="151" s="1"/>
  <c r="B143" i="151" s="1"/>
  <c r="B155" i="151" s="1"/>
  <c r="B167" i="151" s="1"/>
  <c r="B179" i="151" s="1"/>
  <c r="B191" i="151" s="1"/>
  <c r="B203" i="151" s="1"/>
  <c r="B215" i="151" s="1"/>
  <c r="B227" i="151" s="1"/>
  <c r="B239" i="151" s="1"/>
  <c r="B251" i="151" s="1"/>
  <c r="B263" i="151" s="1"/>
  <c r="B275" i="151" s="1"/>
  <c r="B287" i="151" s="1"/>
  <c r="O40" i="151"/>
  <c r="W39" i="151"/>
  <c r="AA39" i="151"/>
  <c r="W31" i="151"/>
  <c r="AA31" i="151"/>
  <c r="C66" i="151"/>
  <c r="A78" i="151"/>
  <c r="C76" i="151"/>
  <c r="C61" i="151"/>
  <c r="K59" i="151"/>
  <c r="O59" i="151"/>
  <c r="AA46" i="151"/>
  <c r="W46" i="151"/>
  <c r="O42" i="151"/>
  <c r="K42" i="151"/>
  <c r="Z30" i="151"/>
  <c r="V44" i="151"/>
  <c r="X44" i="151" s="1"/>
  <c r="W30" i="151"/>
  <c r="AM36" i="151"/>
  <c r="AI36" i="151"/>
  <c r="AA35" i="151"/>
  <c r="W35" i="151"/>
  <c r="K36" i="151"/>
  <c r="O36" i="151"/>
  <c r="K49" i="151"/>
  <c r="AI45" i="151"/>
  <c r="B58" i="151"/>
  <c r="B70" i="151" s="1"/>
  <c r="B82" i="151" s="1"/>
  <c r="B94" i="151" s="1"/>
  <c r="B106" i="151" s="1"/>
  <c r="B118" i="151" s="1"/>
  <c r="B130" i="151" s="1"/>
  <c r="B142" i="151" s="1"/>
  <c r="B154" i="151" s="1"/>
  <c r="B166" i="151" s="1"/>
  <c r="B178" i="151" s="1"/>
  <c r="B190" i="151" s="1"/>
  <c r="B202" i="151" s="1"/>
  <c r="B214" i="151" s="1"/>
  <c r="B226" i="151" s="1"/>
  <c r="B238" i="151" s="1"/>
  <c r="B250" i="151" s="1"/>
  <c r="B262" i="151" s="1"/>
  <c r="B274" i="151" s="1"/>
  <c r="B286" i="151" s="1"/>
  <c r="AA38" i="151"/>
  <c r="W38" i="151"/>
  <c r="O35" i="151"/>
  <c r="K35" i="151"/>
  <c r="V34" i="151"/>
  <c r="X34" i="151" s="1"/>
  <c r="O30" i="151"/>
  <c r="A9" i="151"/>
  <c r="AI30" i="151"/>
  <c r="K52" i="149"/>
  <c r="I34" i="152"/>
  <c r="H34" i="152"/>
  <c r="I33" i="152"/>
  <c r="H33" i="152"/>
  <c r="I32" i="152"/>
  <c r="H32" i="152"/>
  <c r="E27" i="152"/>
  <c r="D27" i="152"/>
  <c r="G27" i="152"/>
  <c r="I25" i="152"/>
  <c r="H25" i="152"/>
  <c r="I24" i="152"/>
  <c r="H24" i="152"/>
  <c r="E22" i="152"/>
  <c r="D22" i="152"/>
  <c r="G22" i="152"/>
  <c r="I20" i="152"/>
  <c r="H20" i="152"/>
  <c r="I19" i="152"/>
  <c r="H19" i="152"/>
  <c r="I18" i="152"/>
  <c r="H18" i="152"/>
  <c r="E16" i="152"/>
  <c r="D16" i="152"/>
  <c r="G16" i="152"/>
  <c r="I14" i="152"/>
  <c r="H14" i="152"/>
  <c r="I13" i="152"/>
  <c r="H13" i="152"/>
  <c r="I12" i="152"/>
  <c r="H12" i="152"/>
  <c r="I11" i="152"/>
  <c r="H11" i="152"/>
  <c r="A10" i="152"/>
  <c r="A11" i="152"/>
  <c r="A12" i="152"/>
  <c r="A13" i="152"/>
  <c r="A14" i="152"/>
  <c r="A15" i="152"/>
  <c r="A16" i="152"/>
  <c r="A17" i="152"/>
  <c r="A18" i="152"/>
  <c r="A19" i="152"/>
  <c r="A20" i="152"/>
  <c r="A21" i="152"/>
  <c r="A22" i="152"/>
  <c r="A23" i="152"/>
  <c r="A24" i="152"/>
  <c r="A25" i="152"/>
  <c r="A26" i="152"/>
  <c r="A27" i="152"/>
  <c r="A28" i="152"/>
  <c r="A29" i="152"/>
  <c r="A30" i="152"/>
  <c r="A31" i="152"/>
  <c r="A32" i="152"/>
  <c r="A33" i="152"/>
  <c r="A34" i="152"/>
  <c r="A35" i="152"/>
  <c r="A36" i="152"/>
  <c r="I9" i="152"/>
  <c r="H9" i="152"/>
  <c r="H6" i="152"/>
  <c r="J56" i="149"/>
  <c r="J58" i="149" s="1"/>
  <c r="J298" i="151" s="1"/>
  <c r="I53" i="149"/>
  <c r="J53" i="149"/>
  <c r="I52" i="149"/>
  <c r="J52" i="149"/>
  <c r="I51" i="149"/>
  <c r="I44" i="149"/>
  <c r="I48" i="149"/>
  <c r="J11" i="152"/>
  <c r="K11" i="152"/>
  <c r="J32" i="152"/>
  <c r="J20" i="152"/>
  <c r="K20" i="152"/>
  <c r="J25" i="152"/>
  <c r="K25" i="152"/>
  <c r="F16" i="152"/>
  <c r="E29" i="152"/>
  <c r="E36" i="152"/>
  <c r="J12" i="152"/>
  <c r="K12" i="152"/>
  <c r="I16" i="152"/>
  <c r="J24" i="152"/>
  <c r="K24" i="152"/>
  <c r="J14" i="152"/>
  <c r="K14" i="152"/>
  <c r="J19" i="152"/>
  <c r="K19" i="152"/>
  <c r="J33" i="152"/>
  <c r="J34" i="152"/>
  <c r="J57" i="149"/>
  <c r="L52" i="149"/>
  <c r="J54" i="149"/>
  <c r="F27" i="152"/>
  <c r="H27" i="152"/>
  <c r="J9" i="152"/>
  <c r="K9" i="152"/>
  <c r="H16" i="152"/>
  <c r="I22" i="152"/>
  <c r="I54" i="149"/>
  <c r="J18" i="152"/>
  <c r="H22" i="152"/>
  <c r="I27" i="152"/>
  <c r="F22" i="152"/>
  <c r="D29" i="152"/>
  <c r="D36" i="152"/>
  <c r="J13" i="152"/>
  <c r="K13" i="152"/>
  <c r="G20" i="127"/>
  <c r="M19" i="103"/>
  <c r="G26" i="127"/>
  <c r="M23" i="103"/>
  <c r="N23" i="103"/>
  <c r="G59" i="127"/>
  <c r="S33" i="97"/>
  <c r="A61" i="87"/>
  <c r="A60" i="87"/>
  <c r="A59" i="87"/>
  <c r="I58" i="87"/>
  <c r="I60" i="87"/>
  <c r="G58" i="87"/>
  <c r="G60" i="87"/>
  <c r="G61" i="87"/>
  <c r="E58" i="87"/>
  <c r="D58" i="87"/>
  <c r="D60" i="87"/>
  <c r="A58" i="87"/>
  <c r="A57" i="87"/>
  <c r="F56" i="87"/>
  <c r="F58" i="87"/>
  <c r="A56" i="87"/>
  <c r="A55" i="87"/>
  <c r="A54" i="87"/>
  <c r="I53" i="87"/>
  <c r="G53" i="87"/>
  <c r="E53" i="87"/>
  <c r="D53" i="87"/>
  <c r="A53" i="87"/>
  <c r="F52" i="87"/>
  <c r="H52" i="87"/>
  <c r="J52" i="87"/>
  <c r="A52" i="87"/>
  <c r="F51" i="87"/>
  <c r="H51" i="87"/>
  <c r="J51" i="87"/>
  <c r="A51" i="87"/>
  <c r="F50" i="87"/>
  <c r="A50" i="87"/>
  <c r="A49" i="87"/>
  <c r="N37" i="103"/>
  <c r="F10" i="142"/>
  <c r="F10" i="133"/>
  <c r="AL7" i="135"/>
  <c r="AL8" i="135"/>
  <c r="AL10" i="135"/>
  <c r="AL11" i="135"/>
  <c r="D15" i="147"/>
  <c r="D16" i="147"/>
  <c r="D17" i="147"/>
  <c r="D18" i="147"/>
  <c r="D19" i="147"/>
  <c r="D20" i="147"/>
  <c r="D21" i="147"/>
  <c r="D22" i="147"/>
  <c r="D23" i="147"/>
  <c r="D24" i="147"/>
  <c r="D25" i="147"/>
  <c r="D26" i="147"/>
  <c r="D27" i="147"/>
  <c r="AQ6" i="147"/>
  <c r="D15" i="133"/>
  <c r="D16" i="133"/>
  <c r="D17" i="133"/>
  <c r="D18" i="133"/>
  <c r="D19" i="133"/>
  <c r="D20" i="133"/>
  <c r="D21" i="133"/>
  <c r="D22" i="133"/>
  <c r="D23" i="133"/>
  <c r="D24" i="133"/>
  <c r="D25" i="133"/>
  <c r="D26" i="133"/>
  <c r="D15" i="134"/>
  <c r="D16" i="134"/>
  <c r="D17" i="134"/>
  <c r="D18" i="134"/>
  <c r="D19" i="134"/>
  <c r="D20" i="134"/>
  <c r="D21" i="134"/>
  <c r="D22" i="134"/>
  <c r="D23" i="134"/>
  <c r="D24" i="134"/>
  <c r="D25" i="134"/>
  <c r="D26" i="134"/>
  <c r="D15" i="142"/>
  <c r="D16" i="142"/>
  <c r="D17" i="142"/>
  <c r="D18" i="142"/>
  <c r="D19" i="142"/>
  <c r="D20" i="142"/>
  <c r="D21" i="142"/>
  <c r="D22" i="142"/>
  <c r="D23" i="142"/>
  <c r="D24" i="142"/>
  <c r="D25" i="142"/>
  <c r="D26" i="142"/>
  <c r="AQ6" i="142"/>
  <c r="O22" i="139"/>
  <c r="AO5" i="135"/>
  <c r="AN5" i="135"/>
  <c r="F10" i="134"/>
  <c r="AQ6" i="134"/>
  <c r="AQ6" i="133"/>
  <c r="C14" i="96"/>
  <c r="D14" i="96"/>
  <c r="E14" i="96"/>
  <c r="Q6" i="135"/>
  <c r="F14" i="96"/>
  <c r="G14" i="96"/>
  <c r="S6" i="135"/>
  <c r="H14" i="96"/>
  <c r="T6" i="135"/>
  <c r="I14" i="96"/>
  <c r="U6" i="135"/>
  <c r="J14" i="96"/>
  <c r="V6" i="135"/>
  <c r="K14" i="96"/>
  <c r="L14" i="96"/>
  <c r="X6" i="135"/>
  <c r="M14" i="96"/>
  <c r="Y6" i="135"/>
  <c r="M33" i="96"/>
  <c r="L33" i="96"/>
  <c r="K33" i="96"/>
  <c r="J33" i="96"/>
  <c r="I33" i="96"/>
  <c r="H33" i="96"/>
  <c r="G33" i="96"/>
  <c r="F33" i="96"/>
  <c r="E33" i="96"/>
  <c r="D33" i="96"/>
  <c r="M32" i="96"/>
  <c r="L32" i="96"/>
  <c r="K32" i="96"/>
  <c r="J32" i="96"/>
  <c r="I32" i="96"/>
  <c r="H32" i="96"/>
  <c r="G32" i="96"/>
  <c r="F32" i="96"/>
  <c r="E32" i="96"/>
  <c r="D32" i="96"/>
  <c r="M31" i="96"/>
  <c r="L31" i="96"/>
  <c r="K31" i="96"/>
  <c r="J31" i="96"/>
  <c r="I31" i="96"/>
  <c r="H31" i="96"/>
  <c r="G31" i="96"/>
  <c r="F31" i="96"/>
  <c r="E31" i="96"/>
  <c r="D31" i="96"/>
  <c r="N27" i="96"/>
  <c r="N26" i="96"/>
  <c r="N25" i="96"/>
  <c r="N24" i="96"/>
  <c r="N23" i="96"/>
  <c r="N22" i="96"/>
  <c r="F7" i="105"/>
  <c r="F4" i="105"/>
  <c r="F3" i="105"/>
  <c r="M371" i="131"/>
  <c r="K371" i="131"/>
  <c r="S343" i="131"/>
  <c r="S342" i="131"/>
  <c r="S340" i="131"/>
  <c r="S339" i="131"/>
  <c r="S338" i="131"/>
  <c r="S336" i="131"/>
  <c r="F10" i="147"/>
  <c r="S335" i="131"/>
  <c r="Q333" i="131"/>
  <c r="Q345" i="131"/>
  <c r="O333" i="131"/>
  <c r="O345" i="131"/>
  <c r="M333" i="131"/>
  <c r="M345" i="131"/>
  <c r="K333" i="131"/>
  <c r="K345" i="131"/>
  <c r="Q324" i="131"/>
  <c r="O324" i="131"/>
  <c r="M324" i="131"/>
  <c r="K324" i="131"/>
  <c r="Q306" i="131"/>
  <c r="O306" i="131"/>
  <c r="M306" i="131"/>
  <c r="K306" i="131"/>
  <c r="Q266" i="131"/>
  <c r="O266" i="131"/>
  <c r="M266" i="131"/>
  <c r="K266" i="131"/>
  <c r="Q259" i="131"/>
  <c r="O259" i="131"/>
  <c r="M259" i="131"/>
  <c r="K259" i="131"/>
  <c r="Q245" i="131"/>
  <c r="O245" i="131"/>
  <c r="M245" i="131"/>
  <c r="K245" i="131"/>
  <c r="Q238" i="131"/>
  <c r="O238" i="131"/>
  <c r="M238" i="131"/>
  <c r="K238" i="131"/>
  <c r="Q226" i="131"/>
  <c r="O226" i="131"/>
  <c r="M226" i="131"/>
  <c r="K226" i="131"/>
  <c r="Q219" i="131"/>
  <c r="O219" i="131"/>
  <c r="M219" i="131"/>
  <c r="K219" i="131"/>
  <c r="Q205" i="131"/>
  <c r="O205" i="131"/>
  <c r="M205" i="131"/>
  <c r="K205" i="131"/>
  <c r="Q195" i="131"/>
  <c r="O195" i="131"/>
  <c r="M195" i="131"/>
  <c r="K195" i="131"/>
  <c r="Q188" i="131"/>
  <c r="O188" i="131"/>
  <c r="M188" i="131"/>
  <c r="K188" i="131"/>
  <c r="Q180" i="131"/>
  <c r="O180" i="131"/>
  <c r="M180" i="131"/>
  <c r="K180" i="131"/>
  <c r="Q166" i="131"/>
  <c r="O166" i="131"/>
  <c r="M166" i="131"/>
  <c r="K166" i="131"/>
  <c r="Q159" i="131"/>
  <c r="O159" i="131"/>
  <c r="M159" i="131"/>
  <c r="K159" i="131"/>
  <c r="Q139" i="131"/>
  <c r="O139" i="131"/>
  <c r="M139" i="131"/>
  <c r="K139" i="131"/>
  <c r="Q131" i="131"/>
  <c r="O131" i="131"/>
  <c r="M131" i="131"/>
  <c r="K131" i="131"/>
  <c r="Q123" i="131"/>
  <c r="O123" i="131"/>
  <c r="M123" i="131"/>
  <c r="K123" i="131"/>
  <c r="Q115" i="131"/>
  <c r="O115" i="131"/>
  <c r="M115" i="131"/>
  <c r="K115" i="131"/>
  <c r="Q107" i="131"/>
  <c r="O107" i="131"/>
  <c r="M107" i="131"/>
  <c r="K107" i="131"/>
  <c r="Q99" i="131"/>
  <c r="O99" i="131"/>
  <c r="M99" i="131"/>
  <c r="K99" i="131"/>
  <c r="Q91" i="131"/>
  <c r="O91" i="131"/>
  <c r="M91" i="131"/>
  <c r="K91" i="131"/>
  <c r="Q77" i="131"/>
  <c r="O77" i="131"/>
  <c r="M77" i="131"/>
  <c r="K77" i="131"/>
  <c r="Q65" i="131"/>
  <c r="O65" i="131"/>
  <c r="M65" i="131"/>
  <c r="K65" i="131"/>
  <c r="Q52" i="131"/>
  <c r="O52" i="131"/>
  <c r="M52" i="131"/>
  <c r="K52" i="131"/>
  <c r="Q40" i="131"/>
  <c r="O40" i="131"/>
  <c r="M40" i="131"/>
  <c r="K40" i="131"/>
  <c r="Q27" i="131"/>
  <c r="O27" i="131"/>
  <c r="M27" i="131"/>
  <c r="K27" i="131"/>
  <c r="AG12" i="135"/>
  <c r="I12" i="135"/>
  <c r="J12" i="135"/>
  <c r="AF12" i="135"/>
  <c r="AD12" i="135"/>
  <c r="AH12" i="135"/>
  <c r="AE12" i="135"/>
  <c r="AL5" i="135"/>
  <c r="B39" i="134" a="1"/>
  <c r="B71" i="134" s="1"/>
  <c r="H12" i="135"/>
  <c r="G12" i="135"/>
  <c r="F12" i="135"/>
  <c r="M12" i="135"/>
  <c r="D12" i="135"/>
  <c r="AB12" i="135"/>
  <c r="AC12" i="135"/>
  <c r="L12" i="135"/>
  <c r="AK12" i="135"/>
  <c r="Z12" i="135"/>
  <c r="K12" i="135"/>
  <c r="E12" i="135"/>
  <c r="AA12" i="135"/>
  <c r="C12" i="135"/>
  <c r="AJ12" i="135"/>
  <c r="AI12" i="135"/>
  <c r="B12" i="135"/>
  <c r="A8" i="87"/>
  <c r="B26" i="127"/>
  <c r="F23" i="103"/>
  <c r="G23" i="103"/>
  <c r="B20" i="127"/>
  <c r="F19" i="103"/>
  <c r="G19" i="103"/>
  <c r="B4" i="103"/>
  <c r="G6" i="130"/>
  <c r="J6" i="130"/>
  <c r="D7" i="130"/>
  <c r="D8" i="130"/>
  <c r="D9" i="130"/>
  <c r="D10" i="130"/>
  <c r="G7" i="130"/>
  <c r="G8" i="130"/>
  <c r="G9" i="130"/>
  <c r="G10" i="130"/>
  <c r="G11" i="130"/>
  <c r="G12" i="130"/>
  <c r="J7" i="130"/>
  <c r="J8" i="130"/>
  <c r="J9" i="130"/>
  <c r="J10" i="130"/>
  <c r="J11" i="130"/>
  <c r="J12" i="130"/>
  <c r="J13" i="130"/>
  <c r="J14" i="130"/>
  <c r="M7" i="130"/>
  <c r="M8" i="130"/>
  <c r="M9" i="130"/>
  <c r="M10" i="130"/>
  <c r="M11" i="130"/>
  <c r="M12" i="130"/>
  <c r="M13" i="130"/>
  <c r="M14" i="130"/>
  <c r="M15" i="130"/>
  <c r="M16" i="130"/>
  <c r="P7" i="130"/>
  <c r="P8" i="130"/>
  <c r="P9" i="130"/>
  <c r="P10" i="130"/>
  <c r="P11" i="130"/>
  <c r="P12" i="130"/>
  <c r="P13" i="130"/>
  <c r="P14" i="130"/>
  <c r="P15" i="130"/>
  <c r="P16" i="130"/>
  <c r="P17" i="130"/>
  <c r="S7" i="130"/>
  <c r="S8" i="130"/>
  <c r="S9" i="130"/>
  <c r="S10" i="130"/>
  <c r="S11" i="130"/>
  <c r="S12" i="130"/>
  <c r="S13" i="130"/>
  <c r="S14" i="130"/>
  <c r="S15" i="130"/>
  <c r="S16" i="130"/>
  <c r="S17" i="130"/>
  <c r="S18" i="130"/>
  <c r="S19" i="130"/>
  <c r="V7" i="130"/>
  <c r="V8" i="130"/>
  <c r="V9" i="130"/>
  <c r="V10" i="130"/>
  <c r="V11" i="130"/>
  <c r="V12" i="130"/>
  <c r="V13" i="130"/>
  <c r="V14" i="130"/>
  <c r="V15" i="130"/>
  <c r="V16" i="130"/>
  <c r="V17" i="130"/>
  <c r="V18" i="130"/>
  <c r="V19" i="130"/>
  <c r="V20" i="130"/>
  <c r="V21" i="130"/>
  <c r="V22" i="130"/>
  <c r="Y7" i="130"/>
  <c r="Y8" i="130"/>
  <c r="Y9" i="130"/>
  <c r="Y10" i="130"/>
  <c r="Y11" i="130"/>
  <c r="Y12" i="130"/>
  <c r="Y13" i="130"/>
  <c r="Y14" i="130"/>
  <c r="Y15" i="130"/>
  <c r="Y16" i="130"/>
  <c r="Y17" i="130"/>
  <c r="AB7" i="130"/>
  <c r="AB8" i="130"/>
  <c r="AB9" i="130"/>
  <c r="AB10" i="130"/>
  <c r="AB11" i="130"/>
  <c r="AB12" i="130"/>
  <c r="AB13" i="130"/>
  <c r="AB14" i="130"/>
  <c r="AB15" i="130"/>
  <c r="AB16" i="130"/>
  <c r="AB17" i="130"/>
  <c r="AB18" i="130"/>
  <c r="AB19" i="130"/>
  <c r="AB20" i="130"/>
  <c r="AB21" i="130"/>
  <c r="AB22" i="130"/>
  <c r="AB23" i="130"/>
  <c r="AB24" i="130"/>
  <c r="AB25" i="130"/>
  <c r="AB26" i="130"/>
  <c r="AB27" i="130"/>
  <c r="AE7" i="130"/>
  <c r="AE8" i="130"/>
  <c r="AE9" i="130"/>
  <c r="AE10" i="130"/>
  <c r="AE11" i="130"/>
  <c r="AE12" i="130"/>
  <c r="AE13" i="130"/>
  <c r="AE14" i="130"/>
  <c r="AE15" i="130"/>
  <c r="AE16" i="130"/>
  <c r="AE17" i="130"/>
  <c r="AE18" i="130"/>
  <c r="AE19" i="130"/>
  <c r="AE20" i="130"/>
  <c r="AE21" i="130"/>
  <c r="AE22" i="130"/>
  <c r="AE23" i="130"/>
  <c r="AE24" i="130"/>
  <c r="AE25" i="130"/>
  <c r="AE26" i="130"/>
  <c r="AE27" i="130"/>
  <c r="AE28" i="130"/>
  <c r="AE29" i="130"/>
  <c r="AE30" i="130"/>
  <c r="AE31" i="130"/>
  <c r="AE32" i="130"/>
  <c r="AE33" i="130"/>
  <c r="AE34" i="130"/>
  <c r="AE35" i="130"/>
  <c r="AE36" i="130"/>
  <c r="AE37" i="130"/>
  <c r="AE38" i="130"/>
  <c r="AH7" i="130"/>
  <c r="AH8" i="130"/>
  <c r="AH9" i="130"/>
  <c r="AH10" i="130"/>
  <c r="AH11" i="130"/>
  <c r="AH12" i="130"/>
  <c r="AH13" i="130"/>
  <c r="AH14" i="130"/>
  <c r="AH15" i="130"/>
  <c r="AH16" i="130"/>
  <c r="AH17" i="130"/>
  <c r="AH18" i="130"/>
  <c r="AH19" i="130"/>
  <c r="AH20" i="130"/>
  <c r="AH21" i="130"/>
  <c r="AH22" i="130"/>
  <c r="AH23" i="130"/>
  <c r="AH24" i="130"/>
  <c r="AH25" i="130"/>
  <c r="AH26" i="130"/>
  <c r="AH27" i="130"/>
  <c r="AH28" i="130"/>
  <c r="AH29" i="130"/>
  <c r="AH30" i="130"/>
  <c r="AH31" i="130"/>
  <c r="AH32" i="130"/>
  <c r="AH33" i="130"/>
  <c r="AH34" i="130"/>
  <c r="AH35" i="130"/>
  <c r="AH36" i="130"/>
  <c r="AH37" i="130"/>
  <c r="AH38" i="130"/>
  <c r="AH39" i="130"/>
  <c r="AH40" i="130"/>
  <c r="AH41" i="130"/>
  <c r="AH42" i="130"/>
  <c r="AH43" i="130"/>
  <c r="AH44" i="130"/>
  <c r="AH45" i="130"/>
  <c r="AH46" i="130"/>
  <c r="AJ7" i="130"/>
  <c r="AK7" i="130"/>
  <c r="AN7" i="130"/>
  <c r="AN8" i="130"/>
  <c r="AN9" i="130"/>
  <c r="AN10" i="130"/>
  <c r="AN11" i="130"/>
  <c r="AN12" i="130"/>
  <c r="AN13" i="130"/>
  <c r="AN14" i="130"/>
  <c r="AN15" i="130"/>
  <c r="AN16" i="130"/>
  <c r="AN17" i="130"/>
  <c r="AN18" i="130"/>
  <c r="AN19" i="130"/>
  <c r="A8" i="130"/>
  <c r="A9" i="130"/>
  <c r="A10" i="130"/>
  <c r="A11" i="130"/>
  <c r="A12" i="130"/>
  <c r="A13" i="130"/>
  <c r="A14" i="130"/>
  <c r="A15" i="130"/>
  <c r="A16" i="130"/>
  <c r="A17" i="130"/>
  <c r="A18" i="130"/>
  <c r="A19" i="130"/>
  <c r="A20" i="130"/>
  <c r="A21" i="130"/>
  <c r="A22" i="130"/>
  <c r="A23" i="130"/>
  <c r="A24" i="130"/>
  <c r="A25" i="130"/>
  <c r="A26" i="130"/>
  <c r="A27" i="130"/>
  <c r="A28" i="130"/>
  <c r="A29" i="130"/>
  <c r="A30" i="130"/>
  <c r="A31" i="130"/>
  <c r="A32" i="130"/>
  <c r="A33" i="130"/>
  <c r="A34" i="130"/>
  <c r="A35" i="130"/>
  <c r="A36" i="130"/>
  <c r="A37" i="130"/>
  <c r="A38" i="130"/>
  <c r="A39" i="130"/>
  <c r="A40" i="130"/>
  <c r="A41" i="130"/>
  <c r="A42" i="130"/>
  <c r="A43" i="130"/>
  <c r="A44" i="130"/>
  <c r="A45" i="130"/>
  <c r="A46" i="130"/>
  <c r="AJ8" i="130"/>
  <c r="AJ9" i="130"/>
  <c r="AJ10" i="130"/>
  <c r="J18" i="129"/>
  <c r="M14" i="129"/>
  <c r="M16" i="129"/>
  <c r="I12" i="129"/>
  <c r="I13" i="129"/>
  <c r="I14" i="129"/>
  <c r="I15" i="129"/>
  <c r="I16" i="129"/>
  <c r="I17" i="129"/>
  <c r="I18" i="129"/>
  <c r="I19" i="129"/>
  <c r="I20" i="129"/>
  <c r="D19" i="129"/>
  <c r="D18" i="129"/>
  <c r="C16" i="129"/>
  <c r="C19" i="129"/>
  <c r="C18" i="129"/>
  <c r="A14" i="129"/>
  <c r="A15" i="129"/>
  <c r="A16" i="129"/>
  <c r="A17" i="129"/>
  <c r="A18" i="129"/>
  <c r="A19" i="129"/>
  <c r="A20" i="129"/>
  <c r="E15" i="129"/>
  <c r="E14" i="129"/>
  <c r="E18" i="129"/>
  <c r="A29" i="87"/>
  <c r="A28" i="87"/>
  <c r="A27" i="87"/>
  <c r="I26" i="87"/>
  <c r="I28" i="87"/>
  <c r="I29" i="87"/>
  <c r="G26" i="87"/>
  <c r="G28" i="87"/>
  <c r="G29" i="87"/>
  <c r="A26" i="87"/>
  <c r="A25" i="87"/>
  <c r="E26" i="87"/>
  <c r="E28" i="87"/>
  <c r="E29" i="87"/>
  <c r="D26" i="87"/>
  <c r="D28" i="87"/>
  <c r="A24" i="87"/>
  <c r="A23" i="87"/>
  <c r="A22" i="87"/>
  <c r="A21" i="87"/>
  <c r="A20" i="87"/>
  <c r="A19" i="87"/>
  <c r="I21" i="87"/>
  <c r="G21" i="87"/>
  <c r="E21" i="87"/>
  <c r="D21" i="87"/>
  <c r="A18" i="87"/>
  <c r="A17" i="87"/>
  <c r="F20" i="87"/>
  <c r="H20" i="87"/>
  <c r="J20" i="87"/>
  <c r="F19" i="87"/>
  <c r="H19" i="87"/>
  <c r="J19" i="87"/>
  <c r="F24" i="87"/>
  <c r="F18" i="87"/>
  <c r="I4" i="129"/>
  <c r="I5" i="129"/>
  <c r="H29" i="152"/>
  <c r="H36" i="152"/>
  <c r="J27" i="152"/>
  <c r="K27" i="152"/>
  <c r="S107" i="131"/>
  <c r="K141" i="131"/>
  <c r="K12" i="96"/>
  <c r="W9" i="135"/>
  <c r="C12" i="96"/>
  <c r="O9" i="135"/>
  <c r="J34" i="96"/>
  <c r="S345" i="131"/>
  <c r="J16" i="152"/>
  <c r="K16" i="152"/>
  <c r="I29" i="152"/>
  <c r="I36" i="152"/>
  <c r="S188" i="131"/>
  <c r="S266" i="131"/>
  <c r="E16" i="129"/>
  <c r="L25" i="103"/>
  <c r="S91" i="131"/>
  <c r="M6" i="130"/>
  <c r="S226" i="131"/>
  <c r="F29" i="152"/>
  <c r="J22" i="152"/>
  <c r="K18" i="152"/>
  <c r="G34" i="96"/>
  <c r="G12" i="96"/>
  <c r="S9" i="135"/>
  <c r="J13" i="96"/>
  <c r="V4" i="135"/>
  <c r="S99" i="131"/>
  <c r="S115" i="131"/>
  <c r="S131" i="131"/>
  <c r="S195" i="131"/>
  <c r="S219" i="131"/>
  <c r="S238" i="131"/>
  <c r="S259" i="131"/>
  <c r="S306" i="131"/>
  <c r="S324" i="131"/>
  <c r="O141" i="131"/>
  <c r="F12" i="96"/>
  <c r="R9" i="135"/>
  <c r="AK8" i="130"/>
  <c r="AK9" i="130"/>
  <c r="AK10" i="130"/>
  <c r="K34" i="96"/>
  <c r="N32" i="96"/>
  <c r="M12" i="96"/>
  <c r="Y9" i="135"/>
  <c r="E12" i="96"/>
  <c r="Q9" i="135"/>
  <c r="I12" i="96"/>
  <c r="U9" i="135"/>
  <c r="S52" i="131"/>
  <c r="S77" i="131"/>
  <c r="H34" i="96"/>
  <c r="H12" i="96"/>
  <c r="T9" i="135"/>
  <c r="F8" i="105"/>
  <c r="E34" i="96"/>
  <c r="H56" i="87"/>
  <c r="H58" i="87"/>
  <c r="Q141" i="131"/>
  <c r="O270" i="131"/>
  <c r="M270" i="131"/>
  <c r="S333" i="131"/>
  <c r="N28" i="96"/>
  <c r="F21" i="87"/>
  <c r="S123" i="131"/>
  <c r="S139" i="131"/>
  <c r="S166" i="131"/>
  <c r="M9" i="96"/>
  <c r="E9" i="96"/>
  <c r="S245" i="131"/>
  <c r="L34" i="96"/>
  <c r="M79" i="131"/>
  <c r="D29" i="87"/>
  <c r="J14" i="129"/>
  <c r="I34" i="96"/>
  <c r="N33" i="96"/>
  <c r="L12" i="96"/>
  <c r="X9" i="135"/>
  <c r="D12" i="96"/>
  <c r="P9" i="135"/>
  <c r="G13" i="96"/>
  <c r="S4" i="135"/>
  <c r="J12" i="96"/>
  <c r="H50" i="87"/>
  <c r="F53" i="87"/>
  <c r="E60" i="87"/>
  <c r="E61" i="87"/>
  <c r="C20" i="129"/>
  <c r="E19" i="129"/>
  <c r="E20" i="129"/>
  <c r="M18" i="129"/>
  <c r="M20" i="129"/>
  <c r="H24" i="87"/>
  <c r="F26" i="87"/>
  <c r="D27" i="134"/>
  <c r="H18" i="87"/>
  <c r="J20" i="129"/>
  <c r="D27" i="142"/>
  <c r="P6" i="130"/>
  <c r="V6" i="130"/>
  <c r="AB6" i="130"/>
  <c r="AE6" i="130"/>
  <c r="S6" i="130"/>
  <c r="Y6" i="130"/>
  <c r="S65" i="131"/>
  <c r="K79" i="131"/>
  <c r="D27" i="133"/>
  <c r="F27" i="133"/>
  <c r="H27" i="133"/>
  <c r="M141" i="131"/>
  <c r="K270" i="131"/>
  <c r="S205" i="131"/>
  <c r="D28" i="147"/>
  <c r="F28" i="147"/>
  <c r="C27" i="147"/>
  <c r="F27" i="147"/>
  <c r="H27" i="147"/>
  <c r="J27" i="147"/>
  <c r="D34" i="96"/>
  <c r="N31" i="96"/>
  <c r="S40" i="131"/>
  <c r="M34" i="96"/>
  <c r="B6" i="105"/>
  <c r="N4" i="96"/>
  <c r="O79" i="131"/>
  <c r="F34" i="96"/>
  <c r="I13" i="96"/>
  <c r="L9" i="96"/>
  <c r="I61" i="87"/>
  <c r="Q79" i="131"/>
  <c r="S27" i="131"/>
  <c r="Q270" i="131"/>
  <c r="S159" i="131"/>
  <c r="S180" i="131"/>
  <c r="F60" i="87"/>
  <c r="F61" i="87"/>
  <c r="H13" i="96"/>
  <c r="T4" i="135"/>
  <c r="F13" i="96"/>
  <c r="R4" i="135"/>
  <c r="M13" i="96"/>
  <c r="Y4" i="135"/>
  <c r="E13" i="96"/>
  <c r="Q4" i="135"/>
  <c r="H9" i="96"/>
  <c r="D61" i="87"/>
  <c r="L13" i="96"/>
  <c r="X4" i="135"/>
  <c r="D13" i="96"/>
  <c r="K13" i="96"/>
  <c r="W4" i="135"/>
  <c r="C13" i="96"/>
  <c r="O4" i="135"/>
  <c r="W6" i="135"/>
  <c r="K9" i="96"/>
  <c r="C9" i="96"/>
  <c r="B12" i="96"/>
  <c r="B3" i="105"/>
  <c r="N3" i="96"/>
  <c r="B9" i="96"/>
  <c r="O6" i="135"/>
  <c r="D9" i="96"/>
  <c r="B8" i="105"/>
  <c r="K8" i="105"/>
  <c r="K9" i="105"/>
  <c r="I9" i="96"/>
  <c r="J9" i="96"/>
  <c r="B7" i="105"/>
  <c r="J7" i="105"/>
  <c r="N6" i="96"/>
  <c r="G9" i="96"/>
  <c r="N5" i="96"/>
  <c r="F9" i="96"/>
  <c r="N8" i="96"/>
  <c r="N7" i="96"/>
  <c r="R6" i="135"/>
  <c r="B14" i="96"/>
  <c r="B5" i="105"/>
  <c r="P6" i="135"/>
  <c r="B4" i="105"/>
  <c r="B13" i="96"/>
  <c r="N19" i="103"/>
  <c r="E25" i="103"/>
  <c r="H28" i="147"/>
  <c r="J28" i="147"/>
  <c r="J56" i="87"/>
  <c r="J58" i="87"/>
  <c r="J60" i="87"/>
  <c r="J61" i="87"/>
  <c r="S141" i="131"/>
  <c r="I15" i="96"/>
  <c r="M347" i="131"/>
  <c r="M373" i="131"/>
  <c r="D15" i="96"/>
  <c r="H15" i="96"/>
  <c r="M15" i="96"/>
  <c r="J15" i="96"/>
  <c r="K22" i="152"/>
  <c r="Q12" i="135"/>
  <c r="J29" i="152"/>
  <c r="F15" i="96"/>
  <c r="S270" i="131"/>
  <c r="O347" i="131"/>
  <c r="W12" i="135"/>
  <c r="P4" i="135"/>
  <c r="P12" i="135"/>
  <c r="G15" i="96"/>
  <c r="V9" i="135"/>
  <c r="V12" i="135"/>
  <c r="E15" i="96"/>
  <c r="N34" i="96"/>
  <c r="O12" i="135"/>
  <c r="Y12" i="135"/>
  <c r="H60" i="87"/>
  <c r="H61" i="87"/>
  <c r="D28" i="142"/>
  <c r="C27" i="142"/>
  <c r="F28" i="87"/>
  <c r="F29" i="87"/>
  <c r="C27" i="133"/>
  <c r="D28" i="133"/>
  <c r="F28" i="133"/>
  <c r="H28" i="133"/>
  <c r="J27" i="133"/>
  <c r="C15" i="96"/>
  <c r="K347" i="131"/>
  <c r="K373" i="131"/>
  <c r="F27" i="142"/>
  <c r="H27" i="142"/>
  <c r="J27" i="142"/>
  <c r="D28" i="134"/>
  <c r="F28" i="134"/>
  <c r="C27" i="134"/>
  <c r="H26" i="87"/>
  <c r="J24" i="87"/>
  <c r="J26" i="87"/>
  <c r="AN6" i="130"/>
  <c r="AH6" i="130"/>
  <c r="J18" i="87"/>
  <c r="J21" i="87"/>
  <c r="H21" i="87"/>
  <c r="K15" i="96"/>
  <c r="S79" i="131"/>
  <c r="Q347" i="131"/>
  <c r="L15" i="96"/>
  <c r="U4" i="135"/>
  <c r="U12" i="135"/>
  <c r="F27" i="134"/>
  <c r="H27" i="134"/>
  <c r="L33" i="103"/>
  <c r="E33" i="103"/>
  <c r="C28" i="147"/>
  <c r="D29" i="147"/>
  <c r="F29" i="147"/>
  <c r="H53" i="87"/>
  <c r="J50" i="87"/>
  <c r="J53" i="87"/>
  <c r="N13" i="96"/>
  <c r="N4" i="135"/>
  <c r="N14" i="96"/>
  <c r="N6" i="135"/>
  <c r="X12" i="135"/>
  <c r="N9" i="96"/>
  <c r="T12" i="135"/>
  <c r="I3" i="105"/>
  <c r="B9" i="105"/>
  <c r="R12" i="135"/>
  <c r="J4" i="105"/>
  <c r="C4" i="105"/>
  <c r="B15" i="96"/>
  <c r="N9" i="135"/>
  <c r="N12" i="96"/>
  <c r="S12" i="135"/>
  <c r="H29" i="147"/>
  <c r="J29" i="147"/>
  <c r="H28" i="134"/>
  <c r="J28" i="134"/>
  <c r="J36" i="152"/>
  <c r="K29" i="152"/>
  <c r="D29" i="134"/>
  <c r="F29" i="134"/>
  <c r="C28" i="134"/>
  <c r="C29" i="147"/>
  <c r="D30" i="147"/>
  <c r="J27" i="134"/>
  <c r="G33" i="103"/>
  <c r="G49" i="103"/>
  <c r="F33" i="103"/>
  <c r="S347" i="131"/>
  <c r="J28" i="133"/>
  <c r="D29" i="133"/>
  <c r="F29" i="133"/>
  <c r="H29" i="133"/>
  <c r="C28" i="133"/>
  <c r="D29" i="142"/>
  <c r="F29" i="142"/>
  <c r="C28" i="142"/>
  <c r="M33" i="103"/>
  <c r="N33" i="103"/>
  <c r="J28" i="87"/>
  <c r="J29" i="87"/>
  <c r="H28" i="87"/>
  <c r="H29" i="87"/>
  <c r="F28" i="142"/>
  <c r="H28" i="142"/>
  <c r="J28" i="142"/>
  <c r="AL4" i="135"/>
  <c r="B39" i="133" a="1"/>
  <c r="B53" i="133" s="1"/>
  <c r="N12" i="135"/>
  <c r="C3" i="105"/>
  <c r="J6" i="105"/>
  <c r="AL9" i="135"/>
  <c r="B39" i="142" a="1"/>
  <c r="B39" i="147" a="1"/>
  <c r="AL6" i="135"/>
  <c r="J5" i="105"/>
  <c r="N15" i="96"/>
  <c r="G50" i="103"/>
  <c r="J9" i="105"/>
  <c r="H29" i="134"/>
  <c r="J29" i="134"/>
  <c r="D31" i="147"/>
  <c r="C30" i="147"/>
  <c r="M49" i="103"/>
  <c r="M50" i="103"/>
  <c r="D30" i="134"/>
  <c r="F30" i="134"/>
  <c r="C29" i="134"/>
  <c r="J29" i="133"/>
  <c r="C29" i="133"/>
  <c r="D30" i="133"/>
  <c r="F30" i="147"/>
  <c r="H30" i="147"/>
  <c r="J30" i="147"/>
  <c r="H29" i="142"/>
  <c r="J29" i="142"/>
  <c r="D30" i="142"/>
  <c r="F30" i="142"/>
  <c r="C29" i="142"/>
  <c r="I6" i="105"/>
  <c r="I5" i="105"/>
  <c r="B60" i="147"/>
  <c r="B39" i="147"/>
  <c r="B67" i="147"/>
  <c r="B54" i="147"/>
  <c r="B47" i="147"/>
  <c r="B62" i="147"/>
  <c r="B55" i="147"/>
  <c r="B42" i="147"/>
  <c r="B46" i="147"/>
  <c r="B61" i="147"/>
  <c r="B43" i="147"/>
  <c r="B65" i="147"/>
  <c r="B69" i="147"/>
  <c r="B48" i="147"/>
  <c r="B63" i="147"/>
  <c r="B53" i="147"/>
  <c r="B40" i="147"/>
  <c r="B51" i="147"/>
  <c r="B45" i="147"/>
  <c r="B59" i="147"/>
  <c r="B74" i="147"/>
  <c r="B41" i="147"/>
  <c r="B50" i="147"/>
  <c r="B68" i="147"/>
  <c r="B70" i="147"/>
  <c r="B73" i="147"/>
  <c r="B64" i="147"/>
  <c r="B72" i="147"/>
  <c r="B44" i="147"/>
  <c r="B57" i="147"/>
  <c r="B66" i="147"/>
  <c r="B71" i="147"/>
  <c r="B52" i="147"/>
  <c r="B49" i="147"/>
  <c r="B56" i="147"/>
  <c r="B58" i="147"/>
  <c r="B69" i="142"/>
  <c r="B48" i="142"/>
  <c r="B65" i="142"/>
  <c r="B64" i="142"/>
  <c r="B40" i="142"/>
  <c r="B73" i="142"/>
  <c r="B54" i="142"/>
  <c r="B59" i="142"/>
  <c r="B47" i="142"/>
  <c r="B41" i="142"/>
  <c r="B44" i="142"/>
  <c r="B43" i="142"/>
  <c r="B42" i="142"/>
  <c r="B50" i="142"/>
  <c r="B46" i="142"/>
  <c r="B66" i="142"/>
  <c r="B45" i="142"/>
  <c r="B53" i="142"/>
  <c r="B61" i="142"/>
  <c r="B68" i="142"/>
  <c r="B60" i="142"/>
  <c r="B72" i="142"/>
  <c r="B39" i="142"/>
  <c r="B58" i="142"/>
  <c r="B71" i="142"/>
  <c r="B74" i="142"/>
  <c r="B56" i="142"/>
  <c r="B57" i="142"/>
  <c r="B67" i="142"/>
  <c r="B62" i="142"/>
  <c r="B52" i="142"/>
  <c r="B51" i="142"/>
  <c r="B63" i="142"/>
  <c r="B70" i="142"/>
  <c r="B55" i="142"/>
  <c r="B49" i="142"/>
  <c r="H30" i="134"/>
  <c r="J30" i="134"/>
  <c r="I9" i="105"/>
  <c r="L9" i="105"/>
  <c r="I10" i="105"/>
  <c r="H30" i="142"/>
  <c r="J30" i="142"/>
  <c r="C30" i="142"/>
  <c r="D31" i="142"/>
  <c r="F31" i="142"/>
  <c r="C30" i="133"/>
  <c r="D31" i="133"/>
  <c r="F31" i="133"/>
  <c r="D31" i="134"/>
  <c r="F31" i="134"/>
  <c r="C30" i="134"/>
  <c r="F30" i="133"/>
  <c r="H30" i="133"/>
  <c r="J30" i="133"/>
  <c r="C31" i="147"/>
  <c r="D32" i="147"/>
  <c r="F32" i="147"/>
  <c r="F31" i="147"/>
  <c r="H31" i="147"/>
  <c r="J31" i="147"/>
  <c r="H31" i="134"/>
  <c r="J31" i="134"/>
  <c r="H31" i="142"/>
  <c r="J31" i="142"/>
  <c r="H32" i="147"/>
  <c r="J32" i="147"/>
  <c r="H31" i="133"/>
  <c r="J31" i="133"/>
  <c r="C32" i="147"/>
  <c r="D33" i="147"/>
  <c r="F33" i="147"/>
  <c r="C31" i="133"/>
  <c r="D32" i="133"/>
  <c r="F32" i="133"/>
  <c r="D32" i="142"/>
  <c r="F32" i="142"/>
  <c r="C31" i="142"/>
  <c r="D32" i="134"/>
  <c r="F32" i="134"/>
  <c r="C31" i="134"/>
  <c r="K10" i="105"/>
  <c r="J10" i="105"/>
  <c r="H32" i="134"/>
  <c r="J32" i="134"/>
  <c r="H32" i="142"/>
  <c r="J32" i="142"/>
  <c r="H33" i="147"/>
  <c r="J33" i="147"/>
  <c r="H32" i="133"/>
  <c r="J32" i="133"/>
  <c r="D33" i="133"/>
  <c r="F33" i="133"/>
  <c r="C32" i="133"/>
  <c r="C33" i="147"/>
  <c r="D34" i="147"/>
  <c r="F34" i="147"/>
  <c r="C32" i="142"/>
  <c r="D33" i="142"/>
  <c r="L10" i="105"/>
  <c r="D33" i="134"/>
  <c r="C32" i="134"/>
  <c r="H33" i="133"/>
  <c r="J33" i="133"/>
  <c r="H34" i="147"/>
  <c r="J34" i="147"/>
  <c r="D34" i="133"/>
  <c r="F34" i="133"/>
  <c r="C33" i="133"/>
  <c r="C33" i="134"/>
  <c r="D34" i="134"/>
  <c r="F34" i="134"/>
  <c r="D34" i="142"/>
  <c r="F34" i="142"/>
  <c r="C33" i="142"/>
  <c r="C34" i="147"/>
  <c r="D35" i="147"/>
  <c r="F33" i="134"/>
  <c r="H33" i="134"/>
  <c r="F33" i="142"/>
  <c r="H33" i="142"/>
  <c r="J33" i="142"/>
  <c r="H34" i="133"/>
  <c r="J34" i="133"/>
  <c r="H34" i="134"/>
  <c r="J34" i="134"/>
  <c r="D36" i="147"/>
  <c r="F36" i="147"/>
  <c r="C35" i="147"/>
  <c r="J33" i="134"/>
  <c r="F35" i="147"/>
  <c r="H35" i="147"/>
  <c r="J35" i="147"/>
  <c r="H34" i="142"/>
  <c r="J34" i="142"/>
  <c r="D35" i="142"/>
  <c r="F35" i="142"/>
  <c r="C34" i="142"/>
  <c r="D35" i="133"/>
  <c r="F35" i="133"/>
  <c r="H35" i="133"/>
  <c r="C34" i="133"/>
  <c r="C34" i="134"/>
  <c r="D35" i="134"/>
  <c r="H36" i="147"/>
  <c r="J36" i="147"/>
  <c r="C35" i="133"/>
  <c r="J35" i="133"/>
  <c r="D36" i="133"/>
  <c r="F36" i="133"/>
  <c r="H36" i="133"/>
  <c r="C36" i="147"/>
  <c r="D37" i="147"/>
  <c r="F37" i="147"/>
  <c r="C35" i="134"/>
  <c r="D36" i="134"/>
  <c r="F36" i="134"/>
  <c r="F35" i="134"/>
  <c r="H35" i="134"/>
  <c r="J35" i="134"/>
  <c r="H35" i="142"/>
  <c r="J35" i="142"/>
  <c r="D36" i="142"/>
  <c r="F36" i="142"/>
  <c r="C35" i="142"/>
  <c r="H37" i="147"/>
  <c r="J37" i="147"/>
  <c r="H36" i="134"/>
  <c r="J36" i="134"/>
  <c r="H36" i="142"/>
  <c r="J36" i="142"/>
  <c r="D38" i="147"/>
  <c r="F38" i="147"/>
  <c r="C37" i="147"/>
  <c r="D37" i="134"/>
  <c r="F37" i="134"/>
  <c r="C36" i="134"/>
  <c r="J36" i="133"/>
  <c r="D37" i="133"/>
  <c r="F37" i="133"/>
  <c r="H37" i="133"/>
  <c r="C36" i="133"/>
  <c r="D37" i="142"/>
  <c r="C36" i="142"/>
  <c r="H38" i="147"/>
  <c r="H37" i="134"/>
  <c r="J37" i="134"/>
  <c r="C37" i="142"/>
  <c r="D38" i="142"/>
  <c r="J38" i="147"/>
  <c r="C38" i="147"/>
  <c r="D39" i="147"/>
  <c r="F39" i="147"/>
  <c r="F37" i="142"/>
  <c r="H37" i="142"/>
  <c r="J37" i="142"/>
  <c r="C37" i="134"/>
  <c r="D38" i="134"/>
  <c r="J37" i="133"/>
  <c r="C37" i="133"/>
  <c r="D38" i="133"/>
  <c r="F38" i="133"/>
  <c r="H38" i="133"/>
  <c r="E31" i="147"/>
  <c r="E34" i="147"/>
  <c r="E38" i="147"/>
  <c r="E28" i="147"/>
  <c r="E35" i="147"/>
  <c r="E30" i="147"/>
  <c r="E27" i="147"/>
  <c r="G27" i="147"/>
  <c r="I27" i="147"/>
  <c r="K27" i="147"/>
  <c r="L27" i="147"/>
  <c r="M27" i="147"/>
  <c r="E33" i="147"/>
  <c r="E36" i="147"/>
  <c r="E29" i="147"/>
  <c r="E37" i="147"/>
  <c r="E32" i="147"/>
  <c r="H39" i="147"/>
  <c r="O5" i="132"/>
  <c r="Q5" i="132"/>
  <c r="C38" i="134"/>
  <c r="C38" i="142"/>
  <c r="D39" i="142"/>
  <c r="F39" i="142"/>
  <c r="F38" i="134"/>
  <c r="H38" i="134"/>
  <c r="F38" i="142"/>
  <c r="H38" i="142"/>
  <c r="J38" i="142"/>
  <c r="C38" i="133"/>
  <c r="J38" i="133"/>
  <c r="N5" i="132"/>
  <c r="C39" i="147"/>
  <c r="D40" i="147"/>
  <c r="F40" i="147"/>
  <c r="J39" i="147"/>
  <c r="Q6" i="132"/>
  <c r="H40" i="147"/>
  <c r="O6" i="132"/>
  <c r="E30" i="134"/>
  <c r="E31" i="134"/>
  <c r="E33" i="134"/>
  <c r="E34" i="134"/>
  <c r="E38" i="134"/>
  <c r="E36" i="134"/>
  <c r="E32" i="134"/>
  <c r="E37" i="134"/>
  <c r="E27" i="134"/>
  <c r="G27" i="134"/>
  <c r="I27" i="134"/>
  <c r="K27" i="134"/>
  <c r="L27" i="134"/>
  <c r="E28" i="134"/>
  <c r="E29" i="134"/>
  <c r="E35" i="134"/>
  <c r="E35" i="133"/>
  <c r="E37" i="133"/>
  <c r="E32" i="133"/>
  <c r="E36" i="133"/>
  <c r="E33" i="133"/>
  <c r="E38" i="133"/>
  <c r="E31" i="133"/>
  <c r="E29" i="133"/>
  <c r="E27" i="133"/>
  <c r="G27" i="133"/>
  <c r="I27" i="133"/>
  <c r="K27" i="133"/>
  <c r="L27" i="133"/>
  <c r="M27" i="133"/>
  <c r="E28" i="133"/>
  <c r="E30" i="133"/>
  <c r="E34" i="133"/>
  <c r="G28" i="147"/>
  <c r="I28" i="147"/>
  <c r="K28" i="147"/>
  <c r="L28" i="147"/>
  <c r="M28" i="147"/>
  <c r="E30" i="142"/>
  <c r="E34" i="142"/>
  <c r="E35" i="142"/>
  <c r="E37" i="142"/>
  <c r="E33" i="142"/>
  <c r="E29" i="142"/>
  <c r="E32" i="142"/>
  <c r="E38" i="142"/>
  <c r="E36" i="142"/>
  <c r="E31" i="142"/>
  <c r="E27" i="142"/>
  <c r="G27" i="142"/>
  <c r="I27" i="142"/>
  <c r="K27" i="142"/>
  <c r="L27" i="142"/>
  <c r="M27" i="142"/>
  <c r="E28" i="142"/>
  <c r="H39" i="142"/>
  <c r="J39" i="142"/>
  <c r="W5" i="132"/>
  <c r="J38" i="134"/>
  <c r="C40" i="147"/>
  <c r="N6" i="132"/>
  <c r="D41" i="147"/>
  <c r="F41" i="147"/>
  <c r="T5" i="132"/>
  <c r="D40" i="142"/>
  <c r="F40" i="142"/>
  <c r="C39" i="142"/>
  <c r="G29" i="147"/>
  <c r="J40" i="147"/>
  <c r="G28" i="134"/>
  <c r="I28" i="134"/>
  <c r="K28" i="134"/>
  <c r="L28" i="134"/>
  <c r="M28" i="134"/>
  <c r="Q7" i="132"/>
  <c r="H41" i="147"/>
  <c r="O7" i="132"/>
  <c r="M27" i="134"/>
  <c r="H40" i="142"/>
  <c r="W6" i="132"/>
  <c r="C41" i="147"/>
  <c r="N7" i="132"/>
  <c r="D42" i="147"/>
  <c r="U5" i="132"/>
  <c r="C40" i="142"/>
  <c r="T6" i="132"/>
  <c r="D41" i="142"/>
  <c r="G28" i="133"/>
  <c r="I28" i="133"/>
  <c r="K28" i="133"/>
  <c r="L28" i="133"/>
  <c r="M28" i="133"/>
  <c r="G28" i="142"/>
  <c r="I28" i="142"/>
  <c r="K28" i="142"/>
  <c r="L28" i="142"/>
  <c r="M28" i="142"/>
  <c r="G29" i="134"/>
  <c r="I29" i="134"/>
  <c r="K29" i="134"/>
  <c r="L29" i="134"/>
  <c r="M29" i="134"/>
  <c r="I29" i="147"/>
  <c r="K29" i="147"/>
  <c r="L29" i="147"/>
  <c r="M29" i="147"/>
  <c r="G30" i="147"/>
  <c r="G29" i="133"/>
  <c r="C41" i="142"/>
  <c r="D42" i="142"/>
  <c r="F42" i="142"/>
  <c r="T7" i="132"/>
  <c r="D43" i="147"/>
  <c r="F43" i="147"/>
  <c r="N8" i="132"/>
  <c r="C42" i="147"/>
  <c r="F41" i="142"/>
  <c r="U6" i="132"/>
  <c r="G29" i="142"/>
  <c r="J41" i="147"/>
  <c r="J40" i="142"/>
  <c r="F42" i="147"/>
  <c r="G30" i="134"/>
  <c r="I30" i="134"/>
  <c r="K30" i="134"/>
  <c r="L30" i="134"/>
  <c r="I30" i="147"/>
  <c r="K30" i="147"/>
  <c r="L30" i="147"/>
  <c r="M30" i="147"/>
  <c r="G31" i="147"/>
  <c r="I29" i="133"/>
  <c r="K29" i="133"/>
  <c r="L29" i="133"/>
  <c r="M29" i="133"/>
  <c r="G30" i="133"/>
  <c r="Q8" i="132"/>
  <c r="H42" i="147"/>
  <c r="C42" i="142"/>
  <c r="T8" i="132"/>
  <c r="D43" i="142"/>
  <c r="F43" i="142"/>
  <c r="C43" i="147"/>
  <c r="D44" i="147"/>
  <c r="N9" i="132"/>
  <c r="W8" i="132"/>
  <c r="Q9" i="132"/>
  <c r="W7" i="132"/>
  <c r="H41" i="142"/>
  <c r="I29" i="142"/>
  <c r="K29" i="142"/>
  <c r="L29" i="142"/>
  <c r="M29" i="142"/>
  <c r="G30" i="142"/>
  <c r="G31" i="134"/>
  <c r="G32" i="134"/>
  <c r="I30" i="133"/>
  <c r="K30" i="133"/>
  <c r="L30" i="133"/>
  <c r="M30" i="133"/>
  <c r="G31" i="133"/>
  <c r="I31" i="147"/>
  <c r="K31" i="147"/>
  <c r="L31" i="147"/>
  <c r="M31" i="147"/>
  <c r="G32" i="147"/>
  <c r="M30" i="134"/>
  <c r="C44" i="147"/>
  <c r="D45" i="147"/>
  <c r="N10" i="132"/>
  <c r="O8" i="132"/>
  <c r="J42" i="147"/>
  <c r="H43" i="147"/>
  <c r="I30" i="142"/>
  <c r="K30" i="142"/>
  <c r="L30" i="142"/>
  <c r="M30" i="142"/>
  <c r="G31" i="142"/>
  <c r="U7" i="132"/>
  <c r="J41" i="142"/>
  <c r="W9" i="132"/>
  <c r="H42" i="142"/>
  <c r="H43" i="142"/>
  <c r="J43" i="142"/>
  <c r="F44" i="147"/>
  <c r="D44" i="142"/>
  <c r="F44" i="142"/>
  <c r="T9" i="132"/>
  <c r="C43" i="142"/>
  <c r="I31" i="134"/>
  <c r="K31" i="134"/>
  <c r="L31" i="134"/>
  <c r="M31" i="134"/>
  <c r="I32" i="147"/>
  <c r="K32" i="147"/>
  <c r="L32" i="147"/>
  <c r="M32" i="147"/>
  <c r="G33" i="147"/>
  <c r="G32" i="133"/>
  <c r="I31" i="133"/>
  <c r="K31" i="133"/>
  <c r="L31" i="133"/>
  <c r="M31" i="133"/>
  <c r="D46" i="147"/>
  <c r="F46" i="147"/>
  <c r="C45" i="147"/>
  <c r="N11" i="132"/>
  <c r="O9" i="132"/>
  <c r="J43" i="147"/>
  <c r="I31" i="142"/>
  <c r="K31" i="142"/>
  <c r="L31" i="142"/>
  <c r="M31" i="142"/>
  <c r="G32" i="142"/>
  <c r="I32" i="134"/>
  <c r="K32" i="134"/>
  <c r="L32" i="134"/>
  <c r="G33" i="134"/>
  <c r="T10" i="132"/>
  <c r="C44" i="142"/>
  <c r="D45" i="142"/>
  <c r="F45" i="142"/>
  <c r="H44" i="147"/>
  <c r="Q10" i="132"/>
  <c r="U8" i="132"/>
  <c r="J42" i="142"/>
  <c r="W10" i="132"/>
  <c r="H44" i="142"/>
  <c r="J44" i="142"/>
  <c r="F45" i="147"/>
  <c r="U9" i="132"/>
  <c r="I33" i="147"/>
  <c r="K33" i="147"/>
  <c r="L33" i="147"/>
  <c r="M33" i="147"/>
  <c r="G34" i="147"/>
  <c r="I32" i="133"/>
  <c r="K32" i="133"/>
  <c r="L32" i="133"/>
  <c r="M32" i="133"/>
  <c r="G33" i="133"/>
  <c r="C45" i="142"/>
  <c r="T11" i="132"/>
  <c r="D46" i="142"/>
  <c r="F46" i="142"/>
  <c r="W11" i="132"/>
  <c r="H45" i="142"/>
  <c r="U10" i="132"/>
  <c r="O10" i="132"/>
  <c r="J44" i="147"/>
  <c r="M32" i="134"/>
  <c r="Q12" i="132"/>
  <c r="H45" i="147"/>
  <c r="H46" i="147"/>
  <c r="O12" i="132"/>
  <c r="Q11" i="132"/>
  <c r="I33" i="134"/>
  <c r="K33" i="134"/>
  <c r="L33" i="134"/>
  <c r="G34" i="134"/>
  <c r="I32" i="142"/>
  <c r="K32" i="142"/>
  <c r="L32" i="142"/>
  <c r="M32" i="142"/>
  <c r="G33" i="142"/>
  <c r="N12" i="132"/>
  <c r="C46" i="147"/>
  <c r="D47" i="147"/>
  <c r="G34" i="133"/>
  <c r="I33" i="133"/>
  <c r="K33" i="133"/>
  <c r="L33" i="133"/>
  <c r="M33" i="133"/>
  <c r="I34" i="147"/>
  <c r="K34" i="147"/>
  <c r="L34" i="147"/>
  <c r="M34" i="147"/>
  <c r="G35" i="147"/>
  <c r="H46" i="142"/>
  <c r="J46" i="142"/>
  <c r="W12" i="132"/>
  <c r="T12" i="132"/>
  <c r="D47" i="142"/>
  <c r="F47" i="142"/>
  <c r="C46" i="142"/>
  <c r="M33" i="134"/>
  <c r="F47" i="147"/>
  <c r="C47" i="147"/>
  <c r="D48" i="147"/>
  <c r="F48" i="147"/>
  <c r="N13" i="132"/>
  <c r="I33" i="142"/>
  <c r="K33" i="142"/>
  <c r="L33" i="142"/>
  <c r="M33" i="142"/>
  <c r="G34" i="142"/>
  <c r="O11" i="132"/>
  <c r="J45" i="147"/>
  <c r="U11" i="132"/>
  <c r="J46" i="147"/>
  <c r="I34" i="134"/>
  <c r="K34" i="134"/>
  <c r="L34" i="134"/>
  <c r="G35" i="134"/>
  <c r="J45" i="142"/>
  <c r="I34" i="133"/>
  <c r="K34" i="133"/>
  <c r="L34" i="133"/>
  <c r="M34" i="133"/>
  <c r="G35" i="133"/>
  <c r="I35" i="147"/>
  <c r="K35" i="147"/>
  <c r="L35" i="147"/>
  <c r="M35" i="147"/>
  <c r="G36" i="147"/>
  <c r="H47" i="142"/>
  <c r="W13" i="132"/>
  <c r="I34" i="142"/>
  <c r="K34" i="142"/>
  <c r="L34" i="142"/>
  <c r="M34" i="142"/>
  <c r="G35" i="142"/>
  <c r="D49" i="147"/>
  <c r="F49" i="147"/>
  <c r="C48" i="147"/>
  <c r="N14" i="132"/>
  <c r="U12" i="132"/>
  <c r="H47" i="147"/>
  <c r="H48" i="147"/>
  <c r="O14" i="132"/>
  <c r="Q13" i="132"/>
  <c r="D48" i="142"/>
  <c r="F48" i="142"/>
  <c r="C47" i="142"/>
  <c r="T13" i="132"/>
  <c r="M34" i="134"/>
  <c r="Q14" i="132"/>
  <c r="I35" i="134"/>
  <c r="K35" i="134"/>
  <c r="L35" i="134"/>
  <c r="G36" i="134"/>
  <c r="I36" i="147"/>
  <c r="K36" i="147"/>
  <c r="L36" i="147"/>
  <c r="M36" i="147"/>
  <c r="G37" i="147"/>
  <c r="G36" i="133"/>
  <c r="I35" i="133"/>
  <c r="K35" i="133"/>
  <c r="L35" i="133"/>
  <c r="M35" i="133"/>
  <c r="M35" i="134"/>
  <c r="W14" i="132"/>
  <c r="H48" i="142"/>
  <c r="U13" i="132"/>
  <c r="D50" i="147"/>
  <c r="F50" i="147"/>
  <c r="C49" i="147"/>
  <c r="N15" i="132"/>
  <c r="J47" i="142"/>
  <c r="H49" i="147"/>
  <c r="O15" i="132"/>
  <c r="Q15" i="132"/>
  <c r="I36" i="134"/>
  <c r="K36" i="134"/>
  <c r="L36" i="134"/>
  <c r="G37" i="134"/>
  <c r="D49" i="142"/>
  <c r="F49" i="142"/>
  <c r="T14" i="132"/>
  <c r="C48" i="142"/>
  <c r="O13" i="132"/>
  <c r="J47" i="147"/>
  <c r="J48" i="147"/>
  <c r="I35" i="142"/>
  <c r="K35" i="142"/>
  <c r="L35" i="142"/>
  <c r="M35" i="142"/>
  <c r="G36" i="142"/>
  <c r="I37" i="147"/>
  <c r="K37" i="147"/>
  <c r="L37" i="147"/>
  <c r="M37" i="147"/>
  <c r="G38" i="147"/>
  <c r="I38" i="147"/>
  <c r="K38" i="147"/>
  <c r="L38" i="147"/>
  <c r="G37" i="133"/>
  <c r="I36" i="133"/>
  <c r="K36" i="133"/>
  <c r="L36" i="133"/>
  <c r="M36" i="133"/>
  <c r="W15" i="132"/>
  <c r="H49" i="142"/>
  <c r="J49" i="142"/>
  <c r="U14" i="132"/>
  <c r="D51" i="147"/>
  <c r="F51" i="147"/>
  <c r="C50" i="147"/>
  <c r="N16" i="132"/>
  <c r="I36" i="142"/>
  <c r="K36" i="142"/>
  <c r="L36" i="142"/>
  <c r="M36" i="142"/>
  <c r="G37" i="142"/>
  <c r="I37" i="134"/>
  <c r="K37" i="134"/>
  <c r="L37" i="134"/>
  <c r="G38" i="134"/>
  <c r="I38" i="134"/>
  <c r="K38" i="134"/>
  <c r="L38" i="134"/>
  <c r="Q16" i="132"/>
  <c r="H50" i="147"/>
  <c r="O16" i="132"/>
  <c r="T15" i="132"/>
  <c r="D50" i="142"/>
  <c r="C49" i="142"/>
  <c r="J48" i="142"/>
  <c r="M36" i="134"/>
  <c r="J49" i="147"/>
  <c r="M38" i="147"/>
  <c r="J50" i="147"/>
  <c r="G38" i="133"/>
  <c r="I38" i="133"/>
  <c r="K38" i="133"/>
  <c r="L38" i="133"/>
  <c r="I37" i="133"/>
  <c r="K37" i="133"/>
  <c r="L37" i="133"/>
  <c r="M37" i="133"/>
  <c r="H51" i="147"/>
  <c r="O17" i="132"/>
  <c r="Q17" i="132"/>
  <c r="E41" i="147"/>
  <c r="E49" i="147"/>
  <c r="E50" i="147"/>
  <c r="E47" i="147"/>
  <c r="E40" i="147"/>
  <c r="E44" i="147"/>
  <c r="E48" i="147"/>
  <c r="E42" i="147"/>
  <c r="E43" i="147"/>
  <c r="E39" i="147"/>
  <c r="G39" i="147"/>
  <c r="I39" i="147"/>
  <c r="K39" i="147"/>
  <c r="L39" i="147"/>
  <c r="E46" i="147"/>
  <c r="E45" i="147"/>
  <c r="U15" i="132"/>
  <c r="N17" i="132"/>
  <c r="C51" i="147"/>
  <c r="D52" i="147"/>
  <c r="F52" i="147"/>
  <c r="T16" i="132"/>
  <c r="D51" i="142"/>
  <c r="F51" i="142"/>
  <c r="C50" i="142"/>
  <c r="F50" i="142"/>
  <c r="M37" i="134"/>
  <c r="I37" i="142"/>
  <c r="K37" i="142"/>
  <c r="L37" i="142"/>
  <c r="M37" i="142"/>
  <c r="G38" i="142"/>
  <c r="I38" i="142"/>
  <c r="K38" i="142"/>
  <c r="L38" i="142"/>
  <c r="M38" i="134"/>
  <c r="M38" i="142"/>
  <c r="M38" i="133"/>
  <c r="W16" i="132"/>
  <c r="P5" i="132"/>
  <c r="M39" i="147"/>
  <c r="H52" i="147"/>
  <c r="O18" i="132"/>
  <c r="Q18" i="132"/>
  <c r="H50" i="142"/>
  <c r="H51" i="142"/>
  <c r="J51" i="142"/>
  <c r="G40" i="147"/>
  <c r="I40" i="147"/>
  <c r="K40" i="147"/>
  <c r="L40" i="147"/>
  <c r="W17" i="132"/>
  <c r="T17" i="132"/>
  <c r="D52" i="142"/>
  <c r="C51" i="142"/>
  <c r="J51" i="147"/>
  <c r="E49" i="142"/>
  <c r="E47" i="142"/>
  <c r="E41" i="142"/>
  <c r="E50" i="142"/>
  <c r="E44" i="142"/>
  <c r="E43" i="142"/>
  <c r="E45" i="142"/>
  <c r="E48" i="142"/>
  <c r="E40" i="142"/>
  <c r="E42" i="142"/>
  <c r="E46" i="142"/>
  <c r="E39" i="142"/>
  <c r="G39" i="142"/>
  <c r="I39" i="142"/>
  <c r="K39" i="142"/>
  <c r="L39" i="142"/>
  <c r="D53" i="147"/>
  <c r="C52" i="147"/>
  <c r="N18" i="132"/>
  <c r="G41" i="147"/>
  <c r="T18" i="132"/>
  <c r="C52" i="142"/>
  <c r="D53" i="142"/>
  <c r="F53" i="142"/>
  <c r="N19" i="132"/>
  <c r="C53" i="147"/>
  <c r="D54" i="147"/>
  <c r="F54" i="147"/>
  <c r="V5" i="132"/>
  <c r="M39" i="142"/>
  <c r="F52" i="142"/>
  <c r="J52" i="147"/>
  <c r="F53" i="147"/>
  <c r="G40" i="142"/>
  <c r="I40" i="142"/>
  <c r="K40" i="142"/>
  <c r="L40" i="142"/>
  <c r="U17" i="132"/>
  <c r="M40" i="147"/>
  <c r="P6" i="132"/>
  <c r="U16" i="132"/>
  <c r="J50" i="142"/>
  <c r="I41" i="147"/>
  <c r="K41" i="147"/>
  <c r="L41" i="147"/>
  <c r="G42" i="147"/>
  <c r="H52" i="142"/>
  <c r="H53" i="142"/>
  <c r="W18" i="132"/>
  <c r="Q20" i="132"/>
  <c r="M40" i="142"/>
  <c r="V6" i="132"/>
  <c r="N20" i="132"/>
  <c r="D55" i="147"/>
  <c r="F55" i="147"/>
  <c r="C54" i="147"/>
  <c r="W19" i="132"/>
  <c r="H53" i="147"/>
  <c r="H54" i="147"/>
  <c r="O20" i="132"/>
  <c r="Q19" i="132"/>
  <c r="G41" i="142"/>
  <c r="T19" i="132"/>
  <c r="C53" i="142"/>
  <c r="D54" i="142"/>
  <c r="I42" i="147"/>
  <c r="K42" i="147"/>
  <c r="L42" i="147"/>
  <c r="G43" i="147"/>
  <c r="M41" i="147"/>
  <c r="P7" i="132"/>
  <c r="U18" i="132"/>
  <c r="J52" i="142"/>
  <c r="I41" i="142"/>
  <c r="K41" i="142"/>
  <c r="L41" i="142"/>
  <c r="G42" i="142"/>
  <c r="J54" i="147"/>
  <c r="U19" i="132"/>
  <c r="J53" i="142"/>
  <c r="T20" i="132"/>
  <c r="D55" i="142"/>
  <c r="F55" i="142"/>
  <c r="C54" i="142"/>
  <c r="O19" i="132"/>
  <c r="J53" i="147"/>
  <c r="Q21" i="132"/>
  <c r="H55" i="147"/>
  <c r="O21" i="132"/>
  <c r="F54" i="142"/>
  <c r="C55" i="147"/>
  <c r="D56" i="147"/>
  <c r="F56" i="147"/>
  <c r="N21" i="132"/>
  <c r="J55" i="147"/>
  <c r="G44" i="147"/>
  <c r="I43" i="147"/>
  <c r="K43" i="147"/>
  <c r="L43" i="147"/>
  <c r="P8" i="132"/>
  <c r="M42" i="147"/>
  <c r="W21" i="132"/>
  <c r="H56" i="147"/>
  <c r="O22" i="132"/>
  <c r="Q22" i="132"/>
  <c r="M41" i="142"/>
  <c r="V7" i="132"/>
  <c r="D57" i="147"/>
  <c r="F57" i="147"/>
  <c r="N22" i="132"/>
  <c r="C56" i="147"/>
  <c r="H54" i="142"/>
  <c r="W20" i="132"/>
  <c r="T21" i="132"/>
  <c r="C55" i="142"/>
  <c r="D56" i="142"/>
  <c r="F56" i="142"/>
  <c r="I42" i="142"/>
  <c r="K42" i="142"/>
  <c r="L42" i="142"/>
  <c r="G43" i="142"/>
  <c r="J56" i="147"/>
  <c r="P9" i="132"/>
  <c r="M43" i="147"/>
  <c r="I44" i="147"/>
  <c r="K44" i="147"/>
  <c r="L44" i="147"/>
  <c r="G45" i="147"/>
  <c r="Q23" i="132"/>
  <c r="H57" i="147"/>
  <c r="O23" i="132"/>
  <c r="N23" i="132"/>
  <c r="D58" i="147"/>
  <c r="F58" i="147"/>
  <c r="C57" i="147"/>
  <c r="I43" i="142"/>
  <c r="K43" i="142"/>
  <c r="L43" i="142"/>
  <c r="G44" i="142"/>
  <c r="W22" i="132"/>
  <c r="D57" i="142"/>
  <c r="C56" i="142"/>
  <c r="T22" i="132"/>
  <c r="J54" i="142"/>
  <c r="U20" i="132"/>
  <c r="M42" i="142"/>
  <c r="V8" i="132"/>
  <c r="H55" i="142"/>
  <c r="H56" i="142"/>
  <c r="J57" i="147"/>
  <c r="I45" i="147"/>
  <c r="K45" i="147"/>
  <c r="L45" i="147"/>
  <c r="G46" i="147"/>
  <c r="P10" i="132"/>
  <c r="M44" i="147"/>
  <c r="H58" i="147"/>
  <c r="O24" i="132"/>
  <c r="Q24" i="132"/>
  <c r="U22" i="132"/>
  <c r="J56" i="142"/>
  <c r="I44" i="142"/>
  <c r="K44" i="142"/>
  <c r="L44" i="142"/>
  <c r="G45" i="142"/>
  <c r="U21" i="132"/>
  <c r="J55" i="142"/>
  <c r="M43" i="142"/>
  <c r="V9" i="132"/>
  <c r="T23" i="132"/>
  <c r="D58" i="142"/>
  <c r="F58" i="142"/>
  <c r="C57" i="142"/>
  <c r="D59" i="147"/>
  <c r="N24" i="132"/>
  <c r="C58" i="147"/>
  <c r="F57" i="142"/>
  <c r="J58" i="147"/>
  <c r="I46" i="147"/>
  <c r="K46" i="147"/>
  <c r="L46" i="147"/>
  <c r="G47" i="147"/>
  <c r="M45" i="147"/>
  <c r="P11" i="132"/>
  <c r="W23" i="132"/>
  <c r="H57" i="142"/>
  <c r="D60" i="147"/>
  <c r="F60" i="147"/>
  <c r="C59" i="147"/>
  <c r="N25" i="132"/>
  <c r="I45" i="142"/>
  <c r="K45" i="142"/>
  <c r="L45" i="142"/>
  <c r="G46" i="142"/>
  <c r="T24" i="132"/>
  <c r="C58" i="142"/>
  <c r="D59" i="142"/>
  <c r="F59" i="142"/>
  <c r="M44" i="142"/>
  <c r="V10" i="132"/>
  <c r="W24" i="132"/>
  <c r="F59" i="147"/>
  <c r="M46" i="147"/>
  <c r="P12" i="132"/>
  <c r="G48" i="147"/>
  <c r="I47" i="147"/>
  <c r="K47" i="147"/>
  <c r="L47" i="147"/>
  <c r="V11" i="132"/>
  <c r="M45" i="142"/>
  <c r="Q26" i="132"/>
  <c r="U23" i="132"/>
  <c r="J57" i="142"/>
  <c r="H58" i="142"/>
  <c r="H59" i="142"/>
  <c r="W25" i="132"/>
  <c r="H59" i="147"/>
  <c r="H60" i="147"/>
  <c r="Q25" i="132"/>
  <c r="T25" i="132"/>
  <c r="D60" i="142"/>
  <c r="F60" i="142"/>
  <c r="C59" i="142"/>
  <c r="I46" i="142"/>
  <c r="K46" i="142"/>
  <c r="L46" i="142"/>
  <c r="G47" i="142"/>
  <c r="D61" i="147"/>
  <c r="N26" i="132"/>
  <c r="C60" i="147"/>
  <c r="M47" i="147"/>
  <c r="P13" i="132"/>
  <c r="G49" i="147"/>
  <c r="I48" i="147"/>
  <c r="K48" i="147"/>
  <c r="L48" i="147"/>
  <c r="O26" i="132"/>
  <c r="H60" i="142"/>
  <c r="J60" i="142"/>
  <c r="W26" i="132"/>
  <c r="O25" i="132"/>
  <c r="J59" i="147"/>
  <c r="U25" i="132"/>
  <c r="J59" i="142"/>
  <c r="F61" i="147"/>
  <c r="Q27" i="132"/>
  <c r="D62" i="147"/>
  <c r="F62" i="147"/>
  <c r="C61" i="147"/>
  <c r="N27" i="132"/>
  <c r="T26" i="132"/>
  <c r="D61" i="142"/>
  <c r="C60" i="142"/>
  <c r="J60" i="147"/>
  <c r="I47" i="142"/>
  <c r="K47" i="142"/>
  <c r="L47" i="142"/>
  <c r="G48" i="142"/>
  <c r="M46" i="142"/>
  <c r="V12" i="132"/>
  <c r="U24" i="132"/>
  <c r="J58" i="142"/>
  <c r="I49" i="147"/>
  <c r="K49" i="147"/>
  <c r="L49" i="147"/>
  <c r="G50" i="147"/>
  <c r="I50" i="147"/>
  <c r="K50" i="147"/>
  <c r="L50" i="147"/>
  <c r="M48" i="147"/>
  <c r="P14" i="132"/>
  <c r="Q28" i="132"/>
  <c r="C62" i="147"/>
  <c r="N28" i="132"/>
  <c r="D63" i="147"/>
  <c r="F63" i="147"/>
  <c r="T27" i="132"/>
  <c r="D62" i="142"/>
  <c r="F62" i="142"/>
  <c r="C61" i="142"/>
  <c r="M47" i="142"/>
  <c r="V13" i="132"/>
  <c r="I48" i="142"/>
  <c r="K48" i="142"/>
  <c r="L48" i="142"/>
  <c r="G49" i="142"/>
  <c r="F61" i="142"/>
  <c r="U26" i="132"/>
  <c r="H61" i="147"/>
  <c r="M49" i="147"/>
  <c r="P15" i="132"/>
  <c r="P16" i="132"/>
  <c r="M50" i="147"/>
  <c r="G50" i="142"/>
  <c r="I50" i="142"/>
  <c r="K50" i="142"/>
  <c r="L50" i="142"/>
  <c r="I49" i="142"/>
  <c r="K49" i="142"/>
  <c r="L49" i="142"/>
  <c r="E62" i="147"/>
  <c r="E56" i="147"/>
  <c r="E52" i="147"/>
  <c r="E60" i="147"/>
  <c r="E57" i="147"/>
  <c r="E55" i="147"/>
  <c r="E61" i="147"/>
  <c r="E53" i="147"/>
  <c r="E59" i="147"/>
  <c r="E58" i="147"/>
  <c r="E54" i="147"/>
  <c r="E51" i="147"/>
  <c r="G51" i="147"/>
  <c r="I51" i="147"/>
  <c r="K51" i="147"/>
  <c r="L51" i="147"/>
  <c r="V14" i="132"/>
  <c r="M48" i="142"/>
  <c r="D63" i="142"/>
  <c r="F63" i="142"/>
  <c r="C62" i="142"/>
  <c r="T28" i="132"/>
  <c r="W28" i="132"/>
  <c r="O27" i="132"/>
  <c r="J61" i="147"/>
  <c r="W27" i="132"/>
  <c r="H61" i="142"/>
  <c r="H62" i="142"/>
  <c r="J62" i="142"/>
  <c r="C63" i="147"/>
  <c r="D64" i="147"/>
  <c r="H62" i="147"/>
  <c r="H63" i="147"/>
  <c r="J63" i="147"/>
  <c r="H63" i="142"/>
  <c r="J63" i="142"/>
  <c r="M49" i="142"/>
  <c r="V15" i="132"/>
  <c r="U28" i="132"/>
  <c r="M51" i="147"/>
  <c r="P17" i="132"/>
  <c r="U27" i="132"/>
  <c r="J61" i="142"/>
  <c r="E62" i="142"/>
  <c r="E51" i="142"/>
  <c r="G51" i="142"/>
  <c r="I51" i="142"/>
  <c r="K51" i="142"/>
  <c r="L51" i="142"/>
  <c r="E53" i="142"/>
  <c r="E56" i="142"/>
  <c r="E58" i="142"/>
  <c r="E57" i="142"/>
  <c r="E60" i="142"/>
  <c r="E59" i="142"/>
  <c r="E61" i="142"/>
  <c r="E54" i="142"/>
  <c r="E55" i="142"/>
  <c r="E52" i="142"/>
  <c r="G52" i="147"/>
  <c r="I52" i="147"/>
  <c r="K52" i="147"/>
  <c r="L52" i="147"/>
  <c r="O28" i="132"/>
  <c r="J62" i="147"/>
  <c r="C64" i="147"/>
  <c r="D65" i="147"/>
  <c r="F65" i="147"/>
  <c r="F64" i="147"/>
  <c r="H64" i="147"/>
  <c r="J64" i="147"/>
  <c r="V16" i="132"/>
  <c r="M50" i="142"/>
  <c r="D64" i="142"/>
  <c r="C63" i="142"/>
  <c r="G52" i="142"/>
  <c r="I52" i="142"/>
  <c r="K52" i="142"/>
  <c r="L52" i="142"/>
  <c r="V18" i="132"/>
  <c r="H65" i="147"/>
  <c r="J65" i="147"/>
  <c r="M51" i="142"/>
  <c r="V17" i="132"/>
  <c r="D65" i="142"/>
  <c r="F65" i="142"/>
  <c r="C64" i="142"/>
  <c r="M52" i="147"/>
  <c r="P18" i="132"/>
  <c r="C65" i="147"/>
  <c r="D66" i="147"/>
  <c r="F64" i="142"/>
  <c r="H64" i="142"/>
  <c r="J64" i="142"/>
  <c r="G53" i="147"/>
  <c r="M52" i="142"/>
  <c r="G53" i="142"/>
  <c r="I53" i="142"/>
  <c r="K53" i="142"/>
  <c r="L53" i="142"/>
  <c r="V19" i="132"/>
  <c r="H65" i="142"/>
  <c r="J65" i="142"/>
  <c r="C66" i="147"/>
  <c r="D67" i="147"/>
  <c r="F67" i="147"/>
  <c r="I53" i="147"/>
  <c r="K53" i="147"/>
  <c r="L53" i="147"/>
  <c r="G54" i="147"/>
  <c r="C65" i="142"/>
  <c r="D66" i="142"/>
  <c r="F66" i="142"/>
  <c r="F66" i="147"/>
  <c r="H66" i="147"/>
  <c r="J66" i="147"/>
  <c r="M53" i="142"/>
  <c r="G54" i="142"/>
  <c r="I54" i="142"/>
  <c r="K54" i="142"/>
  <c r="L54" i="142"/>
  <c r="M54" i="142"/>
  <c r="H66" i="142"/>
  <c r="J66" i="142"/>
  <c r="D67" i="142"/>
  <c r="F67" i="142"/>
  <c r="C66" i="142"/>
  <c r="I54" i="147"/>
  <c r="K54" i="147"/>
  <c r="L54" i="147"/>
  <c r="G55" i="147"/>
  <c r="M53" i="147"/>
  <c r="P19" i="132"/>
  <c r="H67" i="147"/>
  <c r="J67" i="147"/>
  <c r="D68" i="147"/>
  <c r="F68" i="147"/>
  <c r="C67" i="147"/>
  <c r="G55" i="142"/>
  <c r="I55" i="142"/>
  <c r="K55" i="142"/>
  <c r="L55" i="142"/>
  <c r="M55" i="142"/>
  <c r="V20" i="132"/>
  <c r="H68" i="147"/>
  <c r="J68" i="147"/>
  <c r="H67" i="142"/>
  <c r="J67" i="142"/>
  <c r="I55" i="147"/>
  <c r="K55" i="147"/>
  <c r="L55" i="147"/>
  <c r="G56" i="147"/>
  <c r="D69" i="147"/>
  <c r="F69" i="147"/>
  <c r="C68" i="147"/>
  <c r="P20" i="132"/>
  <c r="M54" i="147"/>
  <c r="C67" i="142"/>
  <c r="D68" i="142"/>
  <c r="F68" i="142"/>
  <c r="G56" i="142"/>
  <c r="G57" i="142"/>
  <c r="I57" i="142"/>
  <c r="K57" i="142"/>
  <c r="L57" i="142"/>
  <c r="V21" i="132"/>
  <c r="H69" i="147"/>
  <c r="J69" i="147"/>
  <c r="H68" i="142"/>
  <c r="J68" i="142"/>
  <c r="M55" i="147"/>
  <c r="P21" i="132"/>
  <c r="D69" i="142"/>
  <c r="C68" i="142"/>
  <c r="I56" i="147"/>
  <c r="K56" i="147"/>
  <c r="L56" i="147"/>
  <c r="G57" i="147"/>
  <c r="C69" i="147"/>
  <c r="D70" i="147"/>
  <c r="I56" i="142"/>
  <c r="K56" i="142"/>
  <c r="L56" i="142"/>
  <c r="V22" i="132"/>
  <c r="G58" i="142"/>
  <c r="G59" i="142"/>
  <c r="C69" i="142"/>
  <c r="D70" i="142"/>
  <c r="F70" i="142"/>
  <c r="M56" i="147"/>
  <c r="P22" i="132"/>
  <c r="I57" i="147"/>
  <c r="K57" i="147"/>
  <c r="L57" i="147"/>
  <c r="G58" i="147"/>
  <c r="F70" i="147"/>
  <c r="H70" i="147"/>
  <c r="J70" i="147"/>
  <c r="D71" i="147"/>
  <c r="F71" i="147"/>
  <c r="C70" i="147"/>
  <c r="F69" i="142"/>
  <c r="H69" i="142"/>
  <c r="J69" i="142"/>
  <c r="I58" i="142"/>
  <c r="K58" i="142"/>
  <c r="L58" i="142"/>
  <c r="M58" i="142"/>
  <c r="V23" i="132"/>
  <c r="M57" i="142"/>
  <c r="M56" i="142"/>
  <c r="I59" i="142"/>
  <c r="K59" i="142"/>
  <c r="L59" i="142"/>
  <c r="G60" i="142"/>
  <c r="H70" i="142"/>
  <c r="J70" i="142"/>
  <c r="C70" i="142"/>
  <c r="D71" i="142"/>
  <c r="F71" i="142"/>
  <c r="H71" i="142"/>
  <c r="C71" i="147"/>
  <c r="D72" i="147"/>
  <c r="F72" i="147"/>
  <c r="I58" i="147"/>
  <c r="K58" i="147"/>
  <c r="L58" i="147"/>
  <c r="G59" i="147"/>
  <c r="H71" i="147"/>
  <c r="J71" i="147"/>
  <c r="P23" i="132"/>
  <c r="M57" i="147"/>
  <c r="V24" i="132"/>
  <c r="H72" i="147"/>
  <c r="J72" i="147"/>
  <c r="C71" i="142"/>
  <c r="D72" i="142"/>
  <c r="J71" i="142"/>
  <c r="D73" i="147"/>
  <c r="C72" i="147"/>
  <c r="I60" i="142"/>
  <c r="K60" i="142"/>
  <c r="L60" i="142"/>
  <c r="G61" i="142"/>
  <c r="I59" i="147"/>
  <c r="K59" i="147"/>
  <c r="L59" i="147"/>
  <c r="G60" i="147"/>
  <c r="M59" i="142"/>
  <c r="V25" i="132"/>
  <c r="M58" i="147"/>
  <c r="P24" i="132"/>
  <c r="D74" i="147"/>
  <c r="C73" i="147"/>
  <c r="F73" i="147"/>
  <c r="H73" i="147"/>
  <c r="J73" i="147"/>
  <c r="I61" i="142"/>
  <c r="K61" i="142"/>
  <c r="L61" i="142"/>
  <c r="G62" i="142"/>
  <c r="I62" i="142"/>
  <c r="K62" i="142"/>
  <c r="L62" i="142"/>
  <c r="G61" i="147"/>
  <c r="I60" i="147"/>
  <c r="K60" i="147"/>
  <c r="L60" i="147"/>
  <c r="M60" i="142"/>
  <c r="V26" i="132"/>
  <c r="F72" i="142"/>
  <c r="H72" i="142"/>
  <c r="J72" i="142"/>
  <c r="D73" i="142"/>
  <c r="C72" i="142"/>
  <c r="M59" i="147"/>
  <c r="P25" i="132"/>
  <c r="M61" i="142"/>
  <c r="V27" i="132"/>
  <c r="D74" i="142"/>
  <c r="F74" i="142"/>
  <c r="C73" i="142"/>
  <c r="D75" i="147"/>
  <c r="C74" i="147"/>
  <c r="G62" i="147"/>
  <c r="I62" i="147"/>
  <c r="K62" i="147"/>
  <c r="L62" i="147"/>
  <c r="I61" i="147"/>
  <c r="K61" i="147"/>
  <c r="L61" i="147"/>
  <c r="F73" i="142"/>
  <c r="H73" i="142"/>
  <c r="J73" i="142"/>
  <c r="P26" i="132"/>
  <c r="M60" i="147"/>
  <c r="V28" i="132"/>
  <c r="M62" i="142"/>
  <c r="F74" i="147"/>
  <c r="H74" i="147"/>
  <c r="F75" i="147"/>
  <c r="H74" i="142"/>
  <c r="F75" i="142"/>
  <c r="J74" i="147"/>
  <c r="D75" i="142"/>
  <c r="C74" i="142"/>
  <c r="M61" i="147"/>
  <c r="P27" i="132"/>
  <c r="E74" i="147"/>
  <c r="E64" i="147"/>
  <c r="E73" i="147"/>
  <c r="E63" i="147"/>
  <c r="G63" i="147"/>
  <c r="I63" i="147"/>
  <c r="K63" i="147"/>
  <c r="L63" i="147"/>
  <c r="M63" i="147"/>
  <c r="E69" i="147"/>
  <c r="E67" i="147"/>
  <c r="E65" i="147"/>
  <c r="E72" i="147"/>
  <c r="E70" i="147"/>
  <c r="E66" i="147"/>
  <c r="E68" i="147"/>
  <c r="E71" i="147"/>
  <c r="M62" i="147"/>
  <c r="P28" i="132"/>
  <c r="J74" i="142"/>
  <c r="G64" i="147"/>
  <c r="I64" i="147"/>
  <c r="K64" i="147"/>
  <c r="L64" i="147"/>
  <c r="M64" i="147"/>
  <c r="E74" i="142"/>
  <c r="E63" i="142"/>
  <c r="G63" i="142"/>
  <c r="I63" i="142"/>
  <c r="K63" i="142"/>
  <c r="L63" i="142"/>
  <c r="M63" i="142"/>
  <c r="E71" i="142"/>
  <c r="E70" i="142"/>
  <c r="E67" i="142"/>
  <c r="E66" i="142"/>
  <c r="E72" i="142"/>
  <c r="E68" i="142"/>
  <c r="E73" i="142"/>
  <c r="E65" i="142"/>
  <c r="E69" i="142"/>
  <c r="E64" i="142"/>
  <c r="G65" i="147"/>
  <c r="I65" i="147"/>
  <c r="K65" i="147"/>
  <c r="L65" i="147"/>
  <c r="M65" i="147"/>
  <c r="G64" i="142"/>
  <c r="I64" i="142"/>
  <c r="K64" i="142"/>
  <c r="L64" i="142"/>
  <c r="M64" i="142"/>
  <c r="G65" i="142"/>
  <c r="I65" i="142"/>
  <c r="K65" i="142"/>
  <c r="L65" i="142"/>
  <c r="M65" i="142"/>
  <c r="G66" i="147"/>
  <c r="G67" i="147"/>
  <c r="G66" i="142"/>
  <c r="I66" i="142"/>
  <c r="K66" i="142"/>
  <c r="L66" i="142"/>
  <c r="M66" i="142"/>
  <c r="I66" i="147"/>
  <c r="K66" i="147"/>
  <c r="L66" i="147"/>
  <c r="M66" i="147"/>
  <c r="I67" i="147"/>
  <c r="K67" i="147"/>
  <c r="L67" i="147"/>
  <c r="G68" i="147"/>
  <c r="G67" i="142"/>
  <c r="I67" i="142"/>
  <c r="K67" i="142"/>
  <c r="L67" i="142"/>
  <c r="M67" i="142"/>
  <c r="M67" i="147"/>
  <c r="I68" i="147"/>
  <c r="K68" i="147"/>
  <c r="L68" i="147"/>
  <c r="M68" i="147"/>
  <c r="G69" i="147"/>
  <c r="G68" i="142"/>
  <c r="I68" i="142"/>
  <c r="K68" i="142"/>
  <c r="L68" i="142"/>
  <c r="M68" i="142"/>
  <c r="I69" i="147"/>
  <c r="K69" i="147"/>
  <c r="L69" i="147"/>
  <c r="M69" i="147"/>
  <c r="G70" i="147"/>
  <c r="G69" i="142"/>
  <c r="I69" i="142"/>
  <c r="K69" i="142"/>
  <c r="L69" i="142"/>
  <c r="M69" i="142"/>
  <c r="I70" i="147"/>
  <c r="K70" i="147"/>
  <c r="L70" i="147"/>
  <c r="M70" i="147"/>
  <c r="G71" i="147"/>
  <c r="G70" i="142"/>
  <c r="I70" i="142"/>
  <c r="K70" i="142"/>
  <c r="L70" i="142"/>
  <c r="M70" i="142"/>
  <c r="I71" i="147"/>
  <c r="K71" i="147"/>
  <c r="L71" i="147"/>
  <c r="M71" i="147"/>
  <c r="G72" i="147"/>
  <c r="G71" i="142"/>
  <c r="I71" i="142"/>
  <c r="K71" i="142"/>
  <c r="L71" i="142"/>
  <c r="M71" i="142"/>
  <c r="I72" i="147"/>
  <c r="K72" i="147"/>
  <c r="L72" i="147"/>
  <c r="M72" i="147"/>
  <c r="G73" i="147"/>
  <c r="G72" i="142"/>
  <c r="G73" i="142"/>
  <c r="I73" i="147"/>
  <c r="K73" i="147"/>
  <c r="L73" i="147"/>
  <c r="M73" i="147"/>
  <c r="G74" i="147"/>
  <c r="I72" i="142"/>
  <c r="K72" i="142"/>
  <c r="L72" i="142"/>
  <c r="M72" i="142"/>
  <c r="E75" i="147"/>
  <c r="I74" i="147"/>
  <c r="K74" i="147"/>
  <c r="L74" i="147"/>
  <c r="M74" i="147"/>
  <c r="I73" i="142"/>
  <c r="K73" i="142"/>
  <c r="L73" i="142"/>
  <c r="G74" i="142"/>
  <c r="M73" i="142"/>
  <c r="I74" i="142"/>
  <c r="K74" i="142"/>
  <c r="L74" i="142"/>
  <c r="M74" i="142"/>
  <c r="E75" i="142"/>
  <c r="AL12" i="135" l="1"/>
  <c r="B49" i="133"/>
  <c r="B58" i="133"/>
  <c r="B40" i="133"/>
  <c r="B70" i="133"/>
  <c r="B71" i="133"/>
  <c r="B68" i="133"/>
  <c r="B42" i="133"/>
  <c r="B47" i="133"/>
  <c r="B51" i="133"/>
  <c r="B61" i="133"/>
  <c r="B45" i="133"/>
  <c r="B69" i="133"/>
  <c r="B39" i="133"/>
  <c r="D39" i="133" s="1"/>
  <c r="B66" i="133"/>
  <c r="D40" i="133"/>
  <c r="B54" i="133"/>
  <c r="B55" i="133"/>
  <c r="B74" i="133"/>
  <c r="B65" i="133"/>
  <c r="B41" i="133"/>
  <c r="B72" i="133"/>
  <c r="B46" i="133"/>
  <c r="B60" i="133"/>
  <c r="B63" i="133"/>
  <c r="B52" i="133"/>
  <c r="B73" i="133"/>
  <c r="B50" i="133"/>
  <c r="B44" i="133"/>
  <c r="B67" i="133"/>
  <c r="B48" i="133"/>
  <c r="B56" i="133"/>
  <c r="B57" i="133"/>
  <c r="B59" i="133"/>
  <c r="B64" i="133"/>
  <c r="B43" i="133"/>
  <c r="B62" i="133"/>
  <c r="B60" i="134"/>
  <c r="B73" i="134"/>
  <c r="B68" i="134"/>
  <c r="B53" i="134"/>
  <c r="B52" i="134"/>
  <c r="B66" i="134"/>
  <c r="B67" i="134"/>
  <c r="B49" i="134"/>
  <c r="B54" i="134"/>
  <c r="B56" i="134"/>
  <c r="B74" i="134"/>
  <c r="B61" i="134"/>
  <c r="B39" i="134"/>
  <c r="D39" i="134" s="1"/>
  <c r="B69" i="134"/>
  <c r="B58" i="134"/>
  <c r="B50" i="134"/>
  <c r="B45" i="134"/>
  <c r="B48" i="134"/>
  <c r="B44" i="134"/>
  <c r="B59" i="134"/>
  <c r="B62" i="134"/>
  <c r="B65" i="134"/>
  <c r="B57" i="134"/>
  <c r="B41" i="134"/>
  <c r="B40" i="134"/>
  <c r="B70" i="134"/>
  <c r="B42" i="134"/>
  <c r="B55" i="134"/>
  <c r="B51" i="134"/>
  <c r="B47" i="134"/>
  <c r="B43" i="134"/>
  <c r="B72" i="134"/>
  <c r="B46" i="134"/>
  <c r="B63" i="134"/>
  <c r="B64" i="134"/>
  <c r="L56" i="149"/>
  <c r="W34" i="151"/>
  <c r="AA34" i="151"/>
  <c r="W44" i="151"/>
  <c r="AA44" i="151"/>
  <c r="C73" i="151"/>
  <c r="B85" i="151"/>
  <c r="W101" i="151"/>
  <c r="AA101" i="151"/>
  <c r="A156" i="151"/>
  <c r="C144" i="151"/>
  <c r="W240" i="151"/>
  <c r="AA240" i="151"/>
  <c r="W248" i="151"/>
  <c r="AA248" i="151"/>
  <c r="A93" i="151"/>
  <c r="C81" i="151"/>
  <c r="A71" i="151"/>
  <c r="C59" i="151"/>
  <c r="AA117" i="151"/>
  <c r="W117" i="151"/>
  <c r="A82" i="151"/>
  <c r="C70" i="151"/>
  <c r="C100" i="151"/>
  <c r="AA134" i="151"/>
  <c r="W134" i="151"/>
  <c r="A90" i="151"/>
  <c r="C78" i="151"/>
  <c r="C58" i="151"/>
  <c r="W112" i="151"/>
  <c r="AA112" i="151"/>
  <c r="AA124" i="151"/>
  <c r="W124" i="151"/>
  <c r="AA116" i="151"/>
  <c r="W116" i="151"/>
  <c r="B74" i="151"/>
  <c r="C62" i="151"/>
  <c r="AA174" i="151"/>
  <c r="W174" i="151"/>
  <c r="A133" i="151"/>
  <c r="W264" i="151"/>
  <c r="AA264" i="151"/>
  <c r="A291" i="151"/>
  <c r="A68" i="151"/>
  <c r="C56" i="151"/>
  <c r="C79" i="151"/>
  <c r="A91" i="151"/>
  <c r="W165" i="151"/>
  <c r="AA165" i="151"/>
  <c r="W189" i="151"/>
  <c r="AA189" i="151"/>
  <c r="C135" i="151"/>
  <c r="B147" i="151"/>
  <c r="AA244" i="151"/>
  <c r="W244" i="151"/>
  <c r="A10" i="151"/>
  <c r="A98" i="151"/>
  <c r="A101" i="151"/>
  <c r="C89" i="151"/>
  <c r="AA260" i="151"/>
  <c r="W260" i="151"/>
  <c r="AA204" i="151"/>
  <c r="W204" i="151"/>
  <c r="AA30" i="151"/>
  <c r="AA108" i="151"/>
  <c r="W108" i="151"/>
  <c r="W93" i="151"/>
  <c r="AA93" i="151"/>
  <c r="AP48" i="151"/>
  <c r="AU48" i="151" s="1"/>
  <c r="AP47" i="151"/>
  <c r="AU47" i="151" s="1"/>
  <c r="AP45" i="151"/>
  <c r="AU45" i="151" s="1"/>
  <c r="AP46" i="151"/>
  <c r="AU46" i="151" s="1"/>
  <c r="AP51" i="151"/>
  <c r="AU51" i="151" s="1"/>
  <c r="AP50" i="151"/>
  <c r="AU50" i="151" s="1"/>
  <c r="AP49" i="151"/>
  <c r="AU49" i="151" s="1"/>
  <c r="AP54" i="151"/>
  <c r="AU54" i="151" s="1"/>
  <c r="AP44" i="151"/>
  <c r="AP53" i="151"/>
  <c r="AU53" i="151" s="1"/>
  <c r="AP52" i="151"/>
  <c r="AU52" i="151" s="1"/>
  <c r="AP55" i="151"/>
  <c r="AU55" i="151" s="1"/>
  <c r="AV44" i="151"/>
  <c r="AV296" i="151" s="1"/>
  <c r="AV297" i="151" s="1"/>
  <c r="AQ296" i="151"/>
  <c r="W109" i="151"/>
  <c r="AA109" i="151"/>
  <c r="AA52" i="151"/>
  <c r="W52" i="151"/>
  <c r="W131" i="151"/>
  <c r="AA131" i="151"/>
  <c r="A172" i="151"/>
  <c r="B148" i="151"/>
  <c r="C136" i="151"/>
  <c r="AA166" i="151"/>
  <c r="W166" i="151"/>
  <c r="W286" i="151"/>
  <c r="AA286" i="151"/>
  <c r="AO47" i="151"/>
  <c r="AO46" i="151"/>
  <c r="AO44" i="151"/>
  <c r="AO50" i="151"/>
  <c r="AO49" i="151"/>
  <c r="AO45" i="151"/>
  <c r="AO55" i="151"/>
  <c r="AO48" i="151"/>
  <c r="AO53" i="151"/>
  <c r="AO51" i="151"/>
  <c r="AO52" i="151"/>
  <c r="AO54" i="151"/>
  <c r="F40" i="133" l="1"/>
  <c r="F39" i="133"/>
  <c r="H39" i="133" s="1"/>
  <c r="H40" i="133" s="1"/>
  <c r="B5" i="132"/>
  <c r="C39" i="133"/>
  <c r="E6" i="132"/>
  <c r="C40" i="133"/>
  <c r="D41" i="133"/>
  <c r="B6" i="132"/>
  <c r="F39" i="134"/>
  <c r="D40" i="134"/>
  <c r="F40" i="134" s="1"/>
  <c r="C39" i="134"/>
  <c r="H5" i="132"/>
  <c r="B33" i="132"/>
  <c r="AR45" i="151"/>
  <c r="AT45" i="151"/>
  <c r="AW45" i="151" s="1"/>
  <c r="C156" i="151"/>
  <c r="A168" i="151"/>
  <c r="A110" i="151"/>
  <c r="C71" i="151"/>
  <c r="A83" i="151"/>
  <c r="AT49" i="151"/>
  <c r="AW49" i="151" s="1"/>
  <c r="AR49" i="151"/>
  <c r="C93" i="151"/>
  <c r="A105" i="151"/>
  <c r="AT48" i="151"/>
  <c r="AW48" i="151" s="1"/>
  <c r="AR48" i="151"/>
  <c r="C101" i="151"/>
  <c r="A113" i="151"/>
  <c r="C68" i="151"/>
  <c r="A80" i="151"/>
  <c r="B86" i="151"/>
  <c r="C74" i="151"/>
  <c r="AT54" i="151"/>
  <c r="AW54" i="151" s="1"/>
  <c r="AR54" i="151"/>
  <c r="AR55" i="151"/>
  <c r="AT55" i="151"/>
  <c r="AW55" i="151" s="1"/>
  <c r="AR50" i="151"/>
  <c r="AT50" i="151"/>
  <c r="AW50" i="151" s="1"/>
  <c r="AR52" i="151"/>
  <c r="AT52" i="151"/>
  <c r="AW52" i="151" s="1"/>
  <c r="AR44" i="151"/>
  <c r="AT44" i="151"/>
  <c r="AO296" i="151"/>
  <c r="B160" i="151"/>
  <c r="C148" i="151"/>
  <c r="AU44" i="151"/>
  <c r="AU296" i="151" s="1"/>
  <c r="AU297" i="151" s="1"/>
  <c r="AP296" i="151"/>
  <c r="A11" i="151"/>
  <c r="A145" i="151"/>
  <c r="C90" i="151"/>
  <c r="A102" i="151"/>
  <c r="B97" i="151"/>
  <c r="C85" i="151"/>
  <c r="AT51" i="151"/>
  <c r="AW51" i="151" s="1"/>
  <c r="AR51" i="151"/>
  <c r="AR46" i="151"/>
  <c r="AT46" i="151"/>
  <c r="AW46" i="151" s="1"/>
  <c r="A103" i="151"/>
  <c r="C91" i="151"/>
  <c r="AR53" i="151"/>
  <c r="AT53" i="151"/>
  <c r="AW53" i="151" s="1"/>
  <c r="AR47" i="151"/>
  <c r="AT47" i="151"/>
  <c r="AW47" i="151" s="1"/>
  <c r="A184" i="151"/>
  <c r="C82" i="151"/>
  <c r="A94" i="151"/>
  <c r="B159" i="151"/>
  <c r="C147" i="151"/>
  <c r="E5" i="132" l="1"/>
  <c r="H33" i="132"/>
  <c r="C41" i="133"/>
  <c r="D42" i="133"/>
  <c r="F42" i="133"/>
  <c r="B7" i="132"/>
  <c r="C6" i="132"/>
  <c r="J40" i="133"/>
  <c r="C5" i="132"/>
  <c r="J39" i="133"/>
  <c r="F41" i="133"/>
  <c r="E34" i="132"/>
  <c r="K6" i="132"/>
  <c r="C40" i="134"/>
  <c r="D41" i="134"/>
  <c r="F41" i="134" s="1"/>
  <c r="H6" i="132"/>
  <c r="H34" i="132" s="1"/>
  <c r="B34" i="132"/>
  <c r="E33" i="132"/>
  <c r="H39" i="134"/>
  <c r="K5" i="132"/>
  <c r="AX51" i="151"/>
  <c r="AY51" i="151" s="1"/>
  <c r="A122" i="151"/>
  <c r="AX48" i="151"/>
  <c r="AY48" i="151" s="1"/>
  <c r="A157" i="151"/>
  <c r="B98" i="151"/>
  <c r="C86" i="151"/>
  <c r="C105" i="151"/>
  <c r="A117" i="151"/>
  <c r="A180" i="151"/>
  <c r="C168" i="151"/>
  <c r="A196" i="151"/>
  <c r="A115" i="151"/>
  <c r="C103" i="151"/>
  <c r="B109" i="151"/>
  <c r="C97" i="151"/>
  <c r="A12" i="151"/>
  <c r="B172" i="151"/>
  <c r="C160" i="151"/>
  <c r="AX55" i="151"/>
  <c r="AY55" i="151" s="1"/>
  <c r="AR296" i="151"/>
  <c r="A92" i="151"/>
  <c r="C80" i="151"/>
  <c r="AX49" i="151"/>
  <c r="AY49" i="151" s="1"/>
  <c r="C94" i="151"/>
  <c r="A106" i="151"/>
  <c r="AX53" i="151"/>
  <c r="AY53" i="151" s="1"/>
  <c r="AX46" i="151"/>
  <c r="AY46" i="151" s="1"/>
  <c r="C102" i="151"/>
  <c r="A114" i="151"/>
  <c r="AW44" i="151"/>
  <c r="AT296" i="151"/>
  <c r="AT297" i="151" s="1"/>
  <c r="A95" i="151"/>
  <c r="C83" i="151"/>
  <c r="AX45" i="151"/>
  <c r="AY45" i="151" s="1"/>
  <c r="B171" i="151"/>
  <c r="C159" i="151"/>
  <c r="A125" i="151"/>
  <c r="C113" i="151"/>
  <c r="AX52" i="151"/>
  <c r="AY52" i="151" s="1"/>
  <c r="AY54" i="151"/>
  <c r="AX54" i="151"/>
  <c r="E8" i="132" l="1"/>
  <c r="C42" i="133"/>
  <c r="B8" i="132"/>
  <c r="D43" i="133"/>
  <c r="F43" i="133" s="1"/>
  <c r="H41" i="133"/>
  <c r="H42" i="133" s="1"/>
  <c r="J42" i="133" s="1"/>
  <c r="E7" i="132"/>
  <c r="K7" i="132"/>
  <c r="E35" i="132"/>
  <c r="C33" i="132"/>
  <c r="I5" i="132"/>
  <c r="I33" i="132" s="1"/>
  <c r="J39" i="134"/>
  <c r="H40" i="134"/>
  <c r="C41" i="134"/>
  <c r="D42" i="134"/>
  <c r="H7" i="132"/>
  <c r="H35" i="132" s="1"/>
  <c r="B35" i="132"/>
  <c r="C95" i="151"/>
  <c r="A107" i="151"/>
  <c r="C92" i="151"/>
  <c r="A104" i="151"/>
  <c r="C115" i="151"/>
  <c r="A127" i="151"/>
  <c r="A208" i="151"/>
  <c r="B110" i="151"/>
  <c r="C98" i="151"/>
  <c r="B183" i="151"/>
  <c r="C171" i="151"/>
  <c r="C106" i="151"/>
  <c r="A118" i="151"/>
  <c r="B121" i="151"/>
  <c r="C109" i="151"/>
  <c r="A169" i="151"/>
  <c r="A134" i="151"/>
  <c r="AW296" i="151"/>
  <c r="AW297" i="151" s="1"/>
  <c r="AX44" i="151"/>
  <c r="AY44" i="151" s="1"/>
  <c r="A13" i="151"/>
  <c r="A192" i="151"/>
  <c r="C180" i="151"/>
  <c r="C114" i="151"/>
  <c r="A126" i="151"/>
  <c r="AX47" i="151"/>
  <c r="AY47" i="151" s="1"/>
  <c r="C117" i="151"/>
  <c r="A129" i="151"/>
  <c r="C125" i="151"/>
  <c r="A137" i="151"/>
  <c r="B184" i="151"/>
  <c r="C172" i="151"/>
  <c r="AX50" i="151"/>
  <c r="AY50" i="151" s="1"/>
  <c r="H43" i="133" l="1"/>
  <c r="J43" i="133" s="1"/>
  <c r="E9" i="132"/>
  <c r="B9" i="132"/>
  <c r="D44" i="133"/>
  <c r="C43" i="133"/>
  <c r="C8" i="132"/>
  <c r="C7" i="132"/>
  <c r="J41" i="133"/>
  <c r="B36" i="132"/>
  <c r="D43" i="134"/>
  <c r="F43" i="134" s="1"/>
  <c r="C42" i="134"/>
  <c r="H8" i="132"/>
  <c r="H36" i="132" s="1"/>
  <c r="F42" i="134"/>
  <c r="I6" i="132"/>
  <c r="I34" i="132" s="1"/>
  <c r="C34" i="132"/>
  <c r="J40" i="134"/>
  <c r="H41" i="134"/>
  <c r="AY296" i="151"/>
  <c r="M46" i="103" s="1"/>
  <c r="B195" i="151"/>
  <c r="C183" i="151"/>
  <c r="A146" i="151"/>
  <c r="C127" i="151"/>
  <c r="A139" i="151"/>
  <c r="C126" i="151"/>
  <c r="A138" i="151"/>
  <c r="A181" i="151"/>
  <c r="B122" i="151"/>
  <c r="C110" i="151"/>
  <c r="C104" i="151"/>
  <c r="A116" i="151"/>
  <c r="C137" i="151"/>
  <c r="A149" i="151"/>
  <c r="A14" i="151"/>
  <c r="A220" i="151"/>
  <c r="A141" i="151"/>
  <c r="C129" i="151"/>
  <c r="B196" i="151"/>
  <c r="C184" i="151"/>
  <c r="A204" i="151"/>
  <c r="C192" i="151"/>
  <c r="AX296" i="151"/>
  <c r="B133" i="151"/>
  <c r="C121" i="151"/>
  <c r="C118" i="151"/>
  <c r="A130" i="151"/>
  <c r="A119" i="151"/>
  <c r="C107" i="151"/>
  <c r="D45" i="133" l="1"/>
  <c r="C44" i="133"/>
  <c r="B10" i="132"/>
  <c r="F45" i="133"/>
  <c r="F44" i="133"/>
  <c r="C9" i="132"/>
  <c r="E37" i="132"/>
  <c r="K9" i="132"/>
  <c r="D44" i="134"/>
  <c r="F44" i="134" s="1"/>
  <c r="C43" i="134"/>
  <c r="H9" i="132"/>
  <c r="H37" i="132" s="1"/>
  <c r="B37" i="132"/>
  <c r="E36" i="132"/>
  <c r="H42" i="134"/>
  <c r="K8" i="132"/>
  <c r="I7" i="132"/>
  <c r="I35" i="132" s="1"/>
  <c r="C35" i="132"/>
  <c r="J41" i="134"/>
  <c r="C119" i="151"/>
  <c r="A131" i="151"/>
  <c r="C149" i="151"/>
  <c r="A161" i="151"/>
  <c r="C130" i="151"/>
  <c r="A142" i="151"/>
  <c r="B208" i="151"/>
  <c r="C196" i="151"/>
  <c r="C116" i="151"/>
  <c r="A128" i="151"/>
  <c r="A151" i="151"/>
  <c r="C139" i="151"/>
  <c r="A158" i="151"/>
  <c r="C141" i="151"/>
  <c r="A153" i="151"/>
  <c r="B145" i="151"/>
  <c r="C133" i="151"/>
  <c r="A232" i="151"/>
  <c r="B134" i="151"/>
  <c r="C122" i="151"/>
  <c r="A193" i="151"/>
  <c r="B207" i="151"/>
  <c r="C195" i="151"/>
  <c r="C204" i="151"/>
  <c r="A216" i="151"/>
  <c r="A15" i="151"/>
  <c r="C138" i="151"/>
  <c r="A150" i="151"/>
  <c r="E11" i="132" l="1"/>
  <c r="E10" i="132"/>
  <c r="H44" i="133"/>
  <c r="C45" i="133"/>
  <c r="B11" i="132"/>
  <c r="D46" i="133"/>
  <c r="F46" i="133" s="1"/>
  <c r="E38" i="132"/>
  <c r="K10" i="132"/>
  <c r="C36" i="132"/>
  <c r="I8" i="132"/>
  <c r="I36" i="132" s="1"/>
  <c r="J42" i="134"/>
  <c r="B38" i="132"/>
  <c r="C44" i="134"/>
  <c r="D45" i="134"/>
  <c r="F45" i="134" s="1"/>
  <c r="H10" i="132"/>
  <c r="H38" i="132" s="1"/>
  <c r="H43" i="134"/>
  <c r="C150" i="151"/>
  <c r="A162" i="151"/>
  <c r="B157" i="151"/>
  <c r="C145" i="151"/>
  <c r="C216" i="151"/>
  <c r="A228" i="151"/>
  <c r="B220" i="151"/>
  <c r="C208" i="151"/>
  <c r="C207" i="151"/>
  <c r="B219" i="151"/>
  <c r="A170" i="151"/>
  <c r="A140" i="151"/>
  <c r="C128" i="151"/>
  <c r="C142" i="151"/>
  <c r="A154" i="151"/>
  <c r="C153" i="151"/>
  <c r="A165" i="151"/>
  <c r="A16" i="151"/>
  <c r="A205" i="151"/>
  <c r="A244" i="151"/>
  <c r="C131" i="151"/>
  <c r="A143" i="151"/>
  <c r="B146" i="151"/>
  <c r="C134" i="151"/>
  <c r="C151" i="151"/>
  <c r="A163" i="151"/>
  <c r="A173" i="151"/>
  <c r="C161" i="151"/>
  <c r="E12" i="132" l="1"/>
  <c r="C10" i="132"/>
  <c r="J44" i="133"/>
  <c r="C46" i="133"/>
  <c r="B12" i="132"/>
  <c r="D47" i="133"/>
  <c r="F47" i="133"/>
  <c r="H45" i="133"/>
  <c r="K11" i="132"/>
  <c r="E39" i="132"/>
  <c r="H11" i="132"/>
  <c r="H39" i="132" s="1"/>
  <c r="B39" i="132"/>
  <c r="C45" i="134"/>
  <c r="D46" i="134"/>
  <c r="F46" i="134" s="1"/>
  <c r="I9" i="132"/>
  <c r="I37" i="132" s="1"/>
  <c r="C37" i="132"/>
  <c r="J43" i="134"/>
  <c r="H44" i="134"/>
  <c r="H45" i="134" s="1"/>
  <c r="J45" i="134" s="1"/>
  <c r="C154" i="151"/>
  <c r="A166" i="151"/>
  <c r="B232" i="151"/>
  <c r="C220" i="151"/>
  <c r="C228" i="151"/>
  <c r="A240" i="151"/>
  <c r="C140" i="151"/>
  <c r="A152" i="151"/>
  <c r="A217" i="151"/>
  <c r="B158" i="151"/>
  <c r="C146" i="151"/>
  <c r="A182" i="151"/>
  <c r="C165" i="151"/>
  <c r="A177" i="151"/>
  <c r="B169" i="151"/>
  <c r="C157" i="151"/>
  <c r="C173" i="151"/>
  <c r="A185" i="151"/>
  <c r="C143" i="151"/>
  <c r="A155" i="151"/>
  <c r="C219" i="151"/>
  <c r="B231" i="151"/>
  <c r="C162" i="151"/>
  <c r="A174" i="151"/>
  <c r="A175" i="151"/>
  <c r="C163" i="151"/>
  <c r="A256" i="151"/>
  <c r="A17" i="151"/>
  <c r="C11" i="132" l="1"/>
  <c r="J45" i="133"/>
  <c r="E13" i="132"/>
  <c r="H46" i="133"/>
  <c r="D48" i="133"/>
  <c r="F48" i="133" s="1"/>
  <c r="C47" i="133"/>
  <c r="B13" i="132"/>
  <c r="K12" i="132"/>
  <c r="H46" i="134"/>
  <c r="E40" i="132"/>
  <c r="D47" i="134"/>
  <c r="F47" i="134"/>
  <c r="H12" i="132"/>
  <c r="H40" i="132" s="1"/>
  <c r="B40" i="132"/>
  <c r="C46" i="134"/>
  <c r="I11" i="132"/>
  <c r="C39" i="132"/>
  <c r="I10" i="132"/>
  <c r="I38" i="132" s="1"/>
  <c r="C38" i="132"/>
  <c r="J44" i="134"/>
  <c r="C185" i="151"/>
  <c r="A197" i="151"/>
  <c r="A164" i="151"/>
  <c r="C152" i="151"/>
  <c r="A229" i="151"/>
  <c r="A18" i="151"/>
  <c r="B181" i="151"/>
  <c r="C169" i="151"/>
  <c r="C166" i="151"/>
  <c r="A178" i="151"/>
  <c r="A268" i="151"/>
  <c r="C175" i="151"/>
  <c r="A187" i="151"/>
  <c r="C177" i="151"/>
  <c r="A189" i="151"/>
  <c r="A194" i="151"/>
  <c r="B170" i="151"/>
  <c r="C158" i="151"/>
  <c r="C174" i="151"/>
  <c r="A186" i="151"/>
  <c r="B244" i="151"/>
  <c r="C232" i="151"/>
  <c r="A167" i="151"/>
  <c r="C155" i="151"/>
  <c r="C240" i="151"/>
  <c r="A252" i="151"/>
  <c r="C231" i="151"/>
  <c r="B243" i="151"/>
  <c r="I39" i="132" l="1"/>
  <c r="E14" i="132"/>
  <c r="C12" i="132"/>
  <c r="J46" i="133"/>
  <c r="H47" i="133"/>
  <c r="B14" i="132"/>
  <c r="D49" i="133"/>
  <c r="F49" i="133"/>
  <c r="C48" i="133"/>
  <c r="C40" i="132"/>
  <c r="I12" i="132"/>
  <c r="I40" i="132" s="1"/>
  <c r="E41" i="132"/>
  <c r="H47" i="134"/>
  <c r="J47" i="134" s="1"/>
  <c r="K13" i="132"/>
  <c r="C47" i="134"/>
  <c r="D48" i="134"/>
  <c r="F48" i="134"/>
  <c r="H13" i="132"/>
  <c r="H41" i="132" s="1"/>
  <c r="B41" i="132"/>
  <c r="J46" i="134"/>
  <c r="C167" i="151"/>
  <c r="A179" i="151"/>
  <c r="C164" i="151"/>
  <c r="A176" i="151"/>
  <c r="A280" i="151"/>
  <c r="A241" i="151"/>
  <c r="B256" i="151"/>
  <c r="C244" i="151"/>
  <c r="C178" i="151"/>
  <c r="A190" i="151"/>
  <c r="C186" i="151"/>
  <c r="A198" i="151"/>
  <c r="B182" i="151"/>
  <c r="C170" i="151"/>
  <c r="C189" i="151"/>
  <c r="A201" i="151"/>
  <c r="B193" i="151"/>
  <c r="C181" i="151"/>
  <c r="C197" i="151"/>
  <c r="A209" i="151"/>
  <c r="C252" i="151"/>
  <c r="A264" i="151"/>
  <c r="A206" i="151"/>
  <c r="B255" i="151"/>
  <c r="C243" i="151"/>
  <c r="A199" i="151"/>
  <c r="C187" i="151"/>
  <c r="A19" i="151"/>
  <c r="C13" i="132" l="1"/>
  <c r="J47" i="133"/>
  <c r="B15" i="132"/>
  <c r="D50" i="133"/>
  <c r="F50" i="133" s="1"/>
  <c r="C49" i="133"/>
  <c r="E15" i="132"/>
  <c r="H48" i="133"/>
  <c r="H49" i="133" s="1"/>
  <c r="H48" i="134"/>
  <c r="K14" i="132"/>
  <c r="E42" i="132"/>
  <c r="C48" i="134"/>
  <c r="D49" i="134"/>
  <c r="B42" i="132"/>
  <c r="H14" i="132"/>
  <c r="H42" i="132" s="1"/>
  <c r="I13" i="132"/>
  <c r="C41" i="132"/>
  <c r="A218" i="151"/>
  <c r="A210" i="151"/>
  <c r="C198" i="151"/>
  <c r="A292" i="151"/>
  <c r="B267" i="151"/>
  <c r="C255" i="151"/>
  <c r="B205" i="151"/>
  <c r="C193" i="151"/>
  <c r="B194" i="151"/>
  <c r="C182" i="151"/>
  <c r="C264" i="151"/>
  <c r="A276" i="151"/>
  <c r="B268" i="151"/>
  <c r="C256" i="151"/>
  <c r="A253" i="151"/>
  <c r="C199" i="151"/>
  <c r="A211" i="151"/>
  <c r="C190" i="151"/>
  <c r="A202" i="151"/>
  <c r="A188" i="151"/>
  <c r="C176" i="151"/>
  <c r="A191" i="151"/>
  <c r="C179" i="151"/>
  <c r="A20" i="151"/>
  <c r="C209" i="151"/>
  <c r="A221" i="151"/>
  <c r="A213" i="151"/>
  <c r="C201" i="151"/>
  <c r="I41" i="132" l="1"/>
  <c r="C15" i="132"/>
  <c r="J49" i="133"/>
  <c r="E16" i="132"/>
  <c r="H50" i="133"/>
  <c r="C14" i="132"/>
  <c r="J48" i="133"/>
  <c r="D51" i="133"/>
  <c r="F51" i="133"/>
  <c r="C50" i="133"/>
  <c r="B16" i="132"/>
  <c r="K8" i="97" s="1"/>
  <c r="H15" i="132"/>
  <c r="H43" i="132" s="1"/>
  <c r="D50" i="134"/>
  <c r="F50" i="134" s="1"/>
  <c r="B43" i="132"/>
  <c r="C49" i="134"/>
  <c r="F49" i="134"/>
  <c r="C42" i="132"/>
  <c r="I14" i="132"/>
  <c r="J48" i="134"/>
  <c r="C191" i="151"/>
  <c r="A203" i="151"/>
  <c r="A21" i="151"/>
  <c r="C188" i="151"/>
  <c r="A200" i="151"/>
  <c r="B280" i="151"/>
  <c r="C268" i="151"/>
  <c r="B279" i="151"/>
  <c r="C267" i="151"/>
  <c r="C213" i="151"/>
  <c r="A225" i="151"/>
  <c r="C202" i="151"/>
  <c r="A214" i="151"/>
  <c r="A288" i="151"/>
  <c r="C288" i="151" s="1"/>
  <c r="C276" i="151"/>
  <c r="C221" i="151"/>
  <c r="A233" i="151"/>
  <c r="A223" i="151"/>
  <c r="C211" i="151"/>
  <c r="B206" i="151"/>
  <c r="C194" i="151"/>
  <c r="C210" i="151"/>
  <c r="A222" i="151"/>
  <c r="A265" i="151"/>
  <c r="B217" i="151"/>
  <c r="C205" i="151"/>
  <c r="A230" i="151"/>
  <c r="I42" i="132" l="1"/>
  <c r="D52" i="133"/>
  <c r="F52" i="133" s="1"/>
  <c r="C51" i="133"/>
  <c r="B17" i="132"/>
  <c r="E50" i="133"/>
  <c r="E44" i="133"/>
  <c r="E43" i="133"/>
  <c r="E49" i="133"/>
  <c r="E40" i="133"/>
  <c r="E47" i="133"/>
  <c r="E39" i="133"/>
  <c r="G39" i="133" s="1"/>
  <c r="I39" i="133" s="1"/>
  <c r="K39" i="133" s="1"/>
  <c r="L39" i="133" s="1"/>
  <c r="E42" i="133"/>
  <c r="E45" i="133"/>
  <c r="E41" i="133"/>
  <c r="E48" i="133"/>
  <c r="E46" i="133"/>
  <c r="E17" i="132"/>
  <c r="H51" i="133"/>
  <c r="C17" i="132" s="1"/>
  <c r="C16" i="132"/>
  <c r="K9" i="97" s="1"/>
  <c r="J50" i="133"/>
  <c r="E44" i="132"/>
  <c r="K16" i="132"/>
  <c r="C50" i="134"/>
  <c r="B44" i="132"/>
  <c r="D51" i="134"/>
  <c r="F51" i="134" s="1"/>
  <c r="H16" i="132"/>
  <c r="H44" i="132" s="1"/>
  <c r="L50" i="87" s="1"/>
  <c r="H49" i="134"/>
  <c r="K15" i="132"/>
  <c r="E43" i="132"/>
  <c r="C233" i="151"/>
  <c r="A245" i="151"/>
  <c r="A237" i="151"/>
  <c r="C225" i="151"/>
  <c r="C223" i="151"/>
  <c r="A235" i="151"/>
  <c r="A242" i="151"/>
  <c r="A234" i="151"/>
  <c r="C222" i="151"/>
  <c r="B218" i="151"/>
  <c r="C206" i="151"/>
  <c r="A277" i="151"/>
  <c r="B291" i="151"/>
  <c r="C291" i="151" s="1"/>
  <c r="C279" i="151"/>
  <c r="C200" i="151"/>
  <c r="A212" i="151"/>
  <c r="A226" i="151"/>
  <c r="C214" i="151"/>
  <c r="A215" i="151"/>
  <c r="C203" i="151"/>
  <c r="B229" i="151"/>
  <c r="C217" i="151"/>
  <c r="B292" i="151"/>
  <c r="C292" i="151" s="1"/>
  <c r="C280" i="151"/>
  <c r="A22" i="151"/>
  <c r="G40" i="133" l="1"/>
  <c r="I40" i="133" s="1"/>
  <c r="K40" i="133" s="1"/>
  <c r="L40" i="133" s="1"/>
  <c r="M39" i="133"/>
  <c r="D5" i="132"/>
  <c r="J51" i="133"/>
  <c r="G41" i="133"/>
  <c r="I41" i="133" s="1"/>
  <c r="K41" i="133" s="1"/>
  <c r="L41" i="133" s="1"/>
  <c r="H52" i="133"/>
  <c r="C18" i="132" s="1"/>
  <c r="E18" i="132"/>
  <c r="M40" i="133"/>
  <c r="D6" i="132"/>
  <c r="C52" i="133"/>
  <c r="D53" i="133"/>
  <c r="F53" i="133"/>
  <c r="B18" i="132"/>
  <c r="K17" i="132"/>
  <c r="E45" i="132"/>
  <c r="K50" i="87"/>
  <c r="I15" i="132"/>
  <c r="I43" i="132" s="1"/>
  <c r="C43" i="132"/>
  <c r="J49" i="134"/>
  <c r="K44" i="132"/>
  <c r="L56" i="87" s="1"/>
  <c r="C51" i="134"/>
  <c r="B45" i="132"/>
  <c r="D52" i="134"/>
  <c r="H17" i="132"/>
  <c r="H45" i="132" s="1"/>
  <c r="E49" i="134"/>
  <c r="E39" i="134"/>
  <c r="G39" i="134" s="1"/>
  <c r="I39" i="134" s="1"/>
  <c r="K39" i="134" s="1"/>
  <c r="L39" i="134" s="1"/>
  <c r="E50" i="134"/>
  <c r="E44" i="134"/>
  <c r="E46" i="134"/>
  <c r="E48" i="134"/>
  <c r="E47" i="134"/>
  <c r="E45" i="134"/>
  <c r="E42" i="134"/>
  <c r="E41" i="134"/>
  <c r="E40" i="134"/>
  <c r="E43" i="134"/>
  <c r="H50" i="134"/>
  <c r="A289" i="151"/>
  <c r="A254" i="151"/>
  <c r="A247" i="151"/>
  <c r="C235" i="151"/>
  <c r="B230" i="151"/>
  <c r="C218" i="151"/>
  <c r="B241" i="151"/>
  <c r="C229" i="151"/>
  <c r="C226" i="151"/>
  <c r="A238" i="151"/>
  <c r="C212" i="151"/>
  <c r="A224" i="151"/>
  <c r="C245" i="151"/>
  <c r="A257" i="151"/>
  <c r="A23" i="151"/>
  <c r="A246" i="151"/>
  <c r="C234" i="151"/>
  <c r="A227" i="151"/>
  <c r="C215" i="151"/>
  <c r="C237" i="151"/>
  <c r="A249" i="151"/>
  <c r="G40" i="134" l="1"/>
  <c r="I40" i="134" s="1"/>
  <c r="K40" i="134" s="1"/>
  <c r="L40" i="134" s="1"/>
  <c r="J52" i="133"/>
  <c r="D7" i="132"/>
  <c r="M41" i="133"/>
  <c r="G42" i="133"/>
  <c r="E19" i="132"/>
  <c r="H53" i="133"/>
  <c r="C19" i="132" s="1"/>
  <c r="C53" i="133"/>
  <c r="D54" i="133"/>
  <c r="B19" i="132"/>
  <c r="G41" i="134"/>
  <c r="I41" i="134" s="1"/>
  <c r="K41" i="134" s="1"/>
  <c r="L41" i="134" s="1"/>
  <c r="M41" i="134" s="1"/>
  <c r="B46" i="132"/>
  <c r="D53" i="134"/>
  <c r="F53" i="134" s="1"/>
  <c r="C52" i="134"/>
  <c r="H18" i="132"/>
  <c r="H46" i="132" s="1"/>
  <c r="I16" i="132"/>
  <c r="I44" i="132" s="1"/>
  <c r="L51" i="87" s="1"/>
  <c r="C44" i="132"/>
  <c r="J50" i="134"/>
  <c r="F52" i="134"/>
  <c r="D33" i="132"/>
  <c r="M39" i="134"/>
  <c r="J5" i="132"/>
  <c r="J33" i="132" s="1"/>
  <c r="L58" i="87"/>
  <c r="K56" i="87"/>
  <c r="H51" i="134"/>
  <c r="M40" i="134"/>
  <c r="D34" i="132"/>
  <c r="J6" i="132"/>
  <c r="J34" i="132" s="1"/>
  <c r="G42" i="134"/>
  <c r="I42" i="134" s="1"/>
  <c r="K42" i="134" s="1"/>
  <c r="L42" i="134" s="1"/>
  <c r="A24" i="151"/>
  <c r="A259" i="151"/>
  <c r="C247" i="151"/>
  <c r="B253" i="151"/>
  <c r="C241" i="151"/>
  <c r="C224" i="151"/>
  <c r="A236" i="151"/>
  <c r="A266" i="151"/>
  <c r="A239" i="151"/>
  <c r="C227" i="151"/>
  <c r="C257" i="151"/>
  <c r="A269" i="151"/>
  <c r="C249" i="151"/>
  <c r="A261" i="151"/>
  <c r="B242" i="151"/>
  <c r="C230" i="151"/>
  <c r="A258" i="151"/>
  <c r="C246" i="151"/>
  <c r="A250" i="151"/>
  <c r="C238" i="151"/>
  <c r="D35" i="132" l="1"/>
  <c r="J7" i="132"/>
  <c r="J35" i="132" s="1"/>
  <c r="D55" i="133"/>
  <c r="F55" i="133" s="1"/>
  <c r="C54" i="133"/>
  <c r="B20" i="132"/>
  <c r="J53" i="133"/>
  <c r="I42" i="133"/>
  <c r="K42" i="133" s="1"/>
  <c r="L42" i="133" s="1"/>
  <c r="D36" i="132" s="1"/>
  <c r="G43" i="133"/>
  <c r="F54" i="133"/>
  <c r="K19" i="132"/>
  <c r="E47" i="132"/>
  <c r="K51" i="87"/>
  <c r="L60" i="87"/>
  <c r="L61" i="87" s="1"/>
  <c r="M42" i="134"/>
  <c r="J8" i="132"/>
  <c r="G43" i="134"/>
  <c r="K18" i="132"/>
  <c r="H52" i="134"/>
  <c r="H53" i="134" s="1"/>
  <c r="E46" i="132"/>
  <c r="M15" i="103"/>
  <c r="K58" i="87"/>
  <c r="C45" i="132"/>
  <c r="I17" i="132"/>
  <c r="I45" i="132" s="1"/>
  <c r="J51" i="134"/>
  <c r="D54" i="134"/>
  <c r="F54" i="134" s="1"/>
  <c r="B47" i="132"/>
  <c r="C53" i="134"/>
  <c r="H19" i="132"/>
  <c r="H47" i="132" s="1"/>
  <c r="C236" i="151"/>
  <c r="A248" i="151"/>
  <c r="A25" i="151"/>
  <c r="A273" i="151"/>
  <c r="C261" i="151"/>
  <c r="C259" i="151"/>
  <c r="A271" i="151"/>
  <c r="A262" i="151"/>
  <c r="C250" i="151"/>
  <c r="B254" i="151"/>
  <c r="C242" i="151"/>
  <c r="C239" i="151"/>
  <c r="A251" i="151"/>
  <c r="C269" i="151"/>
  <c r="A281" i="151"/>
  <c r="C258" i="151"/>
  <c r="A270" i="151"/>
  <c r="A278" i="151"/>
  <c r="B265" i="151"/>
  <c r="C253" i="151"/>
  <c r="H54" i="133" l="1"/>
  <c r="E20" i="132"/>
  <c r="E21" i="132"/>
  <c r="H55" i="133"/>
  <c r="C21" i="132" s="1"/>
  <c r="D8" i="132"/>
  <c r="J36" i="132" s="1"/>
  <c r="M42" i="133"/>
  <c r="I43" i="133"/>
  <c r="K43" i="133" s="1"/>
  <c r="L43" i="133" s="1"/>
  <c r="G44" i="133"/>
  <c r="C55" i="133"/>
  <c r="D56" i="133"/>
  <c r="F56" i="133"/>
  <c r="B21" i="132"/>
  <c r="C47" i="132"/>
  <c r="I19" i="132"/>
  <c r="I47" i="132" s="1"/>
  <c r="J53" i="134"/>
  <c r="I43" i="134"/>
  <c r="K43" i="134" s="1"/>
  <c r="L43" i="134" s="1"/>
  <c r="G44" i="134"/>
  <c r="K60" i="87"/>
  <c r="K61" i="87" s="1"/>
  <c r="K20" i="132"/>
  <c r="E48" i="132"/>
  <c r="H54" i="134"/>
  <c r="C54" i="134"/>
  <c r="J54" i="134"/>
  <c r="D55" i="134"/>
  <c r="B48" i="132"/>
  <c r="H20" i="132"/>
  <c r="H48" i="132" s="1"/>
  <c r="C46" i="132"/>
  <c r="I18" i="132"/>
  <c r="I46" i="132" s="1"/>
  <c r="J52" i="134"/>
  <c r="N15" i="103"/>
  <c r="M51" i="103"/>
  <c r="C262" i="151"/>
  <c r="A274" i="151"/>
  <c r="A293" i="151"/>
  <c r="C281" i="151"/>
  <c r="A263" i="151"/>
  <c r="C251" i="151"/>
  <c r="A285" i="151"/>
  <c r="C285" i="151" s="1"/>
  <c r="C273" i="151"/>
  <c r="A26" i="151"/>
  <c r="B266" i="151"/>
  <c r="C254" i="151"/>
  <c r="A290" i="151"/>
  <c r="C271" i="151"/>
  <c r="A283" i="151"/>
  <c r="C283" i="151" s="1"/>
  <c r="C270" i="151"/>
  <c r="A282" i="151"/>
  <c r="C282" i="151" s="1"/>
  <c r="B277" i="151"/>
  <c r="C265" i="151"/>
  <c r="C248" i="151"/>
  <c r="A260" i="151"/>
  <c r="J55" i="133" l="1"/>
  <c r="H56" i="133"/>
  <c r="C22" i="132" s="1"/>
  <c r="E22" i="132"/>
  <c r="D9" i="132"/>
  <c r="M43" i="133"/>
  <c r="C20" i="132"/>
  <c r="J54" i="133"/>
  <c r="C56" i="133"/>
  <c r="D57" i="133"/>
  <c r="F57" i="133"/>
  <c r="B22" i="132"/>
  <c r="I44" i="133"/>
  <c r="K44" i="133" s="1"/>
  <c r="L44" i="133" s="1"/>
  <c r="G45" i="133"/>
  <c r="C55" i="134"/>
  <c r="B49" i="132"/>
  <c r="D56" i="134"/>
  <c r="F56" i="134"/>
  <c r="H21" i="132"/>
  <c r="H49" i="132" s="1"/>
  <c r="I44" i="134"/>
  <c r="K44" i="134" s="1"/>
  <c r="L44" i="134" s="1"/>
  <c r="G45" i="134"/>
  <c r="C48" i="132"/>
  <c r="I20" i="132"/>
  <c r="M43" i="134"/>
  <c r="J9" i="132"/>
  <c r="D37" i="132"/>
  <c r="F55" i="134"/>
  <c r="A27" i="151"/>
  <c r="C260" i="151"/>
  <c r="A272" i="151"/>
  <c r="C263" i="151"/>
  <c r="A275" i="151"/>
  <c r="C293" i="151"/>
  <c r="C274" i="151"/>
  <c r="A286" i="151"/>
  <c r="C286" i="151" s="1"/>
  <c r="B289" i="151"/>
  <c r="C289" i="151" s="1"/>
  <c r="C277" i="151"/>
  <c r="B278" i="151"/>
  <c r="C266" i="151"/>
  <c r="J56" i="133" l="1"/>
  <c r="M44" i="133"/>
  <c r="D10" i="132"/>
  <c r="J37" i="132"/>
  <c r="C57" i="133"/>
  <c r="D58" i="133"/>
  <c r="F58" i="133" s="1"/>
  <c r="B23" i="132"/>
  <c r="I48" i="132"/>
  <c r="H57" i="133"/>
  <c r="C23" i="132" s="1"/>
  <c r="E23" i="132"/>
  <c r="I45" i="133"/>
  <c r="K45" i="133" s="1"/>
  <c r="L45" i="133" s="1"/>
  <c r="G46" i="133"/>
  <c r="C56" i="134"/>
  <c r="B50" i="132"/>
  <c r="D57" i="134"/>
  <c r="H22" i="132"/>
  <c r="H50" i="132" s="1"/>
  <c r="D38" i="132"/>
  <c r="M44" i="134"/>
  <c r="J10" i="132"/>
  <c r="J38" i="132" s="1"/>
  <c r="H55" i="134"/>
  <c r="H56" i="134" s="1"/>
  <c r="J56" i="134" s="1"/>
  <c r="E49" i="132"/>
  <c r="K21" i="132"/>
  <c r="K22" i="132"/>
  <c r="E50" i="132"/>
  <c r="I45" i="134"/>
  <c r="K45" i="134" s="1"/>
  <c r="L45" i="134" s="1"/>
  <c r="G46" i="134"/>
  <c r="A28" i="151"/>
  <c r="AE26" i="151"/>
  <c r="C272" i="151"/>
  <c r="A284" i="151"/>
  <c r="H26" i="151" s="1"/>
  <c r="X24" i="151"/>
  <c r="Q23" i="151"/>
  <c r="F22" i="151"/>
  <c r="R20" i="151"/>
  <c r="L22" i="151"/>
  <c r="W20" i="151"/>
  <c r="X20" i="151"/>
  <c r="AD22" i="151"/>
  <c r="AI22" i="151"/>
  <c r="X25" i="151"/>
  <c r="U22" i="151"/>
  <c r="O24" i="151"/>
  <c r="N21" i="151"/>
  <c r="F23" i="151"/>
  <c r="T22" i="151"/>
  <c r="Z22" i="151"/>
  <c r="I22" i="151"/>
  <c r="V26" i="151"/>
  <c r="M26" i="151"/>
  <c r="AL26" i="151"/>
  <c r="AI26" i="151"/>
  <c r="AG25" i="151"/>
  <c r="C275" i="151"/>
  <c r="A287" i="151"/>
  <c r="Q21" i="151" s="1"/>
  <c r="J24" i="151"/>
  <c r="N23" i="151"/>
  <c r="E24" i="151"/>
  <c r="J22" i="151"/>
  <c r="AH21" i="151"/>
  <c r="F21" i="151"/>
  <c r="AJ20" i="151"/>
  <c r="AJ22" i="151"/>
  <c r="T26" i="151"/>
  <c r="AC26" i="151"/>
  <c r="AD26" i="151"/>
  <c r="Z26" i="151"/>
  <c r="AM25" i="151"/>
  <c r="AE23" i="151"/>
  <c r="T23" i="151"/>
  <c r="AJ23" i="151"/>
  <c r="AE22" i="151"/>
  <c r="J21" i="151"/>
  <c r="W21" i="151"/>
  <c r="AK25" i="151"/>
  <c r="E26" i="151"/>
  <c r="K26" i="151"/>
  <c r="U26" i="151"/>
  <c r="R26" i="151"/>
  <c r="AC24" i="151"/>
  <c r="B290" i="151"/>
  <c r="C290" i="151" s="1"/>
  <c r="C278" i="151"/>
  <c r="O23" i="151"/>
  <c r="AF22" i="151"/>
  <c r="AC23" i="151"/>
  <c r="Z23" i="151"/>
  <c r="U23" i="151"/>
  <c r="M23" i="151"/>
  <c r="Z24" i="151"/>
  <c r="L23" i="151"/>
  <c r="AH26" i="151"/>
  <c r="Y26" i="151"/>
  <c r="L26" i="151"/>
  <c r="I26" i="151"/>
  <c r="AD24" i="151"/>
  <c r="J57" i="133" l="1"/>
  <c r="C58" i="133"/>
  <c r="D59" i="133"/>
  <c r="F59" i="133" s="1"/>
  <c r="B24" i="132"/>
  <c r="H58" i="133"/>
  <c r="C24" i="132" s="1"/>
  <c r="E24" i="132"/>
  <c r="D11" i="132"/>
  <c r="M45" i="133"/>
  <c r="I46" i="133"/>
  <c r="K46" i="133" s="1"/>
  <c r="L46" i="133" s="1"/>
  <c r="G47" i="133"/>
  <c r="D58" i="134"/>
  <c r="B51" i="132"/>
  <c r="F58" i="134"/>
  <c r="C57" i="134"/>
  <c r="H23" i="132"/>
  <c r="H51" i="132" s="1"/>
  <c r="C49" i="132"/>
  <c r="I21" i="132"/>
  <c r="I49" i="132" s="1"/>
  <c r="J55" i="134"/>
  <c r="C50" i="132"/>
  <c r="I22" i="132"/>
  <c r="I50" i="132" s="1"/>
  <c r="I46" i="134"/>
  <c r="K46" i="134" s="1"/>
  <c r="L46" i="134" s="1"/>
  <c r="G47" i="134"/>
  <c r="F57" i="134"/>
  <c r="J11" i="132"/>
  <c r="D39" i="132"/>
  <c r="M45" i="134"/>
  <c r="H24" i="151"/>
  <c r="N24" i="151"/>
  <c r="E21" i="151"/>
  <c r="V22" i="151"/>
  <c r="Z21" i="151"/>
  <c r="U21" i="151"/>
  <c r="Y21" i="151"/>
  <c r="J26" i="151"/>
  <c r="AM22" i="151"/>
  <c r="AG21" i="151"/>
  <c r="X26" i="151"/>
  <c r="AA27" i="151"/>
  <c r="Q27" i="151"/>
  <c r="W27" i="151"/>
  <c r="AL27" i="151"/>
  <c r="R22" i="151"/>
  <c r="W22" i="151"/>
  <c r="C284" i="151"/>
  <c r="I24" i="151"/>
  <c r="AL24" i="151"/>
  <c r="S24" i="151"/>
  <c r="H22" i="151"/>
  <c r="S9" i="151"/>
  <c r="Z7" i="151"/>
  <c r="V7" i="151"/>
  <c r="G7" i="151"/>
  <c r="O7" i="151"/>
  <c r="AI9" i="151"/>
  <c r="N9" i="151"/>
  <c r="AG8" i="151"/>
  <c r="AF8" i="151"/>
  <c r="H9" i="151"/>
  <c r="AL9" i="151"/>
  <c r="T8" i="151"/>
  <c r="H11" i="151"/>
  <c r="Q11" i="151"/>
  <c r="M10" i="151"/>
  <c r="L10" i="151"/>
  <c r="H10" i="151"/>
  <c r="AM11" i="151"/>
  <c r="AM10" i="151"/>
  <c r="M11" i="151"/>
  <c r="AM12" i="151"/>
  <c r="K13" i="151"/>
  <c r="E13" i="151"/>
  <c r="W13" i="151"/>
  <c r="AH13" i="151"/>
  <c r="R12" i="151"/>
  <c r="U13" i="151"/>
  <c r="G13" i="151"/>
  <c r="V15" i="151"/>
  <c r="AH14" i="151"/>
  <c r="AE14" i="151"/>
  <c r="AJ15" i="151"/>
  <c r="AD15" i="151"/>
  <c r="L14" i="151"/>
  <c r="Z15" i="151"/>
  <c r="I15" i="151"/>
  <c r="U15" i="151"/>
  <c r="Z17" i="151"/>
  <c r="W16" i="151"/>
  <c r="AA17" i="151"/>
  <c r="AE17" i="151"/>
  <c r="AH17" i="151"/>
  <c r="G16" i="151"/>
  <c r="R17" i="151"/>
  <c r="R16" i="151"/>
  <c r="N18" i="151"/>
  <c r="AG18" i="151"/>
  <c r="AF18" i="151"/>
  <c r="AD25" i="151"/>
  <c r="T21" i="151"/>
  <c r="AF14" i="151"/>
  <c r="AD18" i="151"/>
  <c r="G17" i="151"/>
  <c r="AI23" i="151"/>
  <c r="Y24" i="151"/>
  <c r="AH22" i="151"/>
  <c r="G22" i="151"/>
  <c r="F24" i="151"/>
  <c r="K8" i="151"/>
  <c r="T7" i="151"/>
  <c r="J9" i="151"/>
  <c r="H8" i="151"/>
  <c r="U8" i="151"/>
  <c r="G8" i="151"/>
  <c r="F7" i="151"/>
  <c r="T9" i="151"/>
  <c r="R9" i="151"/>
  <c r="X9" i="151"/>
  <c r="V9" i="151"/>
  <c r="M9" i="151"/>
  <c r="AJ9" i="151"/>
  <c r="I11" i="151"/>
  <c r="W10" i="151"/>
  <c r="V13" i="151"/>
  <c r="U11" i="151"/>
  <c r="K10" i="151"/>
  <c r="AC11" i="151"/>
  <c r="R11" i="151"/>
  <c r="AG10" i="151"/>
  <c r="F12" i="151"/>
  <c r="G12" i="151"/>
  <c r="AK12" i="151"/>
  <c r="G10" i="151"/>
  <c r="I13" i="151"/>
  <c r="T12" i="151"/>
  <c r="AK13" i="151"/>
  <c r="Z12" i="151"/>
  <c r="G14" i="151"/>
  <c r="AC14" i="151"/>
  <c r="AH15" i="151"/>
  <c r="H15" i="151"/>
  <c r="AL14" i="151"/>
  <c r="AI14" i="151"/>
  <c r="AC15" i="151"/>
  <c r="R15" i="151"/>
  <c r="W15" i="151"/>
  <c r="W17" i="151"/>
  <c r="V16" i="151"/>
  <c r="M17" i="151"/>
  <c r="Y17" i="151"/>
  <c r="AF16" i="151"/>
  <c r="AM16" i="151"/>
  <c r="X17" i="151"/>
  <c r="Q19" i="151"/>
  <c r="Z19" i="151"/>
  <c r="J19" i="151"/>
  <c r="AH24" i="151"/>
  <c r="Z25" i="151"/>
  <c r="U25" i="151"/>
  <c r="R25" i="151"/>
  <c r="AL15" i="151"/>
  <c r="T16" i="151"/>
  <c r="Z16" i="151"/>
  <c r="E25" i="151"/>
  <c r="R23" i="151"/>
  <c r="AM7" i="151"/>
  <c r="AM8" i="151"/>
  <c r="E7" i="151"/>
  <c r="J8" i="151"/>
  <c r="Y7" i="151"/>
  <c r="H7" i="151"/>
  <c r="AA7" i="151"/>
  <c r="AF9" i="151"/>
  <c r="S8" i="151"/>
  <c r="G9" i="151"/>
  <c r="O9" i="151"/>
  <c r="E8" i="151"/>
  <c r="F9" i="151"/>
  <c r="AK11" i="151"/>
  <c r="Y10" i="151"/>
  <c r="S10" i="151"/>
  <c r="AE11" i="151"/>
  <c r="N10" i="151"/>
  <c r="AI10" i="151"/>
  <c r="G11" i="151"/>
  <c r="F11" i="151"/>
  <c r="AG13" i="151"/>
  <c r="Y12" i="151"/>
  <c r="S13" i="151"/>
  <c r="Y13" i="151"/>
  <c r="AE13" i="151"/>
  <c r="X12" i="151"/>
  <c r="AC12" i="151"/>
  <c r="AJ12" i="151"/>
  <c r="Q15" i="151"/>
  <c r="T15" i="151"/>
  <c r="AD12" i="151"/>
  <c r="X15" i="151"/>
  <c r="Q14" i="151"/>
  <c r="AD14" i="151"/>
  <c r="F15" i="151"/>
  <c r="K14" i="151"/>
  <c r="AA15" i="151"/>
  <c r="S17" i="151"/>
  <c r="Q16" i="151"/>
  <c r="AI17" i="151"/>
  <c r="I16" i="151"/>
  <c r="I17" i="151"/>
  <c r="T17" i="151"/>
  <c r="E17" i="151"/>
  <c r="K20" i="151"/>
  <c r="AE18" i="151"/>
  <c r="W18" i="151"/>
  <c r="AD23" i="151"/>
  <c r="G25" i="151"/>
  <c r="H25" i="151"/>
  <c r="AL25" i="151"/>
  <c r="Z14" i="151"/>
  <c r="AJ16" i="151"/>
  <c r="L18" i="151"/>
  <c r="M25" i="151"/>
  <c r="AA22" i="151"/>
  <c r="K7" i="151"/>
  <c r="Y8" i="151"/>
  <c r="Z8" i="151"/>
  <c r="AD8" i="151"/>
  <c r="AL8" i="151"/>
  <c r="J7" i="151"/>
  <c r="N11" i="151"/>
  <c r="M7" i="151"/>
  <c r="F8" i="151"/>
  <c r="K9" i="151"/>
  <c r="AM9" i="151"/>
  <c r="M8" i="151"/>
  <c r="AE7" i="151"/>
  <c r="AL10" i="151"/>
  <c r="AL11" i="151"/>
  <c r="AD10" i="151"/>
  <c r="S11" i="151"/>
  <c r="Y11" i="151"/>
  <c r="AG11" i="151"/>
  <c r="E10" i="151"/>
  <c r="J11" i="151"/>
  <c r="AF12" i="151"/>
  <c r="AJ13" i="151"/>
  <c r="V12" i="151"/>
  <c r="I12" i="151"/>
  <c r="AH12" i="151"/>
  <c r="M13" i="151"/>
  <c r="K12" i="151"/>
  <c r="L13" i="151"/>
  <c r="AJ14" i="151"/>
  <c r="T14" i="151"/>
  <c r="AK14" i="151"/>
  <c r="N14" i="151"/>
  <c r="R14" i="151"/>
  <c r="E14" i="151"/>
  <c r="J15" i="151"/>
  <c r="AK15" i="151"/>
  <c r="AI15" i="151"/>
  <c r="AK17" i="151"/>
  <c r="F16" i="151"/>
  <c r="S20" i="151"/>
  <c r="N17" i="151"/>
  <c r="N16" i="151"/>
  <c r="E16" i="151"/>
  <c r="AM17" i="151"/>
  <c r="AC18" i="151"/>
  <c r="AM18" i="151"/>
  <c r="J16" i="151"/>
  <c r="AI24" i="151"/>
  <c r="Q25" i="151"/>
  <c r="Y22" i="151"/>
  <c r="Y18" i="151"/>
  <c r="AA13" i="151"/>
  <c r="AD16" i="151"/>
  <c r="AI25" i="151"/>
  <c r="X21" i="151"/>
  <c r="V25" i="151"/>
  <c r="AE24" i="151"/>
  <c r="N25" i="151"/>
  <c r="AJ25" i="151"/>
  <c r="U7" i="151"/>
  <c r="Q7" i="151"/>
  <c r="AL7" i="151"/>
  <c r="Y9" i="151"/>
  <c r="AE8" i="151"/>
  <c r="L7" i="151"/>
  <c r="L9" i="151"/>
  <c r="U9" i="151"/>
  <c r="AE9" i="151"/>
  <c r="I7" i="151"/>
  <c r="AD7" i="151"/>
  <c r="N8" i="151"/>
  <c r="Q9" i="151"/>
  <c r="I10" i="151"/>
  <c r="AJ10" i="151"/>
  <c r="AF10" i="151"/>
  <c r="T10" i="151"/>
  <c r="R10" i="151"/>
  <c r="AA11" i="151"/>
  <c r="E11" i="151"/>
  <c r="T11" i="151"/>
  <c r="AE12" i="151"/>
  <c r="H12" i="151"/>
  <c r="AG12" i="151"/>
  <c r="Q13" i="151"/>
  <c r="E12" i="151"/>
  <c r="J12" i="151"/>
  <c r="AI12" i="151"/>
  <c r="H14" i="151"/>
  <c r="AM15" i="151"/>
  <c r="M14" i="151"/>
  <c r="AG14" i="151"/>
  <c r="Y14" i="151"/>
  <c r="W14" i="151"/>
  <c r="AF17" i="151"/>
  <c r="K15" i="151"/>
  <c r="S15" i="151"/>
  <c r="AF20" i="151"/>
  <c r="S16" i="151"/>
  <c r="H17" i="151"/>
  <c r="J17" i="151"/>
  <c r="H16" i="151"/>
  <c r="AC17" i="151"/>
  <c r="AD17" i="151"/>
  <c r="O19" i="151"/>
  <c r="AG19" i="151"/>
  <c r="AL18" i="151"/>
  <c r="M16" i="151"/>
  <c r="S25" i="151"/>
  <c r="E22" i="151"/>
  <c r="AH25" i="151"/>
  <c r="O15" i="151"/>
  <c r="Q17" i="151"/>
  <c r="M22" i="151"/>
  <c r="AE25" i="151"/>
  <c r="T25" i="151"/>
  <c r="AA25" i="151"/>
  <c r="AC7" i="151"/>
  <c r="V8" i="151"/>
  <c r="Z9" i="151"/>
  <c r="N7" i="151"/>
  <c r="AJ7" i="151"/>
  <c r="AI7" i="151"/>
  <c r="AC8" i="151"/>
  <c r="I8" i="151"/>
  <c r="AG7" i="151"/>
  <c r="R7" i="151"/>
  <c r="AH9" i="151"/>
  <c r="O8" i="151"/>
  <c r="Q12" i="151"/>
  <c r="Q10" i="151"/>
  <c r="X11" i="151"/>
  <c r="AE10" i="151"/>
  <c r="AD11" i="151"/>
  <c r="X10" i="151"/>
  <c r="L11" i="151"/>
  <c r="U10" i="151"/>
  <c r="AH10" i="151"/>
  <c r="M12" i="151"/>
  <c r="V11" i="151"/>
  <c r="AF13" i="151"/>
  <c r="U12" i="151"/>
  <c r="Z13" i="151"/>
  <c r="L12" i="151"/>
  <c r="AI13" i="151"/>
  <c r="X14" i="151"/>
  <c r="N15" i="151"/>
  <c r="L15" i="151"/>
  <c r="I14" i="151"/>
  <c r="AE15" i="151"/>
  <c r="M15" i="151"/>
  <c r="U14" i="151"/>
  <c r="AM14" i="151"/>
  <c r="O17" i="151"/>
  <c r="U16" i="151"/>
  <c r="L16" i="151"/>
  <c r="U17" i="151"/>
  <c r="AI16" i="151"/>
  <c r="AH16" i="151"/>
  <c r="K17" i="151"/>
  <c r="AG17" i="151"/>
  <c r="L17" i="151"/>
  <c r="H18" i="151"/>
  <c r="AK16" i="151"/>
  <c r="V17" i="151"/>
  <c r="J25" i="151"/>
  <c r="M24" i="151"/>
  <c r="G24" i="151"/>
  <c r="AG15" i="151"/>
  <c r="AG16" i="151"/>
  <c r="Y25" i="151"/>
  <c r="S23" i="151"/>
  <c r="U24" i="151"/>
  <c r="W25" i="151"/>
  <c r="T24" i="151"/>
  <c r="F25" i="151"/>
  <c r="AI8" i="151"/>
  <c r="W7" i="151"/>
  <c r="X7" i="151"/>
  <c r="W8" i="151"/>
  <c r="AH7" i="151"/>
  <c r="L8" i="151"/>
  <c r="AA9" i="151"/>
  <c r="AK9" i="151"/>
  <c r="I9" i="151"/>
  <c r="AH8" i="151"/>
  <c r="AG9" i="151"/>
  <c r="AC9" i="151"/>
  <c r="Z10" i="151"/>
  <c r="F10" i="151"/>
  <c r="AK10" i="151"/>
  <c r="AH11" i="151"/>
  <c r="O10" i="151"/>
  <c r="AI11" i="151"/>
  <c r="AC10" i="151"/>
  <c r="K11" i="151"/>
  <c r="H13" i="151"/>
  <c r="N12" i="151"/>
  <c r="O13" i="151"/>
  <c r="W12" i="151"/>
  <c r="AL13" i="151"/>
  <c r="J13" i="151"/>
  <c r="X13" i="151"/>
  <c r="O12" i="151"/>
  <c r="O14" i="151"/>
  <c r="Y15" i="151"/>
  <c r="S14" i="151"/>
  <c r="V14" i="151"/>
  <c r="AA14" i="151"/>
  <c r="F14" i="151"/>
  <c r="AF15" i="151"/>
  <c r="G15" i="151"/>
  <c r="J14" i="151"/>
  <c r="AL17" i="151"/>
  <c r="AC16" i="151"/>
  <c r="AL16" i="151"/>
  <c r="O16" i="151"/>
  <c r="AA16" i="151"/>
  <c r="K16" i="151"/>
  <c r="AE16" i="151"/>
  <c r="F17" i="151"/>
  <c r="X16" i="151"/>
  <c r="AF19" i="151"/>
  <c r="E15" i="151"/>
  <c r="AJ17" i="151"/>
  <c r="Y16" i="151"/>
  <c r="AD21" i="151"/>
  <c r="G21" i="151"/>
  <c r="AJ24" i="151"/>
  <c r="AK21" i="151"/>
  <c r="AF21" i="151"/>
  <c r="AC25" i="151"/>
  <c r="Q24" i="151"/>
  <c r="K25" i="151"/>
  <c r="AF7" i="151"/>
  <c r="R8" i="151"/>
  <c r="AA8" i="151"/>
  <c r="X8" i="151"/>
  <c r="S7" i="151"/>
  <c r="Q8" i="151"/>
  <c r="AD9" i="151"/>
  <c r="AK8" i="151"/>
  <c r="W9" i="151"/>
  <c r="AK7" i="151"/>
  <c r="AJ8" i="151"/>
  <c r="E9" i="151"/>
  <c r="V10" i="151"/>
  <c r="O11" i="151"/>
  <c r="AA10" i="151"/>
  <c r="W11" i="151"/>
  <c r="Z11" i="151"/>
  <c r="AF11" i="151"/>
  <c r="AJ11" i="151"/>
  <c r="J10" i="151"/>
  <c r="T13" i="151"/>
  <c r="AM13" i="151"/>
  <c r="R13" i="151"/>
  <c r="N13" i="151"/>
  <c r="AA12" i="151"/>
  <c r="AL12" i="151"/>
  <c r="F13" i="151"/>
  <c r="AD13" i="151"/>
  <c r="AC13" i="151"/>
  <c r="S12" i="151"/>
  <c r="F26" i="151"/>
  <c r="E23" i="151"/>
  <c r="K23" i="151"/>
  <c r="AA26" i="151"/>
  <c r="T27" i="151"/>
  <c r="H27" i="151"/>
  <c r="N27" i="151"/>
  <c r="AD27" i="151"/>
  <c r="AM24" i="151"/>
  <c r="Q26" i="151"/>
  <c r="O26" i="151"/>
  <c r="K24" i="151"/>
  <c r="AK27" i="151"/>
  <c r="AI27" i="151"/>
  <c r="AG27" i="151"/>
  <c r="F27" i="151"/>
  <c r="U27" i="151"/>
  <c r="M21" i="151"/>
  <c r="I25" i="151"/>
  <c r="AC22" i="151"/>
  <c r="O25" i="151"/>
  <c r="AJ21" i="151"/>
  <c r="AK22" i="151"/>
  <c r="AG24" i="151"/>
  <c r="AI21" i="151"/>
  <c r="G23" i="151"/>
  <c r="AK26" i="151"/>
  <c r="S26" i="151"/>
  <c r="Y23" i="151"/>
  <c r="S27" i="151"/>
  <c r="Z27" i="151"/>
  <c r="X27" i="151"/>
  <c r="AM27" i="151"/>
  <c r="L27" i="151"/>
  <c r="X22" i="151"/>
  <c r="V23" i="151"/>
  <c r="AF25" i="151"/>
  <c r="O20" i="151"/>
  <c r="AD20" i="151"/>
  <c r="S22" i="151"/>
  <c r="AG20" i="151"/>
  <c r="AA24" i="151"/>
  <c r="H23" i="151"/>
  <c r="W26" i="151"/>
  <c r="X23" i="151"/>
  <c r="K27" i="151"/>
  <c r="R27" i="151"/>
  <c r="O27" i="151"/>
  <c r="AE27" i="151"/>
  <c r="AF26" i="151"/>
  <c r="J23" i="151"/>
  <c r="L24" i="151"/>
  <c r="AH23" i="151"/>
  <c r="AM23" i="151"/>
  <c r="AL22" i="151"/>
  <c r="AF24" i="151"/>
  <c r="N26" i="151"/>
  <c r="AA23" i="151"/>
  <c r="J27" i="151"/>
  <c r="I27" i="151"/>
  <c r="G27" i="151"/>
  <c r="V27" i="151"/>
  <c r="L25" i="151"/>
  <c r="W24" i="151"/>
  <c r="R24" i="151"/>
  <c r="C287" i="151"/>
  <c r="AM19" i="151"/>
  <c r="M18" i="151"/>
  <c r="L20" i="151"/>
  <c r="AK19" i="151"/>
  <c r="E19" i="151"/>
  <c r="M19" i="151"/>
  <c r="G19" i="151"/>
  <c r="Z20" i="151"/>
  <c r="U19" i="151"/>
  <c r="E18" i="151"/>
  <c r="J20" i="151"/>
  <c r="J18" i="151"/>
  <c r="H19" i="151"/>
  <c r="T19" i="151"/>
  <c r="N20" i="151"/>
  <c r="AI18" i="151"/>
  <c r="AL19" i="151"/>
  <c r="T20" i="151"/>
  <c r="AC20" i="151"/>
  <c r="O18" i="151"/>
  <c r="T18" i="151"/>
  <c r="Z18" i="151"/>
  <c r="AJ18" i="151"/>
  <c r="F20" i="151"/>
  <c r="I18" i="151"/>
  <c r="AJ19" i="151"/>
  <c r="R18" i="151"/>
  <c r="Q18" i="151"/>
  <c r="V18" i="151"/>
  <c r="AK18" i="151"/>
  <c r="K18" i="151"/>
  <c r="AC19" i="151"/>
  <c r="K19" i="151"/>
  <c r="I19" i="151"/>
  <c r="U20" i="151"/>
  <c r="AH19" i="151"/>
  <c r="AA19" i="151"/>
  <c r="AM20" i="151"/>
  <c r="V19" i="151"/>
  <c r="AH18" i="151"/>
  <c r="L19" i="151"/>
  <c r="G18" i="151"/>
  <c r="U18" i="151"/>
  <c r="V20" i="151"/>
  <c r="AE19" i="151"/>
  <c r="R19" i="151"/>
  <c r="F18" i="151"/>
  <c r="X19" i="151"/>
  <c r="AA18" i="151"/>
  <c r="Y20" i="151"/>
  <c r="AI19" i="151"/>
  <c r="X18" i="151"/>
  <c r="F19" i="151"/>
  <c r="N19" i="151"/>
  <c r="O21" i="151"/>
  <c r="I20" i="151"/>
  <c r="AM21" i="151"/>
  <c r="AL20" i="151"/>
  <c r="S18" i="151"/>
  <c r="AC21" i="151"/>
  <c r="S19" i="151"/>
  <c r="AE20" i="151"/>
  <c r="AH20" i="151"/>
  <c r="AD19" i="151"/>
  <c r="AG22" i="151"/>
  <c r="O22" i="151"/>
  <c r="AA20" i="151"/>
  <c r="Y19" i="151"/>
  <c r="AK20" i="151"/>
  <c r="Q20" i="151"/>
  <c r="K21" i="151"/>
  <c r="H21" i="151"/>
  <c r="AI20" i="151"/>
  <c r="M20" i="151"/>
  <c r="AL21" i="151"/>
  <c r="K22" i="151"/>
  <c r="G20" i="151"/>
  <c r="W23" i="151"/>
  <c r="V21" i="151"/>
  <c r="H20" i="151"/>
  <c r="L21" i="151"/>
  <c r="AL23" i="151"/>
  <c r="AG23" i="151"/>
  <c r="AM26" i="151"/>
  <c r="AK24" i="151"/>
  <c r="AJ27" i="151"/>
  <c r="AH27" i="151"/>
  <c r="J28" i="151"/>
  <c r="S28" i="151"/>
  <c r="AA28" i="151"/>
  <c r="AJ28" i="151"/>
  <c r="K28" i="151"/>
  <c r="T28" i="151"/>
  <c r="AC28" i="151"/>
  <c r="AK28" i="151"/>
  <c r="L28" i="151"/>
  <c r="U28" i="151"/>
  <c r="AD28" i="151"/>
  <c r="AL28" i="151"/>
  <c r="E28" i="151"/>
  <c r="M28" i="151"/>
  <c r="V28" i="151"/>
  <c r="AE28" i="151"/>
  <c r="AM28" i="151"/>
  <c r="F28" i="151"/>
  <c r="N28" i="151"/>
  <c r="W28" i="151"/>
  <c r="AF28" i="151"/>
  <c r="G28" i="151"/>
  <c r="O28" i="151"/>
  <c r="X28" i="151"/>
  <c r="AG28" i="151"/>
  <c r="R28" i="151"/>
  <c r="Y28" i="151"/>
  <c r="Z28" i="151"/>
  <c r="AH28" i="151"/>
  <c r="H28" i="151"/>
  <c r="I28" i="151"/>
  <c r="Q28" i="151"/>
  <c r="AI28" i="151"/>
  <c r="M27" i="151"/>
  <c r="I21" i="151"/>
  <c r="AG26" i="151"/>
  <c r="G26" i="151"/>
  <c r="Q22" i="151"/>
  <c r="W19" i="151"/>
  <c r="AF23" i="151"/>
  <c r="E20" i="151"/>
  <c r="S21" i="151"/>
  <c r="V24" i="151"/>
  <c r="N22" i="151"/>
  <c r="AK23" i="151"/>
  <c r="AA21" i="151"/>
  <c r="R21" i="151"/>
  <c r="AC27" i="151"/>
  <c r="Y27" i="151"/>
  <c r="AF27" i="151"/>
  <c r="E27" i="151"/>
  <c r="AE21" i="151"/>
  <c r="AJ26" i="151"/>
  <c r="I23" i="151"/>
  <c r="J39" i="132" l="1"/>
  <c r="J58" i="133"/>
  <c r="C59" i="133"/>
  <c r="D60" i="133"/>
  <c r="B25" i="132"/>
  <c r="I47" i="133"/>
  <c r="K47" i="133" s="1"/>
  <c r="L47" i="133" s="1"/>
  <c r="G48" i="133"/>
  <c r="M46" i="133"/>
  <c r="D12" i="132"/>
  <c r="E25" i="132"/>
  <c r="H59" i="133"/>
  <c r="C25" i="132" s="1"/>
  <c r="I47" i="134"/>
  <c r="K47" i="134" s="1"/>
  <c r="L47" i="134" s="1"/>
  <c r="G48" i="134"/>
  <c r="J12" i="132"/>
  <c r="J40" i="132" s="1"/>
  <c r="D40" i="132"/>
  <c r="M46" i="134"/>
  <c r="K24" i="132"/>
  <c r="E52" i="132"/>
  <c r="H57" i="134"/>
  <c r="H58" i="134" s="1"/>
  <c r="K23" i="132"/>
  <c r="E51" i="132"/>
  <c r="D59" i="134"/>
  <c r="F59" i="134" s="1"/>
  <c r="C58" i="134"/>
  <c r="B52" i="132"/>
  <c r="H24" i="132"/>
  <c r="H52" i="132" s="1"/>
  <c r="J59" i="133" l="1"/>
  <c r="C60" i="133"/>
  <c r="D61" i="133"/>
  <c r="B26" i="132"/>
  <c r="F60" i="133"/>
  <c r="I48" i="133"/>
  <c r="K48" i="133" s="1"/>
  <c r="L48" i="133" s="1"/>
  <c r="G49" i="133"/>
  <c r="M47" i="133"/>
  <c r="D13" i="132"/>
  <c r="K25" i="132"/>
  <c r="E53" i="132"/>
  <c r="H59" i="134"/>
  <c r="J59" i="134" s="1"/>
  <c r="B53" i="132"/>
  <c r="D60" i="134"/>
  <c r="C59" i="134"/>
  <c r="H25" i="132"/>
  <c r="H53" i="132" s="1"/>
  <c r="C51" i="132"/>
  <c r="I23" i="132"/>
  <c r="I51" i="132" s="1"/>
  <c r="J57" i="134"/>
  <c r="C52" i="132"/>
  <c r="I24" i="132"/>
  <c r="I52" i="132" s="1"/>
  <c r="I48" i="134"/>
  <c r="K48" i="134" s="1"/>
  <c r="L48" i="134" s="1"/>
  <c r="G49" i="134"/>
  <c r="J58" i="134"/>
  <c r="J13" i="132"/>
  <c r="D41" i="132"/>
  <c r="M47" i="134"/>
  <c r="J41" i="132" l="1"/>
  <c r="H60" i="133"/>
  <c r="E26" i="132"/>
  <c r="C61" i="133"/>
  <c r="D62" i="133"/>
  <c r="B27" i="132"/>
  <c r="I49" i="133"/>
  <c r="K49" i="133" s="1"/>
  <c r="L49" i="133" s="1"/>
  <c r="G50" i="133"/>
  <c r="I50" i="133" s="1"/>
  <c r="K50" i="133" s="1"/>
  <c r="L50" i="133" s="1"/>
  <c r="F61" i="133"/>
  <c r="M48" i="133"/>
  <c r="D14" i="132"/>
  <c r="D61" i="134"/>
  <c r="F61" i="134" s="1"/>
  <c r="C60" i="134"/>
  <c r="B54" i="132"/>
  <c r="H26" i="132"/>
  <c r="H54" i="132" s="1"/>
  <c r="M48" i="134"/>
  <c r="J14" i="132"/>
  <c r="D42" i="132"/>
  <c r="F60" i="134"/>
  <c r="C53" i="132"/>
  <c r="I25" i="132"/>
  <c r="I53" i="132" s="1"/>
  <c r="I49" i="134"/>
  <c r="K49" i="134" s="1"/>
  <c r="L49" i="134" s="1"/>
  <c r="G50" i="134"/>
  <c r="I50" i="134" s="1"/>
  <c r="K50" i="134" s="1"/>
  <c r="L50" i="134" s="1"/>
  <c r="D63" i="133" l="1"/>
  <c r="F63" i="133"/>
  <c r="C62" i="133"/>
  <c r="B28" i="132"/>
  <c r="C8" i="97" s="1"/>
  <c r="J42" i="132"/>
  <c r="F62" i="133"/>
  <c r="E27" i="132"/>
  <c r="H61" i="133"/>
  <c r="M50" i="133"/>
  <c r="D16" i="132"/>
  <c r="K10" i="97" s="1"/>
  <c r="K11" i="97" s="1"/>
  <c r="K13" i="97" s="1"/>
  <c r="K15" i="97" s="1"/>
  <c r="K17" i="97" s="1"/>
  <c r="M21" i="103" s="1"/>
  <c r="C26" i="132"/>
  <c r="J60" i="133"/>
  <c r="D15" i="132"/>
  <c r="M49" i="133"/>
  <c r="E54" i="132"/>
  <c r="H60" i="134"/>
  <c r="H61" i="134" s="1"/>
  <c r="K26" i="132"/>
  <c r="E55" i="132"/>
  <c r="K27" i="132"/>
  <c r="D62" i="134"/>
  <c r="C61" i="134"/>
  <c r="B55" i="132"/>
  <c r="H27" i="132"/>
  <c r="H55" i="132" s="1"/>
  <c r="D44" i="132"/>
  <c r="M50" i="134"/>
  <c r="J16" i="132"/>
  <c r="J15" i="132"/>
  <c r="D43" i="132"/>
  <c r="M49" i="134"/>
  <c r="J44" i="132" l="1"/>
  <c r="L52" i="87" s="1"/>
  <c r="J43" i="132"/>
  <c r="E28" i="132"/>
  <c r="H62" i="133"/>
  <c r="M52" i="103"/>
  <c r="M53" i="103" s="1"/>
  <c r="F37" i="103" s="1"/>
  <c r="N21" i="103"/>
  <c r="E59" i="133"/>
  <c r="E56" i="133"/>
  <c r="E57" i="133"/>
  <c r="E58" i="133"/>
  <c r="E54" i="133"/>
  <c r="E60" i="133"/>
  <c r="E53" i="133"/>
  <c r="E62" i="133"/>
  <c r="E61" i="133"/>
  <c r="E55" i="133"/>
  <c r="E52" i="133"/>
  <c r="E51" i="133"/>
  <c r="G51" i="133" s="1"/>
  <c r="I51" i="133" s="1"/>
  <c r="K51" i="133" s="1"/>
  <c r="L51" i="133" s="1"/>
  <c r="C27" i="132"/>
  <c r="J61" i="133"/>
  <c r="C63" i="133"/>
  <c r="D64" i="133"/>
  <c r="H63" i="133"/>
  <c r="J63" i="133" s="1"/>
  <c r="C55" i="132"/>
  <c r="I27" i="132"/>
  <c r="I55" i="132" s="1"/>
  <c r="C62" i="134"/>
  <c r="B56" i="132"/>
  <c r="B57" i="132" s="1"/>
  <c r="D63" i="134"/>
  <c r="F63" i="134" s="1"/>
  <c r="H28" i="132"/>
  <c r="H56" i="132" s="1"/>
  <c r="L18" i="87" s="1"/>
  <c r="C54" i="132"/>
  <c r="I26" i="132"/>
  <c r="I54" i="132" s="1"/>
  <c r="J60" i="134"/>
  <c r="K52" i="87"/>
  <c r="K53" i="87" s="1"/>
  <c r="L13" i="103" s="1"/>
  <c r="L53" i="87"/>
  <c r="J61" i="134"/>
  <c r="F62" i="134"/>
  <c r="C64" i="133" l="1"/>
  <c r="D65" i="133"/>
  <c r="F65" i="133"/>
  <c r="M51" i="133"/>
  <c r="D17" i="132"/>
  <c r="G52" i="133"/>
  <c r="I52" i="133" s="1"/>
  <c r="K52" i="133" s="1"/>
  <c r="L52" i="133" s="1"/>
  <c r="F64" i="133"/>
  <c r="H64" i="133" s="1"/>
  <c r="J64" i="133" s="1"/>
  <c r="C28" i="132"/>
  <c r="C9" i="97" s="1"/>
  <c r="J62" i="133"/>
  <c r="H62" i="134"/>
  <c r="E56" i="132"/>
  <c r="K28" i="132"/>
  <c r="K56" i="132" s="1"/>
  <c r="L24" i="87" s="1"/>
  <c r="L27" i="103"/>
  <c r="N13" i="103"/>
  <c r="M17" i="103"/>
  <c r="E57" i="134"/>
  <c r="E56" i="134"/>
  <c r="E59" i="134"/>
  <c r="E51" i="134"/>
  <c r="G51" i="134" s="1"/>
  <c r="I51" i="134" s="1"/>
  <c r="K51" i="134" s="1"/>
  <c r="L51" i="134" s="1"/>
  <c r="E52" i="134"/>
  <c r="G52" i="134" s="1"/>
  <c r="I52" i="134" s="1"/>
  <c r="K52" i="134" s="1"/>
  <c r="L52" i="134" s="1"/>
  <c r="E62" i="134"/>
  <c r="E61" i="134"/>
  <c r="E54" i="134"/>
  <c r="E55" i="134"/>
  <c r="E58" i="134"/>
  <c r="E60" i="134"/>
  <c r="E53" i="134"/>
  <c r="K18" i="87"/>
  <c r="D64" i="134"/>
  <c r="F64" i="134" s="1"/>
  <c r="C63" i="134"/>
  <c r="H65" i="133" l="1"/>
  <c r="J65" i="133" s="1"/>
  <c r="M52" i="133"/>
  <c r="D18" i="132"/>
  <c r="C65" i="133"/>
  <c r="D66" i="133"/>
  <c r="G53" i="133"/>
  <c r="L31" i="103"/>
  <c r="L48" i="103"/>
  <c r="N17" i="103"/>
  <c r="M27" i="103"/>
  <c r="M31" i="103" s="1"/>
  <c r="M35" i="103" s="1"/>
  <c r="M39" i="103" s="1"/>
  <c r="L26" i="87"/>
  <c r="K24" i="87"/>
  <c r="K26" i="87" s="1"/>
  <c r="D65" i="134"/>
  <c r="F65" i="134" s="1"/>
  <c r="C64" i="134"/>
  <c r="D45" i="132"/>
  <c r="M51" i="134"/>
  <c r="J17" i="132"/>
  <c r="J45" i="132" s="1"/>
  <c r="C56" i="132"/>
  <c r="I28" i="132"/>
  <c r="I56" i="132" s="1"/>
  <c r="L19" i="87" s="1"/>
  <c r="J62" i="134"/>
  <c r="M52" i="134"/>
  <c r="D46" i="132"/>
  <c r="J18" i="132"/>
  <c r="G53" i="134"/>
  <c r="I53" i="134" s="1"/>
  <c r="K53" i="134" s="1"/>
  <c r="L53" i="134" s="1"/>
  <c r="H63" i="134"/>
  <c r="J63" i="134" s="1"/>
  <c r="J46" i="132" l="1"/>
  <c r="C66" i="133"/>
  <c r="D67" i="133"/>
  <c r="I53" i="133"/>
  <c r="K53" i="133" s="1"/>
  <c r="L53" i="133" s="1"/>
  <c r="G54" i="133"/>
  <c r="F66" i="133"/>
  <c r="H66" i="133" s="1"/>
  <c r="J66" i="133" s="1"/>
  <c r="N27" i="103"/>
  <c r="M53" i="134"/>
  <c r="J19" i="132"/>
  <c r="N31" i="103"/>
  <c r="L35" i="103"/>
  <c r="L28" i="87"/>
  <c r="L29" i="87" s="1"/>
  <c r="K28" i="87"/>
  <c r="K29" i="87" s="1"/>
  <c r="F15" i="103"/>
  <c r="H64" i="134"/>
  <c r="J64" i="134" s="1"/>
  <c r="G54" i="134"/>
  <c r="K19" i="87"/>
  <c r="C65" i="134"/>
  <c r="D66" i="134"/>
  <c r="F66" i="134" s="1"/>
  <c r="M53" i="133" l="1"/>
  <c r="D19" i="132"/>
  <c r="J47" i="132" s="1"/>
  <c r="D47" i="132"/>
  <c r="D68" i="133"/>
  <c r="F68" i="133" s="1"/>
  <c r="C67" i="133"/>
  <c r="F67" i="133"/>
  <c r="H67" i="133" s="1"/>
  <c r="J67" i="133" s="1"/>
  <c r="I54" i="133"/>
  <c r="K54" i="133" s="1"/>
  <c r="L54" i="133" s="1"/>
  <c r="G55" i="133"/>
  <c r="I54" i="134"/>
  <c r="K54" i="134" s="1"/>
  <c r="L54" i="134" s="1"/>
  <c r="G55" i="134"/>
  <c r="L39" i="103"/>
  <c r="N39" i="103" s="1"/>
  <c r="L47" i="103"/>
  <c r="L53" i="103" s="1"/>
  <c r="N35" i="103"/>
  <c r="C66" i="134"/>
  <c r="D67" i="134"/>
  <c r="H65" i="134"/>
  <c r="J65" i="134" s="1"/>
  <c r="G15" i="103"/>
  <c r="G51" i="103" s="1"/>
  <c r="H68" i="133" l="1"/>
  <c r="J68" i="133"/>
  <c r="D69" i="133"/>
  <c r="C68" i="133"/>
  <c r="F69" i="133"/>
  <c r="H69" i="133" s="1"/>
  <c r="M54" i="133"/>
  <c r="D20" i="132"/>
  <c r="I55" i="133"/>
  <c r="K55" i="133" s="1"/>
  <c r="L55" i="133" s="1"/>
  <c r="G56" i="133"/>
  <c r="E37" i="103"/>
  <c r="G37" i="103" s="1"/>
  <c r="G52" i="103" s="1"/>
  <c r="N53" i="103"/>
  <c r="N54" i="103" s="1"/>
  <c r="H66" i="134"/>
  <c r="J66" i="134" s="1"/>
  <c r="D68" i="134"/>
  <c r="F68" i="134" s="1"/>
  <c r="C67" i="134"/>
  <c r="I55" i="134"/>
  <c r="K55" i="134" s="1"/>
  <c r="L55" i="134" s="1"/>
  <c r="G56" i="134"/>
  <c r="F67" i="134"/>
  <c r="M54" i="134"/>
  <c r="D48" i="132"/>
  <c r="J20" i="132"/>
  <c r="J48" i="132" l="1"/>
  <c r="D70" i="133"/>
  <c r="F70" i="133"/>
  <c r="H70" i="133" s="1"/>
  <c r="C69" i="133"/>
  <c r="J69" i="133"/>
  <c r="M55" i="133"/>
  <c r="D21" i="132"/>
  <c r="I56" i="133"/>
  <c r="K56" i="133" s="1"/>
  <c r="L56" i="133" s="1"/>
  <c r="G57" i="133"/>
  <c r="H67" i="134"/>
  <c r="J67" i="134" s="1"/>
  <c r="D69" i="134"/>
  <c r="F69" i="134"/>
  <c r="C68" i="134"/>
  <c r="I56" i="134"/>
  <c r="K56" i="134" s="1"/>
  <c r="L56" i="134" s="1"/>
  <c r="G57" i="134"/>
  <c r="D49" i="132"/>
  <c r="M55" i="134"/>
  <c r="J21" i="132"/>
  <c r="J49" i="132" l="1"/>
  <c r="M56" i="133"/>
  <c r="D22" i="132"/>
  <c r="C70" i="133"/>
  <c r="J70" i="133"/>
  <c r="D71" i="133"/>
  <c r="I57" i="133"/>
  <c r="K57" i="133" s="1"/>
  <c r="L57" i="133" s="1"/>
  <c r="G58" i="133"/>
  <c r="H68" i="134"/>
  <c r="J68" i="134" s="1"/>
  <c r="I57" i="134"/>
  <c r="K57" i="134" s="1"/>
  <c r="L57" i="134" s="1"/>
  <c r="G58" i="134"/>
  <c r="C69" i="134"/>
  <c r="D70" i="134"/>
  <c r="F70" i="134" s="1"/>
  <c r="M56" i="134"/>
  <c r="D50" i="132"/>
  <c r="J22" i="132"/>
  <c r="C71" i="133" l="1"/>
  <c r="D72" i="133"/>
  <c r="F72" i="133"/>
  <c r="J50" i="132"/>
  <c r="I58" i="133"/>
  <c r="K58" i="133" s="1"/>
  <c r="L58" i="133" s="1"/>
  <c r="G59" i="133"/>
  <c r="F71" i="133"/>
  <c r="H71" i="133" s="1"/>
  <c r="J71" i="133" s="1"/>
  <c r="M57" i="133"/>
  <c r="D23" i="132"/>
  <c r="H69" i="134"/>
  <c r="J69" i="134" s="1"/>
  <c r="C70" i="134"/>
  <c r="D71" i="134"/>
  <c r="F71" i="134" s="1"/>
  <c r="I58" i="134"/>
  <c r="K58" i="134" s="1"/>
  <c r="L58" i="134" s="1"/>
  <c r="G59" i="134"/>
  <c r="M57" i="134"/>
  <c r="D51" i="132"/>
  <c r="J23" i="132"/>
  <c r="H72" i="133" l="1"/>
  <c r="J72" i="133" s="1"/>
  <c r="J51" i="132"/>
  <c r="M58" i="133"/>
  <c r="D24" i="132"/>
  <c r="C72" i="133"/>
  <c r="D73" i="133"/>
  <c r="I59" i="133"/>
  <c r="K59" i="133" s="1"/>
  <c r="L59" i="133" s="1"/>
  <c r="G60" i="133"/>
  <c r="H70" i="134"/>
  <c r="J70" i="134" s="1"/>
  <c r="I59" i="134"/>
  <c r="K59" i="134" s="1"/>
  <c r="L59" i="134" s="1"/>
  <c r="G60" i="134"/>
  <c r="C71" i="134"/>
  <c r="D72" i="134"/>
  <c r="F72" i="134" s="1"/>
  <c r="M58" i="134"/>
  <c r="D52" i="132"/>
  <c r="J24" i="132"/>
  <c r="D74" i="133" l="1"/>
  <c r="F74" i="133"/>
  <c r="C73" i="133"/>
  <c r="I60" i="133"/>
  <c r="K60" i="133" s="1"/>
  <c r="L60" i="133" s="1"/>
  <c r="G61" i="133"/>
  <c r="M59" i="133"/>
  <c r="D25" i="132"/>
  <c r="J52" i="132"/>
  <c r="F73" i="133"/>
  <c r="H73" i="133" s="1"/>
  <c r="J73" i="133" s="1"/>
  <c r="H71" i="134"/>
  <c r="J71" i="134" s="1"/>
  <c r="I60" i="134"/>
  <c r="K60" i="134" s="1"/>
  <c r="L60" i="134" s="1"/>
  <c r="G61" i="134"/>
  <c r="D73" i="134"/>
  <c r="C72" i="134"/>
  <c r="F73" i="134"/>
  <c r="M59" i="134"/>
  <c r="D53" i="132"/>
  <c r="J25" i="132"/>
  <c r="J53" i="132" s="1"/>
  <c r="I61" i="133" l="1"/>
  <c r="K61" i="133" s="1"/>
  <c r="L61" i="133" s="1"/>
  <c r="G62" i="133"/>
  <c r="I62" i="133" s="1"/>
  <c r="K62" i="133" s="1"/>
  <c r="L62" i="133" s="1"/>
  <c r="M60" i="133"/>
  <c r="D26" i="132"/>
  <c r="D75" i="133"/>
  <c r="C74" i="133"/>
  <c r="H74" i="133"/>
  <c r="F75" i="133" s="1"/>
  <c r="H72" i="134"/>
  <c r="J72" i="134" s="1"/>
  <c r="I61" i="134"/>
  <c r="K61" i="134" s="1"/>
  <c r="L61" i="134" s="1"/>
  <c r="G62" i="134"/>
  <c r="I62" i="134" s="1"/>
  <c r="K62" i="134" s="1"/>
  <c r="L62" i="134" s="1"/>
  <c r="D54" i="132"/>
  <c r="M60" i="134"/>
  <c r="J26" i="132"/>
  <c r="D74" i="134"/>
  <c r="F74" i="134" s="1"/>
  <c r="C73" i="134"/>
  <c r="J74" i="133" l="1"/>
  <c r="J54" i="132"/>
  <c r="E63" i="133"/>
  <c r="G63" i="133" s="1"/>
  <c r="I63" i="133" s="1"/>
  <c r="K63" i="133" s="1"/>
  <c r="L63" i="133" s="1"/>
  <c r="M63" i="133" s="1"/>
  <c r="E70" i="133"/>
  <c r="E68" i="133"/>
  <c r="E73" i="133"/>
  <c r="E72" i="133"/>
  <c r="E64" i="133"/>
  <c r="G64" i="133" s="1"/>
  <c r="I64" i="133" s="1"/>
  <c r="K64" i="133" s="1"/>
  <c r="L64" i="133" s="1"/>
  <c r="M64" i="133" s="1"/>
  <c r="E65" i="133"/>
  <c r="E66" i="133"/>
  <c r="E71" i="133"/>
  <c r="E67" i="133"/>
  <c r="E69" i="133"/>
  <c r="E74" i="133"/>
  <c r="M62" i="133"/>
  <c r="D28" i="132"/>
  <c r="C10" i="97" s="1"/>
  <c r="C11" i="97" s="1"/>
  <c r="C13" i="97" s="1"/>
  <c r="C15" i="97" s="1"/>
  <c r="C17" i="97" s="1"/>
  <c r="F21" i="103" s="1"/>
  <c r="G21" i="103" s="1"/>
  <c r="M61" i="133"/>
  <c r="D27" i="132"/>
  <c r="H73" i="134"/>
  <c r="J73" i="134" s="1"/>
  <c r="D56" i="132"/>
  <c r="M62" i="134"/>
  <c r="J28" i="132"/>
  <c r="D75" i="134"/>
  <c r="C74" i="134"/>
  <c r="D55" i="132"/>
  <c r="M61" i="134"/>
  <c r="J27" i="132"/>
  <c r="J55" i="132" l="1"/>
  <c r="J56" i="132"/>
  <c r="L20" i="87" s="1"/>
  <c r="L21" i="87" s="1"/>
  <c r="G65" i="133"/>
  <c r="I65" i="133" s="1"/>
  <c r="K65" i="133" s="1"/>
  <c r="L65" i="133" s="1"/>
  <c r="M65" i="133" s="1"/>
  <c r="H74" i="134"/>
  <c r="E64" i="134"/>
  <c r="E71" i="134"/>
  <c r="E68" i="134"/>
  <c r="E70" i="134"/>
  <c r="E74" i="134"/>
  <c r="E69" i="134"/>
  <c r="E67" i="134"/>
  <c r="E63" i="134"/>
  <c r="G63" i="134" s="1"/>
  <c r="I63" i="134" s="1"/>
  <c r="K63" i="134" s="1"/>
  <c r="L63" i="134" s="1"/>
  <c r="M63" i="134" s="1"/>
  <c r="E72" i="134"/>
  <c r="E66" i="134"/>
  <c r="E65" i="134"/>
  <c r="E73" i="134"/>
  <c r="K20" i="87" l="1"/>
  <c r="K21" i="87" s="1"/>
  <c r="E13" i="103" s="1"/>
  <c r="G66" i="133"/>
  <c r="I66" i="133" s="1"/>
  <c r="K66" i="133" s="1"/>
  <c r="L66" i="133" s="1"/>
  <c r="M66" i="133" s="1"/>
  <c r="G67" i="133"/>
  <c r="G64" i="134"/>
  <c r="I64" i="134" s="1"/>
  <c r="K64" i="134" s="1"/>
  <c r="L64" i="134" s="1"/>
  <c r="M64" i="134" s="1"/>
  <c r="F75" i="134"/>
  <c r="J74" i="134"/>
  <c r="F17" i="103"/>
  <c r="E27" i="103"/>
  <c r="I67" i="133" l="1"/>
  <c r="K67" i="133" s="1"/>
  <c r="L67" i="133" s="1"/>
  <c r="M67" i="133" s="1"/>
  <c r="G68" i="133"/>
  <c r="G65" i="134"/>
  <c r="G13" i="103"/>
  <c r="E31" i="103"/>
  <c r="G17" i="103"/>
  <c r="F27" i="103"/>
  <c r="F31" i="103" s="1"/>
  <c r="F35" i="103" s="1"/>
  <c r="F39" i="103" s="1"/>
  <c r="I68" i="133" l="1"/>
  <c r="K68" i="133" s="1"/>
  <c r="L68" i="133" s="1"/>
  <c r="M68" i="133" s="1"/>
  <c r="G69" i="133"/>
  <c r="I65" i="134"/>
  <c r="K65" i="134" s="1"/>
  <c r="L65" i="134" s="1"/>
  <c r="M65" i="134" s="1"/>
  <c r="G66" i="134"/>
  <c r="E35" i="103"/>
  <c r="G31" i="103"/>
  <c r="G48" i="103"/>
  <c r="G53" i="103" s="1"/>
  <c r="G27" i="103"/>
  <c r="I69" i="133" l="1"/>
  <c r="K69" i="133" s="1"/>
  <c r="L69" i="133" s="1"/>
  <c r="M69" i="133" s="1"/>
  <c r="G70" i="133"/>
  <c r="I66" i="134"/>
  <c r="K66" i="134" s="1"/>
  <c r="L66" i="134" s="1"/>
  <c r="M66" i="134" s="1"/>
  <c r="G67" i="134"/>
  <c r="G35" i="103"/>
  <c r="E39" i="103"/>
  <c r="G39" i="103" s="1"/>
  <c r="G54" i="103" s="1"/>
  <c r="I70" i="133" l="1"/>
  <c r="K70" i="133" s="1"/>
  <c r="L70" i="133" s="1"/>
  <c r="M70" i="133" s="1"/>
  <c r="G71" i="133"/>
  <c r="I67" i="134"/>
  <c r="K67" i="134" s="1"/>
  <c r="L67" i="134" s="1"/>
  <c r="M67" i="134" s="1"/>
  <c r="G68" i="134"/>
  <c r="I71" i="133" l="1"/>
  <c r="K71" i="133" s="1"/>
  <c r="L71" i="133" s="1"/>
  <c r="M71" i="133" s="1"/>
  <c r="G72" i="133"/>
  <c r="I68" i="134"/>
  <c r="K68" i="134" s="1"/>
  <c r="L68" i="134" s="1"/>
  <c r="M68" i="134" s="1"/>
  <c r="G69" i="134"/>
  <c r="I72" i="133" l="1"/>
  <c r="K72" i="133" s="1"/>
  <c r="L72" i="133" s="1"/>
  <c r="M72" i="133" s="1"/>
  <c r="G73" i="133"/>
  <c r="I69" i="134"/>
  <c r="K69" i="134" s="1"/>
  <c r="L69" i="134" s="1"/>
  <c r="M69" i="134" s="1"/>
  <c r="G70" i="134"/>
  <c r="I73" i="133" l="1"/>
  <c r="K73" i="133" s="1"/>
  <c r="L73" i="133" s="1"/>
  <c r="M73" i="133" s="1"/>
  <c r="G74" i="133"/>
  <c r="I70" i="134"/>
  <c r="K70" i="134" s="1"/>
  <c r="L70" i="134" s="1"/>
  <c r="M70" i="134" s="1"/>
  <c r="G71" i="134"/>
  <c r="E75" i="133" l="1"/>
  <c r="I74" i="133"/>
  <c r="K74" i="133" s="1"/>
  <c r="L74" i="133" s="1"/>
  <c r="M74" i="133" s="1"/>
  <c r="I71" i="134"/>
  <c r="K71" i="134" s="1"/>
  <c r="L71" i="134" s="1"/>
  <c r="M71" i="134" s="1"/>
  <c r="G72" i="134"/>
  <c r="I72" i="134" l="1"/>
  <c r="K72" i="134" s="1"/>
  <c r="L72" i="134" s="1"/>
  <c r="M72" i="134" s="1"/>
  <c r="G73" i="134"/>
  <c r="G74" i="134" l="1"/>
  <c r="I73" i="134"/>
  <c r="K73" i="134" s="1"/>
  <c r="L73" i="134" s="1"/>
  <c r="M73" i="134" s="1"/>
  <c r="I74" i="134" l="1"/>
  <c r="K74" i="134" s="1"/>
  <c r="L74" i="134" s="1"/>
  <c r="M74" i="134" s="1"/>
  <c r="E75" i="134"/>
</calcChain>
</file>

<file path=xl/sharedStrings.xml><?xml version="1.0" encoding="utf-8"?>
<sst xmlns="http://schemas.openxmlformats.org/spreadsheetml/2006/main" count="2387" uniqueCount="824">
  <si>
    <t>LINE</t>
  </si>
  <si>
    <t>NO.</t>
  </si>
  <si>
    <t>DESCRIPTION</t>
  </si>
  <si>
    <t>PROFORMA</t>
  </si>
  <si>
    <t>a</t>
  </si>
  <si>
    <t>b</t>
  </si>
  <si>
    <t>c</t>
  </si>
  <si>
    <t>Date</t>
  </si>
  <si>
    <t>Net Book Value</t>
  </si>
  <si>
    <t>NBV Diff</t>
  </si>
  <si>
    <t>ADFIT</t>
  </si>
  <si>
    <t>DFIT</t>
  </si>
  <si>
    <t>Tax</t>
  </si>
  <si>
    <t>Book</t>
  </si>
  <si>
    <t>Book &gt; Tax</t>
  </si>
  <si>
    <t>(a)</t>
  </si>
  <si>
    <t>(b)</t>
  </si>
  <si>
    <t>PUGET SOUND ENERGY</t>
  </si>
  <si>
    <t>Month</t>
  </si>
  <si>
    <t>Depreciable Plant Balance</t>
  </si>
  <si>
    <t>Accumulated Depreciation</t>
  </si>
  <si>
    <t>= - curr mos</t>
  </si>
  <si>
    <t>x Tax Table</t>
  </si>
  <si>
    <t>mos.</t>
  </si>
  <si>
    <t>check</t>
  </si>
  <si>
    <t>Total</t>
  </si>
  <si>
    <t>x Depr % ÷ 12</t>
  </si>
  <si>
    <t>Tax (c) = (a)</t>
  </si>
  <si>
    <t>Book (d) = (b)</t>
  </si>
  <si>
    <t xml:space="preserve">Book  </t>
  </si>
  <si>
    <t>(e) = prior</t>
  </si>
  <si>
    <t>(f) = prior</t>
  </si>
  <si>
    <t>(j) = - (i) *</t>
  </si>
  <si>
    <t>(j) + prior</t>
  </si>
  <si>
    <t>mos- (c)</t>
  </si>
  <si>
    <t>mos - (d)</t>
  </si>
  <si>
    <t>(g) = (a) + (e)</t>
  </si>
  <si>
    <t>(h) = (b) + (f)</t>
  </si>
  <si>
    <t>(i) = (h) - (g)</t>
  </si>
  <si>
    <t>mos (j)</t>
  </si>
  <si>
    <t>RESTATED</t>
  </si>
  <si>
    <t>%'s</t>
  </si>
  <si>
    <t xml:space="preserve">ACCUM DEPRECIATION </t>
  </si>
  <si>
    <t>INCREASE (DECREASE ) EXPENSE</t>
  </si>
  <si>
    <t>INCREASE (DECREASE) FIT @</t>
  </si>
  <si>
    <t>INCREASE (DECREASE) NOI</t>
  </si>
  <si>
    <t>PLANT BALANCE</t>
  </si>
  <si>
    <t>AMA</t>
  </si>
  <si>
    <t>EOP</t>
  </si>
  <si>
    <t>DEC 2021</t>
  </si>
  <si>
    <t>ADJUSTED</t>
  </si>
  <si>
    <t>12ME JUNE 2021</t>
  </si>
  <si>
    <t>GAP YEAR</t>
  </si>
  <si>
    <t>RESULTS</t>
  </si>
  <si>
    <t>RATE YEAR 1</t>
  </si>
  <si>
    <t>TEST</t>
  </si>
  <si>
    <t>RESTATING</t>
  </si>
  <si>
    <t>RESULTS OF</t>
  </si>
  <si>
    <t>PERIOD</t>
  </si>
  <si>
    <t>PROVISIONAL</t>
  </si>
  <si>
    <t>START OF</t>
  </si>
  <si>
    <t>END OF</t>
  </si>
  <si>
    <t>YEAR</t>
  </si>
  <si>
    <t>ADJUSTMENTS</t>
  </si>
  <si>
    <t>OPERATIONS</t>
  </si>
  <si>
    <t>DEFERRED INCOME TAX LIABILITY</t>
  </si>
  <si>
    <t>PUGET SOUND ENERGY - ELECTRIC</t>
  </si>
  <si>
    <t>12 MONTHS ENDED JUNE 30, 2021</t>
  </si>
  <si>
    <t>2022 GENERAL RATE CASE</t>
  </si>
  <si>
    <t>TEP RATEBASE (AMA)</t>
  </si>
  <si>
    <t>TEP OPERATING EXPENSE</t>
  </si>
  <si>
    <t>NET TEP PLANT RATEBASE</t>
  </si>
  <si>
    <t>Depr Group</t>
  </si>
  <si>
    <t>E3711 DST EV Charger Cust Premises</t>
  </si>
  <si>
    <t>CAPITAL RECOVERY</t>
  </si>
  <si>
    <t>TAX DEPRECIATION RATES</t>
  </si>
  <si>
    <t>MACRS-Federal Post 1986 Vintages</t>
  </si>
  <si>
    <t>200 DB</t>
  </si>
  <si>
    <t>150 DB</t>
  </si>
  <si>
    <t>S/L</t>
  </si>
  <si>
    <t>STRAIGHT-LINE</t>
  </si>
  <si>
    <t>Year</t>
  </si>
  <si>
    <t>3-Years</t>
  </si>
  <si>
    <t>Cumulative</t>
  </si>
  <si>
    <t>5-Years</t>
  </si>
  <si>
    <t>7-Years</t>
  </si>
  <si>
    <t>9-Years</t>
  </si>
  <si>
    <t>10-Years</t>
  </si>
  <si>
    <t>12-Years</t>
  </si>
  <si>
    <t>15-Years</t>
  </si>
  <si>
    <t>20-Years</t>
  </si>
  <si>
    <t>31.5-Years</t>
  </si>
  <si>
    <t>39-Years</t>
  </si>
  <si>
    <t>E3711</t>
  </si>
  <si>
    <t>DEPR EXPENSE</t>
  </si>
  <si>
    <t xml:space="preserve">Line </t>
  </si>
  <si>
    <t>No.</t>
  </si>
  <si>
    <t>Description</t>
  </si>
  <si>
    <t>Rate Year 1</t>
  </si>
  <si>
    <t>TOTAL ELECTRIC</t>
  </si>
  <si>
    <t>Plant Balance</t>
  </si>
  <si>
    <t>Deferred Income Taxes</t>
  </si>
  <si>
    <t>Net Plant Rate Base</t>
  </si>
  <si>
    <t>Incentive Rate of Return</t>
  </si>
  <si>
    <t>Net Incentive Rate of Return</t>
  </si>
  <si>
    <t>Tax Benefit of Interest*</t>
  </si>
  <si>
    <t>Subtotal Before Gross-Up</t>
  </si>
  <si>
    <t>Gross Up for Federal Income Tax</t>
  </si>
  <si>
    <t>Annual Return</t>
  </si>
  <si>
    <t>* Tax benefit of interest on these plant balances has already been included in the TEP provisional proforma</t>
  </si>
  <si>
    <t>Utility Make-Ready</t>
  </si>
  <si>
    <t>Customer Make-Ready</t>
  </si>
  <si>
    <t>Capitalized Labor</t>
  </si>
  <si>
    <t>Site Improvements</t>
  </si>
  <si>
    <t>Chargers</t>
  </si>
  <si>
    <t>Capitalized IT</t>
  </si>
  <si>
    <t>Subtotal</t>
  </si>
  <si>
    <t>Incentive Rate of Return Eligible Ratio</t>
  </si>
  <si>
    <t>Totals per TEP Proforma on AMA Basis</t>
  </si>
  <si>
    <t>Gross Plant</t>
  </si>
  <si>
    <t>A/D</t>
  </si>
  <si>
    <t>Eligible for IRR</t>
  </si>
  <si>
    <t>Puget Sound Energy</t>
  </si>
  <si>
    <t>Electronic Workpapers</t>
  </si>
  <si>
    <t>Rate Spread &amp; Rate Design</t>
  </si>
  <si>
    <t>Determination of Incentive Rate of Return on Transportation Electrification Plant</t>
  </si>
  <si>
    <t>Transportation Electrification Program (TEP) Tracker</t>
  </si>
  <si>
    <t>TOTAL</t>
  </si>
  <si>
    <t>¸</t>
  </si>
  <si>
    <t>x</t>
  </si>
  <si>
    <t>Gross up for FIT</t>
  </si>
  <si>
    <t>Revenue requirement before gross up for revenue sensitive items</t>
  </si>
  <si>
    <t>Annual revenue requirement including revenue sensitive items</t>
  </si>
  <si>
    <t>Explanation of decrease in revenue requirement credit</t>
  </si>
  <si>
    <t>Approved in PY Filing</t>
  </si>
  <si>
    <t>Current Year Revenue Requirement</t>
  </si>
  <si>
    <t xml:space="preserve">SCHEDULE 141TEP ANNUAL FILING </t>
  </si>
  <si>
    <t>Rate Base</t>
  </si>
  <si>
    <t>NOI</t>
  </si>
  <si>
    <t>Net of Tax ROR and Net of Tax NOI</t>
  </si>
  <si>
    <t>NOI of OPEX (Net of Tax)</t>
  </si>
  <si>
    <t>NOI of EV Incentive Rate of Return (Net of Tax)</t>
  </si>
  <si>
    <t>NOI of Depreciation (Net of Tax)</t>
  </si>
  <si>
    <t>Change in over/under pass-back of depreciation</t>
  </si>
  <si>
    <t>Change in over/under pass-back of EV incentive rate of return</t>
  </si>
  <si>
    <t>Change in over/under pass-back of tax benefit of interest</t>
  </si>
  <si>
    <t>Change in over/under pass-back of Opex</t>
  </si>
  <si>
    <t>Change in over/under pass-back of return on rate base</t>
  </si>
  <si>
    <t>Prior Period True-up</t>
  </si>
  <si>
    <t>Transportation Electrification Plan</t>
  </si>
  <si>
    <t>TEP Budget (from slide)</t>
  </si>
  <si>
    <t>Alloc %</t>
  </si>
  <si>
    <t>Depr Rate</t>
  </si>
  <si>
    <t>Life</t>
  </si>
  <si>
    <t>Utility Make Ready</t>
  </si>
  <si>
    <t>E368 DST Line Transformers</t>
  </si>
  <si>
    <t>20 year</t>
  </si>
  <si>
    <t>Customer Make Ready</t>
  </si>
  <si>
    <t>5 year</t>
  </si>
  <si>
    <t>E3912 GEN Computer Eq, new</t>
  </si>
  <si>
    <t xml:space="preserve">E368 </t>
  </si>
  <si>
    <t xml:space="preserve">E3711 </t>
  </si>
  <si>
    <t xml:space="preserve">E3912 </t>
  </si>
  <si>
    <t>E3912</t>
  </si>
  <si>
    <t>NOI of Tax Benefit of Proforma Interest [AMA Balance x 2.55% x 21%]</t>
  </si>
  <si>
    <t>E368</t>
  </si>
  <si>
    <t>Plant Catagory</t>
  </si>
  <si>
    <t>Check</t>
  </si>
  <si>
    <t xml:space="preserve"> </t>
  </si>
  <si>
    <t>Electric Vehicle Portfolio</t>
  </si>
  <si>
    <t>Model Summary</t>
  </si>
  <si>
    <t>Year 1</t>
  </si>
  <si>
    <t>Fleet &amp; Commercial</t>
  </si>
  <si>
    <t>Multi-Family Charging</t>
  </si>
  <si>
    <t>Education and Outreach</t>
  </si>
  <si>
    <t>Load Management</t>
  </si>
  <si>
    <t>Single Family Residential</t>
  </si>
  <si>
    <t>Public Charging</t>
  </si>
  <si>
    <t>Workplace Charging</t>
  </si>
  <si>
    <t>New &amp; Innovative - Equity Focused</t>
  </si>
  <si>
    <t>Expense / Operating</t>
  </si>
  <si>
    <t>Total OPEX</t>
  </si>
  <si>
    <t>Offsetting Revenues (Public Charging Use)</t>
  </si>
  <si>
    <t>Total Revenues</t>
  </si>
  <si>
    <t>Allocate to 0% Customer Make Ready and 100% Utility Make Ready</t>
  </si>
  <si>
    <t>CAPEX CLOSINGS</t>
  </si>
  <si>
    <t>CY2023</t>
  </si>
  <si>
    <t>TEP PORTFOLIO SUMMARY (Closings)</t>
  </si>
  <si>
    <t>THE CURRENT DEPRECIATION RATE FOR LEGACY ELECTRIC METERS SHOULD BE USED UNTIL THEY ARE RETIRED.</t>
  </si>
  <si>
    <t>***</t>
  </si>
  <si>
    <t>ANNUAL ACCRUAL CALCULATED USING THE ACCRUAL RATE CONSISTENT WITH AMORTIZATION PERIOD.</t>
  </si>
  <si>
    <t>**</t>
  </si>
  <si>
    <t>LIFE SPAN METHOD IS USED.  CURVE SHOWN IS INTERIM SURVIVOR CURVE.</t>
  </si>
  <si>
    <t>*</t>
  </si>
  <si>
    <t xml:space="preserve">TOTAL ELECTRIC PLANT </t>
  </si>
  <si>
    <t>TOTAL NONDEPRECIABLE PLANT AND ACCOUNTS NOT STUDIED</t>
  </si>
  <si>
    <t>STRUCTURES AND IMPROVEMENTS - LEASEHOLDS</t>
  </si>
  <si>
    <t>LAND AND LAND RIGHTS</t>
  </si>
  <si>
    <t>ARO</t>
  </si>
  <si>
    <t>METERS ***</t>
  </si>
  <si>
    <t>MISCELLANEOUS INTANGIBLES</t>
  </si>
  <si>
    <t>FRANCHISES AND CONSENTS</t>
  </si>
  <si>
    <t>ORGANIZATION</t>
  </si>
  <si>
    <t>NONDEPRECIABLE PLANT AND ACCOUNTS NOT STUDIED</t>
  </si>
  <si>
    <t xml:space="preserve">    TOTAL DEPRECIABLE PLANT</t>
  </si>
  <si>
    <t xml:space="preserve">    TOTAL GENERAL PLANT </t>
  </si>
  <si>
    <t>15-SQ</t>
  </si>
  <si>
    <t xml:space="preserve">MISCELLANEOUS EQUIPMENT        </t>
  </si>
  <si>
    <t xml:space="preserve">COMMUNICATION EQUIPMENT - 5 YEAR </t>
  </si>
  <si>
    <t>14-L3</t>
  </si>
  <si>
    <t xml:space="preserve">POWER OPERATED EQUIPMENT       </t>
  </si>
  <si>
    <t>20-SQ</t>
  </si>
  <si>
    <t xml:space="preserve">LABORATORY EQUIPMENT           </t>
  </si>
  <si>
    <t>TOOLS, SHOP AND GARAGE EQUIPMENT</t>
  </si>
  <si>
    <t xml:space="preserve">STORES EQUIPMENT               </t>
  </si>
  <si>
    <t>12-L3</t>
  </si>
  <si>
    <t xml:space="preserve">TRANSPORTATION EQUIPMENT       </t>
  </si>
  <si>
    <t>5-SQ</t>
  </si>
  <si>
    <t xml:space="preserve">OFFICE FURNITURE AND EQUIPMENT - COMPUTERS  </t>
  </si>
  <si>
    <t xml:space="preserve">OFFICE FURNITURE AND EQUIPMENT   </t>
  </si>
  <si>
    <t>TOTAL STRUCTURES AND IMPROVEMENTS</t>
  </si>
  <si>
    <t>45-R2</t>
  </si>
  <si>
    <t xml:space="preserve">  OTHER </t>
  </si>
  <si>
    <t>75-S1.5</t>
  </si>
  <si>
    <t xml:space="preserve">  BELLINGHAM</t>
  </si>
  <si>
    <t xml:space="preserve">  SKAGIT</t>
  </si>
  <si>
    <t xml:space="preserve">STRUCTURES AND IMPROVEMENTS      </t>
  </si>
  <si>
    <t xml:space="preserve">GENERAL PLANT </t>
  </si>
  <si>
    <t xml:space="preserve">    TOTAL DISTRIBUTION PLANT </t>
  </si>
  <si>
    <t>34-S0</t>
  </si>
  <si>
    <t xml:space="preserve">STREET LIGHTING AND SIGNAL SYSTEMS  </t>
  </si>
  <si>
    <t>7-S3</t>
  </si>
  <si>
    <t>INSTALLATIONS ON CUSTOMERS' PREMISES - ELECTRIC VEHICLE CHARGERS</t>
  </si>
  <si>
    <t>20-S2.5</t>
  </si>
  <si>
    <t>METERS - AMI</t>
  </si>
  <si>
    <t>60-R3</t>
  </si>
  <si>
    <t xml:space="preserve">SERVICES                            </t>
  </si>
  <si>
    <t>48-R2</t>
  </si>
  <si>
    <t xml:space="preserve">LINE TRANSFORMERS                   </t>
  </si>
  <si>
    <t>38-R2.5</t>
  </si>
  <si>
    <t xml:space="preserve">UNDERGROUND CONDUCTORS AND DEVICES  </t>
  </si>
  <si>
    <t xml:space="preserve">UNDERGROUND CONDUIT                 </t>
  </si>
  <si>
    <t xml:space="preserve">OVERHEAD CONDUCTORS AND DEVICES     </t>
  </si>
  <si>
    <t>47-R1.5</t>
  </si>
  <si>
    <t xml:space="preserve">POLES, TOWERS AND FIXTURES          </t>
  </si>
  <si>
    <t>20-S3</t>
  </si>
  <si>
    <t>ENERGY STORAGE EQUIPMENT</t>
  </si>
  <si>
    <t>52-S0</t>
  </si>
  <si>
    <t xml:space="preserve">STATION EQUIPMENT                   </t>
  </si>
  <si>
    <t>65-R2</t>
  </si>
  <si>
    <t xml:space="preserve">STRUCTURES AND IMPROVEMENTS          </t>
  </si>
  <si>
    <t>65-R4</t>
  </si>
  <si>
    <t>EASEMENTS</t>
  </si>
  <si>
    <t xml:space="preserve">DISTRIBUTION PLANT </t>
  </si>
  <si>
    <t xml:space="preserve">    TOTAL TRANSMISSION PLANT </t>
  </si>
  <si>
    <t>70-R4</t>
  </si>
  <si>
    <t xml:space="preserve">ROADS AND TRAILS - GIF                  </t>
  </si>
  <si>
    <t xml:space="preserve">ROADS AND TRAILS - HVD RECLASS                   </t>
  </si>
  <si>
    <t xml:space="preserve">ROADS AND TRAILS                    </t>
  </si>
  <si>
    <t>55-R4</t>
  </si>
  <si>
    <t xml:space="preserve">UNDERGROUND CONDUCTORS AND DEVICES - GIF </t>
  </si>
  <si>
    <t>UNDERGROUND CONDUCTORS AND DEVICES - HVD RECLASS</t>
  </si>
  <si>
    <t>UNDERGROUND CONDUIT - GIF</t>
  </si>
  <si>
    <t>UNDERGROUND CONDUIT - HVD RECLASS</t>
  </si>
  <si>
    <t>65-R2.5</t>
  </si>
  <si>
    <t xml:space="preserve">OVERHEAD CONDUCTORS AND DEVICES - GIF     </t>
  </si>
  <si>
    <t xml:space="preserve">OVERHEAD CONDUCTORS AND DEVICES - HVD RECLASS    </t>
  </si>
  <si>
    <t>OVERHEAD CONDUCTORS AND DEVICES - SUBTRANSMISSION</t>
  </si>
  <si>
    <t>48-R1.5</t>
  </si>
  <si>
    <t xml:space="preserve">POLES AND FIXTURES - GIF                  </t>
  </si>
  <si>
    <t xml:space="preserve">POLES AND FIXTURES - HVD RECLASS                  </t>
  </si>
  <si>
    <t xml:space="preserve">POLES AND FIXTURES - SUBTRANSMISSION </t>
  </si>
  <si>
    <t xml:space="preserve">POLES AND FIXTURES                  </t>
  </si>
  <si>
    <t>75-R4</t>
  </si>
  <si>
    <t xml:space="preserve">TOWERS AND FIXTURES - GIF                 </t>
  </si>
  <si>
    <t>TOWERS AND FIXTURES - HVD RECLASS</t>
  </si>
  <si>
    <t xml:space="preserve">TOWERS AND FIXTURES                 </t>
  </si>
  <si>
    <t>44-R1.5</t>
  </si>
  <si>
    <t xml:space="preserve">STATION EQUIPMENT - GIF  </t>
  </si>
  <si>
    <t>STATION EQUIPMENT - LIF</t>
  </si>
  <si>
    <t>STATION EQUIPMENT - HVD RECLASS</t>
  </si>
  <si>
    <t>STATION EQUIPMENT - SUBTRANSMISSION</t>
  </si>
  <si>
    <t>65-R3</t>
  </si>
  <si>
    <t>STRUCTURES AND IMPROVEMENTS - GIF</t>
  </si>
  <si>
    <t>STRUCTURES AND IMPROVEMENTS - HVD RECLASS</t>
  </si>
  <si>
    <t>STRUCTURES AND IMPROVEMENTS - SUBTRANSMISSION</t>
  </si>
  <si>
    <t xml:space="preserve">STRUCTURES AND IMPROVEMENTS         </t>
  </si>
  <si>
    <t>EASEMENTS - GIF</t>
  </si>
  <si>
    <t>EASEMENTS - HVD RECLASS</t>
  </si>
  <si>
    <t>EASEMENTS - SUBTRANSMISSION</t>
  </si>
  <si>
    <t xml:space="preserve">TRANSMISSION PLANT </t>
  </si>
  <si>
    <t xml:space="preserve">    TOTAL OTHER PRODUCTION PLANT </t>
  </si>
  <si>
    <t xml:space="preserve">          </t>
  </si>
  <si>
    <t>TOTAL MISCELLANEOUS TOOLS - WIND</t>
  </si>
  <si>
    <t>20-R4</t>
  </si>
  <si>
    <t xml:space="preserve">  WILD HORSE</t>
  </si>
  <si>
    <t xml:space="preserve">  HOPKINS RIDGE</t>
  </si>
  <si>
    <t xml:space="preserve">  LOWER SNAKE RIVER</t>
  </si>
  <si>
    <t>MISCELLANEOUS TOOLS - WIND</t>
  </si>
  <si>
    <t>TOTAL MISCELLANEOUS TOOLS</t>
  </si>
  <si>
    <t xml:space="preserve">  FERNDALE</t>
  </si>
  <si>
    <t xml:space="preserve">  WHITEHORN 2-3             </t>
  </si>
  <si>
    <t xml:space="preserve">  FREDERICKSON              </t>
  </si>
  <si>
    <t xml:space="preserve">  FREDONIA                  </t>
  </si>
  <si>
    <t xml:space="preserve">  CRYSTAL MOUNTAIN          </t>
  </si>
  <si>
    <t xml:space="preserve">  SUMAS</t>
  </si>
  <si>
    <t xml:space="preserve">  MINT FARM</t>
  </si>
  <si>
    <t xml:space="preserve">  GOLDENDALE</t>
  </si>
  <si>
    <t xml:space="preserve">  FREDERICKSON 1/EPCOR</t>
  </si>
  <si>
    <t xml:space="preserve">  ENCOGEN          </t>
  </si>
  <si>
    <t>MISCELLANEOUS TOOLS</t>
  </si>
  <si>
    <t>TOTAL MISCELLANEOUS POWER PLANT EQUIPMENT - WIND</t>
  </si>
  <si>
    <t>50-R2.5</t>
  </si>
  <si>
    <t>MISCELLANEOUS POWER PLANT EQUIPMENT - WIND</t>
  </si>
  <si>
    <t>TOTAL MISCELLANEOUS POWER PLANT EQUIPMENT</t>
  </si>
  <si>
    <t>45-S1.5</t>
  </si>
  <si>
    <t xml:space="preserve">  FREDERICKSON                     </t>
  </si>
  <si>
    <t xml:space="preserve">  FREDONIA                         </t>
  </si>
  <si>
    <t xml:space="preserve">  ENCOGEN                          </t>
  </si>
  <si>
    <t>MISCELLANEOUS POWER PLANT EQUIPMENT</t>
  </si>
  <si>
    <t>TOTAL ACCESSORY ELECTRIC EQUIPMENT - WIND</t>
  </si>
  <si>
    <t>45-S0.5</t>
  </si>
  <si>
    <t>ACCESSORY ELECTRIC EQUIPMENT - WIND</t>
  </si>
  <si>
    <t>TOTAL ACCESSORY ELECTRIC EQUIPMENT</t>
  </si>
  <si>
    <t>50-S1.5</t>
  </si>
  <si>
    <t xml:space="preserve">  ENCOGEN                   </t>
  </si>
  <si>
    <t>ACCESSORY ELECTRIC EQUIPMENT</t>
  </si>
  <si>
    <t>TOTAL GENERATORS - COMBINED CYCLE</t>
  </si>
  <si>
    <t>12-L0.5</t>
  </si>
  <si>
    <t>GENERATORS - COMBINED CYCLE</t>
  </si>
  <si>
    <t>TOTAL GENERATORS - WIND</t>
  </si>
  <si>
    <t>40-R2.5</t>
  </si>
  <si>
    <t>GENERATORS - WIND</t>
  </si>
  <si>
    <t>TOTAL GENERATORS</t>
  </si>
  <si>
    <t>60-R2.5</t>
  </si>
  <si>
    <t xml:space="preserve">  WHITEHORN 2-3   </t>
  </si>
  <si>
    <t xml:space="preserve">  FREDERICKSON    </t>
  </si>
  <si>
    <t xml:space="preserve">  FREDONIA        </t>
  </si>
  <si>
    <t xml:space="preserve">  CRYSTAL MOUNTAIN</t>
  </si>
  <si>
    <t xml:space="preserve">GENERATORS        </t>
  </si>
  <si>
    <t>TOTAL FUEL HOLDERS, PRODUCERS AND ACCESSORIES</t>
  </si>
  <si>
    <t>45-R3</t>
  </si>
  <si>
    <t xml:space="preserve">  WHITEHORN 2-3                      </t>
  </si>
  <si>
    <t xml:space="preserve">  FREDERICKSON                       </t>
  </si>
  <si>
    <t xml:space="preserve">  FREDONIA                           </t>
  </si>
  <si>
    <t xml:space="preserve">  CRYSTAL MOUNTAIN                   </t>
  </si>
  <si>
    <t xml:space="preserve">  ENCOGEN                            </t>
  </si>
  <si>
    <t>FUEL HOLDERS, PRODUCERS AND ACCESSORIES</t>
  </si>
  <si>
    <t>TOTAL STRUCTURES AND IMPROVEMENTS - WIND</t>
  </si>
  <si>
    <t>STRUCTURES AND IMPROVEMENTS - WIND</t>
  </si>
  <si>
    <t xml:space="preserve">  WHITEHORN 2-3            </t>
  </si>
  <si>
    <t xml:space="preserve">  FREDERICKSON             </t>
  </si>
  <si>
    <t xml:space="preserve">  FREDONIA                 </t>
  </si>
  <si>
    <t xml:space="preserve">  CRYSTAL MOUNTAIN         </t>
  </si>
  <si>
    <t xml:space="preserve">  ENCOGEN                  </t>
  </si>
  <si>
    <t>STRUCTURES AND IMPROVEMENTS</t>
  </si>
  <si>
    <t>SQUARE</t>
  </si>
  <si>
    <t>OTHER PRODUCTION PLANT</t>
  </si>
  <si>
    <t xml:space="preserve">    TOTAL HYDROELECTRIC PRODUCTION PLANT </t>
  </si>
  <si>
    <t>TOTAL ROADS, RAILROADS AND BRIDGES</t>
  </si>
  <si>
    <t>75-S0.5</t>
  </si>
  <si>
    <t xml:space="preserve">  SNOQUALMIE #2                    </t>
  </si>
  <si>
    <t xml:space="preserve">  SNOQUALMIE #1</t>
  </si>
  <si>
    <t xml:space="preserve">  UPPER BAKER                      </t>
  </si>
  <si>
    <t xml:space="preserve">  LOWER BAKER              </t>
  </si>
  <si>
    <t>ROADS, RAILROADS AND BRIDGES</t>
  </si>
  <si>
    <t xml:space="preserve">  SNOQUALMIE #2    </t>
  </si>
  <si>
    <t xml:space="preserve">  SNOQUALMIE #1    </t>
  </si>
  <si>
    <t xml:space="preserve">  UPPER BAKER      </t>
  </si>
  <si>
    <t xml:space="preserve">  LOWER BAKER      </t>
  </si>
  <si>
    <t>45-S1</t>
  </si>
  <si>
    <t xml:space="preserve">  SNOQUALMIE #1                    </t>
  </si>
  <si>
    <t xml:space="preserve">  LOWER BAKER                      </t>
  </si>
  <si>
    <t>55-R2</t>
  </si>
  <si>
    <t xml:space="preserve">  SNOQUALMIE #2             </t>
  </si>
  <si>
    <t xml:space="preserve">  SNOQUALMIE #1             </t>
  </si>
  <si>
    <t xml:space="preserve">  LOWER BAKER               </t>
  </si>
  <si>
    <t>TOTAL WATER WHEELS, TURBINES AND GENERATORS</t>
  </si>
  <si>
    <t>70-S1</t>
  </si>
  <si>
    <t>75-S1</t>
  </si>
  <si>
    <t>WATER WHEELS, TURBINES AND GENERATORS</t>
  </si>
  <si>
    <t>TOTAL RESERVOIRS, DAMS AND WATERWAYS</t>
  </si>
  <si>
    <t>90-R1.5</t>
  </si>
  <si>
    <t xml:space="preserve">  SNOQUALMIE #2            </t>
  </si>
  <si>
    <t xml:space="preserve">  SNOQUALMIE #1            </t>
  </si>
  <si>
    <t xml:space="preserve">  UPPER BAKER              </t>
  </si>
  <si>
    <t>RESERVOIRS, DAMS AND WATERWAYS</t>
  </si>
  <si>
    <t>80-R2</t>
  </si>
  <si>
    <t xml:space="preserve">   SNOQUALMIE #2            </t>
  </si>
  <si>
    <t xml:space="preserve">   SNOQUALMIE #1            </t>
  </si>
  <si>
    <t xml:space="preserve">   UPPER BAKER              </t>
  </si>
  <si>
    <t xml:space="preserve">   LOWER BAKER              </t>
  </si>
  <si>
    <t xml:space="preserve">HYDROELECTRIC PRODUCTION PLANT </t>
  </si>
  <si>
    <t xml:space="preserve">    TOTAL STEAM PRODUCTION PLANT </t>
  </si>
  <si>
    <t>50-R1.5</t>
  </si>
  <si>
    <t xml:space="preserve">  COLSTRIP 3-4                     </t>
  </si>
  <si>
    <t xml:space="preserve">  COLSTRIP 4                       </t>
  </si>
  <si>
    <t xml:space="preserve">  COLSTRIP 3                       </t>
  </si>
  <si>
    <t>60-S2</t>
  </si>
  <si>
    <t xml:space="preserve">  ENCOGEN</t>
  </si>
  <si>
    <t xml:space="preserve">  COLSTRIP 3-4              </t>
  </si>
  <si>
    <t xml:space="preserve">  COLSTRIP 4                </t>
  </si>
  <si>
    <t xml:space="preserve">  COLSTRIP 3                </t>
  </si>
  <si>
    <t>TOTAL TURBOGENERATOR UNITS</t>
  </si>
  <si>
    <t xml:space="preserve">  COLSTRIP 4        </t>
  </si>
  <si>
    <t xml:space="preserve">  COLSTRIP 3        </t>
  </si>
  <si>
    <t>TURBOGENERATOR UNITS</t>
  </si>
  <si>
    <t>TOTAL BOILER PLANT EQUIPMENT</t>
  </si>
  <si>
    <t>75-R1.5</t>
  </si>
  <si>
    <t xml:space="preserve">  COLSTRIP 3-4        </t>
  </si>
  <si>
    <t xml:space="preserve">  COLSTRIP 4          </t>
  </si>
  <si>
    <t xml:space="preserve">  COLSTRIP 3          </t>
  </si>
  <si>
    <t>BOILER PLANT EQUIPMENT</t>
  </si>
  <si>
    <t>90-R2</t>
  </si>
  <si>
    <t xml:space="preserve">  COLSTRIP 3-4             </t>
  </si>
  <si>
    <t xml:space="preserve">  COLSTRIP 4               </t>
  </si>
  <si>
    <t xml:space="preserve">  COLSTRIP 3               </t>
  </si>
  <si>
    <t xml:space="preserve">STEAM PRODUCTION PLANT </t>
  </si>
  <si>
    <t xml:space="preserve">ELECTRIC PLANT </t>
  </si>
  <si>
    <t>(10)=(7)/(8)</t>
  </si>
  <si>
    <t>(9)=(8)/(5)</t>
  </si>
  <si>
    <t>LIFE</t>
  </si>
  <si>
    <t>RATE</t>
  </si>
  <si>
    <t>AMOUNT</t>
  </si>
  <si>
    <t>ACCRUALS</t>
  </si>
  <si>
    <t>RESERVE</t>
  </si>
  <si>
    <t>JUNE 30, 2021</t>
  </si>
  <si>
    <t>PERCENT</t>
  </si>
  <si>
    <t>CURVE</t>
  </si>
  <si>
    <t>DATE</t>
  </si>
  <si>
    <t>ACCOUNT</t>
  </si>
  <si>
    <t>REMAINING</t>
  </si>
  <si>
    <t>ACCRUAL</t>
  </si>
  <si>
    <t xml:space="preserve">ACCRUAL </t>
  </si>
  <si>
    <t>FUTURE</t>
  </si>
  <si>
    <t>DEPRECIATION</t>
  </si>
  <si>
    <t>AS OF</t>
  </si>
  <si>
    <t>SALVAGE</t>
  </si>
  <si>
    <t>SURVIVOR</t>
  </si>
  <si>
    <t>RETIREMENT</t>
  </si>
  <si>
    <t>COMPOSITE</t>
  </si>
  <si>
    <t xml:space="preserve">CALCULATED ANNUAL </t>
  </si>
  <si>
    <t>BOOK</t>
  </si>
  <si>
    <t>ORIGINAL COST</t>
  </si>
  <si>
    <t>NET</t>
  </si>
  <si>
    <t>PROBABLE</t>
  </si>
  <si>
    <t>EXCLUDING NET SALVAGE FOR COLSTRIP ASSETS</t>
  </si>
  <si>
    <t>AND CALCULATED ANNUAL DEPRECIATION ACCRUALS AS OF JUNE 30, 2021</t>
  </si>
  <si>
    <t>SUMMARY OF ESTIMATED SURVIVOR CURVE, NET SALVAGE PERCENT, ORIGINAL COST, BOOK DEPRECIATION RESERVE</t>
  </si>
  <si>
    <t>ELECTRIC PLANT</t>
  </si>
  <si>
    <t>Electric Depreciation Study approved in UE-220066</t>
  </si>
  <si>
    <t>Approved</t>
  </si>
  <si>
    <t>ELECTRIC RESULTS OF OPERATIONS</t>
  </si>
  <si>
    <t>REQUESTED COST OF CAPITAL</t>
  </si>
  <si>
    <t>CAPITAL</t>
  </si>
  <si>
    <t>WEIGHTED</t>
  </si>
  <si>
    <t>STRUCTURE</t>
  </si>
  <si>
    <t>COST</t>
  </si>
  <si>
    <t>SHORT AND LONG TERM DEBT</t>
  </si>
  <si>
    <t>EQUITY</t>
  </si>
  <si>
    <t>AFTER TAX SHORT TERM DEBT ( (LINE 1)* 79%)</t>
  </si>
  <si>
    <t>TOTAL AFTER TAX COST OF CAPITAL</t>
  </si>
  <si>
    <t>2022 GRC - UE-220066</t>
  </si>
  <si>
    <t>EXH. SEF-3 page 3 of 3</t>
  </si>
  <si>
    <t>CONVERSION FACTOR</t>
  </si>
  <si>
    <t>BAD DEBTS</t>
  </si>
  <si>
    <t>ANNUAL FILING FEE</t>
  </si>
  <si>
    <t>SUM OF TAXES OTHER</t>
  </si>
  <si>
    <t>CONVERSION FACTOR EXCLUDING FEDERAL INCOME TAX ( 1 - LINE 17 )</t>
  </si>
  <si>
    <t>Advice No. 22-xxxx</t>
  </si>
  <si>
    <t>Effective March 1, 2023 to February 29, 2024</t>
  </si>
  <si>
    <t>Schedule No. 141TEP</t>
  </si>
  <si>
    <t>Transportation Electrification Plan (TEP) Rider</t>
  </si>
  <si>
    <t>Forecasted TEP AMA Balance as of December 31, 2024</t>
  </si>
  <si>
    <t>After Tax ROR from 2022 GRC</t>
  </si>
  <si>
    <t>Electric conversion factor from 2022 GRC</t>
  </si>
  <si>
    <t>Effective March 1, 2024 to February 28, 2025</t>
  </si>
  <si>
    <t>CY2024</t>
  </si>
  <si>
    <t>Gross Plant (AMA)</t>
  </si>
  <si>
    <t>Acc Deprec (AMA)</t>
  </si>
  <si>
    <t>ADFIT (AMA)</t>
  </si>
  <si>
    <t>Deprec Exp</t>
  </si>
  <si>
    <t>MACRS 5 YEAR</t>
  </si>
  <si>
    <t>TAX DEPRECIATION</t>
  </si>
  <si>
    <t>Monthly</t>
  </si>
  <si>
    <t>Depreciation Expense</t>
  </si>
  <si>
    <t>Additions</t>
  </si>
  <si>
    <t>Current</t>
  </si>
  <si>
    <t>Expense (k)</t>
  </si>
  <si>
    <t>to Plant</t>
  </si>
  <si>
    <t>New</t>
  </si>
  <si>
    <t>E303.3 INT Misc Intangible Plant</t>
  </si>
  <si>
    <t>MACRS 3 SL</t>
  </si>
  <si>
    <t>MONTHLY CLOSINGS:</t>
  </si>
  <si>
    <t>Depr/Amort Rate</t>
  </si>
  <si>
    <t>MACRS</t>
  </si>
  <si>
    <t>Old</t>
  </si>
  <si>
    <t>X.10006.02.03.02</t>
  </si>
  <si>
    <t>Transprtatn Electrificatn Plan General</t>
  </si>
  <si>
    <t>E303 INT Misc Intangible Plant</t>
  </si>
  <si>
    <t>E3640 DST Poles/Towers/Fixtures</t>
  </si>
  <si>
    <t>E3650 DST O/H Conductor/Devices</t>
  </si>
  <si>
    <t>E370 DST Meters AMR</t>
  </si>
  <si>
    <t>E373 DST Street Lighting &amp; Signal</t>
  </si>
  <si>
    <t>depr_group</t>
  </si>
  <si>
    <t>gl_account</t>
  </si>
  <si>
    <t>retirement_unit</t>
  </si>
  <si>
    <t>ldg_work_order_number</t>
  </si>
  <si>
    <t>activity_code</t>
  </si>
  <si>
    <t>ferc_activity_code</t>
  </si>
  <si>
    <t>month_number</t>
  </si>
  <si>
    <t>act_work_order_number</t>
  </si>
  <si>
    <t>act_work_order_description</t>
  </si>
  <si>
    <t>leading_order</t>
  </si>
  <si>
    <t>superior_order</t>
  </si>
  <si>
    <t>funding_project</t>
  </si>
  <si>
    <t>fp_description</t>
  </si>
  <si>
    <t>activity_quantity</t>
  </si>
  <si>
    <t>activity_cost</t>
  </si>
  <si>
    <t>average_cost</t>
  </si>
  <si>
    <t>second_financial_cost</t>
  </si>
  <si>
    <t>10600501 CCNC, Electric</t>
  </si>
  <si>
    <t>Non-Unitized</t>
  </si>
  <si>
    <t>101166104</t>
  </si>
  <si>
    <t xml:space="preserve">UADD    </t>
  </si>
  <si>
    <t>Addition</t>
  </si>
  <si>
    <t>9999E999 3815 NE 4TH ST</t>
  </si>
  <si>
    <t>000101156678</t>
  </si>
  <si>
    <t>101166101</t>
  </si>
  <si>
    <t>9999E999 9301 AVONDALE RD NE</t>
  </si>
  <si>
    <t>104356816</t>
  </si>
  <si>
    <t>2104E031 31500 1ST AVE S # EV FEDER</t>
  </si>
  <si>
    <t>000104356816</t>
  </si>
  <si>
    <t>10100501 Electric Plant In Service</t>
  </si>
  <si>
    <t>Software CUSTOM</t>
  </si>
  <si>
    <t>141007901</t>
  </si>
  <si>
    <t>BILLING/CREDIT FOR FLEET CHARGING -</t>
  </si>
  <si>
    <t>101166105</t>
  </si>
  <si>
    <t>9999E999 17021 103RD AVE SE</t>
  </si>
  <si>
    <t>101166106</t>
  </si>
  <si>
    <t>9999E999 9311 NE 118TH LN</t>
  </si>
  <si>
    <t>E303.3 INT Misc Intangible Plant:</t>
  </si>
  <si>
    <t>MACRS 20</t>
  </si>
  <si>
    <t xml:space="preserve">E3912 OFFICE FURNITURE AND EQUIPMENT - COMPUTERS  </t>
  </si>
  <si>
    <t>ACTUAL</t>
  </si>
  <si>
    <t>WBS Element</t>
  </si>
  <si>
    <t>Regulatory indicator</t>
  </si>
  <si>
    <t>$</t>
  </si>
  <si>
    <t>C.99999.03.39.01</t>
  </si>
  <si>
    <t>Electric Vehicle Program OM</t>
  </si>
  <si>
    <t>9090</t>
  </si>
  <si>
    <t>9200</t>
  </si>
  <si>
    <t>9210</t>
  </si>
  <si>
    <t>9230</t>
  </si>
  <si>
    <t>9301</t>
  </si>
  <si>
    <t>9310</t>
  </si>
  <si>
    <t>9350</t>
  </si>
  <si>
    <t>Total EOP</t>
  </si>
  <si>
    <t>Gross Plant (EOP)</t>
  </si>
  <si>
    <t>Acc Deprec (EOP)</t>
  </si>
  <si>
    <t>ADFIT (EOP)</t>
  </si>
  <si>
    <t>ACTUAL FY 2023</t>
  </si>
  <si>
    <t>AS FILED UE-230040</t>
  </si>
  <si>
    <t>Actual TEP AMA Balance as of December 31, 2023</t>
  </si>
  <si>
    <t>Total 2024 Annual Revenue Requirement to be Recovered for Schedule 141TEP</t>
  </si>
  <si>
    <t>Total 2023 Annual Revenue Requirement to be Recovered for Schedule 141TEP</t>
  </si>
  <si>
    <t>Forecasted TEP AMA Balance as of December 31, 2023</t>
  </si>
  <si>
    <t>Forecast</t>
  </si>
  <si>
    <t>True up to Actuals</t>
  </si>
  <si>
    <t>Actual 2023 Annual Revenue Requirement to be Recovered for Schedule 141TEP</t>
  </si>
  <si>
    <t>Total AMA</t>
  </si>
  <si>
    <t>Volumetric True Up</t>
  </si>
  <si>
    <t>Order</t>
  </si>
  <si>
    <t>Val.in rep.cur.</t>
  </si>
  <si>
    <t>40730018</t>
  </si>
  <si>
    <t>Sch 141TEP Revenue</t>
  </si>
  <si>
    <t>Name</t>
  </si>
  <si>
    <t>Period</t>
  </si>
  <si>
    <t>Sch141TEP Billed-3/2023</t>
  </si>
  <si>
    <t>3</t>
  </si>
  <si>
    <t>Sch141TEP Unbilled-3/2023</t>
  </si>
  <si>
    <t>Sch141TEP Billed-4/2023</t>
  </si>
  <si>
    <t>4</t>
  </si>
  <si>
    <t>Sch141TEP Unbilled-4/2023</t>
  </si>
  <si>
    <t>Sch141TEP Billed-5/2023</t>
  </si>
  <si>
    <t>5</t>
  </si>
  <si>
    <t>Sch141TEP Unbilled-5/2023</t>
  </si>
  <si>
    <t>Sch141TEP Billed-6/2023</t>
  </si>
  <si>
    <t>6</t>
  </si>
  <si>
    <t>Sch141TEP Unbilled-6/2023</t>
  </si>
  <si>
    <t>Sch141TEP Billed-7/2023</t>
  </si>
  <si>
    <t>7</t>
  </si>
  <si>
    <t>Sch141TEP Unbilled-7/2023</t>
  </si>
  <si>
    <t>Sch141TEP Billed-8/2023</t>
  </si>
  <si>
    <t>8</t>
  </si>
  <si>
    <t>Sch141TEP Unbilled-8/2023</t>
  </si>
  <si>
    <t>Sch141TEP Billed-9/2023</t>
  </si>
  <si>
    <t>9</t>
  </si>
  <si>
    <t>Sch141TEP Unbilled-9/2023</t>
  </si>
  <si>
    <t>Sch141TEP Billed-10/2023</t>
  </si>
  <si>
    <t>10</t>
  </si>
  <si>
    <t>Sch141TEP Unbilled-10/2023</t>
  </si>
  <si>
    <t>Sch141TEP Billed-11/2023</t>
  </si>
  <si>
    <t>11</t>
  </si>
  <si>
    <t>Sch141TEP Unbilled-11/2023</t>
  </si>
  <si>
    <t>Sch141TEP Billed-12/2023</t>
  </si>
  <si>
    <t>12</t>
  </si>
  <si>
    <t>Sch141TEP Unbilled-12/2023</t>
  </si>
  <si>
    <t>44000121</t>
  </si>
  <si>
    <t>EV Happy hour credit billing-Residential</t>
  </si>
  <si>
    <t>44200202</t>
  </si>
  <si>
    <t>SCH 551/552 EV Revenue Non-Residential</t>
  </si>
  <si>
    <t>O&amp;M</t>
  </si>
  <si>
    <t>Schedule 551/552 program revenues</t>
  </si>
  <si>
    <t>Change in Schedule 551/552 program revenues</t>
  </si>
  <si>
    <t>01/11/2024                                                                   Dynamic List Display                                                                                                                            1</t>
  </si>
  <si>
    <t>------------------------------------------------------------------------------------------------------------------------------------------------------------------------------------------------------------------------------</t>
  </si>
  <si>
    <t xml:space="preserve"> DocumentNo</t>
  </si>
  <si>
    <t>DocTyp</t>
  </si>
  <si>
    <t>Per</t>
  </si>
  <si>
    <t>Postg Date</t>
  </si>
  <si>
    <t xml:space="preserve">Doc. Date </t>
  </si>
  <si>
    <t xml:space="preserve">    Val.in RC</t>
  </si>
  <si>
    <t xml:space="preserve">Document Header Text     </t>
  </si>
  <si>
    <t xml:space="preserve">Order   </t>
  </si>
  <si>
    <t xml:space="preserve">CO object name    </t>
  </si>
  <si>
    <t>Cost Elem.</t>
  </si>
  <si>
    <t xml:space="preserve">Cost element name   </t>
  </si>
  <si>
    <t>CstElemGrp</t>
  </si>
  <si>
    <t xml:space="preserve">Cost element group name    </t>
  </si>
  <si>
    <t>Offst.acct</t>
  </si>
  <si>
    <t xml:space="preserve">Offset. acct name   </t>
  </si>
  <si>
    <t>B</t>
  </si>
  <si>
    <t xml:space="preserve">SA    </t>
  </si>
  <si>
    <t xml:space="preserve">Mar23 Rider SCH-Billed   </t>
  </si>
  <si>
    <t>Amortization Expense</t>
  </si>
  <si>
    <t>CEG_DEPREC</t>
  </si>
  <si>
    <t>Depreciation &amp; Amortization</t>
  </si>
  <si>
    <t xml:space="preserve">Cons. Rider Amort.  </t>
  </si>
  <si>
    <t>UB</t>
  </si>
  <si>
    <t xml:space="preserve">Z3    </t>
  </si>
  <si>
    <t xml:space="preserve">Mar23 Rider SCH-Unbilled </t>
  </si>
  <si>
    <t xml:space="preserve">Z4    </t>
  </si>
  <si>
    <t xml:space="preserve">Apr23 Rider SCH-Unbilled </t>
  </si>
  <si>
    <t xml:space="preserve">Apr23 Rider SCH-Billed   </t>
  </si>
  <si>
    <t xml:space="preserve">May23 Rider SCH-Unbilled </t>
  </si>
  <si>
    <t xml:space="preserve">May23 Rider SCH-Billed   </t>
  </si>
  <si>
    <t xml:space="preserve">Jun23 Rider SCH-Unbilled </t>
  </si>
  <si>
    <t xml:space="preserve">Jun23 Rider SCH-Billed   </t>
  </si>
  <si>
    <t>O</t>
  </si>
  <si>
    <t>TEP Depreciation Deferral</t>
  </si>
  <si>
    <t xml:space="preserve">Jul23 Rider SCH-Unbilled </t>
  </si>
  <si>
    <t xml:space="preserve">Jul23 Rider SCH-Billed   </t>
  </si>
  <si>
    <t>TEP Expense Deferral</t>
  </si>
  <si>
    <t xml:space="preserve">Aug23 Rider SCH-Unbilled </t>
  </si>
  <si>
    <t xml:space="preserve">Aug23 Rider SCH-Billed   </t>
  </si>
  <si>
    <t xml:space="preserve">TEP Dep Def 09/2023      </t>
  </si>
  <si>
    <t xml:space="preserve">Sep23 Rider SCH-Unbilled </t>
  </si>
  <si>
    <t xml:space="preserve">Sep23 Rider SCH-Billed   </t>
  </si>
  <si>
    <t xml:space="preserve">TEP Dep Def 10/2023      </t>
  </si>
  <si>
    <t xml:space="preserve">Oct23 Rider SCH-Unbilled </t>
  </si>
  <si>
    <t xml:space="preserve">Oct23 Rider SCH-Billed   </t>
  </si>
  <si>
    <t>Entry: TEP Dep Def 11/202</t>
  </si>
  <si>
    <t xml:space="preserve">Nov23 Rider SCH-Unbilled </t>
  </si>
  <si>
    <t xml:space="preserve">Nov23 Rider SCH-Billed   </t>
  </si>
  <si>
    <t xml:space="preserve">TEP Dep Def 12/2023      </t>
  </si>
  <si>
    <t xml:space="preserve">Dec23 Rider SCH-Unbilled </t>
  </si>
  <si>
    <t xml:space="preserve">Dec23 Rider SCH-Billed   </t>
  </si>
  <si>
    <t xml:space="preserve">*          </t>
  </si>
  <si>
    <t xml:space="preserve">      </t>
  </si>
  <si>
    <t xml:space="preserve">    </t>
  </si>
  <si>
    <t xml:space="preserve">   </t>
  </si>
  <si>
    <t xml:space="preserve">                         </t>
  </si>
  <si>
    <t xml:space="preserve">        </t>
  </si>
  <si>
    <t xml:space="preserve">                  </t>
  </si>
  <si>
    <t xml:space="preserve">                    </t>
  </si>
  <si>
    <t xml:space="preserve">                           </t>
  </si>
  <si>
    <t>For 40370018</t>
  </si>
  <si>
    <t>Grossed Up</t>
  </si>
  <si>
    <t>Unbilled</t>
  </si>
  <si>
    <t>set in rates</t>
  </si>
  <si>
    <t>Billed</t>
  </si>
  <si>
    <t>Other</t>
  </si>
  <si>
    <t>per SOE</t>
  </si>
  <si>
    <t>per 40370018</t>
  </si>
  <si>
    <t>difference - reasonable</t>
  </si>
  <si>
    <t>From 001/2023 to 012/2023 SAP ZRW_ZEO1</t>
  </si>
  <si>
    <t>Actuals RY</t>
  </si>
  <si>
    <t>Budget RY</t>
  </si>
  <si>
    <t>Var to Budget$</t>
  </si>
  <si>
    <t>Var Bud%</t>
  </si>
  <si>
    <t>Actuals PY</t>
  </si>
  <si>
    <t>Var from PY$</t>
  </si>
  <si>
    <t>Var PY%</t>
  </si>
  <si>
    <t>Rev/KWH-RY</t>
  </si>
  <si>
    <t>Rev/KWH-Bud</t>
  </si>
  <si>
    <t>Rev/KWH-PY</t>
  </si>
  <si>
    <t>Rev/MWH-RY</t>
  </si>
  <si>
    <t>Rev/MWH-PY</t>
  </si>
  <si>
    <t>R/M Var PY$</t>
  </si>
  <si>
    <t>SALES OF ELECTRICITY - REVENUE</t>
  </si>
  <si>
    <t>Residential</t>
  </si>
  <si>
    <t>Commercial</t>
  </si>
  <si>
    <t>Industrial</t>
  </si>
  <si>
    <t>Public street &amp; hwy lighting</t>
  </si>
  <si>
    <t>Sales for resale firm</t>
  </si>
  <si>
    <t xml:space="preserve">  Total retail sales</t>
  </si>
  <si>
    <t>Transportation (Billed + Chg Unbilled)</t>
  </si>
  <si>
    <t>Sales to other utilities and marketers</t>
  </si>
  <si>
    <t xml:space="preserve">  Total electric revenue</t>
  </si>
  <si>
    <t/>
  </si>
  <si>
    <t>Non-Core Gas Sales</t>
  </si>
  <si>
    <t>Transmission Revenue</t>
  </si>
  <si>
    <t>Decoupling Revenue</t>
  </si>
  <si>
    <t>Other Misc Operating Revenue</t>
  </si>
  <si>
    <t xml:space="preserve">  Other operating revenues</t>
  </si>
  <si>
    <t xml:space="preserve">  Total electric sales</t>
  </si>
  <si>
    <t>BDRELE Bill Discount Rate- Discounts</t>
  </si>
  <si>
    <t>SCH. 81 (B&amp;O tax) in above-billed</t>
  </si>
  <si>
    <t>SCH. 94 (Res/farm credit) in above</t>
  </si>
  <si>
    <t>SCH. 120 (Cons. Rider rev) in above</t>
  </si>
  <si>
    <t>SCH. 95A (Fed Incentive) in above</t>
  </si>
  <si>
    <t>SCH. 95 PCA Amortization Recovery</t>
  </si>
  <si>
    <t>SCH. 95 PCORC Billed + Chng Unbilled</t>
  </si>
  <si>
    <t>Low Income Surcharge included in above</t>
  </si>
  <si>
    <t>SCH. 129DE Bill Discount Rate Rider</t>
  </si>
  <si>
    <t>SCH. 132 (Merger Rate Credit) in above</t>
  </si>
  <si>
    <t>SCH. 137 (REC Proceeds Credit) in above</t>
  </si>
  <si>
    <t>SCH. 139 (Green Direct Energy Credit)</t>
  </si>
  <si>
    <t>SCH. 139 (Renewable Energy Resource Chg)</t>
  </si>
  <si>
    <t>SCH. 139 (Renewable Energy Supp Credit)</t>
  </si>
  <si>
    <t>SCH. 140 (Prop Tax in BillEngy) in above</t>
  </si>
  <si>
    <t>SCH. 141A (Energy Chg Cr Rec Adj)</t>
  </si>
  <si>
    <t>SCH. 141CEI (Clean Energy Implementation</t>
  </si>
  <si>
    <t>SCH. 141COL (Colstrip Adjustment)</t>
  </si>
  <si>
    <t>SCH. 141N (Rates Not Subj to Ref Adj)</t>
  </si>
  <si>
    <t>SCH. 141R-A (Rates Subject to Ref Adj)</t>
  </si>
  <si>
    <t>SCH. 141TEP (Transp Electrification)</t>
  </si>
  <si>
    <t>SCH. 141X (Protected-Plus EDIT) in above</t>
  </si>
  <si>
    <t>SCH. 141Z (Unprotected EDIT) in above</t>
  </si>
  <si>
    <t>SCH. 142 (Decup in BillEngy) in above</t>
  </si>
  <si>
    <t>SALES OF ELECTRICTY - KWH</t>
  </si>
  <si>
    <t xml:space="preserve">  Total kwh</t>
  </si>
  <si>
    <t>Load (MWh)</t>
  </si>
  <si>
    <t>Different values of conservation are provided to illustrate the impact of conservation.  Click (+) to expand</t>
  </si>
  <si>
    <t>Losses were assumed at 7.8%</t>
  </si>
  <si>
    <t>Partial Demand Side Resources (Includes Codes &amp; Standards + Solar)</t>
  </si>
  <si>
    <t>Net of Demand Side Resources (DSR)</t>
  </si>
  <si>
    <t>does not include Distribution Efficiency &amp; PSE Energy Efficiency Programs</t>
  </si>
  <si>
    <t>No Demand Side Resources (Gross of Demand Side Resources)*</t>
  </si>
  <si>
    <t>*Gross of DSR column still includes the effects of the WA State Energy Code change (even though it is a code and therefore DSR)</t>
  </si>
  <si>
    <t>Streetlight</t>
  </si>
  <si>
    <t>Resale</t>
  </si>
  <si>
    <t>Total Delivered</t>
  </si>
  <si>
    <t>Losses</t>
  </si>
  <si>
    <t>Total Load</t>
  </si>
  <si>
    <t>Station Service</t>
  </si>
  <si>
    <t>Station Service Losses</t>
  </si>
  <si>
    <t>Full Load</t>
  </si>
  <si>
    <t>`</t>
  </si>
  <si>
    <t xml:space="preserve">for bill </t>
  </si>
  <si>
    <t>actuals thru</t>
  </si>
  <si>
    <t>Sch 141TEP</t>
  </si>
  <si>
    <t>residential</t>
  </si>
  <si>
    <t>commercial</t>
  </si>
  <si>
    <t>industrial</t>
  </si>
  <si>
    <t>impacts</t>
  </si>
  <si>
    <t>Dec 2023</t>
  </si>
  <si>
    <t>True-up</t>
  </si>
  <si>
    <t>(pay) rcvbl</t>
  </si>
  <si>
    <t>F22 Mar 2023 - Feb 2024 used in UE-230040</t>
  </si>
  <si>
    <t>Bill Impacts WP UE-230040</t>
  </si>
  <si>
    <t>Agrees</t>
  </si>
  <si>
    <t>Rate Impacts for Sch. 141TEP Transportation Electrification Plan (TEP) Rider</t>
  </si>
  <si>
    <t>Test Year Ended February 29, 2024</t>
  </si>
  <si>
    <t>Proposed Effective date March 1, 2023</t>
  </si>
  <si>
    <t>Line No.</t>
  </si>
  <si>
    <t>CUSTOMER CLASS</t>
  </si>
  <si>
    <t>SCHEDULE</t>
  </si>
  <si>
    <t>Annual kWh Delivered Sales  03/01/23 to 02/29/24 (F2022)</t>
  </si>
  <si>
    <t>Annual Estimated Net Revenue @ Rates Effective 01/11/23
[*Note 1]</t>
  </si>
  <si>
    <t>No Current
Rate
$ per kWh</t>
  </si>
  <si>
    <t>Proposed
 Effective 
March 1, 2023   $ per kWh</t>
  </si>
  <si>
    <t>Revenue Including 
Sch 141TEP 
Proposed    March 1, 2023</t>
  </si>
  <si>
    <t>Increase / Decrease 
$</t>
  </si>
  <si>
    <t>Increase / Decrease
%</t>
  </si>
  <si>
    <t>Tariff Sheet No. Reference</t>
  </si>
  <si>
    <t>d</t>
  </si>
  <si>
    <t>e = 
b + (a * c)</t>
  </si>
  <si>
    <t>f = 
b + (a * d)</t>
  </si>
  <si>
    <t>g = f - e</t>
  </si>
  <si>
    <t>h = g / e</t>
  </si>
  <si>
    <t>Sec Gen Svc - Small</t>
  </si>
  <si>
    <t>8 &amp; 24</t>
  </si>
  <si>
    <t>Sec Gen Svc - Medium</t>
  </si>
  <si>
    <t>11, 25 &amp; 7A</t>
  </si>
  <si>
    <t>Sec Gen Svc - Large</t>
  </si>
  <si>
    <t>12, 26 &amp; 26P</t>
  </si>
  <si>
    <t>Sec Irrigation Svc</t>
  </si>
  <si>
    <t>Secondary Service Total</t>
  </si>
  <si>
    <t>Pri Gen Svc</t>
  </si>
  <si>
    <t>10 &amp; 31</t>
  </si>
  <si>
    <t>Pri Irrigation Svc</t>
  </si>
  <si>
    <t>Pri Interruptible Svc</t>
  </si>
  <si>
    <t>Primary Service Total</t>
  </si>
  <si>
    <t>HV Interruptible Svc</t>
  </si>
  <si>
    <t>HV Gen Svc</t>
  </si>
  <si>
    <t>High Voltage Service Total</t>
  </si>
  <si>
    <t>Excluded Schedules</t>
  </si>
  <si>
    <t>Lights</t>
  </si>
  <si>
    <t>50-59</t>
  </si>
  <si>
    <t>Small Firm Resale</t>
  </si>
  <si>
    <t>005</t>
  </si>
  <si>
    <t>Transportation/Special Contract</t>
  </si>
  <si>
    <t>449 / 459 / SC</t>
  </si>
  <si>
    <t>*Note 1:  Estimated Net Revenue Includes Base Tariff Revenue plus the following rider / tracker schedules:  Schedule 95 PCA Supplemental, Schedule 95 PCORC, Schedule 95A Federal Incentive Credit, Schedule 120 Conservation, Schedule 129 Low Income, Schedule 139 Green Direct, Schedule 139 Green Direct Supplemental, Schedule 140 Property Tax, Schedule 141A Energy Charge Credit, Schedule 141COL Colstrip Adjustment, Schedule 141N Rates Not Subject to Refund, Schedule 141R Rates Subject to Refund, Schedule 141Z (Unprotected) EDIT, Schedule 142 Deferral, Schedule 142 Supplemental, Schedule 194 BPA Res &amp; Farm Credit. Sch 141TEP Transportation Electrification Plan Rider revenue is excluded.</t>
  </si>
  <si>
    <t>Explanation of increase in revenue requirement</t>
  </si>
  <si>
    <t>Change in rate base items</t>
  </si>
  <si>
    <t>Change in Opex</t>
  </si>
  <si>
    <t>Change in depreciation</t>
  </si>
  <si>
    <t>Change in true up</t>
  </si>
  <si>
    <t>Change in Program Revenues</t>
  </si>
  <si>
    <t>F22 Final Electric Load Forecast</t>
  </si>
  <si>
    <t>The assignments to depreciation group were made based on what the estimated capital spending is expected to be spent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</si>
</sst>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
    <numFmt numFmtId="167" formatCode="0.000%"/>
    <numFmt numFmtId="168" formatCode="[$-409]mmm\-yy;@"/>
    <numFmt numFmtId="169" formatCode="[$-409]mmmm\ d\,\ yyyy;@"/>
    <numFmt numFmtId="172" formatCode="yyyy"/>
    <numFmt numFmtId="173" formatCode="_(&quot;$&quot;* #,##0.00_);_(&quot;$&quot;* \(#,##0.00\);_(&quot;$&quot;* &quot;-&quot;_);_(@_)"/>
    <numFmt numFmtId="174" formatCode="mmmm\ dd\,\ yyyy"/>
    <numFmt numFmtId="175" formatCode="0.0000\ \¢"/>
    <numFmt numFmtId="176" formatCode="_(* #,##0.000000_);_(* \(#,##0.000000\);_(* &quot;-&quot;??_);_(@_)"/>
    <numFmt numFmtId="177" formatCode="0.0%"/>
    <numFmt numFmtId="178" formatCode="_([$$-409]* #,##0.00_);_([$$-409]* \(#,##0.00\);_([$$-409]* &quot;-&quot;??_);_(@_)"/>
    <numFmt numFmtId="179" formatCode="_([$$-409]* #,##0_);_([$$-409]* \(#,##0\);_([$$-409]* &quot;-&quot;??_);_(@_)"/>
    <numFmt numFmtId="180" formatCode="0_);\(0\)"/>
    <numFmt numFmtId="181" formatCode="0.0"/>
    <numFmt numFmtId="182" formatCode="mm\-yyyy"/>
    <numFmt numFmtId="183" formatCode="_(* #,##0.0_);_(* \(#,##0.0\);_(* &quot;-&quot;?_);_(@_)"/>
    <numFmt numFmtId="184" formatCode="#,##0.000_);\(#,##0.000\)"/>
    <numFmt numFmtId="185" formatCode="0.0000%"/>
    <numFmt numFmtId="186" formatCode="###,000"/>
    <numFmt numFmtId="187" formatCode="#,##0_);\(#,##0\);&quot; &quot;"/>
    <numFmt numFmtId="188" formatCode="#,##0.000_);\(#,##0.000\);&quot; &quot;"/>
    <numFmt numFmtId="189" formatCode="#,##0.00_);\(#,##0.00\);&quot; &quot;"/>
    <numFmt numFmtId="190" formatCode="#,##0.0_);\(#,##0.0\);&quot; &quot;"/>
    <numFmt numFmtId="191" formatCode="#,##0.0000_);\(#,##0.0000\);&quot; &quot;"/>
    <numFmt numFmtId="192" formatCode="_(&quot;$&quot;* #,##0.000000_);_(&quot;$&quot;* \(#,##0.000000\);_(&quot;$&quot;* &quot;-&quot;??_);_(@_)"/>
    <numFmt numFmtId="193" formatCode="_(* #,##0.000000_);_(* \(#,##0.000000\);_(* &quot;-&quot;??????_);_(@_)"/>
  </numFmts>
  <fonts count="66" x14ac:knownFonts="1">
    <font>
      <sz val="11"/>
      <color theme="1"/>
      <name val="Calibri"/>
      <family val="2"/>
      <scheme val="minor"/>
    </font>
    <font>
      <sz val="10"/>
      <name val="Arial"/>
      <family val="2"/>
    </font>
    <font>
      <sz val="8"/>
      <name val="Arial"/>
      <family val="2"/>
    </font>
    <font>
      <b/>
      <sz val="10"/>
      <name val="Arial"/>
      <family val="2"/>
    </font>
    <font>
      <b/>
      <sz val="11"/>
      <color theme="1"/>
      <name val="Calibri"/>
      <family val="2"/>
      <scheme val="minor"/>
    </font>
    <font>
      <sz val="8"/>
      <color rgb="FFFF0000"/>
      <name val="Arial"/>
      <family val="2"/>
    </font>
    <font>
      <sz val="10"/>
      <name val="Times New Roman"/>
      <family val="1"/>
    </font>
    <font>
      <b/>
      <sz val="10"/>
      <color theme="1"/>
      <name val="Times New Roman"/>
      <family val="1"/>
    </font>
    <font>
      <sz val="10"/>
      <color theme="1"/>
      <name val="Times New Roman"/>
      <family val="1"/>
    </font>
    <font>
      <b/>
      <sz val="10"/>
      <color theme="1"/>
      <name val="Arial"/>
      <family val="2"/>
    </font>
    <font>
      <sz val="10"/>
      <color theme="1"/>
      <name val="Arial"/>
      <family val="2"/>
    </font>
    <font>
      <sz val="11"/>
      <color indexed="8"/>
      <name val="Calibri"/>
      <family val="2"/>
      <scheme val="minor"/>
    </font>
    <font>
      <b/>
      <sz val="11"/>
      <color rgb="FF000000"/>
      <name val="Calibri"/>
      <family val="2"/>
    </font>
    <font>
      <sz val="11"/>
      <color rgb="FF000000"/>
      <name val="Calibri"/>
      <family val="2"/>
    </font>
    <font>
      <b/>
      <sz val="11"/>
      <color theme="1"/>
      <name val="Times New Roman"/>
      <family val="1"/>
    </font>
    <font>
      <u/>
      <sz val="10"/>
      <color theme="1"/>
      <name val="Times New Roman"/>
      <family val="1"/>
    </font>
    <font>
      <sz val="11"/>
      <color theme="1"/>
      <name val="Arial"/>
      <family val="2"/>
    </font>
    <font>
      <b/>
      <sz val="11"/>
      <color theme="1"/>
      <name val="Arial"/>
      <family val="2"/>
    </font>
    <font>
      <b/>
      <u/>
      <sz val="10"/>
      <color theme="1"/>
      <name val="Times New Roman"/>
      <family val="1"/>
    </font>
    <font>
      <sz val="8"/>
      <color theme="1"/>
      <name val="Times New Roman"/>
      <family val="1"/>
    </font>
    <font>
      <sz val="11"/>
      <color theme="1"/>
      <name val="Times New Roman"/>
      <family val="1"/>
    </font>
    <font>
      <b/>
      <u/>
      <sz val="11"/>
      <color theme="1"/>
      <name val="Calibri"/>
      <family val="2"/>
      <scheme val="minor"/>
    </font>
    <font>
      <i/>
      <sz val="11"/>
      <color theme="4"/>
      <name val="Calibri"/>
      <family val="2"/>
      <scheme val="minor"/>
    </font>
    <font>
      <b/>
      <i/>
      <sz val="11"/>
      <color rgb="FF000000"/>
      <name val="Calibri"/>
      <family val="2"/>
    </font>
    <font>
      <b/>
      <sz val="16"/>
      <name val="Arial"/>
      <family val="2"/>
    </font>
    <font>
      <sz val="16"/>
      <name val="Arial"/>
      <family val="2"/>
    </font>
    <font>
      <b/>
      <sz val="16"/>
      <color rgb="FFFF0000"/>
      <name val="Arial"/>
      <family val="2"/>
    </font>
    <font>
      <b/>
      <sz val="8"/>
      <name val="Arial"/>
      <family val="2"/>
    </font>
    <font>
      <b/>
      <i/>
      <sz val="8"/>
      <name val="Arial"/>
      <family val="2"/>
    </font>
    <font>
      <sz val="11"/>
      <color theme="1"/>
      <name val="Calibri"/>
      <family val="2"/>
    </font>
    <font>
      <b/>
      <sz val="11"/>
      <color theme="1"/>
      <name val="Calibri"/>
      <family val="2"/>
    </font>
    <font>
      <sz val="11"/>
      <color theme="1"/>
      <name val="Calibri"/>
      <family val="2"/>
      <scheme val="minor"/>
    </font>
    <font>
      <b/>
      <sz val="8"/>
      <color rgb="FFFF0000"/>
      <name val="Arial"/>
      <family val="2"/>
    </font>
    <font>
      <b/>
      <sz val="11"/>
      <color rgb="FFFFFFFF"/>
      <name val="Calibri"/>
      <family val="2"/>
      <scheme val="minor"/>
    </font>
    <font>
      <b/>
      <i/>
      <sz val="11"/>
      <color theme="1"/>
      <name val="Calibri"/>
      <family val="2"/>
      <scheme val="minor"/>
    </font>
    <font>
      <i/>
      <sz val="11"/>
      <color rgb="FFA6A6A6"/>
      <name val="Calibri"/>
      <family val="2"/>
      <scheme val="minor"/>
    </font>
    <font>
      <i/>
      <sz val="11"/>
      <color theme="1"/>
      <name val="Calibri"/>
      <family val="2"/>
      <scheme val="minor"/>
    </font>
    <font>
      <i/>
      <sz val="11"/>
      <color theme="0" tint="-0.249977111117893"/>
      <name val="Calibri"/>
      <family val="2"/>
      <scheme val="minor"/>
    </font>
    <font>
      <sz val="11"/>
      <color rgb="FF006100"/>
      <name val="Calibri"/>
      <family val="2"/>
      <scheme val="minor"/>
    </font>
    <font>
      <sz val="12"/>
      <name val="Arial"/>
      <family val="2"/>
    </font>
    <font>
      <sz val="12"/>
      <name val="Arial"/>
      <family val="2"/>
    </font>
    <font>
      <sz val="12"/>
      <color theme="1"/>
      <name val="Arial"/>
      <family val="2"/>
    </font>
    <font>
      <b/>
      <sz val="12"/>
      <name val="Arial"/>
      <family val="2"/>
    </font>
    <font>
      <sz val="12"/>
      <name val="Arial"/>
      <family val="2"/>
    </font>
    <font>
      <b/>
      <sz val="11"/>
      <name val="Calibri"/>
      <family val="2"/>
      <scheme val="minor"/>
    </font>
    <font>
      <b/>
      <sz val="11"/>
      <color indexed="8"/>
      <name val="Calibri"/>
      <family val="2"/>
      <scheme val="minor"/>
    </font>
    <font>
      <b/>
      <sz val="8"/>
      <color theme="1"/>
      <name val="Arial"/>
      <family val="2"/>
    </font>
    <font>
      <sz val="9"/>
      <color rgb="FFFF0000"/>
      <name val="Arial"/>
      <family val="2"/>
    </font>
    <font>
      <sz val="10"/>
      <color rgb="FFFF0000"/>
      <name val="Arial"/>
      <family val="2"/>
    </font>
    <font>
      <b/>
      <sz val="10"/>
      <color rgb="FFFF0000"/>
      <name val="Times New Roman"/>
      <family val="1"/>
    </font>
    <font>
      <b/>
      <sz val="8"/>
      <color rgb="FF1F497D"/>
      <name val="Verdana"/>
      <family val="2"/>
    </font>
    <font>
      <sz val="8"/>
      <color rgb="FF1F497D"/>
      <name val="Verdana"/>
      <family val="2"/>
    </font>
    <font>
      <b/>
      <sz val="11"/>
      <color rgb="FFFF0000"/>
      <name val="Calibri"/>
      <family val="2"/>
    </font>
    <font>
      <b/>
      <sz val="11"/>
      <name val="Arial"/>
      <family val="2"/>
    </font>
    <font>
      <sz val="10"/>
      <color theme="1"/>
      <name val="Calibri"/>
      <family val="2"/>
    </font>
    <font>
      <sz val="24"/>
      <color theme="1"/>
      <name val="Calibri"/>
      <family val="2"/>
    </font>
    <font>
      <sz val="16"/>
      <color theme="1"/>
      <name val="Calibri"/>
      <family val="2"/>
    </font>
    <font>
      <b/>
      <sz val="10"/>
      <color theme="1"/>
      <name val="Calibri"/>
      <family val="2"/>
    </font>
    <font>
      <sz val="10"/>
      <color rgb="FFFF0000"/>
      <name val="Calibri"/>
      <family val="2"/>
    </font>
    <font>
      <sz val="10"/>
      <name val="Arial"/>
    </font>
    <font>
      <sz val="11"/>
      <name val="Calibri"/>
      <family val="2"/>
      <scheme val="minor"/>
    </font>
    <font>
      <sz val="10"/>
      <name val="Calibri"/>
      <family val="2"/>
      <scheme val="minor"/>
    </font>
    <font>
      <b/>
      <sz val="11"/>
      <name val="Times New Roman"/>
      <family val="1"/>
    </font>
    <font>
      <b/>
      <sz val="10"/>
      <name val="Times New Roman"/>
      <family val="1"/>
    </font>
    <font>
      <u/>
      <sz val="10"/>
      <name val="Times New Roman"/>
      <family val="1"/>
    </font>
    <font>
      <sz val="11"/>
      <name val="Arial"/>
      <family val="2"/>
    </font>
  </fonts>
  <fills count="10">
    <fill>
      <patternFill patternType="none"/>
    </fill>
    <fill>
      <patternFill patternType="gray125"/>
    </fill>
    <fill>
      <patternFill patternType="solid">
        <fgColor rgb="FFCCFF33"/>
        <bgColor indexed="64"/>
      </patternFill>
    </fill>
    <fill>
      <patternFill patternType="solid">
        <fgColor rgb="FFFFFF00"/>
        <bgColor indexed="64"/>
      </patternFill>
    </fill>
    <fill>
      <patternFill patternType="solid">
        <fgColor rgb="FF92D050"/>
        <bgColor indexed="64"/>
      </patternFill>
    </fill>
    <fill>
      <patternFill patternType="solid">
        <fgColor rgb="FF70C9C4"/>
        <bgColor indexed="64"/>
      </patternFill>
    </fill>
    <fill>
      <patternFill patternType="solid">
        <fgColor rgb="FFBFBFBF"/>
        <bgColor indexed="64"/>
      </patternFill>
    </fill>
    <fill>
      <patternFill patternType="solid">
        <fgColor rgb="FFC6EFCE"/>
      </patternFill>
    </fill>
    <fill>
      <patternFill patternType="solid">
        <fgColor rgb="FFDBE5F1"/>
        <bgColor rgb="FF000000"/>
      </patternFill>
    </fill>
    <fill>
      <patternFill patternType="solid">
        <fgColor rgb="FFDBE5F1"/>
        <bgColor rgb="FFFFFFFF"/>
      </patternFill>
    </fill>
  </fills>
  <borders count="8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double">
        <color auto="1"/>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hair">
        <color auto="1"/>
      </left>
      <right/>
      <top style="medium">
        <color indexed="64"/>
      </top>
      <bottom/>
      <diagonal/>
    </border>
    <border>
      <left style="medium">
        <color indexed="64"/>
      </left>
      <right style="hair">
        <color indexed="64"/>
      </right>
      <top/>
      <bottom style="thin">
        <color indexed="64"/>
      </bottom>
      <diagonal/>
    </border>
    <border>
      <left style="hair">
        <color auto="1"/>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auto="1"/>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auto="1"/>
      </left>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indexed="64"/>
      </bottom>
      <diagonal/>
    </border>
    <border>
      <left style="thin">
        <color rgb="FF000000"/>
      </left>
      <right/>
      <top/>
      <bottom style="thin">
        <color rgb="FF000000"/>
      </bottom>
      <diagonal/>
    </border>
    <border>
      <left/>
      <right/>
      <top style="thin">
        <color indexed="8"/>
      </top>
      <bottom/>
      <diagonal/>
    </border>
    <border>
      <left style="thin">
        <color indexed="64"/>
      </left>
      <right/>
      <top style="medium">
        <color indexed="64"/>
      </top>
      <bottom/>
      <diagonal/>
    </border>
    <border>
      <left style="thin">
        <color indexed="64"/>
      </left>
      <right/>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medium">
        <color indexed="64"/>
      </left>
      <right style="medium">
        <color indexed="64"/>
      </right>
      <top/>
      <bottom style="medium">
        <color indexed="64"/>
      </bottom>
      <diagonal/>
    </border>
  </borders>
  <cellStyleXfs count="28">
    <xf numFmtId="0" fontId="0" fillId="0" borderId="0"/>
    <xf numFmtId="43" fontId="31" fillId="0" borderId="0" applyFont="0" applyFill="0" applyBorder="0" applyAlignment="0" applyProtection="0"/>
    <xf numFmtId="0" fontId="11" fillId="0" borderId="0"/>
    <xf numFmtId="44" fontId="31" fillId="0" borderId="0" applyFont="0" applyFill="0" applyBorder="0" applyAlignment="0" applyProtection="0"/>
    <xf numFmtId="0" fontId="38" fillId="7" borderId="0" applyNumberFormat="0" applyBorder="0" applyAlignment="0" applyProtection="0"/>
    <xf numFmtId="0" fontId="39" fillId="0" borderId="0"/>
    <xf numFmtId="0" fontId="1" fillId="0" borderId="0"/>
    <xf numFmtId="43" fontId="40" fillId="0" borderId="0" applyFont="0" applyFill="0" applyBorder="0" applyAlignment="0" applyProtection="0"/>
    <xf numFmtId="9" fontId="31" fillId="0" borderId="0" applyFont="0" applyFill="0" applyBorder="0" applyAlignment="0" applyProtection="0"/>
    <xf numFmtId="0" fontId="43" fillId="0" borderId="0"/>
    <xf numFmtId="43" fontId="39" fillId="0" borderId="0" applyFont="0" applyFill="0" applyBorder="0" applyAlignment="0" applyProtection="0"/>
    <xf numFmtId="0" fontId="11" fillId="0" borderId="0"/>
    <xf numFmtId="0" fontId="31" fillId="0" borderId="0"/>
    <xf numFmtId="43" fontId="11" fillId="0" borderId="0" applyFont="0" applyFill="0" applyBorder="0" applyAlignment="0" applyProtection="0"/>
    <xf numFmtId="0" fontId="31" fillId="0" borderId="0"/>
    <xf numFmtId="0" fontId="29" fillId="0" borderId="0"/>
    <xf numFmtId="43" fontId="31" fillId="0" borderId="0" applyFont="0" applyFill="0" applyBorder="0" applyAlignment="0" applyProtection="0"/>
    <xf numFmtId="0" fontId="29" fillId="0" borderId="0"/>
    <xf numFmtId="9" fontId="31" fillId="0" borderId="0" applyFont="0" applyFill="0" applyBorder="0" applyAlignment="0" applyProtection="0"/>
    <xf numFmtId="0" fontId="1" fillId="0" borderId="0"/>
    <xf numFmtId="0" fontId="50" fillId="8" borderId="80" applyNumberFormat="0" applyAlignment="0" applyProtection="0">
      <alignment horizontal="left" vertical="center" indent="1"/>
    </xf>
    <xf numFmtId="186" fontId="51" fillId="9" borderId="80" applyNumberFormat="0" applyAlignment="0" applyProtection="0">
      <alignment horizontal="left" vertical="center" indent="1"/>
    </xf>
    <xf numFmtId="186" fontId="51" fillId="0" borderId="81" applyNumberFormat="0" applyProtection="0">
      <alignment horizontal="right" vertical="center"/>
    </xf>
    <xf numFmtId="0" fontId="50" fillId="8" borderId="82" applyNumberFormat="0" applyAlignment="0" applyProtection="0">
      <alignment horizontal="left" vertical="center" indent="1"/>
    </xf>
    <xf numFmtId="186" fontId="50" fillId="0" borderId="82" applyNumberFormat="0" applyProtection="0">
      <alignment horizontal="right" vertical="center"/>
    </xf>
    <xf numFmtId="0" fontId="54" fillId="0" borderId="0"/>
    <xf numFmtId="43" fontId="54" fillId="0" borderId="0" applyFont="0" applyFill="0" applyBorder="0" applyAlignment="0" applyProtection="0"/>
    <xf numFmtId="0" fontId="59" fillId="0" borderId="0"/>
  </cellStyleXfs>
  <cellXfs count="669">
    <xf numFmtId="0" fontId="0" fillId="0" borderId="0" xfId="0"/>
    <xf numFmtId="0" fontId="0" fillId="0" borderId="0" xfId="0" applyFill="1"/>
    <xf numFmtId="0" fontId="8" fillId="0" borderId="0" xfId="0" applyFont="1" applyFill="1"/>
    <xf numFmtId="0" fontId="4" fillId="0" borderId="0" xfId="0" applyFont="1" applyFill="1"/>
    <xf numFmtId="0" fontId="4" fillId="0" borderId="0" xfId="0" applyFont="1"/>
    <xf numFmtId="0" fontId="0" fillId="0" borderId="0" xfId="0" applyFont="1" applyFill="1"/>
    <xf numFmtId="0" fontId="18" fillId="0" borderId="0" xfId="0" applyFont="1" applyFill="1" applyAlignment="1">
      <alignment horizontal="centerContinuous"/>
    </xf>
    <xf numFmtId="0" fontId="15" fillId="0" borderId="0" xfId="0" applyFont="1" applyFill="1" applyAlignment="1">
      <alignment horizontal="centerContinuous"/>
    </xf>
    <xf numFmtId="0" fontId="7" fillId="0" borderId="0" xfId="0" applyFont="1" applyFill="1"/>
    <xf numFmtId="0" fontId="8" fillId="0" borderId="0" xfId="0" applyFont="1" applyFill="1" applyAlignment="1">
      <alignment horizontal="center"/>
    </xf>
    <xf numFmtId="0" fontId="8" fillId="0" borderId="0" xfId="0" applyFont="1" applyFill="1" applyAlignment="1"/>
    <xf numFmtId="0" fontId="19" fillId="0" borderId="26" xfId="0" applyFont="1" applyFill="1" applyBorder="1" applyAlignment="1">
      <alignment horizontal="center"/>
    </xf>
    <xf numFmtId="0" fontId="19" fillId="0" borderId="0" xfId="0" applyFont="1" applyFill="1" applyAlignment="1">
      <alignment horizontal="center"/>
    </xf>
    <xf numFmtId="167" fontId="8" fillId="0" borderId="0" xfId="0" applyNumberFormat="1" applyFont="1" applyFill="1"/>
    <xf numFmtId="0" fontId="4" fillId="0" borderId="0" xfId="0" applyFont="1" applyAlignment="1">
      <alignment horizontal="center"/>
    </xf>
    <xf numFmtId="0" fontId="4" fillId="0" borderId="26" xfId="0" applyFont="1" applyBorder="1" applyAlignment="1">
      <alignment horizontal="center"/>
    </xf>
    <xf numFmtId="14" fontId="4" fillId="0" borderId="26" xfId="0" applyNumberFormat="1" applyFont="1" applyBorder="1" applyAlignment="1">
      <alignment horizontal="center"/>
    </xf>
    <xf numFmtId="0" fontId="21" fillId="0" borderId="0" xfId="0" applyFont="1"/>
    <xf numFmtId="173" fontId="0" fillId="0" borderId="0" xfId="0" applyNumberFormat="1" applyFill="1"/>
    <xf numFmtId="165" fontId="0" fillId="0" borderId="0" xfId="0" applyNumberFormat="1" applyFont="1" applyFill="1"/>
    <xf numFmtId="165" fontId="0" fillId="0" borderId="34" xfId="0" applyNumberFormat="1" applyFont="1" applyFill="1" applyBorder="1"/>
    <xf numFmtId="9" fontId="0" fillId="0" borderId="0" xfId="0" applyNumberFormat="1" applyFont="1" applyFill="1"/>
    <xf numFmtId="165" fontId="0" fillId="0" borderId="26" xfId="0" applyNumberFormat="1" applyFont="1" applyFill="1" applyBorder="1"/>
    <xf numFmtId="0" fontId="22" fillId="0" borderId="0" xfId="0" applyFont="1" applyAlignment="1">
      <alignment horizontal="left"/>
    </xf>
    <xf numFmtId="0" fontId="12" fillId="5" borderId="40" xfId="0" applyFont="1" applyFill="1" applyBorder="1" applyAlignment="1">
      <alignment horizontal="center" vertical="center"/>
    </xf>
    <xf numFmtId="165" fontId="13" fillId="0" borderId="0" xfId="0" applyNumberFormat="1" applyFont="1" applyBorder="1" applyAlignment="1">
      <alignment horizontal="right" vertical="center"/>
    </xf>
    <xf numFmtId="165" fontId="13" fillId="4" borderId="0" xfId="0" applyNumberFormat="1" applyFont="1" applyFill="1" applyBorder="1" applyAlignment="1">
      <alignment horizontal="right" vertical="center"/>
    </xf>
    <xf numFmtId="165" fontId="23" fillId="6" borderId="40" xfId="0" applyNumberFormat="1" applyFont="1" applyFill="1" applyBorder="1" applyAlignment="1">
      <alignment horizontal="right" vertical="center"/>
    </xf>
    <xf numFmtId="0" fontId="0" fillId="0" borderId="0" xfId="0" applyFont="1"/>
    <xf numFmtId="0" fontId="24" fillId="0" borderId="0" xfId="0" applyFont="1" applyFill="1" applyAlignment="1">
      <alignment horizontal="center"/>
    </xf>
    <xf numFmtId="0" fontId="25" fillId="0" borderId="0" xfId="0" applyFont="1" applyFill="1"/>
    <xf numFmtId="0" fontId="24" fillId="0" borderId="0" xfId="0" quotePrefix="1" applyFont="1" applyFill="1" applyAlignment="1">
      <alignment horizontal="center"/>
    </xf>
    <xf numFmtId="0" fontId="26" fillId="0" borderId="0" xfId="0" applyFont="1" applyFill="1" applyAlignment="1">
      <alignment horizontal="center"/>
    </xf>
    <xf numFmtId="0" fontId="2" fillId="0" borderId="0" xfId="0" applyFont="1" applyFill="1" applyBorder="1"/>
    <xf numFmtId="0" fontId="2" fillId="0" borderId="0" xfId="0" applyFont="1" applyFill="1"/>
    <xf numFmtId="0" fontId="27" fillId="0" borderId="0" xfId="0" applyFont="1" applyFill="1"/>
    <xf numFmtId="0" fontId="1" fillId="0" borderId="0" xfId="0" applyFont="1"/>
    <xf numFmtId="10" fontId="0" fillId="2" borderId="0" xfId="0" applyNumberFormat="1" applyFont="1" applyFill="1"/>
    <xf numFmtId="0" fontId="30" fillId="0" borderId="0" xfId="0" applyFont="1"/>
    <xf numFmtId="0" fontId="30" fillId="0" borderId="0" xfId="0" applyFont="1" applyAlignment="1">
      <alignment horizontal="center"/>
    </xf>
    <xf numFmtId="0" fontId="29" fillId="0" borderId="0" xfId="0" applyFont="1"/>
    <xf numFmtId="0" fontId="30" fillId="0" borderId="26" xfId="0" applyFont="1" applyBorder="1"/>
    <xf numFmtId="0" fontId="30" fillId="0" borderId="26" xfId="0" applyFont="1" applyBorder="1" applyAlignment="1">
      <alignment horizontal="center"/>
    </xf>
    <xf numFmtId="165" fontId="0" fillId="0" borderId="0" xfId="0" applyNumberFormat="1" applyFont="1"/>
    <xf numFmtId="167" fontId="0" fillId="0" borderId="0" xfId="0" applyNumberFormat="1" applyFont="1"/>
    <xf numFmtId="10" fontId="0" fillId="0" borderId="0" xfId="0" applyNumberFormat="1" applyFont="1"/>
    <xf numFmtId="165" fontId="29" fillId="0" borderId="0" xfId="0" applyNumberFormat="1" applyFont="1"/>
    <xf numFmtId="0" fontId="29" fillId="0" borderId="26" xfId="0" applyFont="1" applyBorder="1"/>
    <xf numFmtId="165" fontId="29" fillId="0" borderId="26" xfId="0" applyNumberFormat="1" applyFont="1" applyBorder="1"/>
    <xf numFmtId="10" fontId="29" fillId="0" borderId="0" xfId="0" applyNumberFormat="1" applyFont="1"/>
    <xf numFmtId="10" fontId="30" fillId="0" borderId="0" xfId="0" applyNumberFormat="1" applyFont="1" applyAlignment="1">
      <alignment horizontal="center"/>
    </xf>
    <xf numFmtId="174" fontId="24" fillId="3" borderId="0" xfId="0" quotePrefix="1" applyNumberFormat="1" applyFont="1" applyFill="1" applyAlignment="1">
      <alignment horizontal="center"/>
    </xf>
    <xf numFmtId="0" fontId="34" fillId="6" borderId="54" xfId="0" applyFont="1" applyFill="1" applyBorder="1"/>
    <xf numFmtId="165" fontId="29" fillId="0" borderId="0" xfId="1" applyNumberFormat="1" applyFont="1"/>
    <xf numFmtId="164" fontId="0" fillId="0" borderId="29" xfId="3" applyNumberFormat="1" applyFont="1" applyFill="1" applyBorder="1" applyAlignment="1">
      <alignment horizontal="right"/>
    </xf>
    <xf numFmtId="164" fontId="4" fillId="0" borderId="29" xfId="3" applyNumberFormat="1" applyFont="1" applyBorder="1"/>
    <xf numFmtId="164" fontId="0" fillId="0" borderId="29" xfId="3" applyNumberFormat="1" applyFont="1" applyFill="1" applyBorder="1"/>
    <xf numFmtId="164" fontId="0" fillId="0" borderId="0" xfId="3" applyNumberFormat="1" applyFont="1" applyFill="1"/>
    <xf numFmtId="39" fontId="42" fillId="0" borderId="0" xfId="6" applyNumberFormat="1" applyFont="1" applyFill="1" applyBorder="1"/>
    <xf numFmtId="39" fontId="42" fillId="0" borderId="35" xfId="6" applyNumberFormat="1" applyFont="1" applyFill="1" applyBorder="1"/>
    <xf numFmtId="39" fontId="42" fillId="0" borderId="0" xfId="6" applyNumberFormat="1" applyFont="1" applyFill="1"/>
    <xf numFmtId="37" fontId="42" fillId="0" borderId="26" xfId="6" applyNumberFormat="1" applyFont="1" applyFill="1" applyBorder="1"/>
    <xf numFmtId="39" fontId="42" fillId="0" borderId="26" xfId="6" applyNumberFormat="1" applyFont="1" applyFill="1" applyBorder="1"/>
    <xf numFmtId="37" fontId="42" fillId="0" borderId="0" xfId="6" applyNumberFormat="1" applyFont="1" applyFill="1" applyBorder="1"/>
    <xf numFmtId="0" fontId="42" fillId="0" borderId="0" xfId="9" applyFont="1" applyFill="1" applyAlignment="1">
      <alignment horizontal="centerContinuous"/>
    </xf>
    <xf numFmtId="0" fontId="43" fillId="0" borderId="0" xfId="9" applyFill="1"/>
    <xf numFmtId="0" fontId="43" fillId="0" borderId="0" xfId="9" applyFill="1" applyAlignment="1"/>
    <xf numFmtId="0" fontId="42" fillId="0" borderId="0" xfId="9" applyFont="1" applyFill="1" applyAlignment="1"/>
    <xf numFmtId="0" fontId="42" fillId="0" borderId="0" xfId="9" applyNumberFormat="1" applyFont="1" applyFill="1" applyAlignment="1">
      <alignment horizontal="center"/>
    </xf>
    <xf numFmtId="0" fontId="42" fillId="0" borderId="0" xfId="9" applyFont="1" applyFill="1" applyAlignment="1">
      <alignment horizontal="center"/>
    </xf>
    <xf numFmtId="0" fontId="42" fillId="0" borderId="0" xfId="9" applyFont="1" applyFill="1" applyBorder="1" applyAlignment="1">
      <alignment horizontal="center"/>
    </xf>
    <xf numFmtId="180" fontId="42" fillId="0" borderId="0" xfId="9" applyNumberFormat="1" applyFont="1" applyFill="1" applyAlignment="1">
      <alignment horizontal="center"/>
    </xf>
    <xf numFmtId="37" fontId="42" fillId="0" borderId="0" xfId="9" applyNumberFormat="1" applyFont="1" applyFill="1" applyAlignment="1">
      <alignment horizontal="center"/>
    </xf>
    <xf numFmtId="37" fontId="42" fillId="0" borderId="0" xfId="9" applyNumberFormat="1" applyFont="1" applyFill="1" applyAlignment="1">
      <alignment horizontal="centerContinuous"/>
    </xf>
    <xf numFmtId="0" fontId="39" fillId="0" borderId="0" xfId="9" applyNumberFormat="1" applyFont="1" applyFill="1" applyAlignment="1">
      <alignment horizontal="centerContinuous"/>
    </xf>
    <xf numFmtId="0" fontId="39" fillId="0" borderId="0" xfId="9" applyFont="1" applyFill="1" applyAlignment="1">
      <alignment horizontal="center"/>
    </xf>
    <xf numFmtId="37" fontId="42" fillId="0" borderId="58" xfId="9" applyNumberFormat="1" applyFont="1" applyFill="1" applyBorder="1" applyAlignment="1">
      <alignment horizontal="center"/>
    </xf>
    <xf numFmtId="0" fontId="42" fillId="0" borderId="58" xfId="9" applyFont="1" applyFill="1" applyBorder="1" applyAlignment="1">
      <alignment horizontal="center"/>
    </xf>
    <xf numFmtId="0" fontId="42" fillId="0" borderId="58" xfId="9" applyNumberFormat="1" applyFont="1" applyFill="1" applyBorder="1" applyAlignment="1">
      <alignment horizontal="center"/>
    </xf>
    <xf numFmtId="0" fontId="42" fillId="0" borderId="26" xfId="9" applyFont="1" applyFill="1" applyBorder="1" applyAlignment="1">
      <alignment horizontal="center"/>
    </xf>
    <xf numFmtId="3" fontId="42" fillId="0" borderId="0" xfId="9" applyNumberFormat="1" applyFont="1" applyFill="1" applyAlignment="1">
      <alignment horizontal="center"/>
    </xf>
    <xf numFmtId="180" fontId="42" fillId="0" borderId="58" xfId="9" applyNumberFormat="1" applyFont="1" applyFill="1" applyBorder="1" applyAlignment="1">
      <alignment horizontal="center"/>
    </xf>
    <xf numFmtId="37" fontId="43" fillId="0" borderId="0" xfId="9" applyNumberFormat="1" applyFill="1" applyAlignment="1"/>
    <xf numFmtId="3" fontId="42" fillId="0" borderId="58" xfId="9" applyNumberFormat="1" applyFont="1" applyFill="1" applyBorder="1" applyAlignment="1">
      <alignment horizontal="center"/>
    </xf>
    <xf numFmtId="0" fontId="42" fillId="0" borderId="0" xfId="9" applyNumberFormat="1" applyFont="1" applyFill="1" applyAlignment="1">
      <alignment horizontal="left"/>
    </xf>
    <xf numFmtId="0" fontId="43" fillId="0" borderId="0" xfId="9" applyFill="1" applyAlignment="1">
      <alignment horizontal="center"/>
    </xf>
    <xf numFmtId="180" fontId="43" fillId="0" borderId="0" xfId="9" applyNumberFormat="1" applyFill="1" applyAlignment="1"/>
    <xf numFmtId="37" fontId="43" fillId="0" borderId="0" xfId="9" applyNumberFormat="1" applyFill="1"/>
    <xf numFmtId="181" fontId="43" fillId="0" borderId="0" xfId="9" applyNumberFormat="1" applyFill="1"/>
    <xf numFmtId="2" fontId="43" fillId="0" borderId="0" xfId="9" applyNumberFormat="1" applyFill="1"/>
    <xf numFmtId="43" fontId="43" fillId="0" borderId="0" xfId="9" applyNumberFormat="1" applyFill="1"/>
    <xf numFmtId="183" fontId="43" fillId="0" borderId="0" xfId="9" applyNumberFormat="1" applyFill="1"/>
    <xf numFmtId="2" fontId="39" fillId="0" borderId="0" xfId="9" applyNumberFormat="1" applyFont="1" applyFill="1" applyBorder="1"/>
    <xf numFmtId="0" fontId="39" fillId="0" borderId="0" xfId="9" applyFont="1" applyFill="1" applyBorder="1" applyAlignment="1"/>
    <xf numFmtId="0" fontId="39" fillId="0" borderId="0" xfId="9" applyFont="1" applyFill="1" applyBorder="1" applyAlignment="1">
      <alignment horizontal="center"/>
    </xf>
    <xf numFmtId="180" fontId="39" fillId="0" borderId="0" xfId="9" applyNumberFormat="1" applyFont="1" applyFill="1" applyBorder="1" applyAlignment="1"/>
    <xf numFmtId="37" fontId="39" fillId="0" borderId="0" xfId="9" applyNumberFormat="1" applyFont="1" applyFill="1" applyBorder="1"/>
    <xf numFmtId="0" fontId="39" fillId="0" borderId="0" xfId="9" applyFont="1" applyFill="1" applyAlignment="1"/>
    <xf numFmtId="43" fontId="39" fillId="0" borderId="0" xfId="9" applyNumberFormat="1" applyFont="1" applyFill="1" applyAlignment="1"/>
    <xf numFmtId="183" fontId="39" fillId="0" borderId="0" xfId="9" applyNumberFormat="1" applyFont="1" applyFill="1" applyAlignment="1"/>
    <xf numFmtId="0" fontId="39" fillId="0" borderId="0" xfId="9" applyFont="1" applyFill="1"/>
    <xf numFmtId="0" fontId="39" fillId="0" borderId="0" xfId="9" applyNumberFormat="1" applyFont="1" applyFill="1" applyBorder="1" applyAlignment="1"/>
    <xf numFmtId="182" fontId="43" fillId="0" borderId="0" xfId="9" applyNumberFormat="1" applyFill="1" applyAlignment="1">
      <alignment horizontal="center"/>
    </xf>
    <xf numFmtId="0" fontId="39" fillId="0" borderId="0" xfId="9" applyNumberFormat="1" applyFont="1" applyFill="1" applyBorder="1" applyAlignment="1">
      <alignment horizontal="center"/>
    </xf>
    <xf numFmtId="180" fontId="39" fillId="0" borderId="0" xfId="9" applyNumberFormat="1" applyFont="1" applyFill="1" applyBorder="1" applyAlignment="1">
      <alignment horizontal="center"/>
    </xf>
    <xf numFmtId="39" fontId="39" fillId="0" borderId="0" xfId="6" applyNumberFormat="1" applyFont="1" applyFill="1" applyBorder="1"/>
    <xf numFmtId="0" fontId="39" fillId="0" borderId="0" xfId="6" applyFont="1" applyFill="1" applyBorder="1"/>
    <xf numFmtId="37" fontId="39" fillId="0" borderId="0" xfId="6" applyNumberFormat="1" applyFont="1" applyFill="1" applyBorder="1"/>
    <xf numFmtId="43" fontId="39" fillId="0" borderId="0" xfId="9" applyNumberFormat="1" applyFont="1" applyFill="1"/>
    <xf numFmtId="183" fontId="39" fillId="0" borderId="0" xfId="9" applyNumberFormat="1" applyFont="1" applyFill="1"/>
    <xf numFmtId="39" fontId="39" fillId="0" borderId="26" xfId="6" applyNumberFormat="1" applyFont="1" applyFill="1" applyBorder="1"/>
    <xf numFmtId="37" fontId="39" fillId="0" borderId="26" xfId="6" applyNumberFormat="1" applyFont="1" applyFill="1" applyBorder="1"/>
    <xf numFmtId="0" fontId="39" fillId="0" borderId="0" xfId="9" applyNumberFormat="1" applyFont="1" applyFill="1" applyBorder="1"/>
    <xf numFmtId="0" fontId="39" fillId="0" borderId="0" xfId="9" applyFont="1" applyFill="1" applyBorder="1"/>
    <xf numFmtId="0" fontId="39" fillId="0" borderId="0" xfId="9" applyNumberFormat="1" applyFont="1" applyFill="1" applyAlignment="1">
      <alignment horizontal="center"/>
    </xf>
    <xf numFmtId="180" fontId="39" fillId="0" borderId="0" xfId="9" applyNumberFormat="1" applyFont="1" applyFill="1" applyAlignment="1">
      <alignment horizontal="center"/>
    </xf>
    <xf numFmtId="0" fontId="42" fillId="0" borderId="0" xfId="9" applyFont="1" applyFill="1" applyBorder="1" applyAlignment="1"/>
    <xf numFmtId="37" fontId="42" fillId="0" borderId="0" xfId="9" applyNumberFormat="1" applyFont="1" applyFill="1" applyBorder="1" applyAlignment="1"/>
    <xf numFmtId="43" fontId="42" fillId="0" borderId="0" xfId="9" applyNumberFormat="1" applyFont="1" applyFill="1"/>
    <xf numFmtId="2" fontId="39" fillId="0" borderId="0" xfId="9" applyNumberFormat="1" applyFont="1" applyFill="1"/>
    <xf numFmtId="0" fontId="39" fillId="0" borderId="0" xfId="9" applyNumberFormat="1" applyFont="1" applyFill="1" applyAlignment="1">
      <alignment horizontal="left"/>
    </xf>
    <xf numFmtId="39" fontId="39" fillId="0" borderId="0" xfId="6" applyNumberFormat="1" applyFont="1" applyFill="1"/>
    <xf numFmtId="37" fontId="39" fillId="0" borderId="0" xfId="9" applyNumberFormat="1" applyFont="1" applyFill="1" applyAlignment="1"/>
    <xf numFmtId="0" fontId="42" fillId="0" borderId="26" xfId="9" applyNumberFormat="1" applyFont="1" applyFill="1" applyBorder="1" applyAlignment="1">
      <alignment horizontal="center"/>
    </xf>
    <xf numFmtId="43" fontId="39" fillId="0" borderId="0" xfId="10" applyNumberFormat="1" applyFont="1" applyFill="1"/>
    <xf numFmtId="183" fontId="39" fillId="0" borderId="0" xfId="10" applyNumberFormat="1" applyFont="1" applyFill="1"/>
    <xf numFmtId="39" fontId="43" fillId="0" borderId="0" xfId="9" applyNumberFormat="1" applyFill="1" applyAlignment="1"/>
    <xf numFmtId="2" fontId="42" fillId="0" borderId="0" xfId="9" applyNumberFormat="1" applyFont="1" applyFill="1"/>
    <xf numFmtId="183" fontId="42" fillId="0" borderId="0" xfId="9" applyNumberFormat="1" applyFont="1" applyFill="1"/>
    <xf numFmtId="0" fontId="42" fillId="0" borderId="0" xfId="9" applyFont="1" applyFill="1"/>
    <xf numFmtId="0" fontId="39" fillId="0" borderId="58" xfId="9" applyFont="1" applyFill="1" applyBorder="1"/>
    <xf numFmtId="43" fontId="39" fillId="0" borderId="0" xfId="9" applyNumberFormat="1" applyFont="1" applyFill="1" applyBorder="1" applyAlignment="1"/>
    <xf numFmtId="183" fontId="39" fillId="0" borderId="0" xfId="9" applyNumberFormat="1" applyFont="1" applyFill="1" applyBorder="1" applyAlignment="1"/>
    <xf numFmtId="43" fontId="39" fillId="0" borderId="0" xfId="9" applyNumberFormat="1" applyFont="1" applyFill="1" applyBorder="1"/>
    <xf numFmtId="183" fontId="39" fillId="0" borderId="0" xfId="9" applyNumberFormat="1" applyFont="1" applyFill="1" applyBorder="1"/>
    <xf numFmtId="43" fontId="39" fillId="0" borderId="0" xfId="9" quotePrefix="1" applyNumberFormat="1" applyFont="1" applyFill="1" applyBorder="1" applyAlignment="1">
      <alignment horizontal="center"/>
    </xf>
    <xf numFmtId="183" fontId="39" fillId="0" borderId="0" xfId="9" applyNumberFormat="1" applyFont="1" applyFill="1" applyBorder="1" applyAlignment="1">
      <alignment horizontal="center"/>
    </xf>
    <xf numFmtId="43" fontId="39" fillId="0" borderId="0" xfId="10" applyFont="1" applyFill="1" applyAlignment="1"/>
    <xf numFmtId="184" fontId="39" fillId="0" borderId="0" xfId="6" applyNumberFormat="1" applyFont="1" applyFill="1" applyBorder="1"/>
    <xf numFmtId="0" fontId="42" fillId="0" borderId="0" xfId="9" applyNumberFormat="1" applyFont="1" applyFill="1" applyAlignment="1"/>
    <xf numFmtId="37" fontId="42" fillId="0" borderId="0" xfId="9" applyNumberFormat="1" applyFont="1" applyFill="1" applyAlignment="1"/>
    <xf numFmtId="43" fontId="0" fillId="0" borderId="0" xfId="10" applyFont="1" applyFill="1" applyAlignment="1"/>
    <xf numFmtId="37" fontId="43" fillId="0" borderId="0" xfId="9" applyNumberFormat="1" applyFill="1" applyBorder="1"/>
    <xf numFmtId="37" fontId="43" fillId="0" borderId="58" xfId="9" applyNumberFormat="1" applyFill="1" applyBorder="1"/>
    <xf numFmtId="183" fontId="42" fillId="0" borderId="0" xfId="9" applyNumberFormat="1" applyFont="1" applyFill="1" applyAlignment="1"/>
    <xf numFmtId="37" fontId="39" fillId="0" borderId="0" xfId="6" applyNumberFormat="1" applyFont="1" applyFill="1"/>
    <xf numFmtId="0" fontId="39" fillId="0" borderId="0" xfId="9" applyNumberFormat="1" applyFont="1" applyFill="1" applyAlignment="1"/>
    <xf numFmtId="0" fontId="43" fillId="0" borderId="0" xfId="9" applyNumberFormat="1" applyFont="1" applyFill="1" applyAlignment="1">
      <alignment horizontal="center"/>
    </xf>
    <xf numFmtId="3" fontId="43" fillId="0" borderId="0" xfId="9" applyNumberFormat="1" applyFill="1"/>
    <xf numFmtId="37" fontId="42" fillId="0" borderId="35" xfId="9" applyNumberFormat="1" applyFont="1" applyFill="1" applyBorder="1" applyAlignment="1"/>
    <xf numFmtId="165" fontId="39" fillId="0" borderId="0" xfId="10" applyNumberFormat="1" applyFont="1" applyFill="1" applyAlignment="1"/>
    <xf numFmtId="165" fontId="39" fillId="0" borderId="0" xfId="10" applyNumberFormat="1" applyFont="1" applyFill="1" applyBorder="1" applyAlignment="1"/>
    <xf numFmtId="181" fontId="42" fillId="0" borderId="0" xfId="9" applyNumberFormat="1" applyFont="1" applyFill="1" applyAlignment="1"/>
    <xf numFmtId="0" fontId="43" fillId="0" borderId="0" xfId="9" applyNumberFormat="1" applyFont="1" applyFill="1" applyAlignment="1">
      <alignment horizontal="left"/>
    </xf>
    <xf numFmtId="181" fontId="39" fillId="0" borderId="0" xfId="9" applyNumberFormat="1" applyFont="1" applyFill="1"/>
    <xf numFmtId="0" fontId="42" fillId="0" borderId="0" xfId="9" applyNumberFormat="1" applyFont="1" applyFill="1" applyAlignment="1">
      <alignment horizontal="left" indent="1"/>
    </xf>
    <xf numFmtId="39" fontId="39" fillId="0" borderId="0" xfId="9" applyNumberFormat="1" applyFont="1" applyFill="1" applyAlignment="1">
      <alignment horizontal="center"/>
    </xf>
    <xf numFmtId="2" fontId="39" fillId="0" borderId="0" xfId="9" applyNumberFormat="1" applyFont="1" applyFill="1" applyAlignment="1">
      <alignment horizontal="center"/>
    </xf>
    <xf numFmtId="0" fontId="11" fillId="0" borderId="0" xfId="11"/>
    <xf numFmtId="0" fontId="4" fillId="0" borderId="30" xfId="12" applyFont="1" applyFill="1" applyBorder="1" applyAlignment="1">
      <alignment horizontal="centerContinuous"/>
    </xf>
    <xf numFmtId="0" fontId="4" fillId="0" borderId="59" xfId="12" applyFont="1" applyFill="1" applyBorder="1" applyAlignment="1">
      <alignment horizontal="centerContinuous"/>
    </xf>
    <xf numFmtId="166" fontId="9" fillId="0" borderId="0" xfId="14" applyNumberFormat="1" applyFont="1" applyFill="1" applyAlignment="1">
      <alignment horizontal="left"/>
    </xf>
    <xf numFmtId="166" fontId="10" fillId="0" borderId="0" xfId="14" applyNumberFormat="1" applyFont="1" applyFill="1" applyAlignment="1">
      <alignment horizontal="left"/>
    </xf>
    <xf numFmtId="0" fontId="10" fillId="0" borderId="0" xfId="14" applyFont="1" applyFill="1"/>
    <xf numFmtId="166" fontId="10" fillId="0" borderId="0" xfId="14" applyNumberFormat="1" applyFont="1" applyFill="1" applyAlignment="1">
      <alignment horizontal="right"/>
    </xf>
    <xf numFmtId="9" fontId="10" fillId="0" borderId="0" xfId="14" applyNumberFormat="1" applyFont="1" applyFill="1" applyAlignment="1">
      <alignment horizontal="left"/>
    </xf>
    <xf numFmtId="0" fontId="10" fillId="0" borderId="0" xfId="14" applyFont="1" applyFill="1" applyAlignment="1">
      <alignment horizontal="center" wrapText="1"/>
    </xf>
    <xf numFmtId="0" fontId="10" fillId="0" borderId="0" xfId="14" applyFont="1" applyFill="1" applyAlignment="1">
      <alignment horizontal="center"/>
    </xf>
    <xf numFmtId="165" fontId="10" fillId="0" borderId="0" xfId="14" applyNumberFormat="1" applyFont="1" applyFill="1" applyAlignment="1">
      <alignment horizontal="left"/>
    </xf>
    <xf numFmtId="13" fontId="10" fillId="0" borderId="0" xfId="14" applyNumberFormat="1" applyFont="1" applyFill="1"/>
    <xf numFmtId="0" fontId="10" fillId="0" borderId="0" xfId="14" applyFont="1" applyFill="1" applyAlignment="1">
      <alignment horizontal="right"/>
    </xf>
    <xf numFmtId="169" fontId="9" fillId="0" borderId="17" xfId="14" applyNumberFormat="1" applyFont="1" applyFill="1" applyBorder="1" applyAlignment="1">
      <alignment horizontal="left"/>
    </xf>
    <xf numFmtId="169" fontId="9" fillId="0" borderId="0" xfId="14" applyNumberFormat="1" applyFont="1" applyFill="1" applyBorder="1" applyAlignment="1">
      <alignment horizontal="left"/>
    </xf>
    <xf numFmtId="6" fontId="9" fillId="0" borderId="0" xfId="14" applyNumberFormat="1" applyFont="1" applyFill="1" applyAlignment="1"/>
    <xf numFmtId="44" fontId="9" fillId="0" borderId="0" xfId="14" applyNumberFormat="1" applyFont="1" applyFill="1" applyAlignment="1"/>
    <xf numFmtId="41" fontId="9" fillId="0" borderId="0" xfId="14" applyNumberFormat="1" applyFont="1" applyFill="1" applyAlignment="1"/>
    <xf numFmtId="164" fontId="10" fillId="0" borderId="0" xfId="14" applyNumberFormat="1" applyFont="1" applyFill="1" applyAlignment="1">
      <alignment horizontal="left"/>
    </xf>
    <xf numFmtId="0" fontId="10" fillId="0" borderId="0" xfId="14" applyFont="1" applyFill="1" applyBorder="1"/>
    <xf numFmtId="0" fontId="10" fillId="0" borderId="0" xfId="14" applyNumberFormat="1" applyFont="1" applyFill="1" applyAlignment="1"/>
    <xf numFmtId="42" fontId="46" fillId="0" borderId="0" xfId="14" applyNumberFormat="1" applyFont="1" applyFill="1" applyAlignment="1">
      <alignment horizontal="center"/>
    </xf>
    <xf numFmtId="0" fontId="9" fillId="0" borderId="61" xfId="14" applyNumberFormat="1" applyFont="1" applyFill="1" applyBorder="1" applyAlignment="1"/>
    <xf numFmtId="0" fontId="9" fillId="0" borderId="61" xfId="14" applyNumberFormat="1" applyFont="1" applyFill="1" applyBorder="1" applyAlignment="1">
      <alignment horizontal="center"/>
    </xf>
    <xf numFmtId="0" fontId="9" fillId="0" borderId="11" xfId="14" applyNumberFormat="1" applyFont="1" applyFill="1" applyBorder="1" applyAlignment="1"/>
    <xf numFmtId="167" fontId="10" fillId="0" borderId="11" xfId="14" applyNumberFormat="1" applyFont="1" applyFill="1" applyBorder="1" applyAlignment="1">
      <alignment horizontal="center"/>
    </xf>
    <xf numFmtId="0" fontId="9" fillId="0" borderId="0" xfId="14" applyNumberFormat="1" applyFont="1" applyFill="1" applyBorder="1" applyAlignment="1"/>
    <xf numFmtId="167" fontId="9" fillId="0" borderId="0" xfId="14" applyNumberFormat="1" applyFont="1" applyFill="1" applyBorder="1" applyAlignment="1">
      <alignment horizontal="center"/>
    </xf>
    <xf numFmtId="0" fontId="9" fillId="0" borderId="62" xfId="14" applyNumberFormat="1" applyFont="1" applyFill="1" applyBorder="1" applyAlignment="1">
      <alignment horizontal="center"/>
    </xf>
    <xf numFmtId="0" fontId="9" fillId="0" borderId="63" xfId="14" applyNumberFormat="1" applyFont="1" applyFill="1" applyBorder="1" applyAlignment="1">
      <alignment horizontal="center"/>
    </xf>
    <xf numFmtId="0" fontId="9" fillId="0" borderId="64" xfId="14" applyNumberFormat="1" applyFont="1" applyFill="1" applyBorder="1" applyAlignment="1">
      <alignment horizontal="centerContinuous" vertical="center"/>
    </xf>
    <xf numFmtId="0" fontId="9" fillId="0" borderId="65" xfId="14" applyNumberFormat="1" applyFont="1" applyFill="1" applyBorder="1" applyAlignment="1">
      <alignment horizontal="centerContinuous" vertical="center"/>
    </xf>
    <xf numFmtId="0" fontId="9" fillId="0" borderId="66" xfId="14" applyNumberFormat="1" applyFont="1" applyFill="1" applyBorder="1" applyAlignment="1">
      <alignment horizontal="centerContinuous" vertical="center"/>
    </xf>
    <xf numFmtId="166" fontId="9" fillId="0" borderId="67" xfId="14" applyNumberFormat="1" applyFont="1" applyFill="1" applyBorder="1" applyAlignment="1">
      <alignment horizontal="center"/>
    </xf>
    <xf numFmtId="166" fontId="9" fillId="0" borderId="68" xfId="14" applyNumberFormat="1" applyFont="1" applyFill="1" applyBorder="1" applyAlignment="1">
      <alignment horizontal="center"/>
    </xf>
    <xf numFmtId="0" fontId="9" fillId="0" borderId="69" xfId="14" applyNumberFormat="1" applyFont="1" applyFill="1" applyBorder="1" applyAlignment="1">
      <alignment horizontal="center"/>
    </xf>
    <xf numFmtId="0" fontId="9" fillId="0" borderId="0" xfId="14" applyNumberFormat="1" applyFont="1" applyFill="1" applyBorder="1" applyAlignment="1">
      <alignment horizontal="center"/>
    </xf>
    <xf numFmtId="0" fontId="9" fillId="0" borderId="6" xfId="14" applyNumberFormat="1" applyFont="1" applyFill="1" applyBorder="1" applyAlignment="1">
      <alignment horizontal="centerContinuous" vertical="center"/>
    </xf>
    <xf numFmtId="0" fontId="9" fillId="0" borderId="7" xfId="14" applyNumberFormat="1" applyFont="1" applyFill="1" applyBorder="1" applyAlignment="1">
      <alignment horizontal="centerContinuous" vertical="center"/>
    </xf>
    <xf numFmtId="10" fontId="9" fillId="0" borderId="14" xfId="14" applyNumberFormat="1" applyFont="1" applyFill="1" applyBorder="1" applyAlignment="1">
      <alignment horizontal="center"/>
    </xf>
    <xf numFmtId="0" fontId="9" fillId="0" borderId="0" xfId="14" applyNumberFormat="1" applyFont="1" applyFill="1" applyBorder="1" applyAlignment="1">
      <alignment horizontal="centerContinuous" vertical="center"/>
    </xf>
    <xf numFmtId="0" fontId="9" fillId="0" borderId="6" xfId="14" applyNumberFormat="1" applyFont="1" applyFill="1" applyBorder="1" applyAlignment="1">
      <alignment horizontal="center"/>
    </xf>
    <xf numFmtId="0" fontId="9" fillId="0" borderId="7" xfId="14" applyNumberFormat="1" applyFont="1" applyFill="1" applyBorder="1" applyAlignment="1">
      <alignment horizontal="center"/>
    </xf>
    <xf numFmtId="166" fontId="9" fillId="0" borderId="13" xfId="14" applyNumberFormat="1" applyFont="1" applyFill="1" applyBorder="1" applyAlignment="1">
      <alignment horizontal="center"/>
    </xf>
    <xf numFmtId="166" fontId="9" fillId="0" borderId="70" xfId="14" applyNumberFormat="1" applyFont="1" applyFill="1" applyBorder="1" applyAlignment="1">
      <alignment horizontal="center"/>
    </xf>
    <xf numFmtId="9" fontId="9" fillId="0" borderId="13" xfId="14" applyNumberFormat="1" applyFont="1" applyFill="1" applyBorder="1" applyAlignment="1">
      <alignment horizontal="center"/>
    </xf>
    <xf numFmtId="0" fontId="10" fillId="0" borderId="69" xfId="14" applyNumberFormat="1" applyFont="1" applyFill="1" applyBorder="1" applyAlignment="1"/>
    <xf numFmtId="0" fontId="10" fillId="0" borderId="0" xfId="14" applyNumberFormat="1" applyFont="1" applyFill="1" applyBorder="1" applyAlignment="1"/>
    <xf numFmtId="0" fontId="9" fillId="0" borderId="71" xfId="14" applyNumberFormat="1" applyFont="1" applyFill="1" applyBorder="1" applyAlignment="1">
      <alignment horizontal="center"/>
    </xf>
    <xf numFmtId="0" fontId="9" fillId="0" borderId="26" xfId="14" applyNumberFormat="1" applyFont="1" applyFill="1" applyBorder="1" applyAlignment="1">
      <alignment horizontal="center"/>
    </xf>
    <xf numFmtId="0" fontId="9" fillId="0" borderId="19" xfId="14" applyNumberFormat="1" applyFont="1" applyFill="1" applyBorder="1" applyAlignment="1">
      <alignment horizontal="center"/>
    </xf>
    <xf numFmtId="0" fontId="9" fillId="0" borderId="20" xfId="14" applyNumberFormat="1" applyFont="1" applyFill="1" applyBorder="1" applyAlignment="1">
      <alignment horizontal="center"/>
    </xf>
    <xf numFmtId="166" fontId="9" fillId="0" borderId="18" xfId="14" applyNumberFormat="1" applyFont="1" applyFill="1" applyBorder="1" applyAlignment="1">
      <alignment horizontal="center"/>
    </xf>
    <xf numFmtId="9" fontId="9" fillId="0" borderId="18" xfId="14" applyNumberFormat="1" applyFont="1" applyFill="1" applyBorder="1" applyAlignment="1">
      <alignment horizontal="center"/>
    </xf>
    <xf numFmtId="166" fontId="9" fillId="0" borderId="72" xfId="14" quotePrefix="1" applyNumberFormat="1" applyFont="1" applyFill="1" applyBorder="1" applyAlignment="1">
      <alignment horizontal="center"/>
    </xf>
    <xf numFmtId="0" fontId="31" fillId="0" borderId="0" xfId="14"/>
    <xf numFmtId="0" fontId="9" fillId="0" borderId="5" xfId="14" applyNumberFormat="1" applyFont="1" applyFill="1" applyBorder="1" applyAlignment="1">
      <alignment horizontal="center"/>
    </xf>
    <xf numFmtId="166" fontId="9" fillId="0" borderId="0" xfId="14" applyNumberFormat="1" applyFont="1" applyFill="1" applyBorder="1" applyAlignment="1">
      <alignment horizontal="center"/>
    </xf>
    <xf numFmtId="9" fontId="9" fillId="0" borderId="0" xfId="14" applyNumberFormat="1" applyFont="1" applyFill="1" applyBorder="1" applyAlignment="1">
      <alignment horizontal="center"/>
    </xf>
    <xf numFmtId="166" fontId="9" fillId="0" borderId="0" xfId="14" quotePrefix="1" applyNumberFormat="1" applyFont="1" applyFill="1" applyBorder="1" applyAlignment="1">
      <alignment horizontal="center"/>
    </xf>
    <xf numFmtId="0" fontId="29" fillId="0" borderId="0" xfId="15"/>
    <xf numFmtId="169" fontId="10" fillId="0" borderId="5" xfId="14" applyNumberFormat="1" applyFont="1" applyFill="1" applyBorder="1" applyAlignment="1">
      <alignment horizontal="right"/>
    </xf>
    <xf numFmtId="43" fontId="10" fillId="0" borderId="0" xfId="16" applyFont="1" applyFill="1" applyBorder="1" applyAlignment="1">
      <alignment horizontal="right"/>
    </xf>
    <xf numFmtId="41" fontId="10" fillId="0" borderId="0" xfId="14" applyNumberFormat="1" applyFont="1" applyFill="1" applyBorder="1" applyAlignment="1"/>
    <xf numFmtId="165" fontId="10" fillId="0" borderId="0" xfId="14" applyNumberFormat="1" applyFont="1" applyFill="1" applyBorder="1" applyAlignment="1"/>
    <xf numFmtId="0" fontId="31" fillId="0" borderId="0" xfId="14" applyBorder="1"/>
    <xf numFmtId="165" fontId="10" fillId="0" borderId="0" xfId="16" applyNumberFormat="1" applyFont="1" applyFill="1" applyBorder="1" applyAlignment="1">
      <alignment horizontal="right"/>
    </xf>
    <xf numFmtId="41" fontId="10" fillId="0" borderId="26" xfId="14" applyNumberFormat="1" applyFont="1" applyFill="1" applyBorder="1" applyAlignment="1"/>
    <xf numFmtId="165" fontId="31" fillId="0" borderId="0" xfId="14" applyNumberFormat="1" applyFill="1" applyBorder="1"/>
    <xf numFmtId="169" fontId="10" fillId="0" borderId="73" xfId="14" applyNumberFormat="1" applyFont="1" applyFill="1" applyBorder="1" applyAlignment="1">
      <alignment horizontal="right"/>
    </xf>
    <xf numFmtId="165" fontId="10" fillId="0" borderId="63" xfId="16" applyNumberFormat="1" applyFont="1" applyFill="1" applyBorder="1" applyAlignment="1">
      <alignment horizontal="right"/>
    </xf>
    <xf numFmtId="41" fontId="10" fillId="0" borderId="63" xfId="14" applyNumberFormat="1" applyFont="1" applyFill="1" applyBorder="1" applyAlignment="1"/>
    <xf numFmtId="165" fontId="10" fillId="0" borderId="63" xfId="14" applyNumberFormat="1" applyFont="1" applyFill="1" applyBorder="1" applyAlignment="1"/>
    <xf numFmtId="165" fontId="9" fillId="0" borderId="0" xfId="16" applyNumberFormat="1" applyFont="1" applyFill="1" applyBorder="1" applyAlignment="1">
      <alignment horizontal="right"/>
    </xf>
    <xf numFmtId="0" fontId="31" fillId="0" borderId="0" xfId="14" applyFont="1" applyFill="1"/>
    <xf numFmtId="165" fontId="0" fillId="0" borderId="0" xfId="1" applyNumberFormat="1" applyFont="1"/>
    <xf numFmtId="165" fontId="0" fillId="0" borderId="0" xfId="0" applyNumberFormat="1"/>
    <xf numFmtId="165" fontId="4" fillId="0" borderId="0" xfId="0" applyNumberFormat="1" applyFont="1"/>
    <xf numFmtId="0" fontId="31" fillId="0" borderId="0" xfId="14" applyFont="1" applyBorder="1"/>
    <xf numFmtId="0" fontId="29" fillId="0" borderId="0" xfId="15" applyFont="1"/>
    <xf numFmtId="169" fontId="9" fillId="0" borderId="5" xfId="14" applyNumberFormat="1" applyFont="1" applyFill="1" applyBorder="1" applyAlignment="1">
      <alignment horizontal="right"/>
    </xf>
    <xf numFmtId="41" fontId="9" fillId="0" borderId="0" xfId="14" applyNumberFormat="1" applyFont="1" applyFill="1" applyBorder="1" applyAlignment="1"/>
    <xf numFmtId="41" fontId="9" fillId="0" borderId="26" xfId="14" applyNumberFormat="1" applyFont="1" applyFill="1" applyBorder="1" applyAlignment="1"/>
    <xf numFmtId="165" fontId="9" fillId="0" borderId="0" xfId="14" applyNumberFormat="1" applyFont="1" applyFill="1" applyBorder="1" applyAlignment="1"/>
    <xf numFmtId="0" fontId="4" fillId="0" borderId="0" xfId="14" applyFont="1" applyBorder="1"/>
    <xf numFmtId="0" fontId="30" fillId="0" borderId="0" xfId="15" applyFont="1"/>
    <xf numFmtId="0" fontId="4" fillId="0" borderId="0" xfId="14" applyFont="1" applyFill="1"/>
    <xf numFmtId="0" fontId="9" fillId="0" borderId="0" xfId="14" applyNumberFormat="1" applyFont="1" applyFill="1" applyAlignment="1"/>
    <xf numFmtId="169" fontId="47" fillId="0" borderId="5" xfId="14" applyNumberFormat="1" applyFont="1" applyFill="1" applyBorder="1" applyAlignment="1">
      <alignment horizontal="right"/>
    </xf>
    <xf numFmtId="169" fontId="47" fillId="0" borderId="0" xfId="14" applyNumberFormat="1" applyFont="1" applyFill="1" applyBorder="1" applyAlignment="1">
      <alignment horizontal="right"/>
    </xf>
    <xf numFmtId="41" fontId="10" fillId="0" borderId="17" xfId="14" applyNumberFormat="1" applyFont="1" applyFill="1" applyBorder="1" applyAlignment="1"/>
    <xf numFmtId="165" fontId="48" fillId="0" borderId="0" xfId="14" applyNumberFormat="1" applyFont="1" applyFill="1" applyBorder="1" applyAlignment="1"/>
    <xf numFmtId="41" fontId="48" fillId="0" borderId="17" xfId="14" applyNumberFormat="1" applyFont="1" applyFill="1" applyBorder="1" applyAlignment="1"/>
    <xf numFmtId="165" fontId="48" fillId="0" borderId="17" xfId="14" applyNumberFormat="1" applyFont="1" applyFill="1" applyBorder="1" applyAlignment="1"/>
    <xf numFmtId="165" fontId="10" fillId="0" borderId="17" xfId="14" applyNumberFormat="1" applyFont="1" applyFill="1" applyBorder="1" applyAlignment="1"/>
    <xf numFmtId="41" fontId="10" fillId="0" borderId="23" xfId="14" applyNumberFormat="1" applyFont="1" applyFill="1" applyBorder="1" applyAlignment="1"/>
    <xf numFmtId="0" fontId="4" fillId="0" borderId="0" xfId="12" applyFont="1" applyFill="1"/>
    <xf numFmtId="164" fontId="10" fillId="0" borderId="0" xfId="14" applyNumberFormat="1" applyFont="1" applyFill="1" applyBorder="1" applyAlignment="1"/>
    <xf numFmtId="0" fontId="48" fillId="0" borderId="0" xfId="14" applyNumberFormat="1" applyFont="1" applyFill="1" applyAlignment="1"/>
    <xf numFmtId="0" fontId="16" fillId="0" borderId="0" xfId="14" applyFont="1" applyFill="1" applyBorder="1"/>
    <xf numFmtId="43" fontId="10" fillId="0" borderId="0" xfId="14" applyNumberFormat="1" applyFont="1" applyFill="1" applyBorder="1" applyAlignment="1"/>
    <xf numFmtId="0" fontId="11" fillId="0" borderId="0" xfId="11" applyFont="1"/>
    <xf numFmtId="0" fontId="45" fillId="0" borderId="0" xfId="11" applyFont="1"/>
    <xf numFmtId="0" fontId="29" fillId="0" borderId="0" xfId="17"/>
    <xf numFmtId="0" fontId="1" fillId="0" borderId="0" xfId="19"/>
    <xf numFmtId="0" fontId="1" fillId="0" borderId="0" xfId="19" applyAlignment="1">
      <alignment horizontal="left"/>
    </xf>
    <xf numFmtId="165" fontId="1" fillId="0" borderId="0" xfId="1" applyNumberFormat="1" applyFont="1"/>
    <xf numFmtId="0" fontId="3" fillId="0" borderId="0" xfId="19" applyFont="1"/>
    <xf numFmtId="165" fontId="1" fillId="0" borderId="0" xfId="19" applyNumberFormat="1"/>
    <xf numFmtId="167" fontId="8" fillId="0" borderId="29" xfId="0" applyNumberFormat="1" applyFont="1" applyFill="1" applyBorder="1"/>
    <xf numFmtId="165" fontId="3" fillId="0" borderId="0" xfId="19" applyNumberFormat="1" applyFont="1"/>
    <xf numFmtId="10" fontId="9" fillId="0" borderId="14" xfId="8" applyNumberFormat="1" applyFont="1" applyFill="1" applyBorder="1" applyAlignment="1">
      <alignment horizontal="center"/>
    </xf>
    <xf numFmtId="165" fontId="2" fillId="0" borderId="0" xfId="1" applyNumberFormat="1" applyFont="1" applyFill="1"/>
    <xf numFmtId="165" fontId="27" fillId="0" borderId="0" xfId="0" applyNumberFormat="1" applyFont="1" applyFill="1"/>
    <xf numFmtId="9" fontId="2" fillId="0" borderId="0" xfId="8" applyFont="1" applyFill="1"/>
    <xf numFmtId="49" fontId="53" fillId="0" borderId="26" xfId="0" applyNumberFormat="1" applyFont="1" applyFill="1" applyBorder="1" applyAlignment="1">
      <alignment horizontal="left"/>
    </xf>
    <xf numFmtId="49" fontId="53" fillId="0" borderId="26" xfId="0" applyNumberFormat="1" applyFont="1" applyFill="1" applyBorder="1" applyAlignment="1">
      <alignment horizontal="center"/>
    </xf>
    <xf numFmtId="49" fontId="0" fillId="0" borderId="0" xfId="0" applyNumberFormat="1" applyFill="1" applyAlignment="1">
      <alignment horizontal="left"/>
    </xf>
    <xf numFmtId="187" fontId="0" fillId="0" borderId="0" xfId="0" applyNumberFormat="1" applyFill="1"/>
    <xf numFmtId="188" fontId="0" fillId="0" borderId="0" xfId="0" applyNumberFormat="1" applyFill="1"/>
    <xf numFmtId="189" fontId="0" fillId="0" borderId="0" xfId="0" applyNumberFormat="1" applyFill="1"/>
    <xf numFmtId="190" fontId="0" fillId="0" borderId="0" xfId="0" applyNumberFormat="1" applyFill="1"/>
    <xf numFmtId="191" fontId="0" fillId="0" borderId="0" xfId="0" applyNumberFormat="1" applyFill="1"/>
    <xf numFmtId="49" fontId="3" fillId="0" borderId="63" xfId="0" applyNumberFormat="1" applyFont="1" applyFill="1" applyBorder="1" applyAlignment="1">
      <alignment horizontal="left"/>
    </xf>
    <xf numFmtId="189" fontId="3" fillId="0" borderId="63" xfId="0" applyNumberFormat="1" applyFont="1" applyFill="1" applyBorder="1"/>
    <xf numFmtId="190" fontId="3" fillId="0" borderId="63" xfId="0" applyNumberFormat="1" applyFont="1" applyFill="1" applyBorder="1"/>
    <xf numFmtId="188" fontId="3" fillId="0" borderId="63" xfId="0" applyNumberFormat="1" applyFont="1" applyFill="1" applyBorder="1"/>
    <xf numFmtId="191" fontId="3" fillId="0" borderId="63" xfId="0" applyNumberFormat="1" applyFont="1" applyFill="1" applyBorder="1"/>
    <xf numFmtId="187" fontId="3" fillId="0" borderId="63" xfId="0" applyNumberFormat="1" applyFont="1" applyFill="1" applyBorder="1"/>
    <xf numFmtId="49" fontId="0" fillId="0" borderId="1" xfId="0" applyNumberFormat="1" applyFill="1" applyBorder="1" applyAlignment="1">
      <alignment horizontal="left"/>
    </xf>
    <xf numFmtId="189" fontId="0" fillId="0" borderId="1" xfId="0" applyNumberFormat="1" applyFill="1" applyBorder="1"/>
    <xf numFmtId="190" fontId="0" fillId="0" borderId="1" xfId="0" applyNumberFormat="1" applyFill="1" applyBorder="1"/>
    <xf numFmtId="187" fontId="0" fillId="0" borderId="1" xfId="0" applyNumberFormat="1" applyFill="1" applyBorder="1"/>
    <xf numFmtId="0" fontId="55" fillId="0" borderId="0" xfId="25" applyFont="1" applyFill="1"/>
    <xf numFmtId="0" fontId="54" fillId="0" borderId="0" xfId="25" applyFill="1"/>
    <xf numFmtId="0" fontId="56" fillId="0" borderId="0" xfId="25" applyFont="1" applyFill="1"/>
    <xf numFmtId="0" fontId="57" fillId="0" borderId="0" xfId="25" applyFont="1" applyFill="1" applyBorder="1" applyAlignment="1">
      <alignment horizontal="center"/>
    </xf>
    <xf numFmtId="0" fontId="54" fillId="0" borderId="0" xfId="25" applyFill="1" applyAlignment="1">
      <alignment horizontal="center"/>
    </xf>
    <xf numFmtId="0" fontId="54" fillId="0" borderId="6" xfId="25" applyFill="1" applyBorder="1" applyAlignment="1">
      <alignment horizontal="center"/>
    </xf>
    <xf numFmtId="0" fontId="54" fillId="0" borderId="0" xfId="25" applyFill="1" applyBorder="1" applyAlignment="1">
      <alignment horizontal="center"/>
    </xf>
    <xf numFmtId="0" fontId="54" fillId="0" borderId="7" xfId="25" applyFill="1" applyBorder="1" applyAlignment="1">
      <alignment horizontal="center"/>
    </xf>
    <xf numFmtId="0" fontId="54" fillId="0" borderId="6" xfId="25" applyFill="1" applyBorder="1"/>
    <xf numFmtId="0" fontId="54" fillId="0" borderId="0" xfId="25" applyFill="1" applyBorder="1"/>
    <xf numFmtId="0" fontId="54" fillId="0" borderId="7" xfId="25" applyFill="1" applyBorder="1"/>
    <xf numFmtId="0" fontId="54" fillId="0" borderId="32" xfId="25" applyFill="1" applyBorder="1"/>
    <xf numFmtId="0" fontId="54" fillId="0" borderId="41" xfId="25" applyFill="1" applyBorder="1"/>
    <xf numFmtId="0" fontId="54" fillId="0" borderId="33" xfId="25" applyFill="1" applyBorder="1"/>
    <xf numFmtId="14" fontId="54" fillId="0" borderId="0" xfId="25" applyNumberFormat="1" applyFill="1"/>
    <xf numFmtId="165" fontId="0" fillId="0" borderId="30" xfId="26" applyNumberFormat="1" applyFont="1" applyFill="1" applyBorder="1"/>
    <xf numFmtId="165" fontId="0" fillId="0" borderId="36" xfId="26" applyNumberFormat="1" applyFont="1" applyFill="1" applyBorder="1"/>
    <xf numFmtId="165" fontId="0" fillId="0" borderId="31" xfId="26" applyNumberFormat="1" applyFont="1" applyFill="1" applyBorder="1"/>
    <xf numFmtId="165" fontId="0" fillId="0" borderId="0" xfId="26" applyNumberFormat="1" applyFont="1" applyFill="1" applyBorder="1"/>
    <xf numFmtId="165" fontId="0" fillId="0" borderId="6" xfId="26" applyNumberFormat="1" applyFont="1" applyFill="1" applyBorder="1"/>
    <xf numFmtId="165" fontId="0" fillId="0" borderId="7" xfId="26" applyNumberFormat="1" applyFont="1" applyFill="1" applyBorder="1"/>
    <xf numFmtId="165" fontId="0" fillId="0" borderId="32" xfId="26" applyNumberFormat="1" applyFont="1" applyFill="1" applyBorder="1"/>
    <xf numFmtId="165" fontId="0" fillId="0" borderId="41" xfId="26" applyNumberFormat="1" applyFont="1" applyFill="1" applyBorder="1"/>
    <xf numFmtId="165" fontId="0" fillId="0" borderId="33" xfId="26" applyNumberFormat="1" applyFont="1" applyFill="1" applyBorder="1"/>
    <xf numFmtId="165" fontId="54" fillId="0" borderId="31" xfId="25" applyNumberFormat="1" applyFill="1" applyBorder="1"/>
    <xf numFmtId="165" fontId="54" fillId="0" borderId="0" xfId="25" applyNumberFormat="1" applyFill="1"/>
    <xf numFmtId="165" fontId="0" fillId="0" borderId="0" xfId="26" applyNumberFormat="1" applyFont="1" applyFill="1"/>
    <xf numFmtId="44" fontId="54" fillId="0" borderId="0" xfId="25" applyNumberFormat="1" applyFill="1"/>
    <xf numFmtId="0" fontId="3" fillId="0" borderId="0" xfId="27" applyFont="1" applyAlignment="1">
      <alignment horizontal="centerContinuous"/>
    </xf>
    <xf numFmtId="0" fontId="1" fillId="0" borderId="0" xfId="27" applyFont="1" applyFill="1" applyBorder="1"/>
    <xf numFmtId="0" fontId="1" fillId="0" borderId="0" xfId="27" applyFont="1" applyFill="1" applyBorder="1" applyAlignment="1">
      <alignment horizontal="center" wrapText="1"/>
    </xf>
    <xf numFmtId="0" fontId="3" fillId="0" borderId="32" xfId="27" applyFont="1" applyFill="1" applyBorder="1" applyAlignment="1">
      <alignment horizontal="center" wrapText="1"/>
    </xf>
    <xf numFmtId="0" fontId="3" fillId="0" borderId="41" xfId="27" applyFont="1" applyFill="1" applyBorder="1" applyAlignment="1">
      <alignment horizontal="center" wrapText="1"/>
    </xf>
    <xf numFmtId="0" fontId="3" fillId="0" borderId="41" xfId="27" quotePrefix="1" applyFont="1" applyFill="1" applyBorder="1" applyAlignment="1">
      <alignment horizontal="center" wrapText="1"/>
    </xf>
    <xf numFmtId="165" fontId="3" fillId="0" borderId="41" xfId="27" quotePrefix="1" applyNumberFormat="1" applyFont="1" applyFill="1" applyBorder="1" applyAlignment="1">
      <alignment horizontal="center" wrapText="1"/>
    </xf>
    <xf numFmtId="0" fontId="3" fillId="0" borderId="12" xfId="27" applyFont="1" applyFill="1" applyBorder="1" applyAlignment="1">
      <alignment horizontal="center" wrapText="1"/>
    </xf>
    <xf numFmtId="0" fontId="1" fillId="0" borderId="6" xfId="27" applyFont="1" applyFill="1" applyBorder="1" applyAlignment="1">
      <alignment horizontal="center" vertical="top" wrapText="1"/>
    </xf>
    <xf numFmtId="0" fontId="1" fillId="0" borderId="0" xfId="27" applyFont="1" applyFill="1" applyBorder="1" applyAlignment="1">
      <alignment horizontal="center" vertical="top" wrapText="1"/>
    </xf>
    <xf numFmtId="165" fontId="1" fillId="0" borderId="0" xfId="27" quotePrefix="1" applyNumberFormat="1" applyFont="1" applyFill="1" applyBorder="1" applyAlignment="1">
      <alignment horizontal="center" vertical="top" wrapText="1"/>
    </xf>
    <xf numFmtId="165" fontId="1" fillId="0" borderId="0" xfId="27" applyNumberFormat="1" applyFont="1" applyFill="1" applyBorder="1" applyAlignment="1">
      <alignment horizontal="center" vertical="top" wrapText="1"/>
    </xf>
    <xf numFmtId="0" fontId="1" fillId="0" borderId="7" xfId="27" quotePrefix="1" applyFont="1" applyFill="1" applyBorder="1" applyAlignment="1">
      <alignment horizontal="center" vertical="top" wrapText="1"/>
    </xf>
    <xf numFmtId="0" fontId="1" fillId="0" borderId="13" xfId="27" applyFont="1" applyFill="1" applyBorder="1" applyAlignment="1">
      <alignment horizontal="center" vertical="top" wrapText="1"/>
    </xf>
    <xf numFmtId="0" fontId="1" fillId="0" borderId="6" xfId="27" applyFont="1" applyFill="1" applyBorder="1" applyAlignment="1">
      <alignment horizontal="center"/>
    </xf>
    <xf numFmtId="0" fontId="1" fillId="0" borderId="0" xfId="27" applyFont="1" applyFill="1" applyBorder="1" applyAlignment="1">
      <alignment horizontal="center"/>
    </xf>
    <xf numFmtId="165" fontId="1" fillId="0" borderId="0" xfId="27" applyNumberFormat="1" applyFont="1" applyFill="1" applyBorder="1"/>
    <xf numFmtId="0" fontId="1" fillId="0" borderId="7" xfId="27" applyFont="1" applyFill="1" applyBorder="1"/>
    <xf numFmtId="0" fontId="1" fillId="0" borderId="13" xfId="27" applyFont="1" applyFill="1" applyBorder="1" applyAlignment="1">
      <alignment horizontal="center" wrapText="1"/>
    </xf>
    <xf numFmtId="164" fontId="1" fillId="0" borderId="0" xfId="27" applyNumberFormat="1" applyFont="1" applyFill="1" applyBorder="1"/>
    <xf numFmtId="10" fontId="1" fillId="0" borderId="7" xfId="27" applyNumberFormat="1" applyFont="1" applyFill="1" applyBorder="1"/>
    <xf numFmtId="164" fontId="1" fillId="0" borderId="0" xfId="27" applyNumberFormat="1" applyFont="1" applyFill="1" applyBorder="1" applyAlignment="1">
      <alignment horizontal="center" wrapText="1"/>
    </xf>
    <xf numFmtId="164" fontId="1" fillId="0" borderId="13" xfId="27" applyNumberFormat="1" applyFont="1" applyFill="1" applyBorder="1" applyAlignment="1">
      <alignment horizontal="center" wrapText="1"/>
    </xf>
    <xf numFmtId="175" fontId="1" fillId="0" borderId="0" xfId="27" applyNumberFormat="1" applyFont="1" applyFill="1" applyBorder="1"/>
    <xf numFmtId="0" fontId="1" fillId="0" borderId="0" xfId="27" quotePrefix="1" applyFont="1" applyFill="1" applyBorder="1" applyAlignment="1">
      <alignment horizontal="left" indent="1"/>
    </xf>
    <xf numFmtId="0" fontId="1" fillId="0" borderId="0" xfId="27" applyFont="1" applyFill="1" applyBorder="1" applyAlignment="1">
      <alignment horizontal="left" indent="1"/>
    </xf>
    <xf numFmtId="0" fontId="1" fillId="0" borderId="0" xfId="27" quotePrefix="1" applyFont="1" applyFill="1" applyBorder="1" applyAlignment="1">
      <alignment horizontal="center"/>
    </xf>
    <xf numFmtId="192" fontId="1" fillId="0" borderId="0" xfId="27" applyNumberFormat="1" applyFont="1" applyFill="1" applyBorder="1"/>
    <xf numFmtId="0" fontId="1" fillId="0" borderId="0" xfId="27" quotePrefix="1" applyFont="1" applyFill="1" applyBorder="1" applyAlignment="1">
      <alignment horizontal="left"/>
    </xf>
    <xf numFmtId="0" fontId="1" fillId="0" borderId="0" xfId="27" applyFont="1" applyFill="1" applyBorder="1" applyAlignment="1">
      <alignment horizontal="left"/>
    </xf>
    <xf numFmtId="0" fontId="1" fillId="0" borderId="83" xfId="27" applyFont="1" applyFill="1" applyBorder="1" applyAlignment="1">
      <alignment horizontal="center" wrapText="1"/>
    </xf>
    <xf numFmtId="0" fontId="1" fillId="0" borderId="0" xfId="27" quotePrefix="1" applyFont="1" applyFill="1" applyBorder="1" applyAlignment="1"/>
    <xf numFmtId="0" fontId="1" fillId="0" borderId="32" xfId="27" applyFont="1" applyFill="1" applyBorder="1" applyAlignment="1">
      <alignment horizontal="center"/>
    </xf>
    <xf numFmtId="0" fontId="1" fillId="0" borderId="41" xfId="27" applyFont="1" applyFill="1" applyBorder="1"/>
    <xf numFmtId="0" fontId="1" fillId="0" borderId="41" xfId="27" applyFont="1" applyFill="1" applyBorder="1" applyAlignment="1">
      <alignment horizontal="center"/>
    </xf>
    <xf numFmtId="165" fontId="1" fillId="0" borderId="41" xfId="27" applyNumberFormat="1" applyFont="1" applyFill="1" applyBorder="1"/>
    <xf numFmtId="164" fontId="1" fillId="0" borderId="41" xfId="27" applyNumberFormat="1" applyFont="1" applyFill="1" applyBorder="1"/>
    <xf numFmtId="0" fontId="1" fillId="0" borderId="33" xfId="27" applyFont="1" applyFill="1" applyBorder="1"/>
    <xf numFmtId="0" fontId="57" fillId="0" borderId="30" xfId="25" applyFont="1" applyFill="1" applyBorder="1" applyAlignment="1">
      <alignment horizontal="center"/>
    </xf>
    <xf numFmtId="0" fontId="57" fillId="0" borderId="36" xfId="25" applyFont="1" applyFill="1" applyBorder="1" applyAlignment="1">
      <alignment horizontal="center"/>
    </xf>
    <xf numFmtId="0" fontId="57" fillId="0" borderId="31" xfId="25" applyFont="1" applyFill="1" applyBorder="1" applyAlignment="1">
      <alignment horizontal="center"/>
    </xf>
    <xf numFmtId="0" fontId="57" fillId="0" borderId="45" xfId="25" applyFont="1" applyFill="1" applyBorder="1" applyAlignment="1">
      <alignment horizontal="center"/>
    </xf>
    <xf numFmtId="0" fontId="57" fillId="0" borderId="46" xfId="25" applyFont="1" applyFill="1" applyBorder="1" applyAlignment="1">
      <alignment horizontal="center"/>
    </xf>
    <xf numFmtId="0" fontId="57" fillId="0" borderId="47" xfId="25" applyFont="1" applyFill="1" applyBorder="1" applyAlignment="1">
      <alignment horizontal="center"/>
    </xf>
    <xf numFmtId="0" fontId="57" fillId="0" borderId="19" xfId="25" applyFont="1" applyFill="1" applyBorder="1" applyAlignment="1">
      <alignment horizontal="center"/>
    </xf>
    <xf numFmtId="0" fontId="57" fillId="0" borderId="26" xfId="25" applyFont="1" applyFill="1" applyBorder="1" applyAlignment="1">
      <alignment horizontal="center"/>
    </xf>
    <xf numFmtId="0" fontId="57" fillId="0" borderId="20" xfId="25" applyFont="1" applyFill="1" applyBorder="1" applyAlignment="1">
      <alignment horizontal="center"/>
    </xf>
    <xf numFmtId="178" fontId="0" fillId="0" borderId="53" xfId="0" applyNumberFormat="1" applyFill="1" applyBorder="1"/>
    <xf numFmtId="0" fontId="31" fillId="0" borderId="0" xfId="11" applyFont="1" applyFill="1"/>
    <xf numFmtId="0" fontId="31" fillId="0" borderId="36" xfId="11" applyFont="1" applyFill="1" applyBorder="1" applyAlignment="1">
      <alignment horizontal="centerContinuous"/>
    </xf>
    <xf numFmtId="0" fontId="31" fillId="0" borderId="31" xfId="11" applyFont="1" applyFill="1" applyBorder="1" applyAlignment="1">
      <alignment horizontal="centerContinuous"/>
    </xf>
    <xf numFmtId="0" fontId="31" fillId="0" borderId="36" xfId="0" applyFont="1" applyFill="1" applyBorder="1" applyAlignment="1">
      <alignment horizontal="centerContinuous"/>
    </xf>
    <xf numFmtId="0" fontId="31" fillId="0" borderId="31" xfId="0" applyFont="1" applyFill="1" applyBorder="1" applyAlignment="1">
      <alignment horizontal="centerContinuous"/>
    </xf>
    <xf numFmtId="0" fontId="31" fillId="0" borderId="19" xfId="11" applyFont="1" applyFill="1" applyBorder="1" applyAlignment="1">
      <alignment horizontal="center"/>
    </xf>
    <xf numFmtId="17" fontId="31" fillId="0" borderId="8" xfId="11" applyNumberFormat="1" applyFont="1" applyFill="1" applyBorder="1" applyAlignment="1">
      <alignment horizontal="center"/>
    </xf>
    <xf numFmtId="17" fontId="31" fillId="0" borderId="26" xfId="11" applyNumberFormat="1" applyFont="1" applyFill="1" applyBorder="1" applyAlignment="1">
      <alignment horizontal="center"/>
    </xf>
    <xf numFmtId="17" fontId="31" fillId="0" borderId="20" xfId="11" applyNumberFormat="1" applyFont="1" applyFill="1" applyBorder="1" applyAlignment="1">
      <alignment horizontal="center"/>
    </xf>
    <xf numFmtId="0" fontId="31" fillId="0" borderId="19" xfId="0" applyFont="1" applyFill="1" applyBorder="1" applyAlignment="1">
      <alignment horizontal="center"/>
    </xf>
    <xf numFmtId="17" fontId="31" fillId="0" borderId="26" xfId="0" applyNumberFormat="1" applyFont="1" applyFill="1" applyBorder="1" applyAlignment="1">
      <alignment horizontal="center"/>
    </xf>
    <xf numFmtId="17" fontId="31" fillId="0" borderId="20" xfId="0" applyNumberFormat="1" applyFont="1" applyFill="1" applyBorder="1" applyAlignment="1">
      <alignment horizontal="center"/>
    </xf>
    <xf numFmtId="17" fontId="31" fillId="0" borderId="6" xfId="11" applyNumberFormat="1" applyFont="1" applyFill="1" applyBorder="1"/>
    <xf numFmtId="165" fontId="31" fillId="0" borderId="5" xfId="13" applyNumberFormat="1" applyFont="1" applyFill="1" applyBorder="1"/>
    <xf numFmtId="165" fontId="31" fillId="0" borderId="0" xfId="13" applyNumberFormat="1" applyFont="1" applyFill="1" applyBorder="1"/>
    <xf numFmtId="41" fontId="31" fillId="0" borderId="0" xfId="11" applyNumberFormat="1" applyFont="1" applyFill="1" applyBorder="1"/>
    <xf numFmtId="165" fontId="31" fillId="0" borderId="7" xfId="13" applyNumberFormat="1" applyFont="1" applyFill="1" applyBorder="1"/>
    <xf numFmtId="17" fontId="31" fillId="0" borderId="6" xfId="0" applyNumberFormat="1" applyFont="1" applyFill="1" applyBorder="1"/>
    <xf numFmtId="17" fontId="31" fillId="0" borderId="32" xfId="11" applyNumberFormat="1" applyFont="1" applyFill="1" applyBorder="1"/>
    <xf numFmtId="165" fontId="31" fillId="0" borderId="60" xfId="13" applyNumberFormat="1" applyFont="1" applyFill="1" applyBorder="1"/>
    <xf numFmtId="165" fontId="31" fillId="0" borderId="41" xfId="13" applyNumberFormat="1" applyFont="1" applyFill="1" applyBorder="1"/>
    <xf numFmtId="41" fontId="31" fillId="0" borderId="41" xfId="11" applyNumberFormat="1" applyFont="1" applyFill="1" applyBorder="1"/>
    <xf numFmtId="165" fontId="31" fillId="0" borderId="33" xfId="13" applyNumberFormat="1" applyFont="1" applyFill="1" applyBorder="1"/>
    <xf numFmtId="17" fontId="31" fillId="0" borderId="32" xfId="0" applyNumberFormat="1" applyFont="1" applyFill="1" applyBorder="1"/>
    <xf numFmtId="165" fontId="4" fillId="0" borderId="5" xfId="13" applyNumberFormat="1" applyFont="1" applyFill="1" applyBorder="1"/>
    <xf numFmtId="165" fontId="4" fillId="0" borderId="0" xfId="11" applyNumberFormat="1" applyFont="1" applyFill="1"/>
    <xf numFmtId="165" fontId="31" fillId="0" borderId="0" xfId="11" applyNumberFormat="1" applyFont="1" applyFill="1"/>
    <xf numFmtId="0" fontId="33" fillId="0" borderId="0" xfId="0" applyFont="1" applyFill="1" applyAlignment="1">
      <alignment horizontal="left"/>
    </xf>
    <xf numFmtId="0" fontId="33" fillId="0" borderId="52" xfId="0" applyFont="1" applyFill="1" applyBorder="1"/>
    <xf numFmtId="17" fontId="33" fillId="0" borderId="0" xfId="0" applyNumberFormat="1" applyFont="1" applyFill="1" applyAlignment="1">
      <alignment horizontal="center" vertical="center"/>
    </xf>
    <xf numFmtId="0" fontId="4" fillId="0" borderId="0" xfId="0" applyFont="1" applyFill="1" applyAlignment="1">
      <alignment horizontal="center"/>
    </xf>
    <xf numFmtId="0" fontId="0" fillId="0" borderId="15" xfId="0" applyFill="1" applyBorder="1"/>
    <xf numFmtId="179" fontId="0" fillId="0" borderId="53" xfId="0" applyNumberFormat="1" applyFill="1" applyBorder="1"/>
    <xf numFmtId="164" fontId="0" fillId="0" borderId="56" xfId="3" applyNumberFormat="1" applyFont="1" applyFill="1" applyBorder="1"/>
    <xf numFmtId="0" fontId="34" fillId="0" borderId="54" xfId="0" applyFont="1" applyFill="1" applyBorder="1"/>
    <xf numFmtId="179" fontId="34" fillId="0" borderId="55" xfId="0" applyNumberFormat="1" applyFont="1" applyFill="1" applyBorder="1"/>
    <xf numFmtId="164" fontId="4" fillId="0" borderId="0" xfId="0" applyNumberFormat="1" applyFont="1" applyFill="1"/>
    <xf numFmtId="0" fontId="35" fillId="0" borderId="0" xfId="0" applyFont="1" applyFill="1"/>
    <xf numFmtId="179" fontId="0" fillId="0" borderId="0" xfId="0" applyNumberFormat="1" applyFill="1"/>
    <xf numFmtId="0" fontId="0" fillId="0" borderId="26" xfId="0" applyFill="1" applyBorder="1"/>
    <xf numFmtId="179" fontId="0" fillId="0" borderId="26" xfId="0" applyNumberFormat="1" applyFill="1" applyBorder="1"/>
    <xf numFmtId="0" fontId="52" fillId="0" borderId="0" xfId="0" applyFont="1" applyFill="1"/>
    <xf numFmtId="0" fontId="33" fillId="0" borderId="0" xfId="0" applyFont="1" applyFill="1" applyBorder="1"/>
    <xf numFmtId="0" fontId="0" fillId="0" borderId="0" xfId="0" applyFill="1" applyBorder="1"/>
    <xf numFmtId="0" fontId="34" fillId="0" borderId="57" xfId="0" applyFont="1" applyFill="1" applyBorder="1"/>
    <xf numFmtId="178" fontId="34" fillId="0" borderId="55" xfId="0" applyNumberFormat="1" applyFont="1" applyFill="1" applyBorder="1"/>
    <xf numFmtId="178" fontId="35" fillId="0" borderId="0" xfId="0" applyNumberFormat="1" applyFont="1" applyFill="1"/>
    <xf numFmtId="0" fontId="34" fillId="0" borderId="0" xfId="0" applyFont="1" applyFill="1" applyBorder="1"/>
    <xf numFmtId="179" fontId="4" fillId="0" borderId="0" xfId="0" applyNumberFormat="1" applyFont="1" applyFill="1"/>
    <xf numFmtId="0" fontId="4" fillId="0" borderId="26" xfId="0" applyFont="1" applyFill="1" applyBorder="1" applyAlignment="1">
      <alignment horizontal="center"/>
    </xf>
    <xf numFmtId="0" fontId="21" fillId="0" borderId="0" xfId="0" applyFont="1" applyFill="1"/>
    <xf numFmtId="0" fontId="22" fillId="0" borderId="0" xfId="0" applyFont="1" applyFill="1" applyAlignment="1">
      <alignment horizontal="left"/>
    </xf>
    <xf numFmtId="0" fontId="12" fillId="0" borderId="39" xfId="0" applyFont="1" applyFill="1" applyBorder="1" applyAlignment="1">
      <alignment horizontal="center" vertical="center"/>
    </xf>
    <xf numFmtId="0" fontId="12" fillId="0" borderId="13" xfId="0" applyFont="1" applyFill="1" applyBorder="1" applyAlignment="1">
      <alignment horizontal="right" vertical="center"/>
    </xf>
    <xf numFmtId="0" fontId="23" fillId="0" borderId="14" xfId="0" applyFont="1" applyFill="1" applyBorder="1" applyAlignment="1">
      <alignment horizontal="right" vertical="center"/>
    </xf>
    <xf numFmtId="0" fontId="0" fillId="0" borderId="0" xfId="0" applyFill="1" applyAlignment="1">
      <alignment horizontal="right"/>
    </xf>
    <xf numFmtId="0" fontId="4" fillId="0" borderId="0" xfId="0" applyFont="1" applyFill="1" applyAlignment="1">
      <alignment horizontal="left"/>
    </xf>
    <xf numFmtId="0" fontId="49" fillId="0" borderId="0" xfId="0" applyFont="1" applyFill="1"/>
    <xf numFmtId="165" fontId="0" fillId="0" borderId="0" xfId="1" applyNumberFormat="1" applyFont="1" applyFill="1"/>
    <xf numFmtId="165" fontId="0" fillId="0" borderId="26" xfId="1" applyNumberFormat="1" applyFont="1" applyFill="1" applyBorder="1"/>
    <xf numFmtId="0" fontId="20" fillId="0" borderId="0" xfId="0" applyFont="1" applyFill="1" applyAlignment="1">
      <alignment horizontal="center"/>
    </xf>
    <xf numFmtId="0" fontId="20" fillId="0" borderId="0" xfId="0" applyFont="1" applyFill="1" applyAlignment="1">
      <alignment horizontal="center"/>
    </xf>
    <xf numFmtId="0" fontId="20" fillId="0" borderId="0" xfId="0" applyFont="1" applyFill="1"/>
    <xf numFmtId="165" fontId="4" fillId="0" borderId="0" xfId="1" applyNumberFormat="1" applyFont="1" applyFill="1"/>
    <xf numFmtId="0" fontId="14" fillId="0" borderId="0" xfId="0" applyFont="1" applyFill="1"/>
    <xf numFmtId="165" fontId="14" fillId="0" borderId="0" xfId="0" applyNumberFormat="1" applyFont="1" applyFill="1"/>
    <xf numFmtId="164" fontId="4" fillId="0" borderId="0" xfId="3" applyNumberFormat="1" applyFont="1" applyFill="1"/>
    <xf numFmtId="0" fontId="17" fillId="0" borderId="0" xfId="0" applyFont="1" applyFill="1" applyAlignment="1">
      <alignment horizontal="center"/>
    </xf>
    <xf numFmtId="0" fontId="36" fillId="0" borderId="0" xfId="0" applyFont="1" applyFill="1"/>
    <xf numFmtId="164" fontId="37" fillId="0" borderId="0" xfId="3" applyNumberFormat="1" applyFont="1" applyFill="1"/>
    <xf numFmtId="0" fontId="33" fillId="0" borderId="29" xfId="0" applyFont="1" applyFill="1" applyBorder="1"/>
    <xf numFmtId="0" fontId="0" fillId="0" borderId="29" xfId="0" applyFill="1" applyBorder="1"/>
    <xf numFmtId="164" fontId="0" fillId="0" borderId="0" xfId="0" applyNumberFormat="1" applyFill="1"/>
    <xf numFmtId="0" fontId="37" fillId="0" borderId="0" xfId="0" applyFont="1" applyFill="1"/>
    <xf numFmtId="0" fontId="44" fillId="0" borderId="29" xfId="0" applyFont="1" applyFill="1" applyBorder="1"/>
    <xf numFmtId="0" fontId="38" fillId="0" borderId="0" xfId="4" applyFill="1" applyAlignment="1">
      <alignment horizontal="centerContinuous"/>
    </xf>
    <xf numFmtId="169" fontId="42" fillId="0" borderId="0" xfId="9" quotePrefix="1" applyNumberFormat="1" applyFont="1" applyFill="1" applyAlignment="1">
      <alignment horizontal="center"/>
    </xf>
    <xf numFmtId="0" fontId="41" fillId="0" borderId="0" xfId="9" applyFont="1" applyFill="1" applyAlignment="1">
      <alignment horizontal="right"/>
    </xf>
    <xf numFmtId="0" fontId="41" fillId="0" borderId="0" xfId="9" applyFont="1" applyFill="1"/>
    <xf numFmtId="0" fontId="43" fillId="0" borderId="0" xfId="9" applyFill="1" applyAlignment="1">
      <alignment horizontal="right"/>
    </xf>
    <xf numFmtId="165" fontId="54" fillId="0" borderId="73" xfId="25" applyNumberFormat="1" applyFill="1" applyBorder="1" applyAlignment="1">
      <alignment horizontal="center"/>
    </xf>
    <xf numFmtId="165" fontId="54" fillId="0" borderId="63" xfId="25" applyNumberFormat="1" applyFill="1" applyBorder="1" applyAlignment="1">
      <alignment horizontal="center"/>
    </xf>
    <xf numFmtId="165" fontId="54" fillId="0" borderId="4" xfId="25" applyNumberFormat="1" applyFill="1" applyBorder="1" applyAlignment="1">
      <alignment horizontal="center"/>
    </xf>
    <xf numFmtId="165" fontId="54" fillId="0" borderId="5" xfId="25" applyNumberFormat="1" applyFill="1" applyBorder="1" applyAlignment="1">
      <alignment horizontal="center"/>
    </xf>
    <xf numFmtId="165" fontId="54" fillId="0" borderId="0" xfId="25" applyNumberFormat="1" applyFill="1" applyBorder="1" applyAlignment="1">
      <alignment horizontal="center"/>
    </xf>
    <xf numFmtId="165" fontId="54" fillId="0" borderId="9" xfId="25" applyNumberFormat="1" applyFill="1" applyBorder="1" applyAlignment="1">
      <alignment horizontal="center"/>
    </xf>
    <xf numFmtId="165" fontId="54" fillId="0" borderId="0" xfId="25" quotePrefix="1" applyNumberFormat="1" applyFill="1" applyBorder="1" applyAlignment="1">
      <alignment horizontal="center"/>
    </xf>
    <xf numFmtId="192" fontId="54" fillId="0" borderId="5" xfId="3" applyNumberFormat="1" applyFont="1" applyFill="1" applyBorder="1" applyAlignment="1">
      <alignment horizontal="center"/>
    </xf>
    <xf numFmtId="192" fontId="54" fillId="0" borderId="0" xfId="3" applyNumberFormat="1" applyFont="1" applyFill="1" applyBorder="1" applyAlignment="1">
      <alignment horizontal="center"/>
    </xf>
    <xf numFmtId="193" fontId="54" fillId="0" borderId="0" xfId="3" applyNumberFormat="1" applyFont="1" applyFill="1" applyBorder="1" applyAlignment="1">
      <alignment horizontal="center"/>
    </xf>
    <xf numFmtId="192" fontId="54" fillId="0" borderId="9" xfId="3" applyNumberFormat="1" applyFont="1" applyFill="1" applyBorder="1" applyAlignment="1">
      <alignment horizontal="center"/>
    </xf>
    <xf numFmtId="165" fontId="54" fillId="0" borderId="5" xfId="25" applyNumberFormat="1" applyFill="1" applyBorder="1"/>
    <xf numFmtId="165" fontId="54" fillId="0" borderId="0" xfId="25" applyNumberFormat="1" applyFill="1" applyBorder="1"/>
    <xf numFmtId="165" fontId="54" fillId="0" borderId="9" xfId="25" applyNumberFormat="1" applyFill="1" applyBorder="1"/>
    <xf numFmtId="42" fontId="54" fillId="0" borderId="5" xfId="25" applyNumberFormat="1" applyFill="1" applyBorder="1"/>
    <xf numFmtId="42" fontId="54" fillId="0" borderId="0" xfId="25" applyNumberFormat="1" applyFill="1" applyBorder="1"/>
    <xf numFmtId="42" fontId="54" fillId="0" borderId="9" xfId="25" applyNumberFormat="1" applyFill="1" applyBorder="1"/>
    <xf numFmtId="0" fontId="54" fillId="0" borderId="5" xfId="25" applyFill="1" applyBorder="1"/>
    <xf numFmtId="0" fontId="54" fillId="0" borderId="9" xfId="25" applyFill="1" applyBorder="1"/>
    <xf numFmtId="165" fontId="54" fillId="0" borderId="8" xfId="25" applyNumberFormat="1" applyFill="1" applyBorder="1"/>
    <xf numFmtId="165" fontId="54" fillId="0" borderId="26" xfId="25" applyNumberFormat="1" applyFill="1" applyBorder="1"/>
    <xf numFmtId="165" fontId="54" fillId="0" borderId="10" xfId="25" applyNumberFormat="1" applyFill="1" applyBorder="1"/>
    <xf numFmtId="42" fontId="54" fillId="0" borderId="8" xfId="25" applyNumberFormat="1" applyFill="1" applyBorder="1"/>
    <xf numFmtId="42" fontId="54" fillId="0" borderId="26" xfId="25" applyNumberFormat="1" applyFill="1" applyBorder="1"/>
    <xf numFmtId="42" fontId="54" fillId="0" borderId="10" xfId="25" applyNumberFormat="1" applyFill="1" applyBorder="1"/>
    <xf numFmtId="38" fontId="58" fillId="0" borderId="0" xfId="25" applyNumberFormat="1" applyFont="1" applyFill="1"/>
    <xf numFmtId="0" fontId="1" fillId="0" borderId="0" xfId="27" applyFont="1" applyAlignment="1">
      <alignment horizontal="centerContinuous"/>
    </xf>
    <xf numFmtId="0" fontId="1" fillId="0" borderId="0" xfId="27" applyFont="1"/>
    <xf numFmtId="0" fontId="1" fillId="0" borderId="30" xfId="27" applyFont="1" applyBorder="1" applyAlignment="1">
      <alignment horizontal="center" wrapText="1"/>
    </xf>
    <xf numFmtId="0" fontId="1" fillId="0" borderId="36" xfId="27" applyFont="1" applyBorder="1" applyAlignment="1">
      <alignment horizontal="center" wrapText="1"/>
    </xf>
    <xf numFmtId="0" fontId="1" fillId="0" borderId="31" xfId="27" applyFont="1" applyBorder="1" applyAlignment="1">
      <alignment horizontal="center" wrapText="1"/>
    </xf>
    <xf numFmtId="0" fontId="1" fillId="0" borderId="6" xfId="27" applyFont="1" applyBorder="1" applyAlignment="1">
      <alignment horizontal="center" wrapText="1"/>
    </xf>
    <xf numFmtId="0" fontId="1" fillId="0" borderId="0" xfId="27" applyFont="1" applyBorder="1" applyAlignment="1">
      <alignment horizontal="center" wrapText="1"/>
    </xf>
    <xf numFmtId="0" fontId="1" fillId="0" borderId="7" xfId="27" applyFont="1" applyBorder="1" applyAlignment="1">
      <alignment horizontal="center" wrapText="1"/>
    </xf>
    <xf numFmtId="0" fontId="1" fillId="0" borderId="32" xfId="27" applyFont="1" applyBorder="1" applyAlignment="1">
      <alignment horizontal="center" wrapText="1"/>
    </xf>
    <xf numFmtId="0" fontId="1" fillId="0" borderId="41" xfId="27" applyFont="1" applyBorder="1" applyAlignment="1">
      <alignment horizontal="center" wrapText="1"/>
    </xf>
    <xf numFmtId="0" fontId="1" fillId="0" borderId="33" xfId="27" applyFont="1" applyBorder="1" applyAlignment="1">
      <alignment horizontal="center" wrapText="1"/>
    </xf>
    <xf numFmtId="0" fontId="1" fillId="0" borderId="0" xfId="27" applyFont="1" applyAlignment="1">
      <alignment wrapText="1"/>
    </xf>
    <xf numFmtId="165" fontId="1" fillId="0" borderId="0" xfId="27" applyNumberFormat="1" applyFont="1" applyAlignment="1">
      <alignment wrapText="1"/>
    </xf>
    <xf numFmtId="49" fontId="4" fillId="0" borderId="0" xfId="0" applyNumberFormat="1" applyFont="1" applyFill="1" applyAlignment="1">
      <alignment horizontal="left"/>
    </xf>
    <xf numFmtId="189" fontId="4" fillId="0" borderId="0" xfId="0" applyNumberFormat="1" applyFont="1" applyFill="1"/>
    <xf numFmtId="43" fontId="0" fillId="0" borderId="0" xfId="1" applyFont="1" applyFill="1"/>
    <xf numFmtId="14" fontId="0" fillId="0" borderId="0" xfId="0" applyNumberFormat="1" applyFill="1"/>
    <xf numFmtId="0" fontId="0" fillId="0" borderId="0" xfId="0" applyFill="1" applyAlignment="1">
      <alignment horizontal="center"/>
    </xf>
    <xf numFmtId="44" fontId="0" fillId="0" borderId="0" xfId="1" applyNumberFormat="1" applyFont="1" applyFill="1"/>
    <xf numFmtId="44" fontId="0" fillId="0" borderId="0" xfId="0" applyNumberFormat="1" applyFill="1"/>
    <xf numFmtId="9" fontId="0" fillId="0" borderId="0" xfId="8" applyFont="1" applyFill="1" applyAlignment="1">
      <alignment horizontal="left"/>
    </xf>
    <xf numFmtId="43" fontId="0" fillId="0" borderId="0" xfId="0" applyNumberFormat="1" applyFill="1"/>
    <xf numFmtId="44" fontId="0" fillId="0" borderId="2" xfId="1" applyNumberFormat="1" applyFont="1" applyFill="1" applyBorder="1"/>
    <xf numFmtId="0" fontId="27" fillId="0" borderId="0" xfId="0" applyFont="1" applyFill="1" applyAlignment="1">
      <alignment horizontal="center"/>
    </xf>
    <xf numFmtId="0" fontId="32" fillId="0" borderId="0" xfId="0" applyFont="1" applyFill="1" applyAlignment="1">
      <alignment horizontal="center"/>
    </xf>
    <xf numFmtId="0" fontId="28" fillId="0" borderId="0" xfId="0" applyFont="1" applyFill="1" applyAlignment="1">
      <alignment horizontal="center"/>
    </xf>
    <xf numFmtId="0" fontId="28" fillId="0" borderId="0" xfId="0" applyFont="1" applyFill="1" applyAlignment="1"/>
    <xf numFmtId="165" fontId="2" fillId="0" borderId="0" xfId="0" applyNumberFormat="1" applyFont="1" applyFill="1"/>
    <xf numFmtId="0" fontId="2" fillId="0" borderId="30" xfId="0" applyFont="1" applyFill="1" applyBorder="1"/>
    <xf numFmtId="0" fontId="27" fillId="0" borderId="42" xfId="0" applyFont="1" applyFill="1" applyBorder="1"/>
    <xf numFmtId="0" fontId="27" fillId="0" borderId="36" xfId="0" applyFont="1" applyFill="1" applyBorder="1"/>
    <xf numFmtId="0" fontId="27" fillId="0" borderId="30" xfId="0" applyFont="1" applyFill="1" applyBorder="1" applyAlignment="1">
      <alignment horizontal="centerContinuous"/>
    </xf>
    <xf numFmtId="0" fontId="27" fillId="0" borderId="36" xfId="0" applyFont="1" applyFill="1" applyBorder="1" applyAlignment="1">
      <alignment horizontal="centerContinuous"/>
    </xf>
    <xf numFmtId="0" fontId="27" fillId="0" borderId="31" xfId="0" applyFont="1" applyFill="1" applyBorder="1" applyAlignment="1">
      <alignment horizontal="centerContinuous"/>
    </xf>
    <xf numFmtId="0" fontId="2" fillId="0" borderId="43" xfId="0" applyFont="1" applyFill="1" applyBorder="1"/>
    <xf numFmtId="0" fontId="27" fillId="0" borderId="44" xfId="0" applyFont="1" applyFill="1" applyBorder="1" applyAlignment="1">
      <alignment horizontal="center"/>
    </xf>
    <xf numFmtId="0" fontId="2" fillId="0" borderId="26" xfId="0" applyFont="1" applyFill="1" applyBorder="1"/>
    <xf numFmtId="0" fontId="27" fillId="0" borderId="45" xfId="0" applyFont="1" applyFill="1" applyBorder="1" applyAlignment="1">
      <alignment horizontal="center"/>
    </xf>
    <xf numFmtId="0" fontId="27" fillId="0" borderId="46" xfId="0" applyFont="1" applyFill="1" applyBorder="1" applyAlignment="1">
      <alignment horizontal="center"/>
    </xf>
    <xf numFmtId="0" fontId="27" fillId="0" borderId="47" xfId="0" applyFont="1" applyFill="1" applyBorder="1" applyAlignment="1">
      <alignment horizontal="center"/>
    </xf>
    <xf numFmtId="0" fontId="2" fillId="0" borderId="6" xfId="0" applyFont="1" applyFill="1" applyBorder="1"/>
    <xf numFmtId="0" fontId="2" fillId="0" borderId="25" xfId="0" applyFont="1" applyFill="1" applyBorder="1"/>
    <xf numFmtId="0" fontId="2" fillId="0" borderId="6" xfId="0" applyFont="1" applyFill="1" applyBorder="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0" fontId="2" fillId="0" borderId="7" xfId="0" applyFont="1" applyFill="1" applyBorder="1"/>
    <xf numFmtId="0" fontId="2" fillId="0" borderId="6" xfId="0" applyFont="1" applyFill="1" applyBorder="1" applyAlignment="1">
      <alignment horizontal="left" vertical="top"/>
    </xf>
    <xf numFmtId="0" fontId="2" fillId="0" borderId="25" xfId="0" applyFont="1" applyFill="1" applyBorder="1" applyAlignment="1">
      <alignment wrapText="1"/>
    </xf>
    <xf numFmtId="164" fontId="2" fillId="0" borderId="6" xfId="0" applyNumberFormat="1" applyFont="1" applyFill="1" applyBorder="1"/>
    <xf numFmtId="164" fontId="2" fillId="0" borderId="7" xfId="0" applyNumberFormat="1" applyFont="1" applyFill="1" applyBorder="1" applyAlignment="1">
      <alignment horizontal="center"/>
    </xf>
    <xf numFmtId="164" fontId="2" fillId="0" borderId="0" xfId="0" applyNumberFormat="1" applyFont="1" applyFill="1" applyBorder="1"/>
    <xf numFmtId="42" fontId="2" fillId="0" borderId="7" xfId="0" applyNumberFormat="1" applyFont="1" applyFill="1" applyBorder="1"/>
    <xf numFmtId="165" fontId="2" fillId="0" borderId="7" xfId="0" applyNumberFormat="1" applyFont="1" applyFill="1" applyBorder="1"/>
    <xf numFmtId="165" fontId="2" fillId="0" borderId="0" xfId="0" applyNumberFormat="1" applyFont="1" applyFill="1" applyBorder="1"/>
    <xf numFmtId="165" fontId="2" fillId="0" borderId="6" xfId="0" applyNumberFormat="1" applyFont="1" applyFill="1" applyBorder="1"/>
    <xf numFmtId="0" fontId="2" fillId="0" borderId="44" xfId="0" applyFont="1" applyFill="1" applyBorder="1"/>
    <xf numFmtId="10" fontId="2" fillId="0" borderId="6" xfId="0" applyNumberFormat="1" applyFont="1" applyFill="1" applyBorder="1"/>
    <xf numFmtId="10" fontId="2" fillId="0" borderId="0" xfId="0" applyNumberFormat="1" applyFont="1" applyFill="1" applyBorder="1"/>
    <xf numFmtId="0" fontId="2" fillId="0" borderId="37" xfId="0" applyFont="1" applyFill="1" applyBorder="1"/>
    <xf numFmtId="0" fontId="2" fillId="0" borderId="34" xfId="0" applyFont="1" applyFill="1" applyBorder="1"/>
    <xf numFmtId="0" fontId="2" fillId="0" borderId="38" xfId="0" applyFont="1" applyFill="1" applyBorder="1"/>
    <xf numFmtId="9" fontId="2" fillId="0" borderId="19" xfId="0" applyNumberFormat="1" applyFont="1" applyFill="1" applyBorder="1"/>
    <xf numFmtId="9" fontId="2" fillId="0" borderId="26" xfId="0" applyNumberFormat="1" applyFont="1" applyFill="1" applyBorder="1"/>
    <xf numFmtId="9" fontId="2" fillId="0" borderId="20" xfId="0" applyNumberFormat="1" applyFont="1" applyFill="1" applyBorder="1" applyAlignment="1">
      <alignment horizontal="right"/>
    </xf>
    <xf numFmtId="9" fontId="2" fillId="0" borderId="7" xfId="0" applyNumberFormat="1" applyFont="1" applyFill="1" applyBorder="1"/>
    <xf numFmtId="176" fontId="2" fillId="0" borderId="6" xfId="0" applyNumberFormat="1" applyFont="1" applyFill="1" applyBorder="1"/>
    <xf numFmtId="176" fontId="2" fillId="0" borderId="0" xfId="0" applyNumberFormat="1" applyFont="1" applyFill="1" applyBorder="1"/>
    <xf numFmtId="176" fontId="2" fillId="0" borderId="7" xfId="0" applyNumberFormat="1" applyFont="1" applyFill="1" applyBorder="1" applyAlignment="1">
      <alignment horizontal="center"/>
    </xf>
    <xf numFmtId="0" fontId="2" fillId="0" borderId="44" xfId="0" applyFont="1" applyFill="1" applyBorder="1" applyAlignment="1">
      <alignment wrapText="1"/>
    </xf>
    <xf numFmtId="165" fontId="2" fillId="0" borderId="26" xfId="0" applyNumberFormat="1" applyFont="1" applyFill="1" applyBorder="1"/>
    <xf numFmtId="0" fontId="27" fillId="0" borderId="48" xfId="0" applyFont="1" applyFill="1" applyBorder="1" applyAlignment="1"/>
    <xf numFmtId="0" fontId="27" fillId="0" borderId="35" xfId="0" applyFont="1" applyFill="1" applyBorder="1"/>
    <xf numFmtId="42" fontId="27" fillId="0" borderId="49" xfId="0" applyNumberFormat="1" applyFont="1" applyFill="1" applyBorder="1"/>
    <xf numFmtId="42" fontId="27" fillId="0" borderId="35" xfId="0" applyNumberFormat="1" applyFont="1" applyFill="1" applyBorder="1"/>
    <xf numFmtId="164" fontId="27" fillId="0" borderId="50" xfId="0" applyNumberFormat="1" applyFont="1" applyFill="1" applyBorder="1"/>
    <xf numFmtId="42" fontId="2" fillId="0" borderId="49" xfId="0" applyNumberFormat="1" applyFont="1" applyFill="1" applyBorder="1"/>
    <xf numFmtId="42" fontId="2" fillId="0" borderId="35" xfId="0" applyNumberFormat="1" applyFont="1" applyFill="1" applyBorder="1"/>
    <xf numFmtId="164" fontId="2" fillId="0" borderId="50" xfId="0" applyNumberFormat="1" applyFont="1" applyFill="1" applyBorder="1"/>
    <xf numFmtId="0" fontId="2" fillId="0" borderId="32" xfId="0" applyFont="1" applyFill="1" applyBorder="1" applyAlignment="1">
      <alignment horizontal="left" vertical="top"/>
    </xf>
    <xf numFmtId="0" fontId="2" fillId="0" borderId="51" xfId="0" applyFont="1" applyFill="1" applyBorder="1" applyAlignment="1">
      <alignment wrapText="1"/>
    </xf>
    <xf numFmtId="0" fontId="2" fillId="0" borderId="41" xfId="0" applyFont="1" applyFill="1" applyBorder="1"/>
    <xf numFmtId="175" fontId="2" fillId="0" borderId="32" xfId="0" applyNumberFormat="1" applyFont="1" applyFill="1" applyBorder="1"/>
    <xf numFmtId="175" fontId="2" fillId="0" borderId="41" xfId="0" applyNumberFormat="1" applyFont="1" applyFill="1" applyBorder="1"/>
    <xf numFmtId="175" fontId="2" fillId="0" borderId="33" xfId="0" applyNumberFormat="1" applyFont="1" applyFill="1" applyBorder="1"/>
    <xf numFmtId="0" fontId="2" fillId="0" borderId="0" xfId="0" applyFont="1" applyFill="1" applyBorder="1" applyAlignment="1">
      <alignment horizontal="left" vertical="top"/>
    </xf>
    <xf numFmtId="0" fontId="2" fillId="0" borderId="0" xfId="0" applyFont="1" applyFill="1" applyBorder="1" applyAlignment="1">
      <alignment wrapText="1"/>
    </xf>
    <xf numFmtId="177" fontId="2" fillId="0" borderId="0" xfId="0" applyNumberFormat="1" applyFont="1" applyFill="1" applyBorder="1"/>
    <xf numFmtId="41" fontId="2" fillId="0" borderId="0" xfId="0" applyNumberFormat="1" applyFont="1" applyFill="1"/>
    <xf numFmtId="0" fontId="2" fillId="0" borderId="0" xfId="0" applyFont="1" applyFill="1" applyAlignment="1">
      <alignment horizontal="left" indent="1"/>
    </xf>
    <xf numFmtId="42" fontId="2" fillId="0" borderId="0" xfId="0" applyNumberFormat="1" applyFont="1" applyFill="1"/>
    <xf numFmtId="42" fontId="2" fillId="0" borderId="2" xfId="0" applyNumberFormat="1" applyFont="1" applyFill="1" applyBorder="1"/>
    <xf numFmtId="0" fontId="2" fillId="0" borderId="0" xfId="0" applyFont="1" applyFill="1" applyAlignment="1">
      <alignment horizontal="left"/>
    </xf>
    <xf numFmtId="42" fontId="27" fillId="0" borderId="2" xfId="0" applyNumberFormat="1" applyFont="1" applyFill="1" applyBorder="1"/>
    <xf numFmtId="1" fontId="5" fillId="0" borderId="0" xfId="0" applyNumberFormat="1" applyFont="1" applyFill="1"/>
    <xf numFmtId="165" fontId="5" fillId="0" borderId="0" xfId="0" applyNumberFormat="1" applyFont="1" applyFill="1"/>
    <xf numFmtId="0" fontId="60" fillId="0" borderId="0" xfId="0" applyFont="1" applyFill="1"/>
    <xf numFmtId="0" fontId="61" fillId="0" borderId="0" xfId="0" applyFont="1" applyFill="1"/>
    <xf numFmtId="0" fontId="6" fillId="0" borderId="0" xfId="0" applyFont="1" applyFill="1"/>
    <xf numFmtId="0" fontId="62" fillId="0" borderId="0" xfId="0" applyNumberFormat="1" applyFont="1" applyFill="1" applyAlignment="1" applyProtection="1">
      <alignment horizontal="centerContinuous"/>
      <protection locked="0"/>
    </xf>
    <xf numFmtId="0" fontId="6" fillId="0" borderId="0" xfId="0" applyFont="1" applyFill="1" applyAlignment="1">
      <alignment horizontal="centerContinuous"/>
    </xf>
    <xf numFmtId="0" fontId="63" fillId="0" borderId="0" xfId="0" applyNumberFormat="1" applyFont="1" applyFill="1" applyAlignment="1" applyProtection="1">
      <alignment horizontal="centerContinuous"/>
      <protection locked="0"/>
    </xf>
    <xf numFmtId="0" fontId="62" fillId="0" borderId="0" xfId="0" applyFont="1" applyFill="1" applyAlignment="1">
      <alignment horizontal="centerContinuous"/>
    </xf>
    <xf numFmtId="0" fontId="6" fillId="0" borderId="0" xfId="0" applyFont="1" applyFill="1" applyAlignment="1">
      <alignment horizontal="center"/>
    </xf>
    <xf numFmtId="0" fontId="63" fillId="0" borderId="15" xfId="0" applyFont="1" applyFill="1" applyBorder="1" applyAlignment="1">
      <alignment horizontal="centerContinuous"/>
    </xf>
    <xf numFmtId="0" fontId="6" fillId="0" borderId="1" xfId="0" applyFont="1" applyFill="1" applyBorder="1" applyAlignment="1">
      <alignment horizontal="centerContinuous"/>
    </xf>
    <xf numFmtId="0" fontId="6" fillId="0" borderId="16" xfId="0" applyFont="1" applyFill="1" applyBorder="1" applyAlignment="1">
      <alignment horizontal="centerContinuous"/>
    </xf>
    <xf numFmtId="0" fontId="6" fillId="0" borderId="27" xfId="0" applyFont="1" applyFill="1" applyBorder="1"/>
    <xf numFmtId="0" fontId="6" fillId="0" borderId="28" xfId="0" applyFont="1" applyFill="1" applyBorder="1"/>
    <xf numFmtId="17" fontId="63" fillId="0" borderId="28" xfId="0" applyNumberFormat="1" applyFont="1" applyFill="1" applyBorder="1" applyAlignment="1">
      <alignment horizontal="center"/>
    </xf>
    <xf numFmtId="0" fontId="63" fillId="0" borderId="4" xfId="0" quotePrefix="1" applyFont="1" applyFill="1" applyBorder="1" applyAlignment="1">
      <alignment horizontal="center"/>
    </xf>
    <xf numFmtId="0" fontId="63" fillId="0" borderId="27" xfId="0" applyFont="1" applyFill="1" applyBorder="1" applyAlignment="1">
      <alignment horizontal="center"/>
    </xf>
    <xf numFmtId="0" fontId="63" fillId="0" borderId="28" xfId="0" applyFont="1" applyFill="1" applyBorder="1" applyAlignment="1">
      <alignment horizontal="center"/>
    </xf>
    <xf numFmtId="0" fontId="63" fillId="0" borderId="0" xfId="0" quotePrefix="1" applyNumberFormat="1" applyFont="1" applyFill="1" applyBorder="1" applyAlignment="1">
      <alignment horizontal="centerContinuous"/>
    </xf>
    <xf numFmtId="0" fontId="63" fillId="0" borderId="22" xfId="0" applyFont="1" applyFill="1" applyBorder="1" applyAlignment="1">
      <alignment horizontal="center"/>
    </xf>
    <xf numFmtId="0" fontId="63" fillId="0" borderId="17" xfId="0" applyFont="1" applyFill="1" applyBorder="1"/>
    <xf numFmtId="0" fontId="63" fillId="0" borderId="17" xfId="0" applyFont="1" applyFill="1" applyBorder="1" applyAlignment="1">
      <alignment horizontal="center"/>
    </xf>
    <xf numFmtId="0" fontId="63" fillId="0" borderId="9" xfId="0" applyFont="1" applyFill="1" applyBorder="1" applyAlignment="1">
      <alignment horizontal="center"/>
    </xf>
    <xf numFmtId="0" fontId="63" fillId="0" borderId="0" xfId="0" applyFont="1" applyFill="1" applyAlignment="1">
      <alignment horizontal="center"/>
    </xf>
    <xf numFmtId="0" fontId="63" fillId="0" borderId="0" xfId="0" applyNumberFormat="1" applyFont="1" applyFill="1" applyAlignment="1"/>
    <xf numFmtId="0" fontId="63" fillId="0" borderId="26" xfId="0" applyFont="1" applyFill="1" applyBorder="1" applyAlignment="1">
      <alignment horizontal="center"/>
    </xf>
    <xf numFmtId="0" fontId="63" fillId="0" borderId="26" xfId="0" applyNumberFormat="1" applyFont="1" applyFill="1" applyBorder="1" applyAlignment="1">
      <alignment horizontal="center"/>
    </xf>
    <xf numFmtId="0" fontId="63" fillId="0" borderId="26" xfId="0" quotePrefix="1" applyNumberFormat="1" applyFont="1" applyFill="1" applyBorder="1" applyAlignment="1">
      <alignment horizontal="center"/>
    </xf>
    <xf numFmtId="0" fontId="63" fillId="0" borderId="24" xfId="0" applyFont="1" applyFill="1" applyBorder="1" applyAlignment="1">
      <alignment horizontal="center"/>
    </xf>
    <xf numFmtId="0" fontId="63" fillId="0" borderId="21" xfId="0" applyFont="1" applyFill="1" applyBorder="1" applyAlignment="1">
      <alignment horizontal="center"/>
    </xf>
    <xf numFmtId="0" fontId="63" fillId="0" borderId="10" xfId="0" applyFont="1" applyFill="1" applyBorder="1" applyAlignment="1">
      <alignment horizontal="center"/>
    </xf>
    <xf numFmtId="0" fontId="63" fillId="0" borderId="0" xfId="0" applyFont="1" applyFill="1" applyBorder="1" applyAlignment="1">
      <alignment horizontal="center"/>
    </xf>
    <xf numFmtId="166" fontId="64" fillId="0" borderId="0" xfId="0" applyNumberFormat="1" applyFont="1" applyFill="1" applyAlignment="1">
      <alignment horizontal="left"/>
    </xf>
    <xf numFmtId="0" fontId="6" fillId="0" borderId="0" xfId="0" applyNumberFormat="1" applyFont="1" applyFill="1" applyAlignment="1">
      <alignment horizontal="center"/>
    </xf>
    <xf numFmtId="172" fontId="6" fillId="0" borderId="0" xfId="0" quotePrefix="1" applyNumberFormat="1" applyFont="1" applyFill="1" applyBorder="1" applyAlignment="1">
      <alignment horizontal="left"/>
    </xf>
    <xf numFmtId="42" fontId="6" fillId="0" borderId="0" xfId="0" applyNumberFormat="1" applyFont="1" applyFill="1" applyBorder="1"/>
    <xf numFmtId="166" fontId="6" fillId="0" borderId="0" xfId="0" applyNumberFormat="1" applyFont="1" applyFill="1" applyAlignment="1">
      <alignment horizontal="left" indent="2"/>
    </xf>
    <xf numFmtId="165" fontId="6" fillId="0" borderId="0" xfId="0" quotePrefix="1" applyNumberFormat="1" applyFont="1" applyFill="1" applyBorder="1" applyAlignment="1">
      <alignment horizontal="left"/>
    </xf>
    <xf numFmtId="166" fontId="6" fillId="0" borderId="0" xfId="0" applyNumberFormat="1" applyFont="1" applyFill="1" applyAlignment="1">
      <alignment horizontal="left"/>
    </xf>
    <xf numFmtId="164" fontId="6" fillId="0" borderId="1" xfId="0" quotePrefix="1" applyNumberFormat="1" applyFont="1" applyFill="1" applyBorder="1" applyAlignment="1">
      <alignment horizontal="left"/>
    </xf>
    <xf numFmtId="37" fontId="65" fillId="0" borderId="0" xfId="0" applyNumberFormat="1" applyFont="1" applyFill="1" applyBorder="1"/>
    <xf numFmtId="164" fontId="53" fillId="0" borderId="0" xfId="0" applyNumberFormat="1" applyFont="1" applyFill="1" applyBorder="1"/>
    <xf numFmtId="166" fontId="6" fillId="0" borderId="0" xfId="0" applyNumberFormat="1" applyFont="1" applyFill="1" applyAlignment="1">
      <alignment horizontal="left" indent="1"/>
    </xf>
    <xf numFmtId="0" fontId="6" fillId="0" borderId="0" xfId="0" applyFont="1" applyFill="1" applyBorder="1" applyAlignment="1">
      <alignment horizontal="left"/>
    </xf>
    <xf numFmtId="0" fontId="6" fillId="0" borderId="0" xfId="0" applyNumberFormat="1" applyFont="1" applyFill="1" applyAlignment="1"/>
    <xf numFmtId="9" fontId="6" fillId="0" borderId="0" xfId="0" quotePrefix="1" applyNumberFormat="1" applyFont="1" applyFill="1" applyBorder="1" applyAlignment="1">
      <alignment horizontal="left"/>
    </xf>
    <xf numFmtId="0" fontId="6" fillId="0" borderId="0" xfId="0" applyNumberFormat="1" applyFont="1" applyFill="1" applyAlignment="1">
      <alignment horizontal="left"/>
    </xf>
    <xf numFmtId="164" fontId="63" fillId="0" borderId="2" xfId="0" quotePrefix="1" applyNumberFormat="1" applyFont="1" applyFill="1" applyBorder="1" applyAlignment="1">
      <alignment horizontal="left"/>
    </xf>
    <xf numFmtId="0" fontId="63" fillId="0" borderId="0" xfId="0" applyFont="1" applyFill="1"/>
    <xf numFmtId="164" fontId="6" fillId="0" borderId="2" xfId="0" quotePrefix="1" applyNumberFormat="1" applyFont="1" applyFill="1" applyBorder="1" applyAlignment="1">
      <alignment horizontal="left"/>
    </xf>
    <xf numFmtId="41" fontId="61" fillId="0" borderId="0" xfId="0" applyNumberFormat="1" applyFont="1" applyFill="1"/>
    <xf numFmtId="0" fontId="60" fillId="0" borderId="0" xfId="12" applyFont="1" applyFill="1"/>
    <xf numFmtId="0" fontId="60" fillId="0" borderId="0" xfId="12" applyFont="1" applyFill="1" applyAlignment="1">
      <alignment horizontal="center"/>
    </xf>
    <xf numFmtId="0" fontId="3" fillId="0" borderId="39" xfId="12" applyFont="1" applyFill="1" applyBorder="1" applyAlignment="1">
      <alignment horizontal="left"/>
    </xf>
    <xf numFmtId="0" fontId="3" fillId="0" borderId="40" xfId="12" applyFont="1" applyFill="1" applyBorder="1" applyAlignment="1">
      <alignment horizontal="center"/>
    </xf>
    <xf numFmtId="0" fontId="3" fillId="0" borderId="40" xfId="12" applyFont="1" applyFill="1" applyBorder="1" applyAlignment="1">
      <alignment horizontal="center"/>
    </xf>
    <xf numFmtId="0" fontId="3" fillId="0" borderId="74" xfId="12" applyFont="1" applyFill="1" applyBorder="1" applyAlignment="1">
      <alignment horizontal="center"/>
    </xf>
    <xf numFmtId="0" fontId="3" fillId="0" borderId="39" xfId="12" applyFont="1" applyFill="1" applyBorder="1" applyAlignment="1">
      <alignment horizontal="center"/>
    </xf>
    <xf numFmtId="0" fontId="3" fillId="0" borderId="14" xfId="12" applyFont="1" applyFill="1" applyBorder="1" applyAlignment="1">
      <alignment horizontal="center"/>
    </xf>
    <xf numFmtId="0" fontId="3" fillId="0" borderId="75" xfId="12" applyFont="1" applyFill="1" applyBorder="1" applyAlignment="1">
      <alignment horizontal="center"/>
    </xf>
    <xf numFmtId="168" fontId="3" fillId="0" borderId="76" xfId="12" applyNumberFormat="1" applyFont="1" applyFill="1" applyBorder="1" applyAlignment="1">
      <alignment horizontal="center"/>
    </xf>
    <xf numFmtId="168" fontId="3" fillId="0" borderId="77" xfId="12" applyNumberFormat="1" applyFont="1" applyFill="1" applyBorder="1" applyAlignment="1">
      <alignment horizontal="center"/>
    </xf>
    <xf numFmtId="168" fontId="3" fillId="0" borderId="78" xfId="12" applyNumberFormat="1" applyFont="1" applyFill="1" applyBorder="1" applyAlignment="1">
      <alignment horizontal="center"/>
    </xf>
    <xf numFmtId="0" fontId="3" fillId="0" borderId="76" xfId="12" applyFont="1" applyFill="1" applyBorder="1" applyAlignment="1">
      <alignment horizontal="center"/>
    </xf>
    <xf numFmtId="0" fontId="3" fillId="0" borderId="79" xfId="12" applyFont="1" applyFill="1" applyBorder="1" applyAlignment="1">
      <alignment horizontal="center"/>
    </xf>
    <xf numFmtId="0" fontId="60" fillId="0" borderId="0" xfId="11" applyFont="1" applyFill="1"/>
    <xf numFmtId="165" fontId="60" fillId="0" borderId="0" xfId="1" applyNumberFormat="1" applyFont="1" applyFill="1"/>
    <xf numFmtId="10" fontId="60" fillId="0" borderId="0" xfId="18" applyNumberFormat="1" applyFont="1" applyFill="1"/>
    <xf numFmtId="0" fontId="1" fillId="0" borderId="0" xfId="19" applyFont="1" applyFill="1" applyAlignment="1">
      <alignment horizontal="left"/>
    </xf>
    <xf numFmtId="0" fontId="1" fillId="0" borderId="26" xfId="19" applyFont="1" applyFill="1" applyBorder="1" applyAlignment="1">
      <alignment horizontal="left"/>
    </xf>
    <xf numFmtId="165" fontId="60" fillId="0" borderId="26" xfId="1" applyNumberFormat="1" applyFont="1" applyFill="1" applyBorder="1"/>
    <xf numFmtId="0" fontId="1" fillId="0" borderId="0" xfId="12" applyFont="1" applyFill="1"/>
    <xf numFmtId="0" fontId="6" fillId="0" borderId="15" xfId="0" applyFont="1" applyFill="1" applyBorder="1"/>
    <xf numFmtId="0" fontId="62" fillId="0" borderId="1" xfId="0" applyFont="1" applyFill="1" applyBorder="1" applyAlignment="1">
      <alignment horizontal="centerContinuous"/>
    </xf>
    <xf numFmtId="0" fontId="62" fillId="0" borderId="16" xfId="0" applyFont="1" applyFill="1" applyBorder="1" applyAlignment="1">
      <alignment horizontal="right"/>
    </xf>
    <xf numFmtId="0" fontId="60" fillId="0" borderId="0" xfId="0" applyFont="1"/>
    <xf numFmtId="0" fontId="62" fillId="0" borderId="15" xfId="0" applyFont="1" applyFill="1" applyBorder="1" applyAlignment="1">
      <alignment horizontal="centerContinuous"/>
    </xf>
    <xf numFmtId="0" fontId="62" fillId="0" borderId="16" xfId="0" applyFont="1" applyFill="1" applyBorder="1" applyAlignment="1">
      <alignment horizontal="centerContinuous"/>
    </xf>
    <xf numFmtId="0" fontId="63" fillId="0" borderId="0" xfId="0" applyFont="1" applyFill="1" applyAlignment="1">
      <alignment horizontal="centerContinuous"/>
    </xf>
    <xf numFmtId="0" fontId="63" fillId="0" borderId="0" xfId="0" applyNumberFormat="1" applyFont="1" applyFill="1" applyAlignment="1">
      <alignment horizontal="center"/>
    </xf>
    <xf numFmtId="0" fontId="6" fillId="0" borderId="26" xfId="0" applyFont="1" applyFill="1" applyBorder="1"/>
    <xf numFmtId="0" fontId="6" fillId="0" borderId="0" xfId="0" applyNumberFormat="1" applyFont="1" applyFill="1" applyBorder="1" applyAlignment="1">
      <alignment horizontal="center"/>
    </xf>
    <xf numFmtId="0" fontId="6" fillId="0" borderId="0" xfId="0" applyFont="1" applyFill="1" applyBorder="1"/>
    <xf numFmtId="166" fontId="6" fillId="0" borderId="0" xfId="0" applyNumberFormat="1" applyFont="1" applyFill="1" applyAlignment="1"/>
    <xf numFmtId="0" fontId="63" fillId="0" borderId="3" xfId="0" applyFont="1" applyFill="1" applyBorder="1" applyAlignment="1">
      <alignment horizontal="left"/>
    </xf>
    <xf numFmtId="0" fontId="6" fillId="0" borderId="34" xfId="0" applyFont="1" applyFill="1" applyBorder="1"/>
    <xf numFmtId="0" fontId="6" fillId="0" borderId="4" xfId="0" applyFont="1" applyFill="1" applyBorder="1"/>
    <xf numFmtId="0" fontId="6" fillId="0" borderId="5" xfId="0" applyNumberFormat="1" applyFont="1" applyFill="1" applyBorder="1" applyAlignment="1"/>
    <xf numFmtId="10" fontId="6" fillId="0" borderId="0" xfId="0" applyNumberFormat="1" applyFont="1" applyFill="1" applyBorder="1"/>
    <xf numFmtId="10" fontId="6" fillId="0" borderId="9" xfId="0" applyNumberFormat="1" applyFont="1" applyFill="1" applyBorder="1"/>
    <xf numFmtId="185" fontId="6" fillId="0" borderId="0" xfId="0" applyNumberFormat="1" applyFont="1" applyFill="1" applyAlignment="1"/>
    <xf numFmtId="166" fontId="6" fillId="0" borderId="26" xfId="0" applyNumberFormat="1" applyFont="1" applyFill="1" applyBorder="1" applyAlignment="1"/>
    <xf numFmtId="166" fontId="6" fillId="0" borderId="0" xfId="0" applyNumberFormat="1" applyFont="1" applyFill="1" applyBorder="1" applyAlignment="1"/>
    <xf numFmtId="9" fontId="6" fillId="0" borderId="34" xfId="0" applyNumberFormat="1" applyFont="1" applyFill="1" applyBorder="1"/>
    <xf numFmtId="10" fontId="63" fillId="0" borderId="4" xfId="0" applyNumberFormat="1" applyFont="1" applyFill="1" applyBorder="1"/>
    <xf numFmtId="0" fontId="6" fillId="0" borderId="9" xfId="0" applyFont="1" applyFill="1" applyBorder="1"/>
    <xf numFmtId="9" fontId="6" fillId="0" borderId="0" xfId="0" applyNumberFormat="1" applyFont="1" applyFill="1" applyAlignment="1"/>
    <xf numFmtId="0" fontId="6" fillId="0" borderId="8" xfId="0" applyNumberFormat="1" applyFont="1" applyFill="1" applyBorder="1" applyAlignment="1"/>
    <xf numFmtId="9" fontId="6" fillId="0" borderId="1" xfId="0" applyNumberFormat="1" applyFont="1" applyFill="1" applyBorder="1"/>
    <xf numFmtId="0" fontId="6" fillId="0" borderId="1" xfId="0" applyFont="1" applyFill="1" applyBorder="1"/>
    <xf numFmtId="10" fontId="6" fillId="0" borderId="16" xfId="0" applyNumberFormat="1" applyFont="1" applyFill="1" applyBorder="1"/>
    <xf numFmtId="166" fontId="6" fillId="0" borderId="2" xfId="0" applyNumberFormat="1" applyFont="1" applyFill="1" applyBorder="1" applyAlignment="1" applyProtection="1">
      <protection locked="0"/>
    </xf>
  </cellXfs>
  <cellStyles count="28">
    <cellStyle name="Comma" xfId="1" builtinId="3"/>
    <cellStyle name="Comma 2" xfId="7"/>
    <cellStyle name="Comma 2 2" xfId="10"/>
    <cellStyle name="Comma 2 2 2" xfId="16"/>
    <cellStyle name="Comma 2 3" xfId="13"/>
    <cellStyle name="Comma 3" xfId="26"/>
    <cellStyle name="Currency" xfId="3" builtinId="4"/>
    <cellStyle name="Good" xfId="4" builtinId="26"/>
    <cellStyle name="Normal" xfId="0" builtinId="0"/>
    <cellStyle name="Normal 13 2" xfId="12"/>
    <cellStyle name="Normal 2" xfId="5"/>
    <cellStyle name="Normal 2 2" xfId="9"/>
    <cellStyle name="Normal 2 3" xfId="11"/>
    <cellStyle name="Normal 2 3 2" xfId="14"/>
    <cellStyle name="Normal 2 4" xfId="19"/>
    <cellStyle name="Normal 3" xfId="2"/>
    <cellStyle name="Normal 3 3" xfId="15"/>
    <cellStyle name="Normal 3 3 2" xfId="17"/>
    <cellStyle name="Normal 4" xfId="25"/>
    <cellStyle name="Normal 5" xfId="27"/>
    <cellStyle name="Normal_Iowa ASL GPAMORT" xfId="6"/>
    <cellStyle name="Percent" xfId="8" builtinId="5"/>
    <cellStyle name="Percent 2 3" xfId="18"/>
    <cellStyle name="SAPDataCell" xfId="22"/>
    <cellStyle name="SAPDataTotalCell" xfId="24"/>
    <cellStyle name="SAPDimensionCell" xfId="20"/>
    <cellStyle name="SAPMemberCell" xfId="21"/>
    <cellStyle name="SAPMemberTotalCell" xfId="23"/>
  </cellStyles>
  <dxfs count="6">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00FF"/>
      <color rgb="FFE2F2F6"/>
      <color rgb="FFCCFF33"/>
      <color rgb="FF0000FF"/>
      <color rgb="FF00FF00"/>
      <color rgb="FF00FFCC"/>
      <color rgb="FF0066FF"/>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pRevnu/PUBLIC/%23%202022%20GRC/Settlement%20-%20PSE/220066-67-PSE-WP-REVREQ-COS-22GRC-Settlement-09-2022(C)/NEW-PSE-WP-SEF-4E-ELECTRIC-REV-REQ-MODEL-22GRC-0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23%202022%20GRC/Compliance%20Filing%20for%20New%20Rates/220066-67-PSE-WP-REVREC-COS-22GRC-Compliance%20Revised-1-9-2023%20(C)/NEW-PSE-WP-SEF-4E-ELECTRIC-REV-REQ-MODEL-22GRC-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Rollforward Other Schedules"/>
      <sheetName val="Def, COC, ConvF"/>
      <sheetName val="Subject to Refund"/>
      <sheetName val="Summary"/>
      <sheetName val="Detailed Summary"/>
      <sheetName val="Common Adj"/>
      <sheetName val="Electric Adj"/>
      <sheetName val="Settlement O&amp;M Changes"/>
      <sheetName val="Rev Exp change"/>
      <sheetName val="DEC13"/>
      <sheetName val="BDJ Exh Summary"/>
      <sheetName val="SEF-13 p 1 Elect wp"/>
      <sheetName val="SEF-13 p 2 Elect wp"/>
      <sheetName val="Adj List"/>
      <sheetName val="Final Rate Years"/>
      <sheetName val="SEF-21 Original E"/>
      <sheetName val="Named Ranges E"/>
      <sheetName val="Proofs=&gt;"/>
      <sheetName val="TBPI, ETR, Rev"/>
      <sheetName val="557 &amp; 555"/>
      <sheetName val="Prod O&amp;M"/>
      <sheetName val="Schedule 141A 2023"/>
      <sheetName val="Schedule 141A 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B2" t="str">
            <v>PUGET SOUND ENERGY - ELECTRIC</v>
          </cell>
        </row>
        <row r="3">
          <cell r="B3" t="str">
            <v>12 MONTHS ENDED JUNE 30, 2021</v>
          </cell>
        </row>
        <row r="7">
          <cell r="B7" t="str">
            <v>2022 GENERAL RATE CASE</v>
          </cell>
        </row>
        <row r="10">
          <cell r="B10">
            <v>0.21</v>
          </cell>
        </row>
      </sheetData>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Rollforward Other Schedules"/>
      <sheetName val="Def, COC, ConvF"/>
      <sheetName val="Compare"/>
      <sheetName val="Subject to Refund"/>
      <sheetName val="Summary"/>
      <sheetName val="W CCA"/>
      <sheetName val="Diff"/>
      <sheetName val="Detailed Summary"/>
      <sheetName val="Common Adj"/>
      <sheetName val="Electric Adj"/>
      <sheetName val="Settlement O&amp;M Changes"/>
      <sheetName val="Rev Exp change"/>
      <sheetName val="DEC13"/>
      <sheetName val="BDJ Exh Summary"/>
      <sheetName val="SEF-13 p 1 Elect wp"/>
      <sheetName val="SEF-13 p 2 Elect wp"/>
      <sheetName val="Adj List"/>
      <sheetName val="Final Rate Years"/>
      <sheetName val="SEF-21 Original E"/>
      <sheetName val="Named Ranges E"/>
      <sheetName val="Proofs=&gt;"/>
      <sheetName val="TBPI, ETR, Rev"/>
      <sheetName val="557 &amp; 555"/>
      <sheetName val="Prod O&amp;M"/>
      <sheetName val="Schedule 141A 2023"/>
      <sheetName val="Schedule 141A 2024"/>
      <sheetName val="GRC24-Variable Cost_TY (2)"/>
      <sheetName val="Detailed Summary TEMP"/>
    </sheetNames>
    <sheetDataSet>
      <sheetData sheetId="0"/>
      <sheetData sheetId="1"/>
      <sheetData sheetId="2">
        <row r="13">
          <cell r="H13">
            <v>0.51039999999999996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B2" t="str">
            <v>PUGET SOUND ENERGY - ELECTRIC</v>
          </cell>
        </row>
        <row r="10">
          <cell r="B10">
            <v>0.21</v>
          </cell>
        </row>
      </sheetData>
      <sheetData sheetId="21"/>
      <sheetData sheetId="22"/>
      <sheetData sheetId="23"/>
      <sheetData sheetId="24"/>
      <sheetData sheetId="25"/>
      <sheetData sheetId="26"/>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1"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15"/>
  <sheetViews>
    <sheetView workbookViewId="0">
      <selection activeCell="A25" sqref="A25"/>
    </sheetView>
  </sheetViews>
  <sheetFormatPr defaultColWidth="9.140625" defaultRowHeight="20.25" x14ac:dyDescent="0.3"/>
  <cols>
    <col min="1" max="1" width="97.28515625" style="29" bestFit="1" customWidth="1"/>
    <col min="2" max="16384" width="9.140625" style="30"/>
  </cols>
  <sheetData>
    <row r="1" spans="1:1" x14ac:dyDescent="0.3">
      <c r="A1" s="29" t="s">
        <v>122</v>
      </c>
    </row>
    <row r="2" spans="1:1" x14ac:dyDescent="0.3">
      <c r="A2" s="31"/>
    </row>
    <row r="3" spans="1:1" x14ac:dyDescent="0.3">
      <c r="A3" s="31"/>
    </row>
    <row r="4" spans="1:1" x14ac:dyDescent="0.3">
      <c r="A4" s="31" t="s">
        <v>469</v>
      </c>
    </row>
    <row r="5" spans="1:1" x14ac:dyDescent="0.3">
      <c r="A5" s="32" t="s">
        <v>472</v>
      </c>
    </row>
    <row r="6" spans="1:1" x14ac:dyDescent="0.3">
      <c r="A6" s="51" t="s">
        <v>476</v>
      </c>
    </row>
    <row r="8" spans="1:1" x14ac:dyDescent="0.3">
      <c r="A8" s="31" t="s">
        <v>123</v>
      </c>
    </row>
    <row r="9" spans="1:1" x14ac:dyDescent="0.3">
      <c r="A9" s="29" t="s">
        <v>124</v>
      </c>
    </row>
    <row r="11" spans="1:1" x14ac:dyDescent="0.3">
      <c r="A11" s="31" t="s">
        <v>471</v>
      </c>
    </row>
    <row r="12" spans="1:1" x14ac:dyDescent="0.3">
      <c r="A12" s="31"/>
    </row>
    <row r="13" spans="1:1" x14ac:dyDescent="0.3">
      <c r="A13" s="31"/>
    </row>
    <row r="14" spans="1:1" x14ac:dyDescent="0.3">
      <c r="A14" s="31"/>
    </row>
    <row r="15" spans="1:1" x14ac:dyDescent="0.3">
      <c r="A15" s="31"/>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44" sqref="D44"/>
    </sheetView>
  </sheetViews>
  <sheetFormatPr defaultColWidth="9.140625" defaultRowHeight="12.75" x14ac:dyDescent="0.2"/>
  <cols>
    <col min="1" max="16384" width="9.140625" style="36"/>
  </cols>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59"/>
  <sheetViews>
    <sheetView tabSelected="1" zoomScale="80" zoomScaleNormal="80" workbookViewId="0">
      <pane ySplit="9" topLeftCell="A10" activePane="bottomLeft" state="frozen"/>
      <selection activeCell="O12" sqref="O12"/>
      <selection pane="bottomLeft" activeCell="E60" sqref="E60"/>
    </sheetView>
  </sheetViews>
  <sheetFormatPr defaultColWidth="9.140625" defaultRowHeight="11.25" x14ac:dyDescent="0.2"/>
  <cols>
    <col min="1" max="1" width="1.5703125" style="34" customWidth="1"/>
    <col min="2" max="2" width="3.5703125" style="34" customWidth="1"/>
    <col min="3" max="3" width="61" style="34" bestFit="1" customWidth="1"/>
    <col min="4" max="4" width="2.28515625" style="34" customWidth="1"/>
    <col min="5" max="5" width="13.85546875" style="34" bestFit="1" customWidth="1"/>
    <col min="6" max="7" width="12.85546875" style="34" bestFit="1" customWidth="1"/>
    <col min="8" max="8" width="4.7109375" style="34" customWidth="1"/>
    <col min="9" max="9" width="3.5703125" style="34" customWidth="1"/>
    <col min="10" max="10" width="61" style="34" bestFit="1" customWidth="1"/>
    <col min="11" max="11" width="2.28515625" style="34" customWidth="1"/>
    <col min="12" max="12" width="12.140625" style="34" customWidth="1"/>
    <col min="13" max="14" width="13.42578125" style="34" bestFit="1" customWidth="1"/>
    <col min="15" max="15" width="4.7109375" style="34" customWidth="1"/>
    <col min="16" max="16" width="3.5703125" style="34" customWidth="1"/>
    <col min="17" max="17" width="61" style="34" bestFit="1" customWidth="1"/>
    <col min="18" max="18" width="2.28515625" style="34" customWidth="1"/>
    <col min="19" max="19" width="10.7109375" style="34" bestFit="1" customWidth="1"/>
    <col min="20" max="21" width="12.85546875" style="34" bestFit="1" customWidth="1"/>
    <col min="22" max="22" width="3.140625" style="34" customWidth="1"/>
    <col min="23" max="16384" width="9.140625" style="34"/>
  </cols>
  <sheetData>
    <row r="2" spans="2:21" x14ac:dyDescent="0.2">
      <c r="B2" s="496" t="s">
        <v>17</v>
      </c>
      <c r="C2" s="496"/>
      <c r="D2" s="496"/>
      <c r="E2" s="496"/>
      <c r="F2" s="496"/>
      <c r="G2" s="496"/>
      <c r="I2" s="496" t="s">
        <v>17</v>
      </c>
      <c r="J2" s="496"/>
      <c r="K2" s="496"/>
      <c r="L2" s="496"/>
      <c r="M2" s="496"/>
      <c r="N2" s="496"/>
      <c r="P2" s="496" t="s">
        <v>17</v>
      </c>
      <c r="Q2" s="496"/>
      <c r="R2" s="496"/>
      <c r="S2" s="496"/>
      <c r="T2" s="496"/>
      <c r="U2" s="496"/>
    </row>
    <row r="3" spans="2:21" x14ac:dyDescent="0.2">
      <c r="B3" s="496" t="s">
        <v>136</v>
      </c>
      <c r="C3" s="496"/>
      <c r="D3" s="496"/>
      <c r="E3" s="496"/>
      <c r="F3" s="496"/>
      <c r="G3" s="496"/>
      <c r="I3" s="496" t="s">
        <v>136</v>
      </c>
      <c r="J3" s="496"/>
      <c r="K3" s="496"/>
      <c r="L3" s="496"/>
      <c r="M3" s="496"/>
      <c r="N3" s="496"/>
      <c r="P3" s="496" t="s">
        <v>136</v>
      </c>
      <c r="Q3" s="496"/>
      <c r="R3" s="496"/>
      <c r="S3" s="496"/>
      <c r="T3" s="496"/>
      <c r="U3" s="496"/>
    </row>
    <row r="4" spans="2:21" x14ac:dyDescent="0.2">
      <c r="B4" s="496" t="str">
        <f>'Lead Sheet'!A6</f>
        <v>Effective March 1, 2024 to February 28, 2025</v>
      </c>
      <c r="C4" s="496"/>
      <c r="D4" s="496"/>
      <c r="E4" s="496"/>
      <c r="F4" s="496"/>
      <c r="G4" s="496"/>
      <c r="I4" s="496" t="s">
        <v>470</v>
      </c>
      <c r="J4" s="496"/>
      <c r="K4" s="496"/>
      <c r="L4" s="496"/>
      <c r="M4" s="496"/>
      <c r="N4" s="496"/>
      <c r="P4" s="496" t="s">
        <v>470</v>
      </c>
      <c r="Q4" s="496"/>
      <c r="R4" s="496"/>
      <c r="S4" s="496"/>
      <c r="T4" s="496"/>
      <c r="U4" s="496"/>
    </row>
    <row r="5" spans="2:21" x14ac:dyDescent="0.2">
      <c r="B5" s="497"/>
      <c r="C5" s="497"/>
      <c r="D5" s="497"/>
      <c r="E5" s="497"/>
      <c r="F5" s="497"/>
      <c r="G5" s="497"/>
      <c r="I5" s="497"/>
      <c r="J5" s="497"/>
      <c r="K5" s="497"/>
      <c r="L5" s="497"/>
      <c r="M5" s="497"/>
      <c r="N5" s="497"/>
      <c r="P5" s="497"/>
      <c r="Q5" s="497"/>
      <c r="R5" s="497"/>
      <c r="S5" s="497"/>
      <c r="T5" s="497"/>
      <c r="U5" s="497"/>
    </row>
    <row r="6" spans="2:21" x14ac:dyDescent="0.2">
      <c r="B6" s="498" t="s">
        <v>149</v>
      </c>
      <c r="C6" s="498"/>
      <c r="D6" s="498"/>
      <c r="E6" s="498"/>
      <c r="F6" s="498"/>
      <c r="G6" s="498"/>
      <c r="I6" s="498" t="s">
        <v>149</v>
      </c>
      <c r="J6" s="498"/>
      <c r="K6" s="498"/>
      <c r="L6" s="498"/>
      <c r="M6" s="498"/>
      <c r="N6" s="498"/>
      <c r="P6" s="498" t="s">
        <v>149</v>
      </c>
      <c r="Q6" s="498"/>
      <c r="R6" s="498"/>
      <c r="S6" s="498"/>
      <c r="T6" s="498"/>
      <c r="U6" s="498"/>
    </row>
    <row r="7" spans="2:21" ht="12" customHeight="1" thickBot="1" x14ac:dyDescent="0.25">
      <c r="C7" s="499"/>
      <c r="D7" s="35"/>
      <c r="E7" s="500"/>
      <c r="F7" s="500"/>
      <c r="I7" s="424" t="s">
        <v>561</v>
      </c>
      <c r="J7" s="499"/>
      <c r="K7" s="35"/>
      <c r="L7" s="500"/>
      <c r="M7" s="500"/>
      <c r="P7" s="424" t="s">
        <v>562</v>
      </c>
      <c r="Q7" s="499"/>
      <c r="R7" s="35"/>
      <c r="S7" s="500"/>
      <c r="T7" s="500"/>
    </row>
    <row r="8" spans="2:21" ht="12" thickBot="1" x14ac:dyDescent="0.25">
      <c r="B8" s="501"/>
      <c r="C8" s="502"/>
      <c r="D8" s="503"/>
      <c r="E8" s="504"/>
      <c r="F8" s="505"/>
      <c r="G8" s="506"/>
      <c r="I8" s="501"/>
      <c r="J8" s="502"/>
      <c r="K8" s="503"/>
      <c r="L8" s="504"/>
      <c r="M8" s="505"/>
      <c r="N8" s="506"/>
      <c r="P8" s="501"/>
      <c r="Q8" s="502"/>
      <c r="R8" s="503"/>
      <c r="S8" s="504"/>
      <c r="T8" s="505"/>
      <c r="U8" s="506"/>
    </row>
    <row r="9" spans="2:21" x14ac:dyDescent="0.2">
      <c r="B9" s="507"/>
      <c r="C9" s="508" t="s">
        <v>2</v>
      </c>
      <c r="D9" s="509"/>
      <c r="E9" s="510" t="s">
        <v>137</v>
      </c>
      <c r="F9" s="511" t="s">
        <v>138</v>
      </c>
      <c r="G9" s="512" t="s">
        <v>127</v>
      </c>
      <c r="I9" s="507"/>
      <c r="J9" s="508" t="s">
        <v>2</v>
      </c>
      <c r="K9" s="509"/>
      <c r="L9" s="510" t="s">
        <v>137</v>
      </c>
      <c r="M9" s="511" t="s">
        <v>138</v>
      </c>
      <c r="N9" s="512" t="s">
        <v>127</v>
      </c>
      <c r="P9" s="507"/>
      <c r="Q9" s="508" t="s">
        <v>2</v>
      </c>
      <c r="R9" s="509"/>
      <c r="S9" s="510" t="s">
        <v>137</v>
      </c>
      <c r="T9" s="511" t="s">
        <v>138</v>
      </c>
      <c r="U9" s="512" t="s">
        <v>127</v>
      </c>
    </row>
    <row r="10" spans="2:21" x14ac:dyDescent="0.2">
      <c r="B10" s="513"/>
      <c r="C10" s="514"/>
      <c r="D10" s="33"/>
      <c r="E10" s="515"/>
      <c r="F10" s="516"/>
      <c r="G10" s="517"/>
      <c r="I10" s="513"/>
      <c r="J10" s="514"/>
      <c r="K10" s="33"/>
      <c r="L10" s="515"/>
      <c r="M10" s="516"/>
      <c r="N10" s="517"/>
      <c r="P10" s="513"/>
      <c r="Q10" s="514"/>
      <c r="R10" s="33"/>
      <c r="S10" s="515"/>
      <c r="T10" s="516"/>
      <c r="U10" s="517"/>
    </row>
    <row r="11" spans="2:21" x14ac:dyDescent="0.2">
      <c r="B11" s="513"/>
      <c r="C11" s="514"/>
      <c r="D11" s="33"/>
      <c r="E11" s="513"/>
      <c r="F11" s="33"/>
      <c r="G11" s="518"/>
      <c r="I11" s="513"/>
      <c r="J11" s="514"/>
      <c r="K11" s="33"/>
      <c r="L11" s="513"/>
      <c r="M11" s="33"/>
      <c r="N11" s="518"/>
      <c r="P11" s="513"/>
      <c r="Q11" s="514"/>
      <c r="R11" s="33"/>
      <c r="S11" s="513"/>
      <c r="T11" s="33"/>
      <c r="U11" s="518"/>
    </row>
    <row r="12" spans="2:21" x14ac:dyDescent="0.2">
      <c r="B12" s="519">
        <v>1</v>
      </c>
      <c r="C12" s="520"/>
      <c r="D12" s="33"/>
      <c r="E12" s="521"/>
      <c r="F12" s="33"/>
      <c r="G12" s="522"/>
      <c r="I12" s="519">
        <v>1</v>
      </c>
      <c r="J12" s="520"/>
      <c r="K12" s="33"/>
      <c r="L12" s="521"/>
      <c r="M12" s="33"/>
      <c r="N12" s="522"/>
      <c r="P12" s="519">
        <v>1</v>
      </c>
      <c r="Q12" s="520"/>
      <c r="R12" s="33"/>
      <c r="S12" s="521"/>
      <c r="T12" s="33"/>
      <c r="U12" s="522"/>
    </row>
    <row r="13" spans="2:21" x14ac:dyDescent="0.2">
      <c r="B13" s="519">
        <v>2</v>
      </c>
      <c r="C13" s="520" t="s">
        <v>473</v>
      </c>
      <c r="D13" s="33"/>
      <c r="E13" s="521">
        <f>'TEP Leadsheet'!K21</f>
        <v>3405536.7239701999</v>
      </c>
      <c r="F13" s="523"/>
      <c r="G13" s="524">
        <f>E27</f>
        <v>243836.42943626631</v>
      </c>
      <c r="I13" s="519">
        <v>2</v>
      </c>
      <c r="J13" s="520" t="s">
        <v>563</v>
      </c>
      <c r="K13" s="33"/>
      <c r="L13" s="521">
        <f>'TEP Leadsheet'!K53</f>
        <v>166032.07388756803</v>
      </c>
      <c r="M13" s="523"/>
      <c r="N13" s="525">
        <f>SUM(L13:M13)</f>
        <v>166032.07388756803</v>
      </c>
      <c r="P13" s="519">
        <v>2</v>
      </c>
      <c r="Q13" s="520" t="s">
        <v>566</v>
      </c>
      <c r="R13" s="33"/>
      <c r="S13" s="521">
        <v>1470697.8404128507</v>
      </c>
      <c r="T13" s="523"/>
      <c r="U13" s="525">
        <v>1470697.8404128507</v>
      </c>
    </row>
    <row r="14" spans="2:21" x14ac:dyDescent="0.2">
      <c r="B14" s="519">
        <v>3</v>
      </c>
      <c r="C14" s="520"/>
      <c r="D14" s="33"/>
      <c r="E14" s="521"/>
      <c r="F14" s="523"/>
      <c r="G14" s="522"/>
      <c r="I14" s="519">
        <v>3</v>
      </c>
      <c r="J14" s="520"/>
      <c r="K14" s="33"/>
      <c r="L14" s="521"/>
      <c r="M14" s="523"/>
      <c r="N14" s="522"/>
      <c r="P14" s="519">
        <v>3</v>
      </c>
      <c r="Q14" s="520"/>
      <c r="R14" s="33"/>
      <c r="S14" s="521"/>
      <c r="T14" s="523"/>
      <c r="U14" s="522"/>
    </row>
    <row r="15" spans="2:21" x14ac:dyDescent="0.2">
      <c r="B15" s="519">
        <v>4</v>
      </c>
      <c r="C15" s="520" t="s">
        <v>142</v>
      </c>
      <c r="D15" s="33"/>
      <c r="E15" s="521"/>
      <c r="F15" s="523">
        <f>'TEP Leadsheet'!K26*79%</f>
        <v>288954.43685585883</v>
      </c>
      <c r="G15" s="525">
        <f>SUM(E15:F15)</f>
        <v>288954.43685585883</v>
      </c>
      <c r="I15" s="519">
        <v>4</v>
      </c>
      <c r="J15" s="520" t="s">
        <v>142</v>
      </c>
      <c r="K15" s="33"/>
      <c r="L15" s="521"/>
      <c r="M15" s="526">
        <f>'TEP Leadsheet'!K56*79%</f>
        <v>44660.472931781107</v>
      </c>
      <c r="N15" s="525">
        <f>SUM(L15:M15)</f>
        <v>44660.472931781107</v>
      </c>
      <c r="P15" s="519">
        <v>4</v>
      </c>
      <c r="Q15" s="520" t="s">
        <v>142</v>
      </c>
      <c r="R15" s="33"/>
      <c r="S15" s="521"/>
      <c r="T15" s="523">
        <v>125744.11673863082</v>
      </c>
      <c r="U15" s="525">
        <v>125744.11673863082</v>
      </c>
    </row>
    <row r="16" spans="2:21" x14ac:dyDescent="0.2">
      <c r="B16" s="519">
        <v>5</v>
      </c>
      <c r="C16" s="520"/>
      <c r="D16" s="33"/>
      <c r="E16" s="521"/>
      <c r="F16" s="523"/>
      <c r="G16" s="525"/>
      <c r="I16" s="519">
        <v>5</v>
      </c>
      <c r="J16" s="520"/>
      <c r="K16" s="33"/>
      <c r="L16" s="521"/>
      <c r="M16" s="526"/>
      <c r="N16" s="525"/>
      <c r="P16" s="519">
        <v>5</v>
      </c>
      <c r="Q16" s="520"/>
      <c r="R16" s="33"/>
      <c r="S16" s="521"/>
      <c r="T16" s="523"/>
      <c r="U16" s="522"/>
    </row>
    <row r="17" spans="2:21" x14ac:dyDescent="0.2">
      <c r="B17" s="519">
        <v>6</v>
      </c>
      <c r="C17" s="514" t="s">
        <v>164</v>
      </c>
      <c r="D17" s="33"/>
      <c r="E17" s="521"/>
      <c r="F17" s="523">
        <f>-E13*'Approved ROR-CF'!E14*21%</f>
        <v>-18236.649156860418</v>
      </c>
      <c r="G17" s="525">
        <f>SUM(E17:F17)</f>
        <v>-18236.649156860418</v>
      </c>
      <c r="I17" s="519">
        <v>6</v>
      </c>
      <c r="J17" s="514" t="s">
        <v>164</v>
      </c>
      <c r="K17" s="33"/>
      <c r="L17" s="521"/>
      <c r="M17" s="526">
        <f>-L13*'Approved ROR-CF'!E14*21%</f>
        <v>-889.10175566792668</v>
      </c>
      <c r="N17" s="525">
        <f>SUM(L17:M17)</f>
        <v>-889.10175566792668</v>
      </c>
      <c r="P17" s="519">
        <v>6</v>
      </c>
      <c r="Q17" s="514" t="s">
        <v>164</v>
      </c>
      <c r="R17" s="33"/>
      <c r="S17" s="521"/>
      <c r="T17" s="523">
        <v>-7875.5869354108154</v>
      </c>
      <c r="U17" s="525">
        <v>-7875.5869354108154</v>
      </c>
    </row>
    <row r="18" spans="2:21" x14ac:dyDescent="0.2">
      <c r="B18" s="519">
        <v>7</v>
      </c>
      <c r="C18" s="514"/>
      <c r="D18" s="33"/>
      <c r="E18" s="521"/>
      <c r="F18" s="523"/>
      <c r="G18" s="525"/>
      <c r="I18" s="519">
        <v>7</v>
      </c>
      <c r="J18" s="514"/>
      <c r="K18" s="33"/>
      <c r="L18" s="521"/>
      <c r="M18" s="526"/>
      <c r="N18" s="525"/>
      <c r="P18" s="519">
        <v>7</v>
      </c>
      <c r="Q18" s="514"/>
      <c r="R18" s="33"/>
      <c r="S18" s="521"/>
      <c r="T18" s="523"/>
      <c r="U18" s="522"/>
    </row>
    <row r="19" spans="2:21" x14ac:dyDescent="0.2">
      <c r="B19" s="519">
        <v>8</v>
      </c>
      <c r="C19" s="514" t="s">
        <v>140</v>
      </c>
      <c r="D19" s="33"/>
      <c r="E19" s="521"/>
      <c r="F19" s="523">
        <f>('TEP Opex and Revenues'!B20)*79%</f>
        <v>7432286.0300000003</v>
      </c>
      <c r="G19" s="525">
        <f>SUM(E19:F19)</f>
        <v>7432286.0300000003</v>
      </c>
      <c r="I19" s="519">
        <v>8</v>
      </c>
      <c r="J19" s="514" t="s">
        <v>140</v>
      </c>
      <c r="K19" s="33"/>
      <c r="L19" s="521"/>
      <c r="M19" s="526">
        <f>('TEP Opex and Revenues'!G20)*79%</f>
        <v>2202912.7405999997</v>
      </c>
      <c r="N19" s="525">
        <f>SUM(L19:M19)</f>
        <v>2202912.7405999997</v>
      </c>
      <c r="P19" s="519">
        <v>8</v>
      </c>
      <c r="Q19" s="514" t="s">
        <v>140</v>
      </c>
      <c r="R19" s="33"/>
      <c r="S19" s="521"/>
      <c r="T19" s="523">
        <v>4299545.2091000006</v>
      </c>
      <c r="U19" s="525">
        <v>4299545.2091000006</v>
      </c>
    </row>
    <row r="20" spans="2:21" x14ac:dyDescent="0.2">
      <c r="B20" s="519">
        <v>9</v>
      </c>
      <c r="C20" s="514"/>
      <c r="D20" s="33"/>
      <c r="E20" s="521"/>
      <c r="F20" s="523"/>
      <c r="G20" s="525"/>
      <c r="I20" s="519">
        <v>9</v>
      </c>
      <c r="J20" s="514"/>
      <c r="K20" s="33"/>
      <c r="L20" s="521"/>
      <c r="M20" s="526"/>
      <c r="N20" s="525"/>
      <c r="P20" s="519">
        <v>9</v>
      </c>
      <c r="Q20" s="514"/>
      <c r="R20" s="33"/>
      <c r="S20" s="521"/>
      <c r="T20" s="523"/>
      <c r="U20" s="522"/>
    </row>
    <row r="21" spans="2:21" x14ac:dyDescent="0.2">
      <c r="B21" s="519">
        <v>10</v>
      </c>
      <c r="C21" s="514" t="s">
        <v>141</v>
      </c>
      <c r="D21" s="33"/>
      <c r="E21" s="521"/>
      <c r="F21" s="523">
        <f>IRR!C17*79%</f>
        <v>19966.694436471622</v>
      </c>
      <c r="G21" s="525">
        <f>SUM(E21:F21)</f>
        <v>19966.694436471622</v>
      </c>
      <c r="I21" s="519">
        <v>10</v>
      </c>
      <c r="J21" s="514" t="s">
        <v>141</v>
      </c>
      <c r="K21" s="33"/>
      <c r="L21" s="521"/>
      <c r="M21" s="526">
        <f>IRR!K17*79%</f>
        <v>535.26993427798061</v>
      </c>
      <c r="N21" s="525">
        <f>SUM(L21:M21)</f>
        <v>535.26993427798061</v>
      </c>
      <c r="P21" s="519">
        <v>10</v>
      </c>
      <c r="Q21" s="514" t="s">
        <v>141</v>
      </c>
      <c r="R21" s="33"/>
      <c r="S21" s="521"/>
      <c r="T21" s="523">
        <v>5426.29483609409</v>
      </c>
      <c r="U21" s="525">
        <v>5426.29483609409</v>
      </c>
    </row>
    <row r="22" spans="2:21" x14ac:dyDescent="0.2">
      <c r="B22" s="519">
        <v>11</v>
      </c>
      <c r="C22" s="514"/>
      <c r="D22" s="33"/>
      <c r="E22" s="521"/>
      <c r="F22" s="523"/>
      <c r="G22" s="525"/>
      <c r="I22" s="519">
        <v>11</v>
      </c>
      <c r="J22" s="514"/>
      <c r="K22" s="33"/>
      <c r="L22" s="521"/>
      <c r="M22" s="526"/>
      <c r="N22" s="525"/>
      <c r="P22" s="519">
        <v>11</v>
      </c>
      <c r="Q22" s="514"/>
      <c r="R22" s="33"/>
      <c r="S22" s="521"/>
      <c r="T22" s="523"/>
      <c r="U22" s="522"/>
    </row>
    <row r="23" spans="2:21" x14ac:dyDescent="0.2">
      <c r="B23" s="519">
        <v>12</v>
      </c>
      <c r="C23" s="514" t="s">
        <v>613</v>
      </c>
      <c r="D23" s="33"/>
      <c r="E23" s="521"/>
      <c r="F23" s="523">
        <f>('TEP Opex and Revenues'!B26)*79%</f>
        <v>-11376</v>
      </c>
      <c r="G23" s="525">
        <f>SUM(E23:F23)</f>
        <v>-11376</v>
      </c>
      <c r="I23" s="519">
        <v>12</v>
      </c>
      <c r="J23" s="514" t="s">
        <v>613</v>
      </c>
      <c r="K23" s="33"/>
      <c r="L23" s="521"/>
      <c r="M23" s="526">
        <f>('TEP Opex and Revenues'!G26)*79%</f>
        <v>-3061.5659999999998</v>
      </c>
      <c r="N23" s="525">
        <f>SUM(L23:M23)</f>
        <v>-3061.5659999999998</v>
      </c>
      <c r="P23" s="519">
        <v>12</v>
      </c>
      <c r="Q23" s="514" t="s">
        <v>613</v>
      </c>
      <c r="R23" s="33"/>
      <c r="S23" s="521"/>
      <c r="T23" s="523"/>
      <c r="U23" s="522"/>
    </row>
    <row r="24" spans="2:21" x14ac:dyDescent="0.2">
      <c r="B24" s="519">
        <v>13</v>
      </c>
      <c r="C24" s="520"/>
      <c r="D24" s="33"/>
      <c r="E24" s="527"/>
      <c r="F24" s="523"/>
      <c r="G24" s="522"/>
      <c r="I24" s="519">
        <v>13</v>
      </c>
      <c r="J24" s="520"/>
      <c r="K24" s="33"/>
      <c r="L24" s="527"/>
      <c r="M24" s="523"/>
      <c r="N24" s="522"/>
      <c r="P24" s="519">
        <v>13</v>
      </c>
      <c r="Q24" s="520"/>
      <c r="R24" s="33"/>
      <c r="S24" s="527"/>
      <c r="T24" s="523"/>
      <c r="U24" s="522"/>
    </row>
    <row r="25" spans="2:21" x14ac:dyDescent="0.2">
      <c r="B25" s="519">
        <v>14</v>
      </c>
      <c r="C25" s="528" t="s">
        <v>474</v>
      </c>
      <c r="D25" s="509" t="s">
        <v>129</v>
      </c>
      <c r="E25" s="529">
        <f>'Approved ROR-CF'!E16</f>
        <v>7.1599999999999997E-2</v>
      </c>
      <c r="F25" s="530"/>
      <c r="G25" s="522"/>
      <c r="I25" s="519">
        <v>14</v>
      </c>
      <c r="J25" s="528" t="s">
        <v>474</v>
      </c>
      <c r="K25" s="509" t="s">
        <v>129</v>
      </c>
      <c r="L25" s="529">
        <f>'Approved ROR-CF'!E16</f>
        <v>7.1599999999999997E-2</v>
      </c>
      <c r="M25" s="530"/>
      <c r="N25" s="522"/>
      <c r="P25" s="519">
        <v>14</v>
      </c>
      <c r="Q25" s="528" t="s">
        <v>474</v>
      </c>
      <c r="R25" s="509" t="s">
        <v>129</v>
      </c>
      <c r="S25" s="529">
        <v>7.1599999999999997E-2</v>
      </c>
      <c r="T25" s="530"/>
      <c r="U25" s="522"/>
    </row>
    <row r="26" spans="2:21" x14ac:dyDescent="0.2">
      <c r="B26" s="519">
        <v>15</v>
      </c>
      <c r="C26" s="514"/>
      <c r="D26" s="33"/>
      <c r="E26" s="531"/>
      <c r="F26" s="532"/>
      <c r="G26" s="533"/>
      <c r="I26" s="519">
        <v>15</v>
      </c>
      <c r="J26" s="514"/>
      <c r="K26" s="33"/>
      <c r="L26" s="531"/>
      <c r="M26" s="532"/>
      <c r="N26" s="533"/>
      <c r="P26" s="519">
        <v>15</v>
      </c>
      <c r="Q26" s="514"/>
      <c r="R26" s="33"/>
      <c r="S26" s="531"/>
      <c r="T26" s="532"/>
      <c r="U26" s="533"/>
    </row>
    <row r="27" spans="2:21" x14ac:dyDescent="0.2">
      <c r="B27" s="519">
        <v>16</v>
      </c>
      <c r="C27" s="514" t="s">
        <v>139</v>
      </c>
      <c r="D27" s="33"/>
      <c r="E27" s="527">
        <f>E13*E25</f>
        <v>243836.42943626631</v>
      </c>
      <c r="F27" s="526">
        <f>SUM(F13:F23)</f>
        <v>7711594.5121354703</v>
      </c>
      <c r="G27" s="525">
        <f>SUM(E27:F27)</f>
        <v>7955430.9415717367</v>
      </c>
      <c r="I27" s="519">
        <v>16</v>
      </c>
      <c r="J27" s="514" t="s">
        <v>139</v>
      </c>
      <c r="K27" s="33"/>
      <c r="L27" s="527">
        <f>L13*L25</f>
        <v>11887.896490349871</v>
      </c>
      <c r="M27" s="526">
        <f>SUM(M13:M23)</f>
        <v>2244157.8157103909</v>
      </c>
      <c r="N27" s="525">
        <f>SUM(L27:M27)</f>
        <v>2256045.7122007408</v>
      </c>
      <c r="P27" s="519">
        <v>16</v>
      </c>
      <c r="Q27" s="514" t="s">
        <v>139</v>
      </c>
      <c r="R27" s="33"/>
      <c r="S27" s="527">
        <v>105301.9653735601</v>
      </c>
      <c r="T27" s="526">
        <v>4422840.0337393144</v>
      </c>
      <c r="U27" s="525">
        <v>4528141.9991128743</v>
      </c>
    </row>
    <row r="28" spans="2:21" x14ac:dyDescent="0.2">
      <c r="B28" s="519">
        <v>17</v>
      </c>
      <c r="C28" s="514"/>
      <c r="D28" s="33"/>
      <c r="E28" s="527"/>
      <c r="F28" s="526"/>
      <c r="G28" s="525"/>
      <c r="I28" s="519">
        <v>17</v>
      </c>
      <c r="J28" s="514"/>
      <c r="K28" s="33"/>
      <c r="L28" s="527"/>
      <c r="M28" s="526"/>
      <c r="N28" s="525"/>
      <c r="P28" s="519">
        <v>17</v>
      </c>
      <c r="Q28" s="514"/>
      <c r="R28" s="33"/>
      <c r="S28" s="527"/>
      <c r="T28" s="526"/>
      <c r="U28" s="525"/>
    </row>
    <row r="29" spans="2:21" x14ac:dyDescent="0.2">
      <c r="B29" s="519">
        <v>18</v>
      </c>
      <c r="C29" s="528" t="s">
        <v>130</v>
      </c>
      <c r="D29" s="509" t="s">
        <v>128</v>
      </c>
      <c r="E29" s="534">
        <v>0.79</v>
      </c>
      <c r="F29" s="535">
        <v>0.79</v>
      </c>
      <c r="G29" s="536">
        <v>0.79</v>
      </c>
      <c r="I29" s="519">
        <v>18</v>
      </c>
      <c r="J29" s="528" t="s">
        <v>130</v>
      </c>
      <c r="K29" s="509" t="s">
        <v>128</v>
      </c>
      <c r="L29" s="534">
        <v>0.79</v>
      </c>
      <c r="M29" s="535">
        <v>0.79</v>
      </c>
      <c r="N29" s="536">
        <v>0.79</v>
      </c>
      <c r="P29" s="519">
        <v>18</v>
      </c>
      <c r="Q29" s="528" t="s">
        <v>130</v>
      </c>
      <c r="R29" s="509" t="s">
        <v>128</v>
      </c>
      <c r="S29" s="534">
        <v>0.79</v>
      </c>
      <c r="T29" s="535">
        <v>0.79</v>
      </c>
      <c r="U29" s="536">
        <v>0.79</v>
      </c>
    </row>
    <row r="30" spans="2:21" x14ac:dyDescent="0.2">
      <c r="B30" s="519">
        <v>19</v>
      </c>
      <c r="C30" s="514"/>
      <c r="D30" s="33"/>
      <c r="E30" s="513"/>
      <c r="F30" s="33"/>
      <c r="G30" s="537"/>
      <c r="I30" s="519">
        <v>19</v>
      </c>
      <c r="J30" s="514"/>
      <c r="K30" s="33"/>
      <c r="L30" s="513"/>
      <c r="M30" s="33"/>
      <c r="N30" s="537"/>
      <c r="P30" s="519">
        <v>19</v>
      </c>
      <c r="Q30" s="514"/>
      <c r="R30" s="33"/>
      <c r="S30" s="513"/>
      <c r="T30" s="33"/>
      <c r="U30" s="537"/>
    </row>
    <row r="31" spans="2:21" x14ac:dyDescent="0.2">
      <c r="B31" s="519">
        <v>20</v>
      </c>
      <c r="C31" s="520" t="s">
        <v>131</v>
      </c>
      <c r="D31" s="33"/>
      <c r="E31" s="527">
        <f>E27/E29</f>
        <v>308653.70814717253</v>
      </c>
      <c r="F31" s="526">
        <f>F27/F29</f>
        <v>9761512.0406778101</v>
      </c>
      <c r="G31" s="525">
        <f>SUM(E31:F31)</f>
        <v>10070165.748824982</v>
      </c>
      <c r="I31" s="519">
        <v>20</v>
      </c>
      <c r="J31" s="520" t="s">
        <v>131</v>
      </c>
      <c r="K31" s="33"/>
      <c r="L31" s="527">
        <f>L27/L29</f>
        <v>15047.970240949204</v>
      </c>
      <c r="M31" s="526">
        <f>M27/M29</f>
        <v>2840706.0958359377</v>
      </c>
      <c r="N31" s="525">
        <f>SUM(L31:M31)</f>
        <v>2855754.0660768868</v>
      </c>
      <c r="P31" s="519">
        <v>20</v>
      </c>
      <c r="Q31" s="520" t="s">
        <v>131</v>
      </c>
      <c r="R31" s="33"/>
      <c r="S31" s="527">
        <v>133293.62705513937</v>
      </c>
      <c r="T31" s="526">
        <v>5598531.6882776134</v>
      </c>
      <c r="U31" s="525">
        <v>5731825.3153327527</v>
      </c>
    </row>
    <row r="32" spans="2:21" x14ac:dyDescent="0.2">
      <c r="B32" s="519">
        <v>21</v>
      </c>
      <c r="C32" s="514"/>
      <c r="D32" s="33"/>
      <c r="E32" s="513"/>
      <c r="F32" s="33"/>
      <c r="G32" s="518"/>
      <c r="I32" s="519">
        <v>21</v>
      </c>
      <c r="J32" s="514"/>
      <c r="K32" s="33"/>
      <c r="L32" s="513"/>
      <c r="M32" s="33"/>
      <c r="N32" s="518"/>
      <c r="P32" s="519">
        <v>21</v>
      </c>
      <c r="Q32" s="514"/>
      <c r="R32" s="33"/>
      <c r="S32" s="513"/>
      <c r="T32" s="33"/>
      <c r="U32" s="518"/>
    </row>
    <row r="33" spans="1:22" x14ac:dyDescent="0.2">
      <c r="B33" s="519">
        <v>22</v>
      </c>
      <c r="C33" s="528" t="s">
        <v>475</v>
      </c>
      <c r="D33" s="509" t="s">
        <v>128</v>
      </c>
      <c r="E33" s="538">
        <f>'Approved ROR-CF'!M18</f>
        <v>0.95234799999999997</v>
      </c>
      <c r="F33" s="539">
        <f>E33</f>
        <v>0.95234799999999997</v>
      </c>
      <c r="G33" s="540">
        <f>E33</f>
        <v>0.95234799999999997</v>
      </c>
      <c r="I33" s="519">
        <v>22</v>
      </c>
      <c r="J33" s="528" t="s">
        <v>475</v>
      </c>
      <c r="K33" s="509" t="s">
        <v>128</v>
      </c>
      <c r="L33" s="538">
        <f>'Approved ROR-CF'!M18</f>
        <v>0.95234799999999997</v>
      </c>
      <c r="M33" s="539">
        <f>L33</f>
        <v>0.95234799999999997</v>
      </c>
      <c r="N33" s="540">
        <f>L33</f>
        <v>0.95234799999999997</v>
      </c>
      <c r="P33" s="519">
        <v>22</v>
      </c>
      <c r="Q33" s="528" t="s">
        <v>475</v>
      </c>
      <c r="R33" s="509" t="s">
        <v>128</v>
      </c>
      <c r="S33" s="538">
        <v>0.95234799999999997</v>
      </c>
      <c r="T33" s="539">
        <v>0.95234799999999997</v>
      </c>
      <c r="U33" s="540">
        <v>0.95234799999999997</v>
      </c>
    </row>
    <row r="34" spans="1:22" x14ac:dyDescent="0.2">
      <c r="B34" s="519">
        <v>23</v>
      </c>
      <c r="C34" s="514"/>
      <c r="D34" s="33"/>
      <c r="E34" s="531"/>
      <c r="F34" s="532"/>
      <c r="G34" s="533"/>
      <c r="I34" s="519">
        <v>23</v>
      </c>
      <c r="J34" s="514"/>
      <c r="K34" s="33"/>
      <c r="L34" s="531"/>
      <c r="M34" s="532"/>
      <c r="N34" s="533"/>
      <c r="P34" s="519">
        <v>23</v>
      </c>
      <c r="Q34" s="514"/>
      <c r="R34" s="33"/>
      <c r="S34" s="531"/>
      <c r="T34" s="532"/>
      <c r="U34" s="533"/>
    </row>
    <row r="35" spans="1:22" x14ac:dyDescent="0.2">
      <c r="B35" s="519">
        <v>24</v>
      </c>
      <c r="C35" s="520" t="s">
        <v>132</v>
      </c>
      <c r="D35" s="33"/>
      <c r="E35" s="527">
        <f>E31/E33</f>
        <v>324097.60733174486</v>
      </c>
      <c r="F35" s="526">
        <f>F31/F33</f>
        <v>10249942.290714961</v>
      </c>
      <c r="G35" s="525">
        <f>SUM(E35:F35)</f>
        <v>10574039.898046706</v>
      </c>
      <c r="I35" s="519">
        <v>24</v>
      </c>
      <c r="J35" s="520" t="s">
        <v>132</v>
      </c>
      <c r="K35" s="33"/>
      <c r="L35" s="527">
        <f>L31/L33</f>
        <v>15800.915464671742</v>
      </c>
      <c r="M35" s="526">
        <f>M31/M33</f>
        <v>2982844.6070511388</v>
      </c>
      <c r="N35" s="525">
        <f>SUM(L35:M35)</f>
        <v>2998645.5225158106</v>
      </c>
      <c r="P35" s="519">
        <v>24</v>
      </c>
      <c r="Q35" s="520" t="s">
        <v>132</v>
      </c>
      <c r="R35" s="33"/>
      <c r="S35" s="527">
        <v>139963.15113292553</v>
      </c>
      <c r="T35" s="526">
        <v>5878661.6743854275</v>
      </c>
      <c r="U35" s="525">
        <v>6018624.8255183529</v>
      </c>
    </row>
    <row r="36" spans="1:22" x14ac:dyDescent="0.2">
      <c r="B36" s="519">
        <v>25</v>
      </c>
      <c r="C36" s="520"/>
      <c r="D36" s="33"/>
      <c r="E36" s="513"/>
      <c r="F36" s="33"/>
      <c r="G36" s="518"/>
      <c r="I36" s="519">
        <v>25</v>
      </c>
      <c r="J36" s="520"/>
      <c r="K36" s="33"/>
      <c r="L36" s="513"/>
      <c r="M36" s="33"/>
      <c r="N36" s="518"/>
      <c r="P36" s="519">
        <v>25</v>
      </c>
      <c r="Q36" s="520"/>
      <c r="R36" s="33"/>
      <c r="S36" s="513"/>
      <c r="T36" s="33"/>
      <c r="U36" s="518"/>
    </row>
    <row r="37" spans="1:22" x14ac:dyDescent="0.2">
      <c r="B37" s="519">
        <v>26</v>
      </c>
      <c r="C37" s="541" t="s">
        <v>148</v>
      </c>
      <c r="D37" s="509"/>
      <c r="E37" s="527">
        <f>L53</f>
        <v>-114876.07963468537</v>
      </c>
      <c r="F37" s="542">
        <f>M53</f>
        <v>-3067898.5712874122</v>
      </c>
      <c r="G37" s="525">
        <f>SUM(E37:F37)</f>
        <v>-3182774.6509220977</v>
      </c>
      <c r="I37" s="519">
        <v>26</v>
      </c>
      <c r="J37" s="541" t="s">
        <v>148</v>
      </c>
      <c r="K37" s="509"/>
      <c r="L37" s="527">
        <v>0</v>
      </c>
      <c r="M37" s="542">
        <v>0</v>
      </c>
      <c r="N37" s="525">
        <f>SUM(L37:M37)</f>
        <v>0</v>
      </c>
      <c r="P37" s="519">
        <v>26</v>
      </c>
      <c r="Q37" s="541" t="s">
        <v>148</v>
      </c>
      <c r="R37" s="509"/>
      <c r="S37" s="527">
        <v>0</v>
      </c>
      <c r="T37" s="542">
        <v>0</v>
      </c>
      <c r="U37" s="525">
        <v>0</v>
      </c>
    </row>
    <row r="38" spans="1:22" x14ac:dyDescent="0.2">
      <c r="B38" s="519">
        <v>27</v>
      </c>
      <c r="C38" s="514"/>
      <c r="D38" s="33"/>
      <c r="E38" s="531"/>
      <c r="F38" s="532"/>
      <c r="G38" s="533"/>
      <c r="I38" s="519">
        <v>27</v>
      </c>
      <c r="J38" s="514"/>
      <c r="K38" s="33"/>
      <c r="L38" s="531"/>
      <c r="M38" s="532"/>
      <c r="N38" s="533"/>
      <c r="P38" s="519">
        <v>27</v>
      </c>
      <c r="Q38" s="514"/>
      <c r="R38" s="33"/>
      <c r="S38" s="531"/>
      <c r="T38" s="532"/>
      <c r="U38" s="533"/>
    </row>
    <row r="39" spans="1:22" ht="16.149999999999999" customHeight="1" thickBot="1" x14ac:dyDescent="0.25">
      <c r="B39" s="519">
        <v>28</v>
      </c>
      <c r="C39" s="543" t="s">
        <v>564</v>
      </c>
      <c r="D39" s="544"/>
      <c r="E39" s="545">
        <f>SUM(E35:E38)</f>
        <v>209221.5276970595</v>
      </c>
      <c r="F39" s="546">
        <f>SUM(F35:F38)</f>
        <v>7182043.7194275483</v>
      </c>
      <c r="G39" s="547">
        <f>SUM(E39:F39)</f>
        <v>7391265.2471246077</v>
      </c>
      <c r="I39" s="519">
        <v>28</v>
      </c>
      <c r="J39" s="543" t="s">
        <v>569</v>
      </c>
      <c r="K39" s="544"/>
      <c r="L39" s="548">
        <f>SUM(L35:L38)</f>
        <v>15800.915464671742</v>
      </c>
      <c r="M39" s="549">
        <f>SUM(M35:M38)</f>
        <v>2982844.6070511388</v>
      </c>
      <c r="N39" s="550">
        <f>SUM(L39:M39)</f>
        <v>2998645.5225158106</v>
      </c>
      <c r="P39" s="519">
        <v>28</v>
      </c>
      <c r="Q39" s="543" t="s">
        <v>565</v>
      </c>
      <c r="R39" s="544"/>
      <c r="S39" s="545">
        <v>139963.15113292553</v>
      </c>
      <c r="T39" s="546">
        <v>5878661.6743854275</v>
      </c>
      <c r="U39" s="547">
        <v>6018624.8255183529</v>
      </c>
    </row>
    <row r="40" spans="1:22" ht="12" thickTop="1" x14ac:dyDescent="0.2">
      <c r="B40" s="519">
        <v>29</v>
      </c>
      <c r="C40" s="520"/>
      <c r="D40" s="33"/>
      <c r="E40" s="527"/>
      <c r="F40" s="526"/>
      <c r="G40" s="525"/>
      <c r="I40" s="519">
        <v>29</v>
      </c>
      <c r="J40" s="520"/>
      <c r="K40" s="33"/>
      <c r="L40" s="527"/>
      <c r="M40" s="526"/>
      <c r="N40" s="525"/>
      <c r="P40" s="519">
        <v>29</v>
      </c>
      <c r="Q40" s="520"/>
      <c r="R40" s="33"/>
      <c r="S40" s="527"/>
      <c r="T40" s="526"/>
      <c r="U40" s="525"/>
    </row>
    <row r="41" spans="1:22" ht="12" thickBot="1" x14ac:dyDescent="0.25">
      <c r="B41" s="551"/>
      <c r="C41" s="552"/>
      <c r="D41" s="553"/>
      <c r="E41" s="554"/>
      <c r="F41" s="555"/>
      <c r="G41" s="556"/>
      <c r="I41" s="551"/>
      <c r="J41" s="552"/>
      <c r="K41" s="553"/>
      <c r="L41" s="554"/>
      <c r="M41" s="555"/>
      <c r="N41" s="556"/>
      <c r="P41" s="551"/>
      <c r="Q41" s="552"/>
      <c r="R41" s="553"/>
      <c r="S41" s="554"/>
      <c r="T41" s="555"/>
      <c r="U41" s="556"/>
    </row>
    <row r="42" spans="1:22" s="33" customFormat="1" x14ac:dyDescent="0.2">
      <c r="A42" s="34"/>
      <c r="B42" s="557"/>
      <c r="C42" s="558"/>
      <c r="E42" s="559"/>
      <c r="F42" s="559"/>
      <c r="G42" s="559"/>
      <c r="H42" s="34"/>
      <c r="I42" s="557"/>
      <c r="J42" s="558"/>
      <c r="L42" s="559"/>
      <c r="M42" s="559"/>
      <c r="N42" s="559"/>
      <c r="O42" s="34"/>
      <c r="P42" s="557"/>
      <c r="Q42" s="558"/>
      <c r="S42" s="559"/>
      <c r="T42" s="559"/>
      <c r="U42" s="559"/>
      <c r="V42" s="34"/>
    </row>
    <row r="43" spans="1:22" ht="12.75" x14ac:dyDescent="0.2">
      <c r="E43" s="560"/>
      <c r="F43" s="560"/>
      <c r="G43" s="560"/>
      <c r="J43" s="424" t="s">
        <v>568</v>
      </c>
      <c r="L43" s="560"/>
      <c r="M43" s="560"/>
      <c r="N43" s="560"/>
      <c r="S43" s="560"/>
      <c r="T43" s="560"/>
      <c r="U43" s="560"/>
    </row>
    <row r="44" spans="1:22" x14ac:dyDescent="0.2">
      <c r="E44" s="560"/>
      <c r="J44" s="34" t="s">
        <v>133</v>
      </c>
    </row>
    <row r="45" spans="1:22" x14ac:dyDescent="0.2">
      <c r="C45" s="34" t="s">
        <v>816</v>
      </c>
      <c r="E45" s="560"/>
      <c r="J45" s="561" t="s">
        <v>134</v>
      </c>
      <c r="L45" s="562"/>
      <c r="Q45" s="561"/>
      <c r="S45" s="562"/>
    </row>
    <row r="46" spans="1:22" x14ac:dyDescent="0.2">
      <c r="C46" s="34" t="s">
        <v>134</v>
      </c>
      <c r="E46" s="560"/>
      <c r="J46" s="561" t="s">
        <v>571</v>
      </c>
      <c r="L46" s="562"/>
      <c r="M46" s="526">
        <f>'F22 Load used in UE-230040'!AY296</f>
        <v>-162795.34791955451</v>
      </c>
      <c r="Q46" s="561"/>
      <c r="S46" s="562"/>
    </row>
    <row r="47" spans="1:22" x14ac:dyDescent="0.2">
      <c r="E47" s="560"/>
      <c r="J47" s="561" t="s">
        <v>147</v>
      </c>
      <c r="L47" s="526">
        <f>L35-S35</f>
        <v>-124162.23566825379</v>
      </c>
      <c r="Q47" s="561"/>
      <c r="S47" s="526"/>
    </row>
    <row r="48" spans="1:22" x14ac:dyDescent="0.2">
      <c r="C48" s="34" t="s">
        <v>817</v>
      </c>
      <c r="E48" s="560"/>
      <c r="G48" s="562">
        <f>(G13-S27+G17-U17+G21-U21)/G29/$G$33</f>
        <v>189689.46390572438</v>
      </c>
      <c r="J48" s="561" t="s">
        <v>145</v>
      </c>
      <c r="L48" s="500">
        <f>(M17-T17)/$F$29/$F$33</f>
        <v>9286.1560335684244</v>
      </c>
      <c r="Q48" s="561"/>
      <c r="S48" s="500"/>
    </row>
    <row r="49" spans="3:21" x14ac:dyDescent="0.2">
      <c r="C49" s="34" t="s">
        <v>821</v>
      </c>
      <c r="E49" s="560"/>
      <c r="G49" s="500">
        <f>(G23-U23)/G29/G33</f>
        <v>-15120.523170101686</v>
      </c>
      <c r="J49" s="561" t="s">
        <v>146</v>
      </c>
      <c r="L49" s="500"/>
      <c r="M49" s="526">
        <f>(M19-T19)/$F$29/$F$33</f>
        <v>-2786759.8293900979</v>
      </c>
      <c r="Q49" s="561"/>
      <c r="S49" s="500"/>
    </row>
    <row r="50" spans="3:21" x14ac:dyDescent="0.2">
      <c r="C50" s="34" t="s">
        <v>818</v>
      </c>
      <c r="E50" s="560"/>
      <c r="G50" s="500">
        <f>(G19-U19)/G29/$G$33</f>
        <v>4163913.5169076845</v>
      </c>
      <c r="J50" s="561" t="s">
        <v>614</v>
      </c>
      <c r="L50" s="500"/>
      <c r="M50" s="526">
        <f>(M23-T23)/$F$29/$F$33</f>
        <v>-4069.3107981536159</v>
      </c>
      <c r="Q50" s="561"/>
      <c r="S50" s="500"/>
    </row>
    <row r="51" spans="3:21" x14ac:dyDescent="0.2">
      <c r="C51" s="34" t="s">
        <v>819</v>
      </c>
      <c r="E51" s="560"/>
      <c r="G51" s="500">
        <f>(G15-U15)/G29/G33</f>
        <v>216932.61488504393</v>
      </c>
      <c r="J51" s="561" t="s">
        <v>143</v>
      </c>
      <c r="L51" s="500"/>
      <c r="M51" s="500">
        <f>(M15-T15)/$F$29/$F$33</f>
        <v>-107773.12894670738</v>
      </c>
      <c r="Q51" s="561"/>
    </row>
    <row r="52" spans="3:21" x14ac:dyDescent="0.2">
      <c r="C52" s="34" t="s">
        <v>820</v>
      </c>
      <c r="E52" s="560"/>
      <c r="G52" s="500">
        <f>G37</f>
        <v>-3182774.6509220977</v>
      </c>
      <c r="J52" s="561" t="s">
        <v>144</v>
      </c>
      <c r="L52" s="500"/>
      <c r="M52" s="500">
        <f>(M21-T21)/$F$29/$F$33</f>
        <v>-6500.954232898629</v>
      </c>
      <c r="Q52" s="561"/>
    </row>
    <row r="53" spans="3:21" ht="12" thickBot="1" x14ac:dyDescent="0.25">
      <c r="C53" s="34" t="s">
        <v>135</v>
      </c>
      <c r="E53" s="560"/>
      <c r="G53" s="563">
        <f>SUM(G48:G52)</f>
        <v>1372640.4216062534</v>
      </c>
      <c r="J53" s="564" t="s">
        <v>25</v>
      </c>
      <c r="L53" s="565">
        <f>SUM(L46:L52)</f>
        <v>-114876.07963468537</v>
      </c>
      <c r="M53" s="565">
        <f>SUM(M46:M52)</f>
        <v>-3067898.5712874122</v>
      </c>
      <c r="N53" s="565">
        <f>SUM(L53:M53)</f>
        <v>-3182774.6509220977</v>
      </c>
      <c r="Q53" s="564"/>
    </row>
    <row r="54" spans="3:21" ht="12" thickTop="1" x14ac:dyDescent="0.2">
      <c r="E54" s="560"/>
      <c r="G54" s="566">
        <f>G39-U39-G53</f>
        <v>0</v>
      </c>
      <c r="L54" s="567"/>
      <c r="N54" s="566">
        <f>N39+M46-U39-N53</f>
        <v>0</v>
      </c>
    </row>
    <row r="56" spans="3:21" x14ac:dyDescent="0.2">
      <c r="J56" s="35"/>
      <c r="N56" s="270"/>
      <c r="Q56" s="35"/>
      <c r="U56" s="270"/>
    </row>
    <row r="57" spans="3:21" x14ac:dyDescent="0.2">
      <c r="J57" s="35"/>
      <c r="N57" s="271"/>
      <c r="Q57" s="35"/>
      <c r="U57" s="271"/>
    </row>
    <row r="58" spans="3:21" x14ac:dyDescent="0.2">
      <c r="N58" s="272"/>
    </row>
    <row r="59" spans="3:21" x14ac:dyDescent="0.2">
      <c r="N59" s="270"/>
    </row>
  </sheetData>
  <mergeCells count="15">
    <mergeCell ref="B2:G2"/>
    <mergeCell ref="B3:G3"/>
    <mergeCell ref="B4:G4"/>
    <mergeCell ref="B5:G5"/>
    <mergeCell ref="B6:G6"/>
    <mergeCell ref="P2:U2"/>
    <mergeCell ref="P3:U3"/>
    <mergeCell ref="P4:U4"/>
    <mergeCell ref="P5:U5"/>
    <mergeCell ref="P6:U6"/>
    <mergeCell ref="I2:N2"/>
    <mergeCell ref="I3:N3"/>
    <mergeCell ref="I4:N4"/>
    <mergeCell ref="I5:N5"/>
    <mergeCell ref="I6:N6"/>
  </mergeCells>
  <conditionalFormatting sqref="E7">
    <cfRule type="cellIs" dxfId="5" priority="12" operator="notEqual">
      <formula>0</formula>
    </cfRule>
  </conditionalFormatting>
  <conditionalFormatting sqref="F7">
    <cfRule type="cellIs" dxfId="4" priority="11" operator="notEqual">
      <formula>0</formula>
    </cfRule>
  </conditionalFormatting>
  <conditionalFormatting sqref="S7">
    <cfRule type="cellIs" dxfId="3" priority="4" operator="notEqual">
      <formula>0</formula>
    </cfRule>
  </conditionalFormatting>
  <conditionalFormatting sqref="T7">
    <cfRule type="cellIs" dxfId="2" priority="3" operator="notEqual">
      <formula>0</formula>
    </cfRule>
  </conditionalFormatting>
  <conditionalFormatting sqref="L7">
    <cfRule type="cellIs" dxfId="1" priority="2" operator="notEqual">
      <formula>0</formula>
    </cfRule>
  </conditionalFormatting>
  <conditionalFormatting sqref="M7">
    <cfRule type="cellIs" dxfId="0" priority="1" operator="notEqual">
      <formula>0</formula>
    </cfRule>
  </conditionalFormatting>
  <printOptions horizontalCentered="1"/>
  <pageMargins left="0.35" right="0.35" top="0.39" bottom="0" header="0.3" footer="0.05"/>
  <pageSetup orientation="landscape" r:id="rId1"/>
  <headerFooter>
    <oddFooter>&amp;L&amp;F
&amp;A&amp;RPage &amp;P</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2" sqref="O12"/>
    </sheetView>
  </sheetViews>
  <sheetFormatPr defaultColWidth="9.140625" defaultRowHeight="12.75" x14ac:dyDescent="0.2"/>
  <cols>
    <col min="1" max="16384" width="9.140625" style="36"/>
  </cols>
  <sheetData/>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workbookViewId="0">
      <pane ySplit="15" topLeftCell="A79" activePane="bottomLeft" state="frozen"/>
      <selection pane="bottomLeft" activeCell="E89" sqref="E89"/>
    </sheetView>
  </sheetViews>
  <sheetFormatPr defaultColWidth="9.140625" defaultRowHeight="12.75" x14ac:dyDescent="0.2"/>
  <cols>
    <col min="1" max="1" width="9.140625" style="569"/>
    <col min="2" max="2" width="37.42578125" style="569" bestFit="1" customWidth="1"/>
    <col min="3" max="3" width="9.5703125" style="569" bestFit="1" customWidth="1"/>
    <col min="4" max="4" width="15" style="569" bestFit="1" customWidth="1"/>
    <col min="5" max="5" width="14.28515625" style="569" bestFit="1" customWidth="1"/>
    <col min="6" max="6" width="12.7109375" style="569" bestFit="1" customWidth="1"/>
    <col min="7" max="7" width="14.28515625" style="569" bestFit="1" customWidth="1"/>
    <col min="8" max="8" width="12.7109375" style="569" bestFit="1" customWidth="1"/>
    <col min="9" max="9" width="14.28515625" style="569" bestFit="1" customWidth="1"/>
    <col min="10" max="10" width="12.28515625" style="569" bestFit="1" customWidth="1"/>
    <col min="11" max="11" width="14.28515625" style="569" bestFit="1" customWidth="1"/>
    <col min="12" max="12" width="12.28515625" style="569" bestFit="1" customWidth="1"/>
    <col min="13" max="16384" width="9.140625" style="569"/>
  </cols>
  <sheetData>
    <row r="1" spans="1:12" ht="15" x14ac:dyDescent="0.25">
      <c r="A1" s="568"/>
      <c r="B1" s="568"/>
      <c r="C1" s="568"/>
      <c r="D1" s="568"/>
      <c r="E1" s="568"/>
      <c r="F1" s="568"/>
      <c r="G1" s="568"/>
      <c r="H1" s="568"/>
      <c r="I1" s="568"/>
      <c r="J1" s="568"/>
      <c r="K1" s="568"/>
      <c r="L1" s="568"/>
    </row>
    <row r="2" spans="1:12" ht="15" x14ac:dyDescent="0.25">
      <c r="A2" s="568"/>
      <c r="B2" s="568"/>
      <c r="C2" s="568"/>
      <c r="D2" s="568"/>
      <c r="E2" s="568"/>
      <c r="F2" s="568"/>
      <c r="G2" s="568"/>
      <c r="H2" s="568"/>
      <c r="I2" s="568"/>
      <c r="J2" s="568"/>
      <c r="K2" s="568"/>
      <c r="L2" s="568"/>
    </row>
    <row r="3" spans="1:12" ht="15" x14ac:dyDescent="0.25">
      <c r="A3" s="568"/>
      <c r="B3" s="568"/>
      <c r="C3" s="568"/>
      <c r="D3" s="568"/>
      <c r="E3" s="568"/>
      <c r="F3" s="568"/>
      <c r="G3" s="568"/>
      <c r="H3" s="568"/>
      <c r="I3" s="568"/>
      <c r="J3" s="568"/>
      <c r="K3" s="568"/>
      <c r="L3" s="568"/>
    </row>
    <row r="4" spans="1:12" ht="15" x14ac:dyDescent="0.25">
      <c r="A4" s="568"/>
      <c r="B4" s="568"/>
      <c r="C4" s="568"/>
      <c r="D4" s="568"/>
      <c r="E4" s="568"/>
      <c r="F4" s="568"/>
      <c r="G4" s="568"/>
      <c r="H4" s="568"/>
      <c r="I4" s="568"/>
      <c r="J4" s="568"/>
      <c r="K4" s="568"/>
      <c r="L4" s="568"/>
    </row>
    <row r="5" spans="1:12" x14ac:dyDescent="0.2">
      <c r="A5" s="570"/>
      <c r="B5" s="570"/>
      <c r="C5" s="570"/>
      <c r="D5" s="570"/>
      <c r="E5" s="570"/>
      <c r="F5" s="570"/>
      <c r="G5" s="570"/>
      <c r="H5" s="570"/>
      <c r="I5" s="570"/>
      <c r="J5" s="570"/>
      <c r="K5" s="570"/>
      <c r="L5" s="570"/>
    </row>
    <row r="6" spans="1:12" ht="14.25" x14ac:dyDescent="0.2">
      <c r="A6" s="571" t="s">
        <v>66</v>
      </c>
      <c r="B6" s="572"/>
      <c r="C6" s="572"/>
      <c r="D6" s="572"/>
      <c r="E6" s="572"/>
      <c r="F6" s="572"/>
      <c r="G6" s="572"/>
      <c r="H6" s="572"/>
      <c r="I6" s="572"/>
      <c r="J6" s="572"/>
      <c r="K6" s="572"/>
      <c r="L6" s="572"/>
    </row>
    <row r="7" spans="1:12" x14ac:dyDescent="0.2">
      <c r="A7" s="573" t="s">
        <v>126</v>
      </c>
      <c r="B7" s="573"/>
      <c r="C7" s="572"/>
      <c r="D7" s="572"/>
      <c r="E7" s="572"/>
      <c r="F7" s="572"/>
      <c r="G7" s="572"/>
      <c r="H7" s="572"/>
      <c r="I7" s="572"/>
      <c r="J7" s="572"/>
      <c r="K7" s="572"/>
      <c r="L7" s="572"/>
    </row>
    <row r="8" spans="1:12" ht="14.25" x14ac:dyDescent="0.2">
      <c r="A8" s="574" t="str">
        <f>'Lead Sheet'!A6</f>
        <v>Effective March 1, 2024 to February 28, 2025</v>
      </c>
      <c r="B8" s="574"/>
      <c r="C8" s="574"/>
      <c r="D8" s="574"/>
      <c r="E8" s="574"/>
      <c r="F8" s="574"/>
      <c r="G8" s="574"/>
      <c r="H8" s="574"/>
      <c r="I8" s="574"/>
      <c r="J8" s="574"/>
      <c r="K8" s="574"/>
      <c r="L8" s="574"/>
    </row>
    <row r="9" spans="1:12" ht="14.25" x14ac:dyDescent="0.2">
      <c r="A9" s="574"/>
      <c r="B9" s="574"/>
      <c r="C9" s="574"/>
      <c r="D9" s="574"/>
      <c r="E9" s="574"/>
      <c r="F9" s="574"/>
      <c r="G9" s="574"/>
      <c r="H9" s="574"/>
      <c r="I9" s="574"/>
      <c r="J9" s="574"/>
      <c r="K9" s="574"/>
      <c r="L9" s="574"/>
    </row>
    <row r="10" spans="1:12" x14ac:dyDescent="0.2">
      <c r="A10" s="570"/>
      <c r="B10" s="573"/>
      <c r="C10" s="572"/>
      <c r="D10" s="575" t="s">
        <v>47</v>
      </c>
      <c r="E10" s="570"/>
      <c r="F10" s="575" t="s">
        <v>48</v>
      </c>
      <c r="G10" s="570"/>
      <c r="H10" s="575" t="s">
        <v>48</v>
      </c>
      <c r="I10" s="570"/>
      <c r="J10" s="575" t="s">
        <v>48</v>
      </c>
      <c r="K10" s="570"/>
      <c r="L10" s="575" t="s">
        <v>47</v>
      </c>
    </row>
    <row r="11" spans="1:12" x14ac:dyDescent="0.2">
      <c r="A11" s="570"/>
      <c r="B11" s="573"/>
      <c r="C11" s="572"/>
      <c r="D11" s="576"/>
      <c r="E11" s="577"/>
      <c r="F11" s="577"/>
      <c r="G11" s="577"/>
      <c r="H11" s="578"/>
      <c r="I11" s="576"/>
      <c r="J11" s="577"/>
      <c r="K11" s="577"/>
      <c r="L11" s="577"/>
    </row>
    <row r="12" spans="1:12" x14ac:dyDescent="0.2">
      <c r="A12" s="570"/>
      <c r="B12" s="573"/>
      <c r="C12" s="572"/>
      <c r="D12" s="579"/>
      <c r="E12" s="580"/>
      <c r="F12" s="580"/>
      <c r="G12" s="581"/>
      <c r="H12" s="582" t="s">
        <v>49</v>
      </c>
      <c r="I12" s="583">
        <v>2022</v>
      </c>
      <c r="J12" s="584" t="s">
        <v>50</v>
      </c>
      <c r="K12" s="584">
        <v>2023</v>
      </c>
      <c r="L12" s="584" t="s">
        <v>50</v>
      </c>
    </row>
    <row r="13" spans="1:12" x14ac:dyDescent="0.2">
      <c r="A13" s="570"/>
      <c r="B13" s="570"/>
      <c r="C13" s="585"/>
      <c r="D13" s="586" t="s">
        <v>51</v>
      </c>
      <c r="E13" s="587"/>
      <c r="F13" s="588" t="s">
        <v>40</v>
      </c>
      <c r="G13" s="588" t="s">
        <v>3</v>
      </c>
      <c r="H13" s="589" t="s">
        <v>50</v>
      </c>
      <c r="I13" s="586" t="s">
        <v>52</v>
      </c>
      <c r="J13" s="588" t="s">
        <v>53</v>
      </c>
      <c r="K13" s="588" t="s">
        <v>54</v>
      </c>
      <c r="L13" s="588" t="s">
        <v>53</v>
      </c>
    </row>
    <row r="14" spans="1:12" x14ac:dyDescent="0.2">
      <c r="A14" s="590" t="s">
        <v>0</v>
      </c>
      <c r="B14" s="590"/>
      <c r="C14" s="591"/>
      <c r="D14" s="586" t="s">
        <v>55</v>
      </c>
      <c r="E14" s="588" t="s">
        <v>56</v>
      </c>
      <c r="F14" s="588" t="s">
        <v>57</v>
      </c>
      <c r="G14" s="588" t="s">
        <v>58</v>
      </c>
      <c r="H14" s="589" t="s">
        <v>57</v>
      </c>
      <c r="I14" s="586" t="s">
        <v>59</v>
      </c>
      <c r="J14" s="588" t="s">
        <v>60</v>
      </c>
      <c r="K14" s="588" t="s">
        <v>59</v>
      </c>
      <c r="L14" s="588" t="s">
        <v>61</v>
      </c>
    </row>
    <row r="15" spans="1:12" x14ac:dyDescent="0.2">
      <c r="A15" s="592" t="s">
        <v>1</v>
      </c>
      <c r="B15" s="593" t="s">
        <v>2</v>
      </c>
      <c r="C15" s="594" t="s">
        <v>41</v>
      </c>
      <c r="D15" s="595" t="s">
        <v>62</v>
      </c>
      <c r="E15" s="596" t="s">
        <v>63</v>
      </c>
      <c r="F15" s="596" t="s">
        <v>64</v>
      </c>
      <c r="G15" s="596" t="s">
        <v>63</v>
      </c>
      <c r="H15" s="597" t="s">
        <v>64</v>
      </c>
      <c r="I15" s="595" t="s">
        <v>63</v>
      </c>
      <c r="J15" s="596" t="s">
        <v>54</v>
      </c>
      <c r="K15" s="596" t="s">
        <v>63</v>
      </c>
      <c r="L15" s="596" t="s">
        <v>54</v>
      </c>
    </row>
    <row r="16" spans="1:12" x14ac:dyDescent="0.2">
      <c r="A16" s="598"/>
      <c r="B16" s="599"/>
      <c r="C16" s="599"/>
      <c r="D16" s="598"/>
      <c r="E16" s="598"/>
      <c r="F16" s="598"/>
      <c r="G16" s="598"/>
      <c r="H16" s="598"/>
      <c r="I16" s="598"/>
      <c r="J16" s="598"/>
      <c r="K16" s="598"/>
      <c r="L16" s="598"/>
    </row>
    <row r="17" spans="1:12" x14ac:dyDescent="0.2">
      <c r="A17" s="600">
        <f>ROW()</f>
        <v>17</v>
      </c>
      <c r="B17" s="599" t="s">
        <v>69</v>
      </c>
      <c r="C17" s="599"/>
      <c r="D17" s="601"/>
      <c r="E17" s="602"/>
      <c r="F17" s="602"/>
      <c r="G17" s="602"/>
      <c r="H17" s="602"/>
      <c r="I17" s="602"/>
      <c r="J17" s="602"/>
      <c r="K17" s="602"/>
      <c r="L17" s="602"/>
    </row>
    <row r="18" spans="1:12" x14ac:dyDescent="0.2">
      <c r="A18" s="600">
        <f>ROW()</f>
        <v>18</v>
      </c>
      <c r="B18" s="603" t="s">
        <v>46</v>
      </c>
      <c r="C18" s="603"/>
      <c r="D18" s="604"/>
      <c r="E18" s="604"/>
      <c r="F18" s="604">
        <f>D18+E18</f>
        <v>0</v>
      </c>
      <c r="G18" s="604"/>
      <c r="H18" s="604">
        <f>F18+G18</f>
        <v>0</v>
      </c>
      <c r="I18" s="604"/>
      <c r="J18" s="604">
        <f>H18+I18</f>
        <v>0</v>
      </c>
      <c r="K18" s="604">
        <f>L18-J18</f>
        <v>3666700.5287500005</v>
      </c>
      <c r="L18" s="604">
        <f>'AMA Totals By Depr Grp'!H56</f>
        <v>3666700.5287500005</v>
      </c>
    </row>
    <row r="19" spans="1:12" x14ac:dyDescent="0.2">
      <c r="A19" s="600">
        <f>ROW()</f>
        <v>19</v>
      </c>
      <c r="B19" s="603" t="s">
        <v>42</v>
      </c>
      <c r="C19" s="603"/>
      <c r="D19" s="604"/>
      <c r="E19" s="604"/>
      <c r="F19" s="604">
        <f>D19+E19</f>
        <v>0</v>
      </c>
      <c r="G19" s="604"/>
      <c r="H19" s="604">
        <f>F19+G19</f>
        <v>0</v>
      </c>
      <c r="I19" s="604"/>
      <c r="J19" s="604">
        <f>H19+I19</f>
        <v>0</v>
      </c>
      <c r="K19" s="604">
        <f t="shared" ref="K19:K20" si="0">L19-J19</f>
        <v>-182560.97347830757</v>
      </c>
      <c r="L19" s="604">
        <f>'AMA Totals By Depr Grp'!I56</f>
        <v>-182560.97347830757</v>
      </c>
    </row>
    <row r="20" spans="1:12" x14ac:dyDescent="0.2">
      <c r="A20" s="600">
        <f>ROW()</f>
        <v>20</v>
      </c>
      <c r="B20" s="603" t="s">
        <v>65</v>
      </c>
      <c r="C20" s="603"/>
      <c r="D20" s="604"/>
      <c r="E20" s="604"/>
      <c r="F20" s="604">
        <f>D20+E20</f>
        <v>0</v>
      </c>
      <c r="G20" s="604"/>
      <c r="H20" s="604">
        <f>F20+G20</f>
        <v>0</v>
      </c>
      <c r="I20" s="604"/>
      <c r="J20" s="604">
        <f>H20+I20</f>
        <v>0</v>
      </c>
      <c r="K20" s="604">
        <f t="shared" si="0"/>
        <v>-78602.831301492915</v>
      </c>
      <c r="L20" s="604">
        <f>'AMA Totals By Depr Grp'!J56</f>
        <v>-78602.831301492915</v>
      </c>
    </row>
    <row r="21" spans="1:12" x14ac:dyDescent="0.2">
      <c r="A21" s="600">
        <f>ROW()</f>
        <v>21</v>
      </c>
      <c r="B21" s="605" t="s">
        <v>71</v>
      </c>
      <c r="C21" s="605"/>
      <c r="D21" s="606">
        <f t="shared" ref="D21:L21" si="1">SUM(D18:D20)</f>
        <v>0</v>
      </c>
      <c r="E21" s="606">
        <f t="shared" si="1"/>
        <v>0</v>
      </c>
      <c r="F21" s="606">
        <f t="shared" si="1"/>
        <v>0</v>
      </c>
      <c r="G21" s="606">
        <f t="shared" si="1"/>
        <v>0</v>
      </c>
      <c r="H21" s="606">
        <f t="shared" si="1"/>
        <v>0</v>
      </c>
      <c r="I21" s="606">
        <f t="shared" si="1"/>
        <v>0</v>
      </c>
      <c r="J21" s="606">
        <f t="shared" si="1"/>
        <v>0</v>
      </c>
      <c r="K21" s="606">
        <f t="shared" si="1"/>
        <v>3405536.7239701999</v>
      </c>
      <c r="L21" s="606">
        <f t="shared" si="1"/>
        <v>3405536.7239701999</v>
      </c>
    </row>
    <row r="22" spans="1:12" ht="15" x14ac:dyDescent="0.25">
      <c r="A22" s="600">
        <f>ROW()</f>
        <v>22</v>
      </c>
      <c r="B22" s="605"/>
      <c r="C22" s="605"/>
      <c r="D22" s="607"/>
      <c r="E22" s="607"/>
      <c r="F22" s="608"/>
      <c r="G22" s="607"/>
      <c r="H22" s="608"/>
      <c r="I22" s="607"/>
      <c r="J22" s="608"/>
      <c r="K22" s="607"/>
      <c r="L22" s="608"/>
    </row>
    <row r="23" spans="1:12" ht="15" x14ac:dyDescent="0.25">
      <c r="A23" s="600">
        <f>ROW()</f>
        <v>23</v>
      </c>
      <c r="B23" s="599" t="s">
        <v>70</v>
      </c>
      <c r="C23" s="599"/>
      <c r="D23" s="568"/>
      <c r="E23" s="568"/>
      <c r="F23" s="568"/>
      <c r="G23" s="568"/>
      <c r="H23" s="568"/>
      <c r="I23" s="568"/>
      <c r="J23" s="568"/>
      <c r="K23" s="568"/>
      <c r="L23" s="568"/>
    </row>
    <row r="24" spans="1:12" x14ac:dyDescent="0.2">
      <c r="A24" s="600">
        <f>ROW()</f>
        <v>24</v>
      </c>
      <c r="B24" s="609" t="s">
        <v>94</v>
      </c>
      <c r="C24" s="609"/>
      <c r="D24" s="604"/>
      <c r="E24" s="604"/>
      <c r="F24" s="604">
        <f>D24+E24</f>
        <v>0</v>
      </c>
      <c r="G24" s="604"/>
      <c r="H24" s="604">
        <f>F24+G24</f>
        <v>0</v>
      </c>
      <c r="I24" s="604"/>
      <c r="J24" s="604">
        <f>H24+I24</f>
        <v>0</v>
      </c>
      <c r="K24" s="604">
        <f>L24-J24</f>
        <v>365765.10994412506</v>
      </c>
      <c r="L24" s="604">
        <f>'AMA Totals By Depr Grp'!K56</f>
        <v>365765.10994412506</v>
      </c>
    </row>
    <row r="25" spans="1:12" ht="15" x14ac:dyDescent="0.25">
      <c r="A25" s="600">
        <f>ROW()</f>
        <v>25</v>
      </c>
      <c r="B25" s="609"/>
      <c r="C25" s="609"/>
      <c r="D25" s="568"/>
      <c r="E25" s="568"/>
      <c r="F25" s="568"/>
      <c r="G25" s="568"/>
      <c r="H25" s="568"/>
      <c r="I25" s="568"/>
      <c r="J25" s="568"/>
      <c r="K25" s="568"/>
      <c r="L25" s="568"/>
    </row>
    <row r="26" spans="1:12" x14ac:dyDescent="0.2">
      <c r="A26" s="600">
        <f>ROW()</f>
        <v>26</v>
      </c>
      <c r="B26" s="610" t="s">
        <v>43</v>
      </c>
      <c r="C26" s="610"/>
      <c r="D26" s="606">
        <f>SUM(D24:D25)</f>
        <v>0</v>
      </c>
      <c r="E26" s="606">
        <f>SUM(E24:E25)</f>
        <v>0</v>
      </c>
      <c r="F26" s="606">
        <f t="shared" ref="F26:L26" si="2">SUM(F24:F25)</f>
        <v>0</v>
      </c>
      <c r="G26" s="606">
        <f t="shared" si="2"/>
        <v>0</v>
      </c>
      <c r="H26" s="606">
        <f t="shared" si="2"/>
        <v>0</v>
      </c>
      <c r="I26" s="606">
        <f t="shared" si="2"/>
        <v>0</v>
      </c>
      <c r="J26" s="606">
        <f t="shared" si="2"/>
        <v>0</v>
      </c>
      <c r="K26" s="606">
        <f t="shared" si="2"/>
        <v>365765.10994412506</v>
      </c>
      <c r="L26" s="606">
        <f t="shared" si="2"/>
        <v>365765.10994412506</v>
      </c>
    </row>
    <row r="27" spans="1:12" ht="15" x14ac:dyDescent="0.25">
      <c r="A27" s="600">
        <f>ROW()</f>
        <v>27</v>
      </c>
      <c r="B27" s="610"/>
      <c r="C27" s="610"/>
      <c r="D27" s="568"/>
      <c r="E27" s="568"/>
      <c r="F27" s="568"/>
      <c r="G27" s="568"/>
      <c r="H27" s="568"/>
      <c r="I27" s="568"/>
      <c r="J27" s="568"/>
      <c r="K27" s="568"/>
      <c r="L27" s="568"/>
    </row>
    <row r="28" spans="1:12" x14ac:dyDescent="0.2">
      <c r="A28" s="600">
        <f>ROW()</f>
        <v>28</v>
      </c>
      <c r="B28" s="611" t="s">
        <v>44</v>
      </c>
      <c r="C28" s="612">
        <v>0.21</v>
      </c>
      <c r="D28" s="604">
        <f>-$C$28*D26</f>
        <v>0</v>
      </c>
      <c r="E28" s="604">
        <f t="shared" ref="E28:L28" si="3">-$C$28*E26</f>
        <v>0</v>
      </c>
      <c r="F28" s="604">
        <f t="shared" si="3"/>
        <v>0</v>
      </c>
      <c r="G28" s="604">
        <f t="shared" si="3"/>
        <v>0</v>
      </c>
      <c r="H28" s="604">
        <f t="shared" si="3"/>
        <v>0</v>
      </c>
      <c r="I28" s="604">
        <f t="shared" si="3"/>
        <v>0</v>
      </c>
      <c r="J28" s="604">
        <f t="shared" si="3"/>
        <v>0</v>
      </c>
      <c r="K28" s="604">
        <f t="shared" si="3"/>
        <v>-76810.673088266252</v>
      </c>
      <c r="L28" s="604">
        <f t="shared" si="3"/>
        <v>-76810.673088266252</v>
      </c>
    </row>
    <row r="29" spans="1:12" ht="13.5" thickBot="1" x14ac:dyDescent="0.25">
      <c r="A29" s="600">
        <f>ROW()</f>
        <v>29</v>
      </c>
      <c r="B29" s="613" t="s">
        <v>45</v>
      </c>
      <c r="C29" s="613"/>
      <c r="D29" s="614">
        <f>-D26-D28</f>
        <v>0</v>
      </c>
      <c r="E29" s="614">
        <f>-E26-E28</f>
        <v>0</v>
      </c>
      <c r="F29" s="614">
        <f t="shared" ref="F29:L29" si="4">-F26-F28</f>
        <v>0</v>
      </c>
      <c r="G29" s="614">
        <f t="shared" si="4"/>
        <v>0</v>
      </c>
      <c r="H29" s="614">
        <f t="shared" si="4"/>
        <v>0</v>
      </c>
      <c r="I29" s="614">
        <f t="shared" si="4"/>
        <v>0</v>
      </c>
      <c r="J29" s="614">
        <f t="shared" si="4"/>
        <v>0</v>
      </c>
      <c r="K29" s="614">
        <f t="shared" si="4"/>
        <v>-288954.43685585877</v>
      </c>
      <c r="L29" s="614">
        <f t="shared" si="4"/>
        <v>-288954.43685585877</v>
      </c>
    </row>
    <row r="30" spans="1:12" ht="13.5" thickTop="1" x14ac:dyDescent="0.2"/>
    <row r="33" spans="1:12" ht="15" x14ac:dyDescent="0.25">
      <c r="A33" s="568"/>
      <c r="B33" s="568"/>
      <c r="C33" s="568"/>
      <c r="D33" s="568"/>
      <c r="E33" s="568"/>
      <c r="F33" s="568"/>
      <c r="G33" s="568"/>
      <c r="H33" s="568"/>
      <c r="I33" s="568"/>
      <c r="J33" s="568"/>
      <c r="K33" s="568"/>
      <c r="L33" s="568"/>
    </row>
    <row r="34" spans="1:12" ht="15" x14ac:dyDescent="0.25">
      <c r="A34" s="568"/>
      <c r="B34" s="568"/>
      <c r="C34" s="568"/>
      <c r="D34" s="568"/>
      <c r="E34" s="568"/>
      <c r="F34" s="568"/>
      <c r="G34" s="568"/>
      <c r="H34" s="568"/>
      <c r="I34" s="568"/>
      <c r="J34" s="568"/>
      <c r="K34" s="568"/>
      <c r="L34" s="568"/>
    </row>
    <row r="35" spans="1:12" ht="15" x14ac:dyDescent="0.25">
      <c r="A35" s="568"/>
      <c r="B35" s="568"/>
      <c r="C35" s="568"/>
      <c r="D35" s="568"/>
      <c r="E35" s="568"/>
      <c r="F35" s="568"/>
      <c r="G35" s="568"/>
      <c r="H35" s="568"/>
      <c r="I35" s="568"/>
      <c r="J35" s="568"/>
      <c r="K35" s="568"/>
      <c r="L35" s="568"/>
    </row>
    <row r="36" spans="1:12" ht="15" x14ac:dyDescent="0.25">
      <c r="A36" s="568"/>
      <c r="B36" s="568"/>
      <c r="C36" s="568"/>
      <c r="D36" s="568"/>
      <c r="E36" s="568"/>
      <c r="F36" s="568"/>
      <c r="G36" s="568"/>
      <c r="H36" s="568"/>
      <c r="I36" s="568"/>
      <c r="J36" s="568"/>
      <c r="K36" s="568"/>
      <c r="L36" s="568"/>
    </row>
    <row r="37" spans="1:12" x14ac:dyDescent="0.2">
      <c r="A37" s="570"/>
      <c r="B37" s="615" t="s">
        <v>561</v>
      </c>
      <c r="C37" s="570"/>
      <c r="D37" s="570"/>
      <c r="E37" s="570"/>
      <c r="F37" s="570"/>
      <c r="G37" s="570"/>
      <c r="H37" s="570"/>
      <c r="I37" s="570"/>
      <c r="J37" s="570"/>
      <c r="K37" s="570"/>
      <c r="L37" s="570"/>
    </row>
    <row r="38" spans="1:12" ht="14.25" x14ac:dyDescent="0.2">
      <c r="A38" s="571" t="s">
        <v>66</v>
      </c>
      <c r="B38" s="572"/>
      <c r="C38" s="572"/>
      <c r="D38" s="572"/>
      <c r="E38" s="572"/>
      <c r="F38" s="572"/>
      <c r="G38" s="572"/>
      <c r="H38" s="572"/>
      <c r="I38" s="572"/>
      <c r="J38" s="572"/>
      <c r="K38" s="572"/>
      <c r="L38" s="572"/>
    </row>
    <row r="39" spans="1:12" x14ac:dyDescent="0.2">
      <c r="A39" s="573" t="s">
        <v>126</v>
      </c>
      <c r="B39" s="573"/>
      <c r="C39" s="572"/>
      <c r="D39" s="572"/>
      <c r="E39" s="572"/>
      <c r="F39" s="572"/>
      <c r="G39" s="572"/>
      <c r="H39" s="572"/>
      <c r="I39" s="572"/>
      <c r="J39" s="572"/>
      <c r="K39" s="572"/>
      <c r="L39" s="572"/>
    </row>
    <row r="40" spans="1:12" ht="14.25" x14ac:dyDescent="0.2">
      <c r="A40" s="574" t="s">
        <v>470</v>
      </c>
      <c r="B40" s="574"/>
      <c r="C40" s="574"/>
      <c r="D40" s="574"/>
      <c r="E40" s="574"/>
      <c r="F40" s="574"/>
      <c r="G40" s="574"/>
      <c r="H40" s="574"/>
      <c r="I40" s="574"/>
      <c r="J40" s="574"/>
      <c r="K40" s="574"/>
      <c r="L40" s="574"/>
    </row>
    <row r="41" spans="1:12" ht="14.25" x14ac:dyDescent="0.2">
      <c r="A41" s="574"/>
      <c r="B41" s="574"/>
      <c r="C41" s="574"/>
      <c r="D41" s="574"/>
      <c r="E41" s="574"/>
      <c r="F41" s="574"/>
      <c r="G41" s="574"/>
      <c r="H41" s="574"/>
      <c r="I41" s="574"/>
      <c r="J41" s="574"/>
      <c r="K41" s="574"/>
      <c r="L41" s="574"/>
    </row>
    <row r="42" spans="1:12" x14ac:dyDescent="0.2">
      <c r="A42" s="570"/>
      <c r="B42" s="573"/>
      <c r="C42" s="572"/>
      <c r="D42" s="575" t="s">
        <v>47</v>
      </c>
      <c r="E42" s="570"/>
      <c r="F42" s="575" t="s">
        <v>48</v>
      </c>
      <c r="G42" s="570"/>
      <c r="H42" s="575" t="s">
        <v>48</v>
      </c>
      <c r="I42" s="570"/>
      <c r="J42" s="575" t="s">
        <v>48</v>
      </c>
      <c r="K42" s="570"/>
      <c r="L42" s="575" t="s">
        <v>47</v>
      </c>
    </row>
    <row r="43" spans="1:12" x14ac:dyDescent="0.2">
      <c r="A43" s="570"/>
      <c r="B43" s="573"/>
      <c r="C43" s="572"/>
      <c r="D43" s="576"/>
      <c r="E43" s="577"/>
      <c r="F43" s="577"/>
      <c r="G43" s="577"/>
      <c r="H43" s="578"/>
      <c r="I43" s="576"/>
      <c r="J43" s="577"/>
      <c r="K43" s="577"/>
      <c r="L43" s="577"/>
    </row>
    <row r="44" spans="1:12" x14ac:dyDescent="0.2">
      <c r="A44" s="570"/>
      <c r="B44" s="573"/>
      <c r="C44" s="572"/>
      <c r="D44" s="579"/>
      <c r="E44" s="580"/>
      <c r="F44" s="580"/>
      <c r="G44" s="581"/>
      <c r="H44" s="582" t="s">
        <v>49</v>
      </c>
      <c r="I44" s="583">
        <v>2022</v>
      </c>
      <c r="J44" s="584" t="s">
        <v>50</v>
      </c>
      <c r="K44" s="584">
        <v>2023</v>
      </c>
      <c r="L44" s="584" t="s">
        <v>50</v>
      </c>
    </row>
    <row r="45" spans="1:12" x14ac:dyDescent="0.2">
      <c r="A45" s="570"/>
      <c r="B45" s="570"/>
      <c r="C45" s="585"/>
      <c r="D45" s="586" t="s">
        <v>51</v>
      </c>
      <c r="E45" s="587"/>
      <c r="F45" s="588" t="s">
        <v>40</v>
      </c>
      <c r="G45" s="588" t="s">
        <v>3</v>
      </c>
      <c r="H45" s="589" t="s">
        <v>50</v>
      </c>
      <c r="I45" s="586" t="s">
        <v>52</v>
      </c>
      <c r="J45" s="588" t="s">
        <v>53</v>
      </c>
      <c r="K45" s="588" t="s">
        <v>54</v>
      </c>
      <c r="L45" s="588" t="s">
        <v>53</v>
      </c>
    </row>
    <row r="46" spans="1:12" x14ac:dyDescent="0.2">
      <c r="A46" s="590" t="s">
        <v>0</v>
      </c>
      <c r="B46" s="590"/>
      <c r="C46" s="591"/>
      <c r="D46" s="586" t="s">
        <v>55</v>
      </c>
      <c r="E46" s="588" t="s">
        <v>56</v>
      </c>
      <c r="F46" s="588" t="s">
        <v>57</v>
      </c>
      <c r="G46" s="588" t="s">
        <v>58</v>
      </c>
      <c r="H46" s="589" t="s">
        <v>57</v>
      </c>
      <c r="I46" s="586" t="s">
        <v>59</v>
      </c>
      <c r="J46" s="588" t="s">
        <v>60</v>
      </c>
      <c r="K46" s="588" t="s">
        <v>59</v>
      </c>
      <c r="L46" s="588" t="s">
        <v>61</v>
      </c>
    </row>
    <row r="47" spans="1:12" x14ac:dyDescent="0.2">
      <c r="A47" s="592" t="s">
        <v>1</v>
      </c>
      <c r="B47" s="593" t="s">
        <v>2</v>
      </c>
      <c r="C47" s="594" t="s">
        <v>41</v>
      </c>
      <c r="D47" s="595" t="s">
        <v>62</v>
      </c>
      <c r="E47" s="596" t="s">
        <v>63</v>
      </c>
      <c r="F47" s="596" t="s">
        <v>64</v>
      </c>
      <c r="G47" s="596" t="s">
        <v>63</v>
      </c>
      <c r="H47" s="597" t="s">
        <v>64</v>
      </c>
      <c r="I47" s="595" t="s">
        <v>63</v>
      </c>
      <c r="J47" s="596" t="s">
        <v>54</v>
      </c>
      <c r="K47" s="596" t="s">
        <v>63</v>
      </c>
      <c r="L47" s="596" t="s">
        <v>54</v>
      </c>
    </row>
    <row r="48" spans="1:12" x14ac:dyDescent="0.2">
      <c r="A48" s="598"/>
      <c r="B48" s="599"/>
      <c r="C48" s="599"/>
      <c r="D48" s="598"/>
      <c r="E48" s="598"/>
      <c r="F48" s="598"/>
      <c r="G48" s="598"/>
      <c r="H48" s="598"/>
      <c r="I48" s="598"/>
      <c r="J48" s="598"/>
      <c r="K48" s="598"/>
      <c r="L48" s="598"/>
    </row>
    <row r="49" spans="1:12" x14ac:dyDescent="0.2">
      <c r="A49" s="600">
        <f>ROW()</f>
        <v>49</v>
      </c>
      <c r="B49" s="599" t="s">
        <v>69</v>
      </c>
      <c r="C49" s="599"/>
      <c r="D49" s="601"/>
      <c r="E49" s="602"/>
      <c r="F49" s="602"/>
      <c r="G49" s="602"/>
      <c r="H49" s="602"/>
      <c r="I49" s="602"/>
      <c r="J49" s="602"/>
      <c r="K49" s="602"/>
      <c r="L49" s="602"/>
    </row>
    <row r="50" spans="1:12" x14ac:dyDescent="0.2">
      <c r="A50" s="600">
        <f>ROW()</f>
        <v>50</v>
      </c>
      <c r="B50" s="603" t="s">
        <v>46</v>
      </c>
      <c r="C50" s="603"/>
      <c r="D50" s="604"/>
      <c r="E50" s="604"/>
      <c r="F50" s="604">
        <f>D50+E50</f>
        <v>0</v>
      </c>
      <c r="G50" s="604"/>
      <c r="H50" s="604">
        <f>F50+G50</f>
        <v>0</v>
      </c>
      <c r="I50" s="604"/>
      <c r="J50" s="604">
        <f>H50+I50</f>
        <v>0</v>
      </c>
      <c r="K50" s="604">
        <f>L50-J50</f>
        <v>186784.52875000003</v>
      </c>
      <c r="L50" s="604">
        <f>'AMA Totals By Depr Grp'!H44</f>
        <v>186784.52875000003</v>
      </c>
    </row>
    <row r="51" spans="1:12" x14ac:dyDescent="0.2">
      <c r="A51" s="600">
        <f>ROW()</f>
        <v>51</v>
      </c>
      <c r="B51" s="603" t="s">
        <v>42</v>
      </c>
      <c r="C51" s="603"/>
      <c r="D51" s="604"/>
      <c r="E51" s="604"/>
      <c r="F51" s="604">
        <f>D51+E51</f>
        <v>0</v>
      </c>
      <c r="G51" s="604"/>
      <c r="H51" s="604">
        <f>F51+G51</f>
        <v>0</v>
      </c>
      <c r="I51" s="604"/>
      <c r="J51" s="604">
        <f>H51+I51</f>
        <v>0</v>
      </c>
      <c r="K51" s="604">
        <f t="shared" ref="K51:K52" si="5">L51-J51</f>
        <v>-16834.896363837957</v>
      </c>
      <c r="L51" s="604">
        <f>'AMA Totals By Depr Grp'!I44</f>
        <v>-16834.896363837957</v>
      </c>
    </row>
    <row r="52" spans="1:12" x14ac:dyDescent="0.2">
      <c r="A52" s="600">
        <f>ROW()</f>
        <v>52</v>
      </c>
      <c r="B52" s="603" t="s">
        <v>65</v>
      </c>
      <c r="C52" s="603"/>
      <c r="D52" s="604"/>
      <c r="E52" s="604"/>
      <c r="F52" s="604">
        <f>D52+E52</f>
        <v>0</v>
      </c>
      <c r="G52" s="604"/>
      <c r="H52" s="604">
        <f>F52+G52</f>
        <v>0</v>
      </c>
      <c r="I52" s="604"/>
      <c r="J52" s="604">
        <f>H52+I52</f>
        <v>0</v>
      </c>
      <c r="K52" s="604">
        <f t="shared" si="5"/>
        <v>-3917.5584985940291</v>
      </c>
      <c r="L52" s="604">
        <f>'AMA Totals By Depr Grp'!J44</f>
        <v>-3917.5584985940291</v>
      </c>
    </row>
    <row r="53" spans="1:12" x14ac:dyDescent="0.2">
      <c r="A53" s="600">
        <f>ROW()</f>
        <v>53</v>
      </c>
      <c r="B53" s="605" t="s">
        <v>71</v>
      </c>
      <c r="C53" s="605"/>
      <c r="D53" s="606">
        <f t="shared" ref="D53:L53" si="6">SUM(D50:D52)</f>
        <v>0</v>
      </c>
      <c r="E53" s="606">
        <f t="shared" si="6"/>
        <v>0</v>
      </c>
      <c r="F53" s="606">
        <f t="shared" si="6"/>
        <v>0</v>
      </c>
      <c r="G53" s="606">
        <f t="shared" si="6"/>
        <v>0</v>
      </c>
      <c r="H53" s="606">
        <f t="shared" si="6"/>
        <v>0</v>
      </c>
      <c r="I53" s="606">
        <f t="shared" si="6"/>
        <v>0</v>
      </c>
      <c r="J53" s="606">
        <f t="shared" si="6"/>
        <v>0</v>
      </c>
      <c r="K53" s="606">
        <f t="shared" si="6"/>
        <v>166032.07388756803</v>
      </c>
      <c r="L53" s="606">
        <f t="shared" si="6"/>
        <v>166032.07388756803</v>
      </c>
    </row>
    <row r="54" spans="1:12" ht="15" x14ac:dyDescent="0.25">
      <c r="A54" s="600">
        <f>ROW()</f>
        <v>54</v>
      </c>
      <c r="B54" s="605"/>
      <c r="C54" s="605"/>
      <c r="D54" s="607"/>
      <c r="E54" s="607"/>
      <c r="F54" s="608"/>
      <c r="G54" s="607"/>
      <c r="H54" s="608"/>
      <c r="I54" s="607"/>
      <c r="J54" s="608"/>
      <c r="K54" s="607"/>
      <c r="L54" s="608"/>
    </row>
    <row r="55" spans="1:12" ht="15" x14ac:dyDescent="0.25">
      <c r="A55" s="600">
        <f>ROW()</f>
        <v>55</v>
      </c>
      <c r="B55" s="599" t="s">
        <v>70</v>
      </c>
      <c r="C55" s="599"/>
      <c r="D55" s="568"/>
      <c r="E55" s="568"/>
      <c r="F55" s="568"/>
      <c r="G55" s="568"/>
      <c r="H55" s="568"/>
      <c r="I55" s="568"/>
      <c r="J55" s="568"/>
      <c r="K55" s="568"/>
      <c r="L55" s="568"/>
    </row>
    <row r="56" spans="1:12" x14ac:dyDescent="0.2">
      <c r="A56" s="600">
        <f>ROW()</f>
        <v>56</v>
      </c>
      <c r="B56" s="609" t="s">
        <v>94</v>
      </c>
      <c r="C56" s="609"/>
      <c r="D56" s="604"/>
      <c r="E56" s="604"/>
      <c r="F56" s="604">
        <f>D56+E56</f>
        <v>0</v>
      </c>
      <c r="G56" s="604"/>
      <c r="H56" s="604">
        <f>F56+G56</f>
        <v>0</v>
      </c>
      <c r="I56" s="604"/>
      <c r="J56" s="604">
        <f>H56+I56</f>
        <v>0</v>
      </c>
      <c r="K56" s="604">
        <f>L56-J56</f>
        <v>56532.244217444437</v>
      </c>
      <c r="L56" s="604">
        <f>'AMA Totals By Depr Grp'!K44</f>
        <v>56532.244217444437</v>
      </c>
    </row>
    <row r="57" spans="1:12" ht="15" x14ac:dyDescent="0.25">
      <c r="A57" s="600">
        <f>ROW()</f>
        <v>57</v>
      </c>
      <c r="B57" s="609"/>
      <c r="C57" s="609"/>
      <c r="D57" s="568"/>
      <c r="E57" s="568"/>
      <c r="F57" s="568"/>
      <c r="G57" s="568"/>
      <c r="H57" s="568"/>
      <c r="I57" s="568"/>
      <c r="J57" s="568"/>
      <c r="K57" s="568"/>
      <c r="L57" s="568"/>
    </row>
    <row r="58" spans="1:12" x14ac:dyDescent="0.2">
      <c r="A58" s="600">
        <f>ROW()</f>
        <v>58</v>
      </c>
      <c r="B58" s="610" t="s">
        <v>43</v>
      </c>
      <c r="C58" s="610"/>
      <c r="D58" s="606">
        <f>SUM(D56:D57)</f>
        <v>0</v>
      </c>
      <c r="E58" s="606">
        <f>SUM(E56:E57)</f>
        <v>0</v>
      </c>
      <c r="F58" s="606">
        <f t="shared" ref="F58:L58" si="7">SUM(F56:F57)</f>
        <v>0</v>
      </c>
      <c r="G58" s="606">
        <f t="shared" si="7"/>
        <v>0</v>
      </c>
      <c r="H58" s="606">
        <f t="shared" si="7"/>
        <v>0</v>
      </c>
      <c r="I58" s="606">
        <f t="shared" si="7"/>
        <v>0</v>
      </c>
      <c r="J58" s="606">
        <f t="shared" si="7"/>
        <v>0</v>
      </c>
      <c r="K58" s="606">
        <f t="shared" si="7"/>
        <v>56532.244217444437</v>
      </c>
      <c r="L58" s="606">
        <f t="shared" si="7"/>
        <v>56532.244217444437</v>
      </c>
    </row>
    <row r="59" spans="1:12" ht="15" x14ac:dyDescent="0.25">
      <c r="A59" s="600">
        <f>ROW()</f>
        <v>59</v>
      </c>
      <c r="B59" s="610"/>
      <c r="C59" s="610"/>
      <c r="D59" s="568"/>
      <c r="E59" s="568"/>
      <c r="F59" s="568"/>
      <c r="G59" s="568"/>
      <c r="H59" s="568"/>
      <c r="I59" s="568"/>
      <c r="J59" s="568"/>
      <c r="K59" s="568"/>
      <c r="L59" s="568"/>
    </row>
    <row r="60" spans="1:12" x14ac:dyDescent="0.2">
      <c r="A60" s="600">
        <f>ROW()</f>
        <v>60</v>
      </c>
      <c r="B60" s="611" t="s">
        <v>44</v>
      </c>
      <c r="C60" s="612">
        <v>0.21</v>
      </c>
      <c r="D60" s="604">
        <f>-$C$28*D58</f>
        <v>0</v>
      </c>
      <c r="E60" s="604">
        <f t="shared" ref="E60:L60" si="8">-$C$28*E58</f>
        <v>0</v>
      </c>
      <c r="F60" s="604">
        <f t="shared" si="8"/>
        <v>0</v>
      </c>
      <c r="G60" s="604">
        <f t="shared" si="8"/>
        <v>0</v>
      </c>
      <c r="H60" s="604">
        <f t="shared" si="8"/>
        <v>0</v>
      </c>
      <c r="I60" s="604">
        <f t="shared" si="8"/>
        <v>0</v>
      </c>
      <c r="J60" s="604">
        <f t="shared" si="8"/>
        <v>0</v>
      </c>
      <c r="K60" s="604">
        <f t="shared" si="8"/>
        <v>-11871.771285663332</v>
      </c>
      <c r="L60" s="604">
        <f t="shared" si="8"/>
        <v>-11871.771285663332</v>
      </c>
    </row>
    <row r="61" spans="1:12" ht="13.5" thickBot="1" x14ac:dyDescent="0.25">
      <c r="A61" s="600">
        <f>ROW()</f>
        <v>61</v>
      </c>
      <c r="B61" s="613" t="s">
        <v>45</v>
      </c>
      <c r="C61" s="613"/>
      <c r="D61" s="614">
        <f>-D58-D60</f>
        <v>0</v>
      </c>
      <c r="E61" s="614">
        <f>-E58-E60</f>
        <v>0</v>
      </c>
      <c r="F61" s="614">
        <f t="shared" ref="F61:L61" si="9">-F58-F60</f>
        <v>0</v>
      </c>
      <c r="G61" s="614">
        <f t="shared" si="9"/>
        <v>0</v>
      </c>
      <c r="H61" s="614">
        <f t="shared" si="9"/>
        <v>0</v>
      </c>
      <c r="I61" s="614">
        <f t="shared" si="9"/>
        <v>0</v>
      </c>
      <c r="J61" s="614">
        <f t="shared" si="9"/>
        <v>0</v>
      </c>
      <c r="K61" s="614">
        <f t="shared" si="9"/>
        <v>-44660.472931781107</v>
      </c>
      <c r="L61" s="614">
        <f t="shared" si="9"/>
        <v>-44660.472931781107</v>
      </c>
    </row>
    <row r="62" spans="1:12" ht="13.5" thickTop="1" x14ac:dyDescent="0.2"/>
    <row r="64" spans="1:12" ht="15" x14ac:dyDescent="0.25">
      <c r="A64" s="568"/>
      <c r="B64" s="568"/>
      <c r="C64" s="568"/>
      <c r="D64" s="568"/>
      <c r="E64" s="568"/>
      <c r="F64" s="568"/>
      <c r="G64" s="568"/>
      <c r="H64" s="568"/>
      <c r="I64" s="568"/>
      <c r="J64" s="568"/>
      <c r="K64" s="568"/>
      <c r="L64" s="568"/>
    </row>
    <row r="65" spans="1:12" ht="15" x14ac:dyDescent="0.25">
      <c r="A65" s="568"/>
      <c r="B65" s="568"/>
      <c r="C65" s="568"/>
      <c r="D65" s="568"/>
      <c r="E65" s="568"/>
      <c r="F65" s="568"/>
      <c r="G65" s="568"/>
      <c r="H65" s="568"/>
      <c r="I65" s="568"/>
      <c r="J65" s="568"/>
      <c r="K65" s="568"/>
      <c r="L65" s="568"/>
    </row>
    <row r="66" spans="1:12" ht="15" x14ac:dyDescent="0.25">
      <c r="A66" s="568"/>
      <c r="B66" s="568"/>
      <c r="C66" s="568"/>
      <c r="D66" s="568"/>
      <c r="E66" s="568"/>
      <c r="F66" s="568"/>
      <c r="G66" s="568"/>
      <c r="H66" s="568"/>
      <c r="I66" s="568"/>
      <c r="J66" s="568"/>
      <c r="K66" s="568"/>
      <c r="L66" s="568"/>
    </row>
    <row r="67" spans="1:12" ht="15" x14ac:dyDescent="0.25">
      <c r="A67" s="568"/>
      <c r="B67" s="568"/>
      <c r="C67" s="568"/>
      <c r="D67" s="568"/>
      <c r="E67" s="568"/>
      <c r="F67" s="568"/>
      <c r="G67" s="568"/>
      <c r="H67" s="568"/>
      <c r="I67" s="568"/>
      <c r="J67" s="568"/>
      <c r="K67" s="568"/>
      <c r="L67" s="568"/>
    </row>
    <row r="68" spans="1:12" x14ac:dyDescent="0.2">
      <c r="A68" s="570"/>
      <c r="B68" s="615" t="s">
        <v>562</v>
      </c>
      <c r="C68" s="570"/>
      <c r="D68" s="570"/>
      <c r="E68" s="570"/>
      <c r="F68" s="570"/>
      <c r="G68" s="570"/>
      <c r="H68" s="570"/>
      <c r="I68" s="570"/>
      <c r="J68" s="570"/>
      <c r="K68" s="570"/>
      <c r="L68" s="570"/>
    </row>
    <row r="69" spans="1:12" ht="14.25" x14ac:dyDescent="0.2">
      <c r="A69" s="571" t="s">
        <v>66</v>
      </c>
      <c r="B69" s="572"/>
      <c r="C69" s="572"/>
      <c r="D69" s="572"/>
      <c r="E69" s="572"/>
      <c r="F69" s="572"/>
      <c r="G69" s="572"/>
      <c r="H69" s="572"/>
      <c r="I69" s="572"/>
      <c r="J69" s="572"/>
      <c r="K69" s="572"/>
      <c r="L69" s="572"/>
    </row>
    <row r="70" spans="1:12" x14ac:dyDescent="0.2">
      <c r="A70" s="573" t="s">
        <v>126</v>
      </c>
      <c r="B70" s="573"/>
      <c r="C70" s="572"/>
      <c r="D70" s="572"/>
      <c r="E70" s="572"/>
      <c r="F70" s="572"/>
      <c r="G70" s="572"/>
      <c r="H70" s="572"/>
      <c r="I70" s="572"/>
      <c r="J70" s="572"/>
      <c r="K70" s="572"/>
      <c r="L70" s="572"/>
    </row>
    <row r="71" spans="1:12" ht="14.25" x14ac:dyDescent="0.2">
      <c r="A71" s="574" t="s">
        <v>470</v>
      </c>
      <c r="B71" s="574"/>
      <c r="C71" s="574"/>
      <c r="D71" s="574"/>
      <c r="E71" s="574"/>
      <c r="F71" s="574"/>
      <c r="G71" s="574"/>
      <c r="H71" s="574"/>
      <c r="I71" s="574"/>
      <c r="J71" s="574"/>
      <c r="K71" s="574"/>
      <c r="L71" s="574"/>
    </row>
    <row r="72" spans="1:12" ht="14.25" x14ac:dyDescent="0.2">
      <c r="A72" s="574" t="s">
        <v>68</v>
      </c>
      <c r="B72" s="574"/>
      <c r="C72" s="574"/>
      <c r="D72" s="574"/>
      <c r="E72" s="574"/>
      <c r="F72" s="574"/>
      <c r="G72" s="574"/>
      <c r="H72" s="574"/>
      <c r="I72" s="574"/>
      <c r="J72" s="574"/>
      <c r="K72" s="574"/>
      <c r="L72" s="574"/>
    </row>
    <row r="73" spans="1:12" x14ac:dyDescent="0.2">
      <c r="A73" s="570"/>
      <c r="B73" s="573"/>
      <c r="C73" s="572"/>
      <c r="D73" s="575" t="s">
        <v>47</v>
      </c>
      <c r="E73" s="570"/>
      <c r="F73" s="575" t="s">
        <v>48</v>
      </c>
      <c r="G73" s="570"/>
      <c r="H73" s="575" t="s">
        <v>48</v>
      </c>
      <c r="I73" s="570"/>
      <c r="J73" s="575" t="s">
        <v>48</v>
      </c>
      <c r="K73" s="570"/>
      <c r="L73" s="575" t="s">
        <v>47</v>
      </c>
    </row>
    <row r="74" spans="1:12" x14ac:dyDescent="0.2">
      <c r="A74" s="570"/>
      <c r="B74" s="573"/>
      <c r="C74" s="572"/>
      <c r="D74" s="576"/>
      <c r="E74" s="577"/>
      <c r="F74" s="577"/>
      <c r="G74" s="577"/>
      <c r="H74" s="578"/>
      <c r="I74" s="576"/>
      <c r="J74" s="577"/>
      <c r="K74" s="577"/>
      <c r="L74" s="577"/>
    </row>
    <row r="75" spans="1:12" x14ac:dyDescent="0.2">
      <c r="A75" s="570"/>
      <c r="B75" s="573"/>
      <c r="C75" s="572"/>
      <c r="D75" s="579"/>
      <c r="E75" s="580"/>
      <c r="F75" s="580"/>
      <c r="G75" s="581"/>
      <c r="H75" s="582" t="s">
        <v>49</v>
      </c>
      <c r="I75" s="583">
        <v>2022</v>
      </c>
      <c r="J75" s="584" t="s">
        <v>50</v>
      </c>
      <c r="K75" s="584">
        <v>2023</v>
      </c>
      <c r="L75" s="584" t="s">
        <v>50</v>
      </c>
    </row>
    <row r="76" spans="1:12" x14ac:dyDescent="0.2">
      <c r="A76" s="570"/>
      <c r="B76" s="570"/>
      <c r="C76" s="585"/>
      <c r="D76" s="586" t="s">
        <v>51</v>
      </c>
      <c r="E76" s="587"/>
      <c r="F76" s="588" t="s">
        <v>40</v>
      </c>
      <c r="G76" s="588" t="s">
        <v>3</v>
      </c>
      <c r="H76" s="589" t="s">
        <v>50</v>
      </c>
      <c r="I76" s="586" t="s">
        <v>52</v>
      </c>
      <c r="J76" s="588" t="s">
        <v>53</v>
      </c>
      <c r="K76" s="588" t="s">
        <v>54</v>
      </c>
      <c r="L76" s="588" t="s">
        <v>53</v>
      </c>
    </row>
    <row r="77" spans="1:12" x14ac:dyDescent="0.2">
      <c r="A77" s="590" t="s">
        <v>0</v>
      </c>
      <c r="B77" s="590"/>
      <c r="C77" s="591"/>
      <c r="D77" s="586" t="s">
        <v>55</v>
      </c>
      <c r="E77" s="588" t="s">
        <v>56</v>
      </c>
      <c r="F77" s="588" t="s">
        <v>57</v>
      </c>
      <c r="G77" s="588" t="s">
        <v>58</v>
      </c>
      <c r="H77" s="589" t="s">
        <v>57</v>
      </c>
      <c r="I77" s="586" t="s">
        <v>59</v>
      </c>
      <c r="J77" s="588" t="s">
        <v>60</v>
      </c>
      <c r="K77" s="588" t="s">
        <v>59</v>
      </c>
      <c r="L77" s="588" t="s">
        <v>61</v>
      </c>
    </row>
    <row r="78" spans="1:12" x14ac:dyDescent="0.2">
      <c r="A78" s="592" t="s">
        <v>1</v>
      </c>
      <c r="B78" s="593" t="s">
        <v>2</v>
      </c>
      <c r="C78" s="594" t="s">
        <v>41</v>
      </c>
      <c r="D78" s="595" t="s">
        <v>62</v>
      </c>
      <c r="E78" s="596" t="s">
        <v>63</v>
      </c>
      <c r="F78" s="596" t="s">
        <v>64</v>
      </c>
      <c r="G78" s="596" t="s">
        <v>63</v>
      </c>
      <c r="H78" s="597" t="s">
        <v>64</v>
      </c>
      <c r="I78" s="595" t="s">
        <v>63</v>
      </c>
      <c r="J78" s="596" t="s">
        <v>54</v>
      </c>
      <c r="K78" s="596" t="s">
        <v>63</v>
      </c>
      <c r="L78" s="596" t="s">
        <v>54</v>
      </c>
    </row>
    <row r="79" spans="1:12" x14ac:dyDescent="0.2">
      <c r="A79" s="598"/>
      <c r="B79" s="599"/>
      <c r="C79" s="599"/>
      <c r="D79" s="598"/>
      <c r="E79" s="598"/>
      <c r="F79" s="598"/>
      <c r="G79" s="598"/>
      <c r="H79" s="598"/>
      <c r="I79" s="598"/>
      <c r="J79" s="598"/>
      <c r="K79" s="598"/>
      <c r="L79" s="598"/>
    </row>
    <row r="80" spans="1:12" x14ac:dyDescent="0.2">
      <c r="A80" s="600">
        <v>17</v>
      </c>
      <c r="B80" s="599" t="s">
        <v>69</v>
      </c>
      <c r="C80" s="599"/>
      <c r="D80" s="601"/>
      <c r="E80" s="602"/>
      <c r="F80" s="602"/>
      <c r="G80" s="602"/>
      <c r="H80" s="602"/>
      <c r="I80" s="602"/>
      <c r="J80" s="602"/>
      <c r="K80" s="602"/>
      <c r="L80" s="602"/>
    </row>
    <row r="81" spans="1:12" x14ac:dyDescent="0.2">
      <c r="A81" s="600">
        <v>18</v>
      </c>
      <c r="B81" s="603" t="s">
        <v>46</v>
      </c>
      <c r="C81" s="603"/>
      <c r="D81" s="604"/>
      <c r="E81" s="604"/>
      <c r="F81" s="604">
        <v>0</v>
      </c>
      <c r="G81" s="604"/>
      <c r="H81" s="604">
        <v>0</v>
      </c>
      <c r="I81" s="604"/>
      <c r="J81" s="604">
        <v>0</v>
      </c>
      <c r="K81" s="604">
        <v>1512628.8683333332</v>
      </c>
      <c r="L81" s="604">
        <v>1512628.8683333332</v>
      </c>
    </row>
    <row r="82" spans="1:12" x14ac:dyDescent="0.2">
      <c r="A82" s="600">
        <v>19</v>
      </c>
      <c r="B82" s="603" t="s">
        <v>42</v>
      </c>
      <c r="C82" s="603"/>
      <c r="D82" s="604"/>
      <c r="E82" s="604"/>
      <c r="F82" s="604">
        <v>0</v>
      </c>
      <c r="G82" s="604"/>
      <c r="H82" s="604">
        <v>0</v>
      </c>
      <c r="I82" s="604"/>
      <c r="J82" s="604">
        <v>0</v>
      </c>
      <c r="K82" s="604">
        <v>-29163.40866120486</v>
      </c>
      <c r="L82" s="604">
        <v>-29163.40866120486</v>
      </c>
    </row>
    <row r="83" spans="1:12" x14ac:dyDescent="0.2">
      <c r="A83" s="600">
        <v>20</v>
      </c>
      <c r="B83" s="603" t="s">
        <v>65</v>
      </c>
      <c r="C83" s="603"/>
      <c r="D83" s="604"/>
      <c r="E83" s="604"/>
      <c r="F83" s="604">
        <v>0</v>
      </c>
      <c r="G83" s="604"/>
      <c r="H83" s="604">
        <v>0</v>
      </c>
      <c r="I83" s="604"/>
      <c r="J83" s="604">
        <v>0</v>
      </c>
      <c r="K83" s="604">
        <v>-12767.619259277628</v>
      </c>
      <c r="L83" s="604">
        <v>-12767.619259277628</v>
      </c>
    </row>
    <row r="84" spans="1:12" x14ac:dyDescent="0.2">
      <c r="A84" s="600">
        <v>21</v>
      </c>
      <c r="B84" s="605" t="s">
        <v>71</v>
      </c>
      <c r="C84" s="605"/>
      <c r="D84" s="606">
        <v>0</v>
      </c>
      <c r="E84" s="606">
        <v>0</v>
      </c>
      <c r="F84" s="606">
        <v>0</v>
      </c>
      <c r="G84" s="606">
        <v>0</v>
      </c>
      <c r="H84" s="606">
        <v>0</v>
      </c>
      <c r="I84" s="606">
        <v>0</v>
      </c>
      <c r="J84" s="606">
        <v>0</v>
      </c>
      <c r="K84" s="606">
        <v>1470697.8404128507</v>
      </c>
      <c r="L84" s="606">
        <v>1470697.8404128507</v>
      </c>
    </row>
    <row r="85" spans="1:12" ht="15" x14ac:dyDescent="0.25">
      <c r="A85" s="600">
        <v>22</v>
      </c>
      <c r="B85" s="605"/>
      <c r="C85" s="605"/>
      <c r="D85" s="607"/>
      <c r="E85" s="607"/>
      <c r="F85" s="608"/>
      <c r="G85" s="607"/>
      <c r="H85" s="608"/>
      <c r="I85" s="607"/>
      <c r="J85" s="608"/>
      <c r="K85" s="607"/>
      <c r="L85" s="608"/>
    </row>
    <row r="86" spans="1:12" ht="15" x14ac:dyDescent="0.25">
      <c r="A86" s="600">
        <v>23</v>
      </c>
      <c r="B86" s="599" t="s">
        <v>70</v>
      </c>
      <c r="C86" s="599"/>
      <c r="D86" s="568"/>
      <c r="E86" s="568"/>
      <c r="F86" s="568"/>
      <c r="G86" s="568"/>
      <c r="H86" s="568"/>
      <c r="I86" s="568"/>
      <c r="J86" s="568"/>
      <c r="K86" s="568"/>
      <c r="L86" s="568"/>
    </row>
    <row r="87" spans="1:12" x14ac:dyDescent="0.2">
      <c r="A87" s="600">
        <v>24</v>
      </c>
      <c r="B87" s="609" t="s">
        <v>94</v>
      </c>
      <c r="C87" s="609"/>
      <c r="D87" s="604"/>
      <c r="E87" s="604"/>
      <c r="F87" s="604">
        <v>0</v>
      </c>
      <c r="G87" s="604"/>
      <c r="H87" s="604">
        <v>0</v>
      </c>
      <c r="I87" s="604"/>
      <c r="J87" s="604">
        <v>0</v>
      </c>
      <c r="K87" s="604">
        <v>159169.76802358331</v>
      </c>
      <c r="L87" s="604">
        <v>159169.76802358331</v>
      </c>
    </row>
    <row r="88" spans="1:12" ht="15" x14ac:dyDescent="0.25">
      <c r="A88" s="600">
        <v>25</v>
      </c>
      <c r="B88" s="609"/>
      <c r="C88" s="609"/>
      <c r="D88" s="568"/>
      <c r="E88" s="568"/>
      <c r="F88" s="568"/>
      <c r="G88" s="568"/>
      <c r="H88" s="568"/>
      <c r="I88" s="568"/>
      <c r="J88" s="568"/>
      <c r="K88" s="568"/>
      <c r="L88" s="568"/>
    </row>
    <row r="89" spans="1:12" x14ac:dyDescent="0.2">
      <c r="A89" s="600">
        <v>26</v>
      </c>
      <c r="B89" s="610" t="s">
        <v>43</v>
      </c>
      <c r="C89" s="610"/>
      <c r="D89" s="606">
        <v>0</v>
      </c>
      <c r="E89" s="606">
        <v>0</v>
      </c>
      <c r="F89" s="606">
        <v>0</v>
      </c>
      <c r="G89" s="606">
        <v>0</v>
      </c>
      <c r="H89" s="606">
        <v>0</v>
      </c>
      <c r="I89" s="606">
        <v>0</v>
      </c>
      <c r="J89" s="606">
        <v>0</v>
      </c>
      <c r="K89" s="606">
        <v>159169.76802358331</v>
      </c>
      <c r="L89" s="606">
        <v>159169.76802358331</v>
      </c>
    </row>
    <row r="90" spans="1:12" ht="15" x14ac:dyDescent="0.25">
      <c r="A90" s="600">
        <v>27</v>
      </c>
      <c r="B90" s="610"/>
      <c r="C90" s="610"/>
      <c r="D90" s="568"/>
      <c r="E90" s="568"/>
      <c r="F90" s="568"/>
      <c r="G90" s="568"/>
      <c r="H90" s="568"/>
      <c r="I90" s="568"/>
      <c r="J90" s="568"/>
      <c r="K90" s="568"/>
      <c r="L90" s="568"/>
    </row>
    <row r="91" spans="1:12" x14ac:dyDescent="0.2">
      <c r="A91" s="600">
        <v>28</v>
      </c>
      <c r="B91" s="611" t="s">
        <v>44</v>
      </c>
      <c r="C91" s="612">
        <v>0.21</v>
      </c>
      <c r="D91" s="604">
        <v>0</v>
      </c>
      <c r="E91" s="604">
        <v>0</v>
      </c>
      <c r="F91" s="604">
        <v>0</v>
      </c>
      <c r="G91" s="604">
        <v>0</v>
      </c>
      <c r="H91" s="604">
        <v>0</v>
      </c>
      <c r="I91" s="604">
        <v>0</v>
      </c>
      <c r="J91" s="604">
        <v>0</v>
      </c>
      <c r="K91" s="604">
        <v>-33425.651284952495</v>
      </c>
      <c r="L91" s="604">
        <v>-33425.651284952495</v>
      </c>
    </row>
    <row r="92" spans="1:12" ht="13.5" thickBot="1" x14ac:dyDescent="0.25">
      <c r="A92" s="600">
        <v>29</v>
      </c>
      <c r="B92" s="613" t="s">
        <v>45</v>
      </c>
      <c r="C92" s="613"/>
      <c r="D92" s="614">
        <v>0</v>
      </c>
      <c r="E92" s="614">
        <v>0</v>
      </c>
      <c r="F92" s="614">
        <v>0</v>
      </c>
      <c r="G92" s="614">
        <v>0</v>
      </c>
      <c r="H92" s="614">
        <v>0</v>
      </c>
      <c r="I92" s="614">
        <v>0</v>
      </c>
      <c r="J92" s="614">
        <v>0</v>
      </c>
      <c r="K92" s="616">
        <v>-125744.11673863081</v>
      </c>
      <c r="L92" s="616">
        <v>-125744.11673863081</v>
      </c>
    </row>
    <row r="93" spans="1:12" ht="13.5" thickTop="1" x14ac:dyDescent="0.2"/>
    <row r="97" spans="12:12" x14ac:dyDescent="0.2">
      <c r="L97" s="617"/>
    </row>
    <row r="98" spans="12:12" x14ac:dyDescent="0.2">
      <c r="L98" s="617"/>
    </row>
    <row r="99" spans="12:12" x14ac:dyDescent="0.2">
      <c r="L99" s="617"/>
    </row>
    <row r="100" spans="12:12" x14ac:dyDescent="0.2">
      <c r="L100" s="617"/>
    </row>
  </sheetData>
  <pageMargins left="0.2" right="0.2"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workbookViewId="0">
      <selection activeCell="D8" sqref="D8"/>
    </sheetView>
  </sheetViews>
  <sheetFormatPr defaultRowHeight="15" x14ac:dyDescent="0.25"/>
  <cols>
    <col min="1" max="1" width="5.140625" bestFit="1" customWidth="1"/>
    <col min="2" max="2" width="33.42578125" bestFit="1" customWidth="1"/>
    <col min="3" max="3" width="15.28515625" bestFit="1" customWidth="1"/>
    <col min="8" max="8" width="9.140625" style="1"/>
    <col min="9" max="9" width="5.140625" bestFit="1" customWidth="1"/>
    <col min="10" max="10" width="33.42578125" bestFit="1" customWidth="1"/>
    <col min="11" max="11" width="15.28515625" bestFit="1" customWidth="1"/>
    <col min="16" max="16" width="9.140625" style="1"/>
    <col min="17" max="17" width="5.140625" bestFit="1" customWidth="1"/>
    <col min="18" max="18" width="33.42578125" style="1" bestFit="1" customWidth="1"/>
    <col min="19" max="19" width="15.28515625" bestFit="1" customWidth="1"/>
  </cols>
  <sheetData>
    <row r="1" spans="1:19" x14ac:dyDescent="0.25">
      <c r="A1" s="4" t="s">
        <v>125</v>
      </c>
      <c r="I1" s="4" t="s">
        <v>125</v>
      </c>
      <c r="Q1" s="4" t="s">
        <v>125</v>
      </c>
    </row>
    <row r="2" spans="1:19" x14ac:dyDescent="0.25">
      <c r="A2" s="4"/>
      <c r="I2" s="4"/>
      <c r="J2" s="424" t="s">
        <v>561</v>
      </c>
      <c r="Q2" s="4"/>
      <c r="R2" s="408" t="s">
        <v>562</v>
      </c>
    </row>
    <row r="3" spans="1:19" x14ac:dyDescent="0.25">
      <c r="A3" s="1"/>
      <c r="C3" s="1"/>
      <c r="I3" s="1"/>
      <c r="K3" s="1"/>
      <c r="Q3" s="1"/>
      <c r="S3" s="1"/>
    </row>
    <row r="4" spans="1:19" x14ac:dyDescent="0.25">
      <c r="A4" s="14" t="s">
        <v>95</v>
      </c>
      <c r="C4" s="14">
        <v>2024</v>
      </c>
      <c r="I4" s="14" t="s">
        <v>95</v>
      </c>
      <c r="K4" s="14">
        <v>2023</v>
      </c>
      <c r="Q4" s="14" t="s">
        <v>95</v>
      </c>
      <c r="S4" s="14">
        <v>2023</v>
      </c>
    </row>
    <row r="5" spans="1:19" x14ac:dyDescent="0.25">
      <c r="A5" s="15" t="s">
        <v>96</v>
      </c>
      <c r="B5" s="15" t="s">
        <v>97</v>
      </c>
      <c r="C5" s="16" t="s">
        <v>98</v>
      </c>
      <c r="I5" s="15" t="s">
        <v>96</v>
      </c>
      <c r="J5" s="15" t="s">
        <v>97</v>
      </c>
      <c r="K5" s="16" t="s">
        <v>98</v>
      </c>
      <c r="Q5" s="15" t="s">
        <v>96</v>
      </c>
      <c r="R5" s="416" t="s">
        <v>97</v>
      </c>
      <c r="S5" s="16" t="s">
        <v>98</v>
      </c>
    </row>
    <row r="7" spans="1:19" x14ac:dyDescent="0.25">
      <c r="A7">
        <v>1</v>
      </c>
      <c r="B7" s="17" t="s">
        <v>114</v>
      </c>
      <c r="C7" s="18"/>
      <c r="I7">
        <v>1</v>
      </c>
      <c r="J7" s="17" t="s">
        <v>114</v>
      </c>
      <c r="K7" s="18"/>
      <c r="Q7">
        <v>1</v>
      </c>
      <c r="R7" s="417" t="s">
        <v>99</v>
      </c>
      <c r="S7" s="18"/>
    </row>
    <row r="8" spans="1:19" x14ac:dyDescent="0.25">
      <c r="A8" s="1">
        <v>2</v>
      </c>
      <c r="B8" s="1" t="s">
        <v>100</v>
      </c>
      <c r="C8" s="19">
        <f>'AMA Totals By Depr Grp'!B28</f>
        <v>1105234.2016666669</v>
      </c>
      <c r="I8" s="1">
        <v>2</v>
      </c>
      <c r="J8" s="1" t="s">
        <v>100</v>
      </c>
      <c r="K8" s="19">
        <f>'AMA Totals By Depr Grp'!B16</f>
        <v>30196.409166666668</v>
      </c>
      <c r="Q8" s="1">
        <v>2</v>
      </c>
      <c r="R8" s="1" t="s">
        <v>100</v>
      </c>
      <c r="S8" s="19">
        <v>279050.18935976311</v>
      </c>
    </row>
    <row r="9" spans="1:19" x14ac:dyDescent="0.25">
      <c r="A9" s="1">
        <v>3</v>
      </c>
      <c r="B9" s="1" t="s">
        <v>20</v>
      </c>
      <c r="C9" s="19">
        <f>'AMA Totals By Depr Grp'!C28</f>
        <v>-54465.452338083334</v>
      </c>
      <c r="I9" s="1">
        <v>3</v>
      </c>
      <c r="J9" s="1" t="s">
        <v>20</v>
      </c>
      <c r="K9" s="19">
        <f>'AMA Totals By Depr Grp'!C16</f>
        <v>-469.31973768055559</v>
      </c>
      <c r="Q9" s="1">
        <v>3</v>
      </c>
      <c r="R9" s="1" t="s">
        <v>20</v>
      </c>
      <c r="S9" s="19">
        <v>-5380.0736450654695</v>
      </c>
    </row>
    <row r="10" spans="1:19" x14ac:dyDescent="0.25">
      <c r="A10" s="1">
        <v>4</v>
      </c>
      <c r="B10" s="1" t="s">
        <v>101</v>
      </c>
      <c r="C10" s="19">
        <f>'AMA Totals By Depr Grp'!D28</f>
        <v>-52434.027505002501</v>
      </c>
      <c r="I10" s="1">
        <v>4</v>
      </c>
      <c r="J10" s="1" t="s">
        <v>101</v>
      </c>
      <c r="K10" s="19">
        <f>'AMA Totals By Depr Grp'!D16</f>
        <v>-2963.5927150870843</v>
      </c>
      <c r="Q10" s="1">
        <v>4</v>
      </c>
      <c r="R10" s="1" t="s">
        <v>101</v>
      </c>
      <c r="S10" s="19">
        <v>-2355.3739099931395</v>
      </c>
    </row>
    <row r="11" spans="1:19" x14ac:dyDescent="0.25">
      <c r="A11" s="1">
        <v>5</v>
      </c>
      <c r="B11" s="1" t="s">
        <v>102</v>
      </c>
      <c r="C11" s="20">
        <f t="shared" ref="C11" si="0">SUM(C8:C10)</f>
        <v>998334.72182358103</v>
      </c>
      <c r="I11" s="1">
        <v>5</v>
      </c>
      <c r="J11" s="1" t="s">
        <v>102</v>
      </c>
      <c r="K11" s="20">
        <f t="shared" ref="K11" si="1">SUM(K8:K10)</f>
        <v>26763.496713899029</v>
      </c>
      <c r="Q11" s="1">
        <v>5</v>
      </c>
      <c r="R11" s="1" t="s">
        <v>102</v>
      </c>
      <c r="S11" s="20">
        <v>271314.74180470448</v>
      </c>
    </row>
    <row r="12" spans="1:19" x14ac:dyDescent="0.25">
      <c r="A12" s="1">
        <v>6</v>
      </c>
      <c r="B12" s="1" t="s">
        <v>103</v>
      </c>
      <c r="C12" s="21">
        <v>0.02</v>
      </c>
      <c r="I12" s="1">
        <v>6</v>
      </c>
      <c r="J12" s="1" t="s">
        <v>103</v>
      </c>
      <c r="K12" s="21">
        <v>0.02</v>
      </c>
      <c r="Q12" s="1">
        <v>6</v>
      </c>
      <c r="R12" s="1" t="s">
        <v>103</v>
      </c>
      <c r="S12" s="21">
        <v>0.02</v>
      </c>
    </row>
    <row r="13" spans="1:19" x14ac:dyDescent="0.25">
      <c r="A13" s="1">
        <v>7</v>
      </c>
      <c r="B13" s="1" t="s">
        <v>104</v>
      </c>
      <c r="C13" s="19">
        <f t="shared" ref="C13" si="2">C11*C12</f>
        <v>19966.694436471622</v>
      </c>
      <c r="I13" s="1">
        <v>7</v>
      </c>
      <c r="J13" s="1" t="s">
        <v>104</v>
      </c>
      <c r="K13" s="19">
        <f t="shared" ref="K13" si="3">K11*K12</f>
        <v>535.26993427798061</v>
      </c>
      <c r="Q13" s="1">
        <v>7</v>
      </c>
      <c r="R13" s="1" t="s">
        <v>104</v>
      </c>
      <c r="S13" s="19">
        <v>5426.29483609409</v>
      </c>
    </row>
    <row r="14" spans="1:19" x14ac:dyDescent="0.25">
      <c r="A14" s="1">
        <v>8</v>
      </c>
      <c r="B14" s="1" t="s">
        <v>105</v>
      </c>
      <c r="C14" s="22">
        <v>0</v>
      </c>
      <c r="I14" s="1">
        <v>8</v>
      </c>
      <c r="J14" s="1" t="s">
        <v>105</v>
      </c>
      <c r="K14" s="22">
        <v>0</v>
      </c>
      <c r="Q14" s="1">
        <v>8</v>
      </c>
      <c r="R14" s="1" t="s">
        <v>105</v>
      </c>
      <c r="S14" s="22">
        <v>0</v>
      </c>
    </row>
    <row r="15" spans="1:19" x14ac:dyDescent="0.25">
      <c r="A15" s="1">
        <v>9</v>
      </c>
      <c r="B15" s="1" t="s">
        <v>106</v>
      </c>
      <c r="C15" s="20">
        <f t="shared" ref="C15" si="4">SUM(C13:C14)</f>
        <v>19966.694436471622</v>
      </c>
      <c r="I15" s="1">
        <v>9</v>
      </c>
      <c r="J15" s="1" t="s">
        <v>106</v>
      </c>
      <c r="K15" s="20">
        <f t="shared" ref="K15" si="5">SUM(K13:K14)</f>
        <v>535.26993427798061</v>
      </c>
      <c r="Q15" s="1">
        <v>9</v>
      </c>
      <c r="R15" s="1" t="s">
        <v>106</v>
      </c>
      <c r="S15" s="20">
        <v>5426.29483609409</v>
      </c>
    </row>
    <row r="16" spans="1:19" x14ac:dyDescent="0.25">
      <c r="A16" s="1">
        <v>10</v>
      </c>
      <c r="B16" s="1" t="s">
        <v>107</v>
      </c>
      <c r="C16" s="21">
        <v>0.79</v>
      </c>
      <c r="I16" s="1">
        <v>10</v>
      </c>
      <c r="J16" s="1" t="s">
        <v>107</v>
      </c>
      <c r="K16" s="21">
        <v>0.79</v>
      </c>
      <c r="Q16" s="1">
        <v>10</v>
      </c>
      <c r="R16" s="1" t="s">
        <v>107</v>
      </c>
      <c r="S16" s="21">
        <v>0.79</v>
      </c>
    </row>
    <row r="17" spans="1:19" x14ac:dyDescent="0.25">
      <c r="A17" s="1">
        <v>11</v>
      </c>
      <c r="B17" s="1" t="s">
        <v>108</v>
      </c>
      <c r="C17" s="20">
        <f t="shared" ref="C17" si="6">C15/C16</f>
        <v>25274.296755027368</v>
      </c>
      <c r="I17" s="1">
        <v>11</v>
      </c>
      <c r="J17" s="1" t="s">
        <v>108</v>
      </c>
      <c r="K17" s="20">
        <f t="shared" ref="K17" si="7">K15/K16</f>
        <v>677.55687883288681</v>
      </c>
      <c r="Q17" s="1">
        <v>11</v>
      </c>
      <c r="R17" s="1" t="s">
        <v>108</v>
      </c>
      <c r="S17" s="20">
        <v>6868.7276406254305</v>
      </c>
    </row>
    <row r="19" spans="1:19" x14ac:dyDescent="0.25">
      <c r="B19" s="23" t="s">
        <v>109</v>
      </c>
      <c r="J19" s="23" t="s">
        <v>109</v>
      </c>
      <c r="R19" s="418" t="s">
        <v>109</v>
      </c>
    </row>
    <row r="23" spans="1:19" ht="15.75" thickBot="1" x14ac:dyDescent="0.3"/>
    <row r="24" spans="1:19" ht="15.75" thickBot="1" x14ac:dyDescent="0.3">
      <c r="R24" s="419" t="s">
        <v>185</v>
      </c>
      <c r="S24" s="24">
        <v>2023</v>
      </c>
    </row>
    <row r="25" spans="1:19" x14ac:dyDescent="0.25">
      <c r="R25" s="420" t="s">
        <v>110</v>
      </c>
      <c r="S25" s="25">
        <v>1191625</v>
      </c>
    </row>
    <row r="26" spans="1:19" x14ac:dyDescent="0.25">
      <c r="R26" s="420" t="s">
        <v>111</v>
      </c>
      <c r="S26" s="26">
        <v>0</v>
      </c>
    </row>
    <row r="27" spans="1:19" x14ac:dyDescent="0.25">
      <c r="R27" s="420" t="s">
        <v>112</v>
      </c>
      <c r="S27" s="25">
        <v>355394.5</v>
      </c>
    </row>
    <row r="28" spans="1:19" x14ac:dyDescent="0.25">
      <c r="R28" s="420" t="s">
        <v>113</v>
      </c>
      <c r="S28" s="25">
        <v>1584269.0000000002</v>
      </c>
    </row>
    <row r="29" spans="1:19" x14ac:dyDescent="0.25">
      <c r="R29" s="420" t="s">
        <v>114</v>
      </c>
      <c r="S29" s="26">
        <v>1397823</v>
      </c>
    </row>
    <row r="30" spans="1:19" ht="15.75" thickBot="1" x14ac:dyDescent="0.3">
      <c r="R30" s="420" t="s">
        <v>115</v>
      </c>
      <c r="S30" s="25">
        <v>3047975</v>
      </c>
    </row>
    <row r="31" spans="1:19" ht="15.75" thickBot="1" x14ac:dyDescent="0.3">
      <c r="R31" s="421" t="s">
        <v>116</v>
      </c>
      <c r="S31" s="27">
        <v>7577086.5</v>
      </c>
    </row>
    <row r="33" spans="18:19" x14ac:dyDescent="0.25">
      <c r="R33" s="422" t="s">
        <v>117</v>
      </c>
      <c r="S33" s="37">
        <f>(S29+S26)/S31</f>
        <v>0.18448027483914828</v>
      </c>
    </row>
    <row r="35" spans="18:19" x14ac:dyDescent="0.25">
      <c r="R35" s="3" t="s">
        <v>118</v>
      </c>
    </row>
    <row r="36" spans="18:19" x14ac:dyDescent="0.25">
      <c r="R36" s="5" t="s">
        <v>119</v>
      </c>
      <c r="S36" s="19">
        <v>1512628.8683333332</v>
      </c>
    </row>
    <row r="37" spans="18:19" x14ac:dyDescent="0.25">
      <c r="R37" s="1" t="s">
        <v>120</v>
      </c>
      <c r="S37" s="19">
        <v>-29163.40866120486</v>
      </c>
    </row>
    <row r="38" spans="18:19" x14ac:dyDescent="0.25">
      <c r="R38" s="1" t="s">
        <v>11</v>
      </c>
      <c r="S38" s="19">
        <v>-12767.619259277628</v>
      </c>
    </row>
    <row r="39" spans="18:19" x14ac:dyDescent="0.25">
      <c r="S39" s="43"/>
    </row>
    <row r="40" spans="18:19" x14ac:dyDescent="0.25">
      <c r="R40" s="423" t="s">
        <v>121</v>
      </c>
      <c r="S40" s="43"/>
    </row>
    <row r="41" spans="18:19" x14ac:dyDescent="0.25">
      <c r="R41" s="1" t="s">
        <v>119</v>
      </c>
      <c r="S41" s="43">
        <v>279050.18935976311</v>
      </c>
    </row>
    <row r="42" spans="18:19" x14ac:dyDescent="0.25">
      <c r="R42" s="1" t="s">
        <v>120</v>
      </c>
      <c r="S42" s="43">
        <v>-5380.0736450654695</v>
      </c>
    </row>
    <row r="43" spans="18:19" x14ac:dyDescent="0.25">
      <c r="R43" s="1" t="s">
        <v>11</v>
      </c>
      <c r="S43" s="43">
        <v>-2355.3739099931395</v>
      </c>
    </row>
  </sheetData>
  <pageMargins left="0.7" right="0.7" top="0.75" bottom="0.75" header="0.3" footer="0.3"/>
  <pageSetup orientation="portrait" horizontalDpi="90" verticalDpi="9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C37" sqref="C37"/>
    </sheetView>
  </sheetViews>
  <sheetFormatPr defaultRowHeight="15" x14ac:dyDescent="0.25"/>
  <cols>
    <col min="1" max="1" width="21.28515625" style="1" bestFit="1" customWidth="1"/>
    <col min="2" max="2" width="9.5703125" style="1" bestFit="1" customWidth="1"/>
    <col min="3" max="3" width="10.5703125" style="1" bestFit="1" customWidth="1"/>
    <col min="4" max="13" width="14.85546875" style="1" customWidth="1"/>
    <col min="14" max="14" width="14.28515625" style="1" bestFit="1" customWidth="1"/>
    <col min="15" max="16384" width="9.140625" style="1"/>
  </cols>
  <sheetData>
    <row r="1" spans="1:14" x14ac:dyDescent="0.25">
      <c r="A1" s="394" t="s">
        <v>187</v>
      </c>
      <c r="B1" s="394"/>
      <c r="C1" s="394"/>
      <c r="D1" s="394"/>
      <c r="E1" s="394"/>
      <c r="F1" s="394"/>
      <c r="G1" s="394"/>
      <c r="H1" s="394"/>
      <c r="I1" s="394"/>
      <c r="J1" s="394"/>
      <c r="K1" s="394"/>
      <c r="L1" s="394"/>
      <c r="M1" s="394"/>
    </row>
    <row r="2" spans="1:14" x14ac:dyDescent="0.25">
      <c r="A2" s="395" t="s">
        <v>166</v>
      </c>
      <c r="B2" s="396">
        <v>45292</v>
      </c>
      <c r="C2" s="396">
        <v>45323</v>
      </c>
      <c r="D2" s="396">
        <v>45352</v>
      </c>
      <c r="E2" s="396">
        <v>45383</v>
      </c>
      <c r="F2" s="396">
        <v>45413</v>
      </c>
      <c r="G2" s="396">
        <v>45444</v>
      </c>
      <c r="H2" s="396">
        <v>45474</v>
      </c>
      <c r="I2" s="396">
        <v>45505</v>
      </c>
      <c r="J2" s="396">
        <v>45536</v>
      </c>
      <c r="K2" s="396">
        <v>45566</v>
      </c>
      <c r="L2" s="396">
        <v>45597</v>
      </c>
      <c r="M2" s="396">
        <v>45627</v>
      </c>
      <c r="N2" s="397" t="s">
        <v>477</v>
      </c>
    </row>
    <row r="3" spans="1:14" x14ac:dyDescent="0.25">
      <c r="A3" s="398" t="s">
        <v>110</v>
      </c>
      <c r="B3" s="399">
        <v>0</v>
      </c>
      <c r="C3" s="399">
        <v>51750</v>
      </c>
      <c r="D3" s="399">
        <v>143625</v>
      </c>
      <c r="E3" s="399">
        <v>131625</v>
      </c>
      <c r="F3" s="399">
        <v>209937.5</v>
      </c>
      <c r="G3" s="399">
        <v>184937.5</v>
      </c>
      <c r="H3" s="399">
        <v>172937.5</v>
      </c>
      <c r="I3" s="399">
        <v>156625</v>
      </c>
      <c r="J3" s="399">
        <v>131625</v>
      </c>
      <c r="K3" s="399">
        <v>86312.5</v>
      </c>
      <c r="L3" s="399">
        <v>142250</v>
      </c>
      <c r="M3" s="399">
        <v>97250</v>
      </c>
      <c r="N3" s="57">
        <f>SUM(B3:M3)</f>
        <v>1508875</v>
      </c>
    </row>
    <row r="4" spans="1:14" x14ac:dyDescent="0.25">
      <c r="A4" s="398" t="s">
        <v>111</v>
      </c>
      <c r="B4" s="399">
        <v>0</v>
      </c>
      <c r="C4" s="399">
        <v>1</v>
      </c>
      <c r="D4" s="399">
        <v>0</v>
      </c>
      <c r="E4" s="399">
        <v>0</v>
      </c>
      <c r="F4" s="399">
        <v>0</v>
      </c>
      <c r="G4" s="399">
        <v>0</v>
      </c>
      <c r="H4" s="399">
        <v>0</v>
      </c>
      <c r="I4" s="399">
        <v>0</v>
      </c>
      <c r="J4" s="399">
        <v>0</v>
      </c>
      <c r="K4" s="399">
        <v>0</v>
      </c>
      <c r="L4" s="399">
        <v>0</v>
      </c>
      <c r="M4" s="399">
        <v>0</v>
      </c>
      <c r="N4" s="57">
        <f t="shared" ref="N4:N8" si="0">SUM(B4:M4)</f>
        <v>1</v>
      </c>
    </row>
    <row r="5" spans="1:14" x14ac:dyDescent="0.25">
      <c r="A5" s="398" t="s">
        <v>113</v>
      </c>
      <c r="B5" s="399">
        <v>23076</v>
      </c>
      <c r="C5" s="399">
        <v>189916</v>
      </c>
      <c r="D5" s="399">
        <v>154492</v>
      </c>
      <c r="E5" s="399">
        <v>244492</v>
      </c>
      <c r="F5" s="399">
        <v>288537</v>
      </c>
      <c r="G5" s="399">
        <v>288537</v>
      </c>
      <c r="H5" s="399">
        <v>333537</v>
      </c>
      <c r="I5" s="399">
        <v>230224</v>
      </c>
      <c r="J5" s="399">
        <v>218425</v>
      </c>
      <c r="K5" s="399">
        <v>144746</v>
      </c>
      <c r="L5" s="399">
        <v>167167</v>
      </c>
      <c r="M5" s="399">
        <v>122167</v>
      </c>
      <c r="N5" s="57">
        <f t="shared" si="0"/>
        <v>2405316</v>
      </c>
    </row>
    <row r="6" spans="1:14" x14ac:dyDescent="0.25">
      <c r="A6" s="398" t="s">
        <v>114</v>
      </c>
      <c r="B6" s="399">
        <v>6924</v>
      </c>
      <c r="C6" s="399">
        <v>122480</v>
      </c>
      <c r="D6" s="399">
        <v>147772</v>
      </c>
      <c r="E6" s="399">
        <v>185980</v>
      </c>
      <c r="F6" s="399">
        <v>233004</v>
      </c>
      <c r="G6" s="399">
        <v>226080</v>
      </c>
      <c r="H6" s="399">
        <v>245184</v>
      </c>
      <c r="I6" s="399">
        <v>185980</v>
      </c>
      <c r="J6" s="399">
        <v>169504</v>
      </c>
      <c r="K6" s="399">
        <v>106004</v>
      </c>
      <c r="L6" s="399">
        <v>458094</v>
      </c>
      <c r="M6" s="399">
        <v>429566</v>
      </c>
      <c r="N6" s="57">
        <f t="shared" si="0"/>
        <v>2516572</v>
      </c>
    </row>
    <row r="7" spans="1:14" x14ac:dyDescent="0.25">
      <c r="A7" s="398" t="s">
        <v>112</v>
      </c>
      <c r="B7" s="399">
        <v>24821.604166666664</v>
      </c>
      <c r="C7" s="399">
        <v>24821.604166666664</v>
      </c>
      <c r="D7" s="399">
        <v>22164.141666666663</v>
      </c>
      <c r="E7" s="399">
        <v>22164.141666666663</v>
      </c>
      <c r="F7" s="399">
        <v>23445.391666666663</v>
      </c>
      <c r="G7" s="399">
        <v>26792.241666666661</v>
      </c>
      <c r="H7" s="399">
        <v>26792.241666666661</v>
      </c>
      <c r="I7" s="399">
        <v>30139.09166666666</v>
      </c>
      <c r="J7" s="399">
        <v>30139.09166666666</v>
      </c>
      <c r="K7" s="399">
        <v>30139.09166666666</v>
      </c>
      <c r="L7" s="399">
        <v>20882.891666666663</v>
      </c>
      <c r="M7" s="399">
        <v>20882.891666666663</v>
      </c>
      <c r="N7" s="57">
        <f t="shared" si="0"/>
        <v>303184.42499999999</v>
      </c>
    </row>
    <row r="8" spans="1:14" x14ac:dyDescent="0.25">
      <c r="A8" s="398" t="s">
        <v>115</v>
      </c>
      <c r="B8" s="399">
        <v>0</v>
      </c>
      <c r="C8" s="399">
        <v>0</v>
      </c>
      <c r="D8" s="399">
        <v>50000</v>
      </c>
      <c r="E8" s="399">
        <v>50000</v>
      </c>
      <c r="F8" s="399">
        <v>75000</v>
      </c>
      <c r="G8" s="399">
        <v>50000</v>
      </c>
      <c r="H8" s="399">
        <v>50000</v>
      </c>
      <c r="I8" s="399">
        <v>25000</v>
      </c>
      <c r="J8" s="399">
        <v>150000</v>
      </c>
      <c r="K8" s="399">
        <v>150000</v>
      </c>
      <c r="L8" s="399">
        <v>150000</v>
      </c>
      <c r="M8" s="399">
        <v>150000</v>
      </c>
      <c r="N8" s="400">
        <f t="shared" si="0"/>
        <v>900000</v>
      </c>
    </row>
    <row r="9" spans="1:14" x14ac:dyDescent="0.25">
      <c r="A9" s="401" t="s">
        <v>116</v>
      </c>
      <c r="B9" s="402">
        <f t="shared" ref="B9:C9" si="1">SUM(B3:B8)</f>
        <v>54821.604166666664</v>
      </c>
      <c r="C9" s="402">
        <f t="shared" si="1"/>
        <v>388968.60416666669</v>
      </c>
      <c r="D9" s="402">
        <f>SUM(D3:D8)</f>
        <v>518053.14166666666</v>
      </c>
      <c r="E9" s="402">
        <f t="shared" ref="E9:M9" si="2">SUM(E3:E8)</f>
        <v>634261.1416666666</v>
      </c>
      <c r="F9" s="402">
        <f t="shared" si="2"/>
        <v>829923.8916666666</v>
      </c>
      <c r="G9" s="402">
        <f t="shared" si="2"/>
        <v>776346.7416666667</v>
      </c>
      <c r="H9" s="402">
        <f t="shared" si="2"/>
        <v>828450.7416666667</v>
      </c>
      <c r="I9" s="402">
        <f t="shared" si="2"/>
        <v>627968.09166666667</v>
      </c>
      <c r="J9" s="402">
        <f t="shared" si="2"/>
        <v>699693.09166666667</v>
      </c>
      <c r="K9" s="402">
        <f t="shared" si="2"/>
        <v>517201.59166666667</v>
      </c>
      <c r="L9" s="402">
        <f t="shared" si="2"/>
        <v>938393.8916666666</v>
      </c>
      <c r="M9" s="402">
        <f t="shared" si="2"/>
        <v>819865.8916666666</v>
      </c>
      <c r="N9" s="403">
        <f>SUM(N3:N8)</f>
        <v>7633948.4249999998</v>
      </c>
    </row>
    <row r="10" spans="1:14" x14ac:dyDescent="0.25">
      <c r="A10" s="404"/>
    </row>
    <row r="12" spans="1:14" x14ac:dyDescent="0.25">
      <c r="A12" s="1" t="s">
        <v>165</v>
      </c>
      <c r="B12" s="405">
        <f t="shared" ref="B12:C12" si="3">SUM(B3,B7,B5)</f>
        <v>47897.604166666664</v>
      </c>
      <c r="C12" s="405">
        <f t="shared" si="3"/>
        <v>266487.60416666663</v>
      </c>
      <c r="D12" s="405">
        <f>SUM(D3,D7,D5)</f>
        <v>320281.14166666666</v>
      </c>
      <c r="E12" s="405">
        <f t="shared" ref="E12:M12" si="4">SUM(E3,E7,E5)</f>
        <v>398281.14166666666</v>
      </c>
      <c r="F12" s="405">
        <f t="shared" si="4"/>
        <v>521919.89166666666</v>
      </c>
      <c r="G12" s="405">
        <f t="shared" si="4"/>
        <v>500266.7416666667</v>
      </c>
      <c r="H12" s="405">
        <f t="shared" si="4"/>
        <v>533266.7416666667</v>
      </c>
      <c r="I12" s="405">
        <f t="shared" si="4"/>
        <v>416988.09166666667</v>
      </c>
      <c r="J12" s="405">
        <f t="shared" si="4"/>
        <v>380189.09166666667</v>
      </c>
      <c r="K12" s="405">
        <f t="shared" si="4"/>
        <v>261197.59166666667</v>
      </c>
      <c r="L12" s="405">
        <f t="shared" si="4"/>
        <v>330299.89166666666</v>
      </c>
      <c r="M12" s="405">
        <f t="shared" si="4"/>
        <v>240299.89166666666</v>
      </c>
      <c r="N12" s="57">
        <f t="shared" ref="N12:N14" si="5">SUM(B12:M12)</f>
        <v>4217375.4250000007</v>
      </c>
    </row>
    <row r="13" spans="1:14" x14ac:dyDescent="0.25">
      <c r="A13" s="1" t="s">
        <v>93</v>
      </c>
      <c r="B13" s="405">
        <f>SUM(B4,B6)</f>
        <v>6924</v>
      </c>
      <c r="C13" s="405">
        <f t="shared" ref="C13:M13" si="6">SUM(C4,C6)</f>
        <v>122481</v>
      </c>
      <c r="D13" s="405">
        <f t="shared" si="6"/>
        <v>147772</v>
      </c>
      <c r="E13" s="405">
        <f t="shared" si="6"/>
        <v>185980</v>
      </c>
      <c r="F13" s="405">
        <f t="shared" si="6"/>
        <v>233004</v>
      </c>
      <c r="G13" s="405">
        <f t="shared" si="6"/>
        <v>226080</v>
      </c>
      <c r="H13" s="405">
        <f t="shared" si="6"/>
        <v>245184</v>
      </c>
      <c r="I13" s="405">
        <f t="shared" si="6"/>
        <v>185980</v>
      </c>
      <c r="J13" s="405">
        <f t="shared" si="6"/>
        <v>169504</v>
      </c>
      <c r="K13" s="405">
        <f t="shared" si="6"/>
        <v>106004</v>
      </c>
      <c r="L13" s="405">
        <f t="shared" si="6"/>
        <v>458094</v>
      </c>
      <c r="M13" s="405">
        <f t="shared" si="6"/>
        <v>429566</v>
      </c>
      <c r="N13" s="57">
        <f t="shared" si="5"/>
        <v>2516573</v>
      </c>
    </row>
    <row r="14" spans="1:14" x14ac:dyDescent="0.25">
      <c r="A14" s="406" t="s">
        <v>163</v>
      </c>
      <c r="B14" s="407">
        <f t="shared" ref="B14:C14" si="7">SUM(B8)</f>
        <v>0</v>
      </c>
      <c r="C14" s="407">
        <f t="shared" si="7"/>
        <v>0</v>
      </c>
      <c r="D14" s="407">
        <f>SUM(D8)</f>
        <v>50000</v>
      </c>
      <c r="E14" s="407">
        <f t="shared" ref="E14:M14" si="8">SUM(E8)</f>
        <v>50000</v>
      </c>
      <c r="F14" s="407">
        <f t="shared" si="8"/>
        <v>75000</v>
      </c>
      <c r="G14" s="407">
        <f t="shared" si="8"/>
        <v>50000</v>
      </c>
      <c r="H14" s="407">
        <f t="shared" si="8"/>
        <v>50000</v>
      </c>
      <c r="I14" s="407">
        <f t="shared" si="8"/>
        <v>25000</v>
      </c>
      <c r="J14" s="407">
        <f t="shared" si="8"/>
        <v>150000</v>
      </c>
      <c r="K14" s="407">
        <f t="shared" si="8"/>
        <v>150000</v>
      </c>
      <c r="L14" s="407">
        <f t="shared" si="8"/>
        <v>150000</v>
      </c>
      <c r="M14" s="407">
        <f t="shared" si="8"/>
        <v>150000</v>
      </c>
      <c r="N14" s="400">
        <f t="shared" si="5"/>
        <v>900000</v>
      </c>
    </row>
    <row r="15" spans="1:14" x14ac:dyDescent="0.25">
      <c r="A15" s="401" t="s">
        <v>116</v>
      </c>
      <c r="B15" s="402">
        <f t="shared" ref="B15:C15" si="9">SUM(B12:B14)</f>
        <v>54821.604166666664</v>
      </c>
      <c r="C15" s="402">
        <f t="shared" si="9"/>
        <v>388968.60416666663</v>
      </c>
      <c r="D15" s="402">
        <f>SUM(D12:D14)</f>
        <v>518053.14166666666</v>
      </c>
      <c r="E15" s="402">
        <f t="shared" ref="E15:N15" si="10">SUM(E12:E14)</f>
        <v>634261.1416666666</v>
      </c>
      <c r="F15" s="402">
        <f t="shared" si="10"/>
        <v>829923.8916666666</v>
      </c>
      <c r="G15" s="402">
        <f t="shared" si="10"/>
        <v>776346.7416666667</v>
      </c>
      <c r="H15" s="402">
        <f t="shared" si="10"/>
        <v>828450.7416666667</v>
      </c>
      <c r="I15" s="402">
        <f t="shared" si="10"/>
        <v>627968.09166666667</v>
      </c>
      <c r="J15" s="402">
        <f t="shared" si="10"/>
        <v>699693.09166666667</v>
      </c>
      <c r="K15" s="402">
        <f t="shared" si="10"/>
        <v>517201.59166666667</v>
      </c>
      <c r="L15" s="402">
        <f t="shared" si="10"/>
        <v>938393.8916666666</v>
      </c>
      <c r="M15" s="402">
        <f t="shared" si="10"/>
        <v>819865.8916666666</v>
      </c>
      <c r="N15" s="403">
        <f t="shared" si="10"/>
        <v>7633948.4250000007</v>
      </c>
    </row>
    <row r="19" spans="1:14" x14ac:dyDescent="0.25">
      <c r="A19" s="408" t="s">
        <v>562</v>
      </c>
    </row>
    <row r="20" spans="1:14" x14ac:dyDescent="0.25">
      <c r="A20" s="394" t="s">
        <v>187</v>
      </c>
      <c r="B20" s="394"/>
      <c r="C20" s="394"/>
      <c r="D20" s="394"/>
      <c r="E20" s="394"/>
      <c r="F20" s="394"/>
      <c r="G20" s="394"/>
      <c r="H20" s="394"/>
      <c r="I20" s="394"/>
      <c r="J20" s="394"/>
      <c r="K20" s="394"/>
      <c r="L20" s="394"/>
      <c r="M20" s="394"/>
    </row>
    <row r="21" spans="1:14" x14ac:dyDescent="0.25">
      <c r="A21" s="395" t="s">
        <v>166</v>
      </c>
      <c r="B21" s="409"/>
      <c r="C21" s="409"/>
      <c r="D21" s="396">
        <v>44986</v>
      </c>
      <c r="E21" s="396">
        <v>45017</v>
      </c>
      <c r="F21" s="396">
        <v>45047</v>
      </c>
      <c r="G21" s="396">
        <v>45078</v>
      </c>
      <c r="H21" s="396">
        <v>45108</v>
      </c>
      <c r="I21" s="396">
        <v>45139</v>
      </c>
      <c r="J21" s="396">
        <v>45170</v>
      </c>
      <c r="K21" s="396">
        <v>45200</v>
      </c>
      <c r="L21" s="396">
        <v>45231</v>
      </c>
      <c r="M21" s="396">
        <v>45261</v>
      </c>
      <c r="N21" s="397" t="s">
        <v>186</v>
      </c>
    </row>
    <row r="22" spans="1:14" x14ac:dyDescent="0.25">
      <c r="A22" s="398" t="s">
        <v>110</v>
      </c>
      <c r="B22" s="410"/>
      <c r="C22" s="410"/>
      <c r="D22" s="366">
        <v>0</v>
      </c>
      <c r="E22" s="366">
        <v>58381.25</v>
      </c>
      <c r="F22" s="366">
        <v>58381.25</v>
      </c>
      <c r="G22" s="366">
        <v>116762.5</v>
      </c>
      <c r="H22" s="366">
        <v>116762.5</v>
      </c>
      <c r="I22" s="366">
        <v>175143.75</v>
      </c>
      <c r="J22" s="366">
        <v>175143.75</v>
      </c>
      <c r="K22" s="366">
        <v>183063.75</v>
      </c>
      <c r="L22" s="366">
        <v>183063.75</v>
      </c>
      <c r="M22" s="366">
        <v>124922.5</v>
      </c>
      <c r="N22" s="57">
        <f t="shared" ref="N22:N27" si="11">SUM(D22:M22)</f>
        <v>1191625</v>
      </c>
    </row>
    <row r="23" spans="1:14" x14ac:dyDescent="0.25">
      <c r="A23" s="398" t="s">
        <v>111</v>
      </c>
      <c r="B23" s="410"/>
      <c r="C23" s="410"/>
      <c r="D23" s="366">
        <v>0</v>
      </c>
      <c r="E23" s="366">
        <v>0</v>
      </c>
      <c r="F23" s="366">
        <v>0</v>
      </c>
      <c r="G23" s="366">
        <v>0</v>
      </c>
      <c r="H23" s="366">
        <v>0</v>
      </c>
      <c r="I23" s="366">
        <v>0</v>
      </c>
      <c r="J23" s="366">
        <v>0</v>
      </c>
      <c r="K23" s="366">
        <v>0</v>
      </c>
      <c r="L23" s="366">
        <v>0</v>
      </c>
      <c r="M23" s="366">
        <v>0</v>
      </c>
      <c r="N23" s="57">
        <f t="shared" si="11"/>
        <v>0</v>
      </c>
    </row>
    <row r="24" spans="1:14" x14ac:dyDescent="0.25">
      <c r="A24" s="398" t="s">
        <v>113</v>
      </c>
      <c r="B24" s="410"/>
      <c r="C24" s="410"/>
      <c r="D24" s="366">
        <v>0</v>
      </c>
      <c r="E24" s="366">
        <v>77467.75</v>
      </c>
      <c r="F24" s="366">
        <v>77467.75</v>
      </c>
      <c r="G24" s="366">
        <v>154935.5</v>
      </c>
      <c r="H24" s="366">
        <v>154935.5</v>
      </c>
      <c r="I24" s="366">
        <v>232403.25</v>
      </c>
      <c r="J24" s="366">
        <v>232403.25</v>
      </c>
      <c r="K24" s="366">
        <v>243924.87</v>
      </c>
      <c r="L24" s="366">
        <v>243924.87</v>
      </c>
      <c r="M24" s="366">
        <v>166806.26</v>
      </c>
      <c r="N24" s="57">
        <f t="shared" si="11"/>
        <v>1584269.0000000002</v>
      </c>
    </row>
    <row r="25" spans="1:14" x14ac:dyDescent="0.25">
      <c r="A25" s="398" t="s">
        <v>114</v>
      </c>
      <c r="B25" s="410"/>
      <c r="C25" s="410"/>
      <c r="D25" s="366">
        <v>0</v>
      </c>
      <c r="E25" s="366">
        <v>65260.350000000006</v>
      </c>
      <c r="F25" s="366">
        <v>65260.350000000006</v>
      </c>
      <c r="G25" s="366">
        <v>130520.70000000001</v>
      </c>
      <c r="H25" s="366">
        <v>130520.70000000001</v>
      </c>
      <c r="I25" s="366">
        <v>195781.05</v>
      </c>
      <c r="J25" s="366">
        <v>195781.05</v>
      </c>
      <c r="K25" s="366">
        <v>226344.33</v>
      </c>
      <c r="L25" s="366">
        <v>226344.33</v>
      </c>
      <c r="M25" s="366">
        <v>162010.14000000001</v>
      </c>
      <c r="N25" s="57">
        <f t="shared" si="11"/>
        <v>1397823</v>
      </c>
    </row>
    <row r="26" spans="1:14" x14ac:dyDescent="0.25">
      <c r="A26" s="398" t="s">
        <v>112</v>
      </c>
      <c r="B26" s="410"/>
      <c r="C26" s="410"/>
      <c r="D26" s="366">
        <v>0</v>
      </c>
      <c r="E26" s="366">
        <v>10750</v>
      </c>
      <c r="F26" s="366">
        <v>10750</v>
      </c>
      <c r="G26" s="366">
        <v>21500</v>
      </c>
      <c r="H26" s="366">
        <v>21500</v>
      </c>
      <c r="I26" s="366">
        <v>32250</v>
      </c>
      <c r="J26" s="366">
        <v>32250</v>
      </c>
      <c r="K26" s="366">
        <v>38387.339999999997</v>
      </c>
      <c r="L26" s="366">
        <v>38387.339999999997</v>
      </c>
      <c r="M26" s="366">
        <v>149619.82</v>
      </c>
      <c r="N26" s="57">
        <f t="shared" si="11"/>
        <v>355394.5</v>
      </c>
    </row>
    <row r="27" spans="1:14" x14ac:dyDescent="0.25">
      <c r="A27" s="398" t="s">
        <v>115</v>
      </c>
      <c r="B27" s="410"/>
      <c r="C27" s="410"/>
      <c r="D27" s="366">
        <v>0</v>
      </c>
      <c r="E27" s="366">
        <v>0</v>
      </c>
      <c r="F27" s="366">
        <v>0</v>
      </c>
      <c r="G27" s="366">
        <v>0</v>
      </c>
      <c r="H27" s="366">
        <v>0</v>
      </c>
      <c r="I27" s="366">
        <v>0</v>
      </c>
      <c r="J27" s="366">
        <v>0</v>
      </c>
      <c r="K27" s="366">
        <v>0</v>
      </c>
      <c r="L27" s="366">
        <v>0</v>
      </c>
      <c r="M27" s="366">
        <v>3047975</v>
      </c>
      <c r="N27" s="400">
        <f t="shared" si="11"/>
        <v>3047975</v>
      </c>
    </row>
    <row r="28" spans="1:14" x14ac:dyDescent="0.25">
      <c r="A28" s="401" t="s">
        <v>116</v>
      </c>
      <c r="B28" s="411"/>
      <c r="C28" s="411"/>
      <c r="D28" s="412">
        <v>0</v>
      </c>
      <c r="E28" s="412">
        <v>211859.35</v>
      </c>
      <c r="F28" s="412">
        <v>211859.35</v>
      </c>
      <c r="G28" s="412">
        <v>423718.7</v>
      </c>
      <c r="H28" s="412">
        <v>423718.7</v>
      </c>
      <c r="I28" s="412">
        <v>635578.05000000005</v>
      </c>
      <c r="J28" s="412">
        <v>635578.05000000005</v>
      </c>
      <c r="K28" s="412">
        <v>691720.29</v>
      </c>
      <c r="L28" s="412">
        <v>691720.29</v>
      </c>
      <c r="M28" s="412">
        <v>3651333.72</v>
      </c>
      <c r="N28" s="403">
        <f>SUM(N22:N27)</f>
        <v>7577086.5</v>
      </c>
    </row>
    <row r="29" spans="1:14" x14ac:dyDescent="0.25">
      <c r="A29" s="404" t="s">
        <v>167</v>
      </c>
      <c r="B29" s="404"/>
      <c r="C29" s="404"/>
      <c r="M29" s="413">
        <v>0</v>
      </c>
    </row>
    <row r="31" spans="1:14" x14ac:dyDescent="0.25">
      <c r="A31" s="1" t="s">
        <v>165</v>
      </c>
      <c r="D31" s="405">
        <f>SUM(D22,D26,D24)</f>
        <v>0</v>
      </c>
      <c r="E31" s="405">
        <f t="shared" ref="E31:M31" si="12">SUM(E22,E26,E24)</f>
        <v>146599</v>
      </c>
      <c r="F31" s="405">
        <f t="shared" si="12"/>
        <v>146599</v>
      </c>
      <c r="G31" s="405">
        <f t="shared" si="12"/>
        <v>293198</v>
      </c>
      <c r="H31" s="405">
        <f t="shared" si="12"/>
        <v>293198</v>
      </c>
      <c r="I31" s="405">
        <f t="shared" si="12"/>
        <v>439797</v>
      </c>
      <c r="J31" s="405">
        <f t="shared" si="12"/>
        <v>439797</v>
      </c>
      <c r="K31" s="405">
        <f t="shared" si="12"/>
        <v>465375.95999999996</v>
      </c>
      <c r="L31" s="405">
        <f t="shared" si="12"/>
        <v>465375.95999999996</v>
      </c>
      <c r="M31" s="405">
        <f t="shared" si="12"/>
        <v>441348.58</v>
      </c>
      <c r="N31" s="57">
        <f t="shared" ref="N31:N34" si="13">SUM(D31:M31)</f>
        <v>3131288.5</v>
      </c>
    </row>
    <row r="32" spans="1:14" x14ac:dyDescent="0.25">
      <c r="A32" s="1" t="s">
        <v>93</v>
      </c>
      <c r="D32" s="405">
        <f>SUM(D25)</f>
        <v>0</v>
      </c>
      <c r="E32" s="405">
        <f t="shared" ref="E32:M32" si="14">SUM(E25)</f>
        <v>65260.350000000006</v>
      </c>
      <c r="F32" s="405">
        <f t="shared" si="14"/>
        <v>65260.350000000006</v>
      </c>
      <c r="G32" s="405">
        <f t="shared" si="14"/>
        <v>130520.70000000001</v>
      </c>
      <c r="H32" s="405">
        <f t="shared" si="14"/>
        <v>130520.70000000001</v>
      </c>
      <c r="I32" s="405">
        <f t="shared" si="14"/>
        <v>195781.05</v>
      </c>
      <c r="J32" s="405">
        <f t="shared" si="14"/>
        <v>195781.05</v>
      </c>
      <c r="K32" s="405">
        <f t="shared" si="14"/>
        <v>226344.33</v>
      </c>
      <c r="L32" s="405">
        <f t="shared" si="14"/>
        <v>226344.33</v>
      </c>
      <c r="M32" s="405">
        <f t="shared" si="14"/>
        <v>162010.14000000001</v>
      </c>
      <c r="N32" s="57">
        <f t="shared" si="13"/>
        <v>1397823</v>
      </c>
    </row>
    <row r="33" spans="1:14" x14ac:dyDescent="0.25">
      <c r="A33" s="406" t="s">
        <v>163</v>
      </c>
      <c r="B33" s="406"/>
      <c r="C33" s="406"/>
      <c r="D33" s="407">
        <f>SUM(D27)</f>
        <v>0</v>
      </c>
      <c r="E33" s="407">
        <f t="shared" ref="E33:M33" si="15">SUM(E27)</f>
        <v>0</v>
      </c>
      <c r="F33" s="407">
        <f t="shared" si="15"/>
        <v>0</v>
      </c>
      <c r="G33" s="407">
        <f t="shared" si="15"/>
        <v>0</v>
      </c>
      <c r="H33" s="407">
        <f t="shared" si="15"/>
        <v>0</v>
      </c>
      <c r="I33" s="407">
        <f t="shared" si="15"/>
        <v>0</v>
      </c>
      <c r="J33" s="407">
        <f t="shared" si="15"/>
        <v>0</v>
      </c>
      <c r="K33" s="407">
        <f t="shared" si="15"/>
        <v>0</v>
      </c>
      <c r="L33" s="407">
        <f t="shared" si="15"/>
        <v>0</v>
      </c>
      <c r="M33" s="407">
        <f t="shared" si="15"/>
        <v>3047975</v>
      </c>
      <c r="N33" s="400">
        <f t="shared" si="13"/>
        <v>3047975</v>
      </c>
    </row>
    <row r="34" spans="1:14" x14ac:dyDescent="0.25">
      <c r="A34" s="411" t="s">
        <v>116</v>
      </c>
      <c r="B34" s="414"/>
      <c r="C34" s="414"/>
      <c r="D34" s="415">
        <f>SUM(D31:D33)</f>
        <v>0</v>
      </c>
      <c r="E34" s="415">
        <f t="shared" ref="E34:M34" si="16">SUM(E31:E33)</f>
        <v>211859.35</v>
      </c>
      <c r="F34" s="415">
        <f t="shared" si="16"/>
        <v>211859.35</v>
      </c>
      <c r="G34" s="415">
        <f t="shared" si="16"/>
        <v>423718.7</v>
      </c>
      <c r="H34" s="415">
        <f t="shared" si="16"/>
        <v>423718.7</v>
      </c>
      <c r="I34" s="415">
        <f t="shared" si="16"/>
        <v>635578.05000000005</v>
      </c>
      <c r="J34" s="415">
        <f t="shared" si="16"/>
        <v>635578.05000000005</v>
      </c>
      <c r="K34" s="415">
        <f t="shared" si="16"/>
        <v>691720.28999999992</v>
      </c>
      <c r="L34" s="415">
        <f t="shared" si="16"/>
        <v>691720.28999999992</v>
      </c>
      <c r="M34" s="415">
        <f t="shared" si="16"/>
        <v>3651333.7199999997</v>
      </c>
      <c r="N34" s="403">
        <f t="shared" si="13"/>
        <v>7577086.5</v>
      </c>
    </row>
  </sheetData>
  <mergeCells count="2">
    <mergeCell ref="A1:M1"/>
    <mergeCell ref="A20:M20"/>
  </mergeCells>
  <pageMargins left="0.7" right="0.7" top="0.75" bottom="0.75" header="0.3" footer="0.3"/>
  <pageSetup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D35" sqref="D35"/>
    </sheetView>
  </sheetViews>
  <sheetFormatPr defaultColWidth="9.140625" defaultRowHeight="15" x14ac:dyDescent="0.25"/>
  <cols>
    <col min="1" max="1" width="22.140625" style="40" bestFit="1" customWidth="1"/>
    <col min="2" max="2" width="11.5703125" style="40" bestFit="1" customWidth="1"/>
    <col min="3" max="3" width="8.140625" style="40" bestFit="1" customWidth="1"/>
    <col min="4" max="4" width="66.42578125" style="40" bestFit="1" customWidth="1"/>
    <col min="5" max="6" width="9.7109375" style="40" bestFit="1" customWidth="1"/>
    <col min="7" max="7" width="7.28515625" style="40" bestFit="1" customWidth="1"/>
    <col min="8" max="8" width="9.140625" style="40"/>
    <col min="9" max="11" width="10.5703125" style="40" bestFit="1" customWidth="1"/>
    <col min="12" max="12" width="11.5703125" style="40" bestFit="1" customWidth="1"/>
    <col min="13" max="16384" width="9.140625" style="40"/>
  </cols>
  <sheetData>
    <row r="1" spans="1:12" x14ac:dyDescent="0.25">
      <c r="A1" s="38"/>
      <c r="B1" s="38"/>
      <c r="C1" s="38"/>
      <c r="D1" s="38"/>
      <c r="E1" s="39"/>
      <c r="F1" s="39" t="s">
        <v>451</v>
      </c>
      <c r="G1" s="39" t="s">
        <v>12</v>
      </c>
    </row>
    <row r="2" spans="1:12" x14ac:dyDescent="0.25">
      <c r="A2" s="41" t="s">
        <v>150</v>
      </c>
      <c r="B2" s="42">
        <v>2024</v>
      </c>
      <c r="C2" s="42" t="s">
        <v>151</v>
      </c>
      <c r="D2" s="41" t="s">
        <v>72</v>
      </c>
      <c r="E2" s="42"/>
      <c r="F2" s="42" t="s">
        <v>152</v>
      </c>
      <c r="G2" s="42" t="s">
        <v>153</v>
      </c>
      <c r="I2" s="39" t="s">
        <v>160</v>
      </c>
      <c r="J2" s="39" t="s">
        <v>161</v>
      </c>
      <c r="K2" s="39" t="s">
        <v>162</v>
      </c>
    </row>
    <row r="3" spans="1:12" x14ac:dyDescent="0.25">
      <c r="A3" s="40" t="s">
        <v>154</v>
      </c>
      <c r="B3" s="53">
        <f>SUM('TEP Plant Closings Mo'!B3:M3)</f>
        <v>1508875</v>
      </c>
      <c r="C3" s="49">
        <f>1-C4</f>
        <v>0.99999933725501633</v>
      </c>
      <c r="D3" s="40" t="s">
        <v>155</v>
      </c>
      <c r="E3" s="44"/>
      <c r="F3" s="44">
        <f>'Exh. NWA-4'!S318/100</f>
        <v>3.3099999999999997E-2</v>
      </c>
      <c r="G3" s="40" t="s">
        <v>156</v>
      </c>
      <c r="I3" s="46">
        <f>B3</f>
        <v>1508875</v>
      </c>
    </row>
    <row r="4" spans="1:12" x14ac:dyDescent="0.25">
      <c r="A4" s="40" t="s">
        <v>157</v>
      </c>
      <c r="B4" s="53">
        <f>SUM('TEP Plant Closings Mo'!B4:M4)</f>
        <v>1</v>
      </c>
      <c r="C4" s="45">
        <f>B4/(SUM(B3:B4))</f>
        <v>6.6274498368321851E-7</v>
      </c>
      <c r="D4" s="40" t="s">
        <v>73</v>
      </c>
      <c r="E4" s="44"/>
      <c r="F4" s="44">
        <f>'Exh. NWA-4'!S321/100</f>
        <v>0.14360000000000001</v>
      </c>
      <c r="G4" s="40" t="s">
        <v>158</v>
      </c>
      <c r="J4" s="46">
        <f>B4</f>
        <v>1</v>
      </c>
    </row>
    <row r="5" spans="1:12" x14ac:dyDescent="0.25">
      <c r="A5" s="40" t="s">
        <v>112</v>
      </c>
      <c r="B5" s="53">
        <f>SUM('TEP Plant Closings Mo'!B5:M5)</f>
        <v>2405316</v>
      </c>
      <c r="D5" s="40" t="s">
        <v>184</v>
      </c>
      <c r="E5" s="44"/>
      <c r="F5" s="44"/>
      <c r="I5" s="46">
        <f>B5*$C$3</f>
        <v>2405314.4058888867</v>
      </c>
      <c r="J5" s="46">
        <f>B5*$C$4</f>
        <v>1.5941111131729844</v>
      </c>
    </row>
    <row r="6" spans="1:12" x14ac:dyDescent="0.25">
      <c r="A6" s="40" t="s">
        <v>113</v>
      </c>
      <c r="B6" s="53">
        <f>SUM('TEP Plant Closings Mo'!B6:M6)</f>
        <v>2516572</v>
      </c>
      <c r="D6" s="40" t="s">
        <v>184</v>
      </c>
      <c r="E6" s="44"/>
      <c r="F6" s="44"/>
      <c r="I6" s="46">
        <f>B6*$C$3</f>
        <v>2516570.332154531</v>
      </c>
      <c r="J6" s="46">
        <f>B6*$C$4</f>
        <v>1.6678454690776445</v>
      </c>
    </row>
    <row r="7" spans="1:12" x14ac:dyDescent="0.25">
      <c r="A7" s="40" t="s">
        <v>114</v>
      </c>
      <c r="B7" s="53">
        <f>SUM('TEP Plant Closings Mo'!B7:M7)</f>
        <v>303184.42499999999</v>
      </c>
      <c r="D7" s="40" t="s">
        <v>73</v>
      </c>
      <c r="E7" s="44"/>
      <c r="F7" s="44">
        <f>'Exh. NWA-4'!S321/100</f>
        <v>0.14360000000000001</v>
      </c>
      <c r="G7" s="40" t="s">
        <v>158</v>
      </c>
      <c r="J7" s="46">
        <f>B7</f>
        <v>303184.42499999999</v>
      </c>
    </row>
    <row r="8" spans="1:12" x14ac:dyDescent="0.25">
      <c r="A8" s="40" t="s">
        <v>115</v>
      </c>
      <c r="B8" s="53">
        <f>SUM('TEP Plant Closings Mo'!B8:M8)</f>
        <v>900000</v>
      </c>
      <c r="D8" s="40" t="s">
        <v>159</v>
      </c>
      <c r="E8" s="44"/>
      <c r="F8" s="44">
        <f>'Exh. NWA-4'!S336/100</f>
        <v>0.2</v>
      </c>
      <c r="G8" s="40" t="s">
        <v>158</v>
      </c>
      <c r="I8" s="47"/>
      <c r="J8" s="47"/>
      <c r="K8" s="48">
        <f>B8</f>
        <v>900000</v>
      </c>
      <c r="L8" s="47" t="s">
        <v>25</v>
      </c>
    </row>
    <row r="9" spans="1:12" x14ac:dyDescent="0.25">
      <c r="A9" s="52" t="s">
        <v>116</v>
      </c>
      <c r="B9" s="55">
        <f>SUM(B3:B8)</f>
        <v>7633948.4249999998</v>
      </c>
      <c r="E9" s="44"/>
      <c r="F9" s="44"/>
      <c r="I9" s="46">
        <f>SUM(I3:I8)</f>
        <v>6430759.7380434182</v>
      </c>
      <c r="J9" s="46">
        <f t="shared" ref="J9:K9" si="0">SUM(J3:J8)</f>
        <v>303188.68695658224</v>
      </c>
      <c r="K9" s="46">
        <f t="shared" si="0"/>
        <v>900000</v>
      </c>
      <c r="L9" s="55">
        <f>SUM(I9:K9)</f>
        <v>7633948.4250000007</v>
      </c>
    </row>
    <row r="10" spans="1:12" x14ac:dyDescent="0.25">
      <c r="I10" s="50">
        <f>I9/$L$9</f>
        <v>0.84238972809715018</v>
      </c>
      <c r="J10" s="50">
        <f t="shared" ref="J10:K10" si="1">J9/$L$9</f>
        <v>3.971584166899611E-2</v>
      </c>
      <c r="K10" s="50">
        <f t="shared" si="1"/>
        <v>0.11789443023385371</v>
      </c>
      <c r="L10" s="49">
        <f>SUM(I10:K10)</f>
        <v>1</v>
      </c>
    </row>
    <row r="11" spans="1:12" x14ac:dyDescent="0.25">
      <c r="I11" s="38" t="s">
        <v>160</v>
      </c>
      <c r="J11" s="38" t="s">
        <v>161</v>
      </c>
      <c r="K11" s="38" t="s">
        <v>162</v>
      </c>
    </row>
    <row r="13" spans="1:12" x14ac:dyDescent="0.25">
      <c r="A13" s="40" t="s">
        <v>823</v>
      </c>
    </row>
    <row r="33" ht="14.25" customHeight="1" x14ac:dyDescent="0.25"/>
  </sheetData>
  <pageMargins left="0.7" right="0.7" top="0.75" bottom="0.75" header="0.3" footer="0.3"/>
  <pageSetup orientation="portrait" horizontalDpi="300" verticalDpi="300"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57"/>
  <sheetViews>
    <sheetView topLeftCell="A16" zoomScale="85" zoomScaleNormal="85" workbookViewId="0">
      <selection activeCell="B16" sqref="B16"/>
    </sheetView>
  </sheetViews>
  <sheetFormatPr defaultColWidth="8.85546875" defaultRowHeight="15" x14ac:dyDescent="0.25"/>
  <cols>
    <col min="1" max="1" width="7.7109375" style="367" bestFit="1" customWidth="1"/>
    <col min="2" max="2" width="17.28515625" style="367" bestFit="1" customWidth="1"/>
    <col min="3" max="3" width="17" style="367" bestFit="1" customWidth="1"/>
    <col min="4" max="4" width="12.28515625" style="367" bestFit="1" customWidth="1"/>
    <col min="5" max="5" width="10.85546875" style="367" bestFit="1" customWidth="1"/>
    <col min="6" max="6" width="8.85546875" style="367"/>
    <col min="7" max="7" width="7.7109375" style="367" bestFit="1" customWidth="1"/>
    <col min="8" max="8" width="17.28515625" style="367" bestFit="1" customWidth="1"/>
    <col min="9" max="9" width="17" style="367" bestFit="1" customWidth="1"/>
    <col min="10" max="10" width="12.28515625" style="367" bestFit="1" customWidth="1"/>
    <col min="11" max="11" width="10.85546875" style="367" bestFit="1" customWidth="1"/>
    <col min="12" max="12" width="8.85546875" style="367"/>
    <col min="13" max="13" width="7.7109375" style="367" bestFit="1" customWidth="1"/>
    <col min="14" max="14" width="17.28515625" style="367" bestFit="1" customWidth="1"/>
    <col min="15" max="15" width="17" style="367" bestFit="1" customWidth="1"/>
    <col min="16" max="16" width="12.28515625" style="367" bestFit="1" customWidth="1"/>
    <col min="17" max="17" width="10.85546875" style="367" bestFit="1" customWidth="1"/>
    <col min="18" max="18" width="8.85546875" style="367" customWidth="1"/>
    <col min="19" max="19" width="7.7109375" style="367" bestFit="1" customWidth="1"/>
    <col min="20" max="20" width="17.28515625" style="367" bestFit="1" customWidth="1"/>
    <col min="21" max="21" width="17" style="367" bestFit="1" customWidth="1"/>
    <col min="22" max="22" width="12.28515625" style="367" bestFit="1" customWidth="1"/>
    <col min="23" max="23" width="10.85546875" style="367" bestFit="1" customWidth="1"/>
    <col min="24" max="16384" width="8.85546875" style="367"/>
  </cols>
  <sheetData>
    <row r="2" spans="1:23" ht="15.75" thickBot="1" x14ac:dyDescent="0.3"/>
    <row r="3" spans="1:23" x14ac:dyDescent="0.25">
      <c r="A3" s="159"/>
      <c r="B3" s="160" t="s">
        <v>73</v>
      </c>
      <c r="C3" s="368"/>
      <c r="D3" s="368"/>
      <c r="E3" s="369"/>
      <c r="G3" s="159" t="s">
        <v>541</v>
      </c>
      <c r="H3" s="370"/>
      <c r="I3" s="370"/>
      <c r="J3" s="370"/>
      <c r="K3" s="371"/>
      <c r="M3" s="159"/>
      <c r="N3" s="160" t="s">
        <v>543</v>
      </c>
      <c r="O3" s="368"/>
      <c r="P3" s="368"/>
      <c r="Q3" s="369"/>
      <c r="S3" s="159"/>
      <c r="T3" s="160" t="s">
        <v>155</v>
      </c>
      <c r="U3" s="368"/>
      <c r="V3" s="368"/>
      <c r="W3" s="369"/>
    </row>
    <row r="4" spans="1:23" x14ac:dyDescent="0.25">
      <c r="A4" s="372" t="s">
        <v>18</v>
      </c>
      <c r="B4" s="373" t="s">
        <v>478</v>
      </c>
      <c r="C4" s="374" t="s">
        <v>479</v>
      </c>
      <c r="D4" s="374" t="s">
        <v>480</v>
      </c>
      <c r="E4" s="375" t="s">
        <v>481</v>
      </c>
      <c r="G4" s="376" t="s">
        <v>18</v>
      </c>
      <c r="H4" s="377" t="s">
        <v>478</v>
      </c>
      <c r="I4" s="377" t="s">
        <v>479</v>
      </c>
      <c r="J4" s="377" t="s">
        <v>480</v>
      </c>
      <c r="K4" s="378" t="s">
        <v>481</v>
      </c>
      <c r="M4" s="372" t="s">
        <v>18</v>
      </c>
      <c r="N4" s="373" t="s">
        <v>478</v>
      </c>
      <c r="O4" s="374" t="s">
        <v>479</v>
      </c>
      <c r="P4" s="374" t="s">
        <v>480</v>
      </c>
      <c r="Q4" s="375" t="s">
        <v>481</v>
      </c>
      <c r="S4" s="376" t="s">
        <v>18</v>
      </c>
      <c r="T4" s="377" t="s">
        <v>478</v>
      </c>
      <c r="U4" s="377" t="s">
        <v>479</v>
      </c>
      <c r="V4" s="377" t="s">
        <v>480</v>
      </c>
      <c r="W4" s="378" t="s">
        <v>481</v>
      </c>
    </row>
    <row r="5" spans="1:23" x14ac:dyDescent="0.25">
      <c r="A5" s="379">
        <v>44927</v>
      </c>
      <c r="B5" s="380">
        <f>(('E3711'!$D27+'E3711'!$D39)+(2*SUM('E3711'!$D28:$D38)))/24</f>
        <v>0</v>
      </c>
      <c r="C5" s="381">
        <f>(('E3711'!$H27+'E3711'!$H39)+(2*SUM('E3711'!$H28:$H38)))/24</f>
        <v>0</v>
      </c>
      <c r="D5" s="382">
        <f>(('E3711'!$L27+'E3711'!$L39)+(2*SUM('E3711'!$L28:$L38)))/24</f>
        <v>-21.264929583333334</v>
      </c>
      <c r="E5" s="383">
        <f>'E3711'!$F39</f>
        <v>0</v>
      </c>
      <c r="G5" s="384">
        <v>44927</v>
      </c>
      <c r="H5" s="380">
        <f>(('E303.3'!$D27+'E303.3'!$D39)+(2*SUM('E303.3'!$D28:$D38)))/24</f>
        <v>0</v>
      </c>
      <c r="I5" s="381">
        <f>(('E303.3'!$H27+'E303.3'!$H39)+(2*SUM('E303.3'!$H28:$H38)))/24</f>
        <v>0</v>
      </c>
      <c r="J5" s="382">
        <f>(('E303.3'!$L27+'E303.3'!$L39)+(2*SUM('E303.3'!$L28:$L38)))/24</f>
        <v>-30.491228298611105</v>
      </c>
      <c r="K5" s="383">
        <f>'E303.3'!$F39</f>
        <v>0</v>
      </c>
      <c r="M5" s="379">
        <v>44927</v>
      </c>
      <c r="N5" s="380">
        <f>(('E3912'!$D27+'E3912'!$D39)+(2*SUM('E3912'!$D28:$D38)))/24</f>
        <v>0</v>
      </c>
      <c r="O5" s="381">
        <f>(('E3912'!$H27+'E3912'!$H39)+(2*SUM('E3912'!$H28:$H38)))/24</f>
        <v>0</v>
      </c>
      <c r="P5" s="382">
        <f>(('E3912'!$L27+'E3912'!$L39)+(2*SUM('E3912'!$L28:$L38)))/24</f>
        <v>0</v>
      </c>
      <c r="Q5" s="383">
        <f>'E3912'!$F39</f>
        <v>0</v>
      </c>
      <c r="S5" s="384">
        <v>44927</v>
      </c>
      <c r="T5" s="380">
        <f>(('E368'!$D27+'E368'!$D39)+(2*SUM('E368'!$D28:$D38)))/24</f>
        <v>0</v>
      </c>
      <c r="U5" s="381">
        <f>(('E368'!$H27+'E368'!$H39)+(2*SUM('E368'!$H28:$H38)))/24</f>
        <v>0</v>
      </c>
      <c r="V5" s="382">
        <f>(('E368'!$L27+'E368'!$L39)+(2*SUM('E368'!$L28:$L38)))/24</f>
        <v>0</v>
      </c>
      <c r="W5" s="383">
        <f>'E368'!$F39</f>
        <v>0</v>
      </c>
    </row>
    <row r="6" spans="1:23" x14ac:dyDescent="0.25">
      <c r="A6" s="379">
        <v>44958</v>
      </c>
      <c r="B6" s="380">
        <f>(('E3711'!$D28+'E3711'!$D40)+(2*SUM('E3711'!$D29:$D39)))/24</f>
        <v>0</v>
      </c>
      <c r="C6" s="381">
        <f>(('E3711'!$H28+'E3711'!$H40)+(2*SUM('E3711'!$H29:$H39)))/24</f>
        <v>0</v>
      </c>
      <c r="D6" s="382">
        <f>(('E3711'!$L28+'E3711'!$L40)+(2*SUM('E3711'!$L29:$L39)))/24</f>
        <v>-85.059718333333336</v>
      </c>
      <c r="E6" s="383">
        <f>'E3711'!$F40</f>
        <v>0</v>
      </c>
      <c r="G6" s="384">
        <v>44958</v>
      </c>
      <c r="H6" s="380">
        <f>(('E303.3'!$D28+'E303.3'!$D40)+(2*SUM('E303.3'!$D29:$D39)))/24</f>
        <v>0</v>
      </c>
      <c r="I6" s="381">
        <f>(('E303.3'!$H28+'E303.3'!$H40)+(2*SUM('E303.3'!$H29:$H39)))/24</f>
        <v>0</v>
      </c>
      <c r="J6" s="382">
        <f>(('E303.3'!$L28+'E303.3'!$L40)+(2*SUM('E303.3'!$L29:$L39)))/24</f>
        <v>-121.96491319444442</v>
      </c>
      <c r="K6" s="383">
        <f>'E303.3'!$F40</f>
        <v>0</v>
      </c>
      <c r="M6" s="379">
        <v>44958</v>
      </c>
      <c r="N6" s="380">
        <f>(('E3912'!$D28+'E3912'!$D40)+(2*SUM('E3912'!$D29:$D39)))/24</f>
        <v>0</v>
      </c>
      <c r="O6" s="381">
        <f>(('E3912'!$H28+'E3912'!$H40)+(2*SUM('E3912'!$H29:$H39)))/24</f>
        <v>0</v>
      </c>
      <c r="P6" s="382">
        <f>(('E3912'!$L28+'E3912'!$L40)+(2*SUM('E3912'!$L29:$L39)))/24</f>
        <v>0</v>
      </c>
      <c r="Q6" s="383">
        <f>'E3912'!$F40</f>
        <v>0</v>
      </c>
      <c r="S6" s="384">
        <v>44958</v>
      </c>
      <c r="T6" s="380">
        <f>(('E368'!$D28+'E368'!$D40)+(2*SUM('E368'!$D29:$D39)))/24</f>
        <v>0</v>
      </c>
      <c r="U6" s="381">
        <f>(('E368'!$H28+'E368'!$H40)+(2*SUM('E368'!$H29:$H39)))/24</f>
        <v>0</v>
      </c>
      <c r="V6" s="382">
        <f>(('E368'!$L28+'E368'!$L40)+(2*SUM('E368'!$L29:$L39)))/24</f>
        <v>0</v>
      </c>
      <c r="W6" s="383">
        <f>'E368'!$F40</f>
        <v>0</v>
      </c>
    </row>
    <row r="7" spans="1:23" x14ac:dyDescent="0.25">
      <c r="A7" s="379">
        <v>44986</v>
      </c>
      <c r="B7" s="380">
        <f>(('E3711'!$D29+'E3711'!$D41)+(2*SUM('E3711'!$D30:$D40)))/24</f>
        <v>0</v>
      </c>
      <c r="C7" s="381">
        <f>(('E3711'!$H29+'E3711'!$H41)+(2*SUM('E3711'!$H30:$H40)))/24</f>
        <v>0</v>
      </c>
      <c r="D7" s="382">
        <f>(('E3711'!$L29+'E3711'!$L41)+(2*SUM('E3711'!$L30:$L40)))/24</f>
        <v>-191.38436625</v>
      </c>
      <c r="E7" s="383">
        <f>'E3711'!$F41</f>
        <v>0</v>
      </c>
      <c r="G7" s="384">
        <v>44986</v>
      </c>
      <c r="H7" s="380">
        <f>(('E303.3'!$D29+'E303.3'!$D41)+(2*SUM('E303.3'!$D30:$D40)))/24</f>
        <v>0</v>
      </c>
      <c r="I7" s="381">
        <f>(('E303.3'!$H29+'E303.3'!$H41)+(2*SUM('E303.3'!$H30:$H40)))/24</f>
        <v>0</v>
      </c>
      <c r="J7" s="382">
        <f>(('E303.3'!$L29+'E303.3'!$L41)+(2*SUM('E303.3'!$L30:$L40)))/24</f>
        <v>-274.42105468749992</v>
      </c>
      <c r="K7" s="383">
        <f>'E303.3'!$F41</f>
        <v>0</v>
      </c>
      <c r="M7" s="379">
        <v>44986</v>
      </c>
      <c r="N7" s="380">
        <f>(('E3912'!$D29+'E3912'!$D41)+(2*SUM('E3912'!$D30:$D40)))/24</f>
        <v>0</v>
      </c>
      <c r="O7" s="381">
        <f>(('E3912'!$H29+'E3912'!$H41)+(2*SUM('E3912'!$H30:$H40)))/24</f>
        <v>0</v>
      </c>
      <c r="P7" s="382">
        <f>(('E3912'!$L29+'E3912'!$L41)+(2*SUM('E3912'!$L30:$L40)))/24</f>
        <v>0</v>
      </c>
      <c r="Q7" s="383">
        <f>'E3912'!$F41</f>
        <v>0</v>
      </c>
      <c r="S7" s="384">
        <v>44986</v>
      </c>
      <c r="T7" s="380">
        <f>(('E368'!$D29+'E368'!$D41)+(2*SUM('E368'!$D30:$D40)))/24</f>
        <v>0</v>
      </c>
      <c r="U7" s="381">
        <f>(('E368'!$H29+'E368'!$H41)+(2*SUM('E368'!$H30:$H40)))/24</f>
        <v>0</v>
      </c>
      <c r="V7" s="382">
        <f>(('E368'!$L29+'E368'!$L41)+(2*SUM('E368'!$L30:$L40)))/24</f>
        <v>0</v>
      </c>
      <c r="W7" s="383">
        <f>'E368'!$F41</f>
        <v>0</v>
      </c>
    </row>
    <row r="8" spans="1:23" x14ac:dyDescent="0.25">
      <c r="A8" s="379">
        <v>45017</v>
      </c>
      <c r="B8" s="380">
        <f>(('E3711'!$D30+'E3711'!$D42)+(2*SUM('E3711'!$D31:$D41)))/24</f>
        <v>0</v>
      </c>
      <c r="C8" s="381">
        <f>(('E3711'!$H30+'E3711'!$H42)+(2*SUM('E3711'!$H31:$H41)))/24</f>
        <v>0</v>
      </c>
      <c r="D8" s="382">
        <f>(('E3711'!$L30+'E3711'!$L42)+(2*SUM('E3711'!$L31:$L41)))/24</f>
        <v>-340.23887333333334</v>
      </c>
      <c r="E8" s="383">
        <f>'E3711'!$F42</f>
        <v>0</v>
      </c>
      <c r="G8" s="384">
        <v>45017</v>
      </c>
      <c r="H8" s="380">
        <f>(('E303.3'!$D30+'E303.3'!$D42)+(2*SUM('E303.3'!$D31:$D41)))/24</f>
        <v>0</v>
      </c>
      <c r="I8" s="381">
        <f>(('E303.3'!$H30+'E303.3'!$H42)+(2*SUM('E303.3'!$H31:$H41)))/24</f>
        <v>0</v>
      </c>
      <c r="J8" s="382">
        <f>(('E303.3'!$L30+'E303.3'!$L42)+(2*SUM('E303.3'!$L31:$L41)))/24</f>
        <v>-487.85965277777768</v>
      </c>
      <c r="K8" s="383">
        <f>'E303.3'!$F42</f>
        <v>0</v>
      </c>
      <c r="M8" s="379">
        <v>45017</v>
      </c>
      <c r="N8" s="380">
        <f>(('E3912'!$D30+'E3912'!$D42)+(2*SUM('E3912'!$D31:$D41)))/24</f>
        <v>0</v>
      </c>
      <c r="O8" s="381">
        <f>(('E3912'!$H30+'E3912'!$H42)+(2*SUM('E3912'!$H31:$H41)))/24</f>
        <v>0</v>
      </c>
      <c r="P8" s="382">
        <f>(('E3912'!$L30+'E3912'!$L42)+(2*SUM('E3912'!$L31:$L41)))/24</f>
        <v>0</v>
      </c>
      <c r="Q8" s="383">
        <f>'E3912'!$F42</f>
        <v>0</v>
      </c>
      <c r="S8" s="384">
        <v>45017</v>
      </c>
      <c r="T8" s="380">
        <f>(('E368'!$D30+'E368'!$D42)+(2*SUM('E368'!$D31:$D41)))/24</f>
        <v>0</v>
      </c>
      <c r="U8" s="381">
        <f>(('E368'!$H30+'E368'!$H42)+(2*SUM('E368'!$H31:$H41)))/24</f>
        <v>0</v>
      </c>
      <c r="V8" s="382">
        <f>(('E368'!$L30+'E368'!$L42)+(2*SUM('E368'!$L31:$L41)))/24</f>
        <v>0</v>
      </c>
      <c r="W8" s="383">
        <f>'E368'!$F42</f>
        <v>0</v>
      </c>
    </row>
    <row r="9" spans="1:23" x14ac:dyDescent="0.25">
      <c r="A9" s="379">
        <v>45047</v>
      </c>
      <c r="B9" s="380">
        <f>(('E3711'!$D31+'E3711'!$D43)+(2*SUM('E3711'!$D32:$D42)))/24</f>
        <v>0</v>
      </c>
      <c r="C9" s="381">
        <f>(('E3711'!$H31+'E3711'!$H43)+(2*SUM('E3711'!$H32:$H42)))/24</f>
        <v>0</v>
      </c>
      <c r="D9" s="382">
        <f>(('E3711'!$L31+'E3711'!$L43)+(2*SUM('E3711'!$L32:$L42)))/24</f>
        <v>-531.62323958333332</v>
      </c>
      <c r="E9" s="383">
        <f>'E3711'!$F43</f>
        <v>0</v>
      </c>
      <c r="G9" s="384">
        <v>45047</v>
      </c>
      <c r="H9" s="380">
        <f>(('E303.3'!$D31+'E303.3'!$D43)+(2*SUM('E303.3'!$D32:$D42)))/24</f>
        <v>10376.924166666666</v>
      </c>
      <c r="I9" s="381">
        <f>(('E303.3'!$H31+'E303.3'!$H43)+(2*SUM('E303.3'!$H32:$H42)))/24</f>
        <v>-144.12394675925924</v>
      </c>
      <c r="J9" s="382">
        <f>(('E303.3'!$L31+'E303.3'!$L43)+(2*SUM('E303.3'!$L32:$L42)))/24</f>
        <v>-732.01467864583321</v>
      </c>
      <c r="K9" s="383">
        <f>'E303.3'!$F43</f>
        <v>3458.9747222222218</v>
      </c>
      <c r="M9" s="379">
        <v>45047</v>
      </c>
      <c r="N9" s="380">
        <f>(('E3912'!$D31+'E3912'!$D43)+(2*SUM('E3912'!$D32:$D42)))/24</f>
        <v>0</v>
      </c>
      <c r="O9" s="381">
        <f>(('E3912'!$H31+'E3912'!$H43)+(2*SUM('E3912'!$H32:$H42)))/24</f>
        <v>0</v>
      </c>
      <c r="P9" s="382">
        <f>(('E3912'!$L31+'E3912'!$L43)+(2*SUM('E3912'!$L32:$L42)))/24</f>
        <v>0</v>
      </c>
      <c r="Q9" s="383">
        <f>'E3912'!$F43</f>
        <v>0</v>
      </c>
      <c r="S9" s="384">
        <v>45047</v>
      </c>
      <c r="T9" s="380">
        <f>(('E368'!$D31+'E368'!$D43)+(2*SUM('E368'!$D32:$D42)))/24</f>
        <v>0</v>
      </c>
      <c r="U9" s="381">
        <f>(('E368'!$H31+'E368'!$H43)+(2*SUM('E368'!$H32:$H42)))/24</f>
        <v>0</v>
      </c>
      <c r="V9" s="382">
        <f>(('E368'!$L31+'E368'!$L43)+(2*SUM('E368'!$L32:$L42)))/24</f>
        <v>0</v>
      </c>
      <c r="W9" s="383">
        <f>'E368'!$F43</f>
        <v>0</v>
      </c>
    </row>
    <row r="10" spans="1:23" x14ac:dyDescent="0.25">
      <c r="A10" s="379">
        <v>45078</v>
      </c>
      <c r="B10" s="380">
        <f>(('E3711'!$D32+'E3711'!$D44)+(2*SUM('E3711'!$D33:$D43)))/24</f>
        <v>0</v>
      </c>
      <c r="C10" s="381">
        <f>(('E3711'!$H32+'E3711'!$H44)+(2*SUM('E3711'!$H33:$H43)))/24</f>
        <v>0</v>
      </c>
      <c r="D10" s="382">
        <f>(('E3711'!$L32+'E3711'!$L44)+(2*SUM('E3711'!$L33:$L43)))/24</f>
        <v>-765.537465</v>
      </c>
      <c r="E10" s="383">
        <f>'E3711'!$F44</f>
        <v>0</v>
      </c>
      <c r="G10" s="384">
        <v>45078</v>
      </c>
      <c r="H10" s="380">
        <f>(('E303.3'!$D32+'E303.3'!$D44)+(2*SUM('E303.3'!$D33:$D43)))/24</f>
        <v>31173.239166666666</v>
      </c>
      <c r="I10" s="381">
        <f>(('E303.3'!$H32+'E303.3'!$H44)+(2*SUM('E303.3'!$H33:$H43)))/24</f>
        <v>-721.20954861111102</v>
      </c>
      <c r="J10" s="382">
        <f>(('E303.3'!$L32+'E303.3'!$L44)+(2*SUM('E303.3'!$L33:$L43)))/24</f>
        <v>-946.23021354166656</v>
      </c>
      <c r="K10" s="383">
        <f>'E303.3'!$F44</f>
        <v>6932.1049999999996</v>
      </c>
      <c r="M10" s="379">
        <v>45078</v>
      </c>
      <c r="N10" s="380">
        <f>(('E3912'!$D32+'E3912'!$D44)+(2*SUM('E3912'!$D33:$D43)))/24</f>
        <v>0</v>
      </c>
      <c r="O10" s="381">
        <f>(('E3912'!$H32+'E3912'!$H44)+(2*SUM('E3912'!$H33:$H43)))/24</f>
        <v>0</v>
      </c>
      <c r="P10" s="382">
        <f>(('E3912'!$L32+'E3912'!$L44)+(2*SUM('E3912'!$L33:$L43)))/24</f>
        <v>0</v>
      </c>
      <c r="Q10" s="383">
        <f>'E3912'!$F44</f>
        <v>0</v>
      </c>
      <c r="S10" s="384">
        <v>45078</v>
      </c>
      <c r="T10" s="380">
        <f>(('E368'!$D32+'E368'!$D44)+(2*SUM('E368'!$D33:$D43)))/24</f>
        <v>0</v>
      </c>
      <c r="U10" s="381">
        <f>(('E368'!$H32+'E368'!$H44)+(2*SUM('E368'!$H33:$H43)))/24</f>
        <v>0</v>
      </c>
      <c r="V10" s="382">
        <f>(('E368'!$L32+'E368'!$L44)+(2*SUM('E368'!$L33:$L43)))/24</f>
        <v>0</v>
      </c>
      <c r="W10" s="383">
        <f>'E368'!$F44</f>
        <v>0</v>
      </c>
    </row>
    <row r="11" spans="1:23" x14ac:dyDescent="0.25">
      <c r="A11" s="379">
        <v>45108</v>
      </c>
      <c r="B11" s="380">
        <f>(('E3711'!$D33+'E3711'!$D45)+(2*SUM('E3711'!$D34:$D44)))/24</f>
        <v>0</v>
      </c>
      <c r="C11" s="381">
        <f>(('E3711'!$H33+'E3711'!$H45)+(2*SUM('E3711'!$H34:$H44)))/24</f>
        <v>0</v>
      </c>
      <c r="D11" s="382">
        <f>(('E3711'!$L33+'E3711'!$L45)+(2*SUM('E3711'!$L34:$L44)))/24</f>
        <v>-1041.9815495833334</v>
      </c>
      <c r="E11" s="383">
        <f>'E3711'!$F45</f>
        <v>0</v>
      </c>
      <c r="G11" s="384">
        <v>45108</v>
      </c>
      <c r="H11" s="380">
        <f>(('E303.3'!$D33+'E303.3'!$D45)+(2*SUM('E303.3'!$D34:$D44)))/24</f>
        <v>52046.765416666669</v>
      </c>
      <c r="I11" s="381">
        <f>(('E303.3'!$H33+'E303.3'!$H45)+(2*SUM('E303.3'!$H34:$H44)))/24</f>
        <v>-1877.0429456018517</v>
      </c>
      <c r="J11" s="382">
        <f>(('E303.3'!$L33+'E303.3'!$L45)+(2*SUM('E303.3'!$L34:$L44)))/24</f>
        <v>-1099.8911680555555</v>
      </c>
      <c r="K11" s="383">
        <f>'E303.3'!$F45</f>
        <v>6957.842083333333</v>
      </c>
      <c r="M11" s="379">
        <v>45108</v>
      </c>
      <c r="N11" s="380">
        <f>(('E3912'!$D33+'E3912'!$D45)+(2*SUM('E3912'!$D34:$D44)))/24</f>
        <v>0</v>
      </c>
      <c r="O11" s="381">
        <f>(('E3912'!$H33+'E3912'!$H45)+(2*SUM('E3912'!$H34:$H44)))/24</f>
        <v>0</v>
      </c>
      <c r="P11" s="382">
        <f>(('E3912'!$L33+'E3912'!$L45)+(2*SUM('E3912'!$L34:$L44)))/24</f>
        <v>0</v>
      </c>
      <c r="Q11" s="383">
        <f>'E3912'!$F45</f>
        <v>0</v>
      </c>
      <c r="S11" s="384">
        <v>45108</v>
      </c>
      <c r="T11" s="380">
        <f>(('E368'!$D33+'E368'!$D45)+(2*SUM('E368'!$D34:$D44)))/24</f>
        <v>0</v>
      </c>
      <c r="U11" s="381">
        <f>(('E368'!$H33+'E368'!$H45)+(2*SUM('E368'!$H34:$H44)))/24</f>
        <v>0</v>
      </c>
      <c r="V11" s="382">
        <f>(('E368'!$L33+'E368'!$L45)+(2*SUM('E368'!$L34:$L44)))/24</f>
        <v>0</v>
      </c>
      <c r="W11" s="383">
        <f>'E368'!$F45</f>
        <v>0</v>
      </c>
    </row>
    <row r="12" spans="1:23" x14ac:dyDescent="0.25">
      <c r="A12" s="379">
        <v>45139</v>
      </c>
      <c r="B12" s="380">
        <f>(('E3711'!$D34+'E3711'!$D46)+(2*SUM('E3711'!$D35:$D45)))/24</f>
        <v>0</v>
      </c>
      <c r="C12" s="381">
        <f>(('E3711'!$H34+'E3711'!$H46)+(2*SUM('E3711'!$H35:$H45)))/24</f>
        <v>0</v>
      </c>
      <c r="D12" s="382">
        <f>(('E3711'!$L34+'E3711'!$L46)+(2*SUM('E3711'!$L35:$L45)))/24</f>
        <v>-1360.9554933333332</v>
      </c>
      <c r="E12" s="383">
        <f>'E3711'!$F46</f>
        <v>0</v>
      </c>
      <c r="G12" s="384">
        <v>45139</v>
      </c>
      <c r="H12" s="380">
        <f>(('E303.3'!$D34+'E303.3'!$D46)+(2*SUM('E303.3'!$D35:$D45)))/24</f>
        <v>72955.036250000005</v>
      </c>
      <c r="I12" s="381">
        <f>(('E303.3'!$H34+'E303.3'!$H46)+(2*SUM('E303.3'!$H35:$H45)))/24</f>
        <v>-3613.1790798611109</v>
      </c>
      <c r="J12" s="382">
        <f>(('E303.3'!$L34+'E303.3'!$L46)+(2*SUM('E303.3'!$L35:$L45)))/24</f>
        <v>-1192.6710043402775</v>
      </c>
      <c r="K12" s="383">
        <f>'E303.3'!$F46</f>
        <v>6969.4236111111104</v>
      </c>
      <c r="M12" s="379">
        <v>45139</v>
      </c>
      <c r="N12" s="380">
        <f>(('E3912'!$D34+'E3912'!$D46)+(2*SUM('E3912'!$D35:$D45)))/24</f>
        <v>0</v>
      </c>
      <c r="O12" s="381">
        <f>(('E3912'!$H34+'E3912'!$H46)+(2*SUM('E3912'!$H35:$H45)))/24</f>
        <v>0</v>
      </c>
      <c r="P12" s="382">
        <f>(('E3912'!$L34+'E3912'!$L46)+(2*SUM('E3912'!$L35:$L45)))/24</f>
        <v>0</v>
      </c>
      <c r="Q12" s="383">
        <f>'E3912'!$F46</f>
        <v>0</v>
      </c>
      <c r="S12" s="384">
        <v>45139</v>
      </c>
      <c r="T12" s="380">
        <f>(('E368'!$D34+'E368'!$D46)+(2*SUM('E368'!$D35:$D45)))/24</f>
        <v>0</v>
      </c>
      <c r="U12" s="381">
        <f>(('E368'!$H34+'E368'!$H46)+(2*SUM('E368'!$H35:$H45)))/24</f>
        <v>0</v>
      </c>
      <c r="V12" s="382">
        <f>(('E368'!$L34+'E368'!$L46)+(2*SUM('E368'!$L35:$L45)))/24</f>
        <v>0</v>
      </c>
      <c r="W12" s="383">
        <f>'E368'!$F46</f>
        <v>0</v>
      </c>
    </row>
    <row r="13" spans="1:23" x14ac:dyDescent="0.25">
      <c r="A13" s="379">
        <v>45170</v>
      </c>
      <c r="B13" s="380">
        <f>(('E3711'!$D35+'E3711'!$D47)+(2*SUM('E3711'!$D36:$D46)))/24</f>
        <v>0</v>
      </c>
      <c r="C13" s="381">
        <f>(('E3711'!$H35+'E3711'!$H47)+(2*SUM('E3711'!$H36:$H46)))/24</f>
        <v>0</v>
      </c>
      <c r="D13" s="382">
        <f>(('E3711'!$L35+'E3711'!$L47)+(2*SUM('E3711'!$L36:$L46)))/24</f>
        <v>-1722.4592962499999</v>
      </c>
      <c r="E13" s="383">
        <f>'E3711'!$F47</f>
        <v>0</v>
      </c>
      <c r="G13" s="384">
        <v>45170</v>
      </c>
      <c r="H13" s="380">
        <f>(('E303.3'!$D35+'E303.3'!$D47)+(2*SUM('E303.3'!$D36:$D46)))/24</f>
        <v>93863.307083333333</v>
      </c>
      <c r="I13" s="381">
        <f>(('E303.3'!$H35+'E303.3'!$H47)+(2*SUM('E303.3'!$H36:$H46)))/24</f>
        <v>-5930.1005150462952</v>
      </c>
      <c r="J13" s="382">
        <f>(('E303.3'!$L35+'E303.3'!$L47)+(2*SUM('E303.3'!$L36:$L46)))/24</f>
        <v>-1224.4683840277778</v>
      </c>
      <c r="K13" s="383">
        <f>'E303.3'!$F47</f>
        <v>6969.4236111111104</v>
      </c>
      <c r="M13" s="379">
        <v>45170</v>
      </c>
      <c r="N13" s="380">
        <f>(('E3912'!$D35+'E3912'!$D47)+(2*SUM('E3912'!$D36:$D46)))/24</f>
        <v>0</v>
      </c>
      <c r="O13" s="381">
        <f>(('E3912'!$H35+'E3912'!$H47)+(2*SUM('E3912'!$H36:$H46)))/24</f>
        <v>0</v>
      </c>
      <c r="P13" s="382">
        <f>(('E3912'!$L35+'E3912'!$L47)+(2*SUM('E3912'!$L36:$L46)))/24</f>
        <v>0</v>
      </c>
      <c r="Q13" s="383">
        <f>'E3912'!$F47</f>
        <v>0</v>
      </c>
      <c r="S13" s="384">
        <v>45170</v>
      </c>
      <c r="T13" s="380">
        <f>(('E368'!$D35+'E368'!$D47)+(2*SUM('E368'!$D36:$D46)))/24</f>
        <v>0</v>
      </c>
      <c r="U13" s="381">
        <f>(('E368'!$H35+'E368'!$H47)+(2*SUM('E368'!$H36:$H46)))/24</f>
        <v>0</v>
      </c>
      <c r="V13" s="382">
        <f>(('E368'!$L35+'E368'!$L47)+(2*SUM('E368'!$L36:$L46)))/24</f>
        <v>0</v>
      </c>
      <c r="W13" s="383">
        <f>'E368'!$F47</f>
        <v>0</v>
      </c>
    </row>
    <row r="14" spans="1:23" x14ac:dyDescent="0.25">
      <c r="A14" s="379">
        <v>45200</v>
      </c>
      <c r="B14" s="380">
        <f>(('E3711'!$D36+'E3711'!$D48)+(2*SUM('E3711'!$D37:$D47)))/24</f>
        <v>6030.17875</v>
      </c>
      <c r="C14" s="381">
        <f>(('E3711'!$H36+'E3711'!$H48)+(2*SUM('E3711'!$H37:$H47)))/24</f>
        <v>-36.080569520833343</v>
      </c>
      <c r="D14" s="382">
        <f>(('E3711'!$L36+'E3711'!$L48)+(2*SUM('E3711'!$L37:$L47)))/24</f>
        <v>-2118.9160387339584</v>
      </c>
      <c r="E14" s="383">
        <f>'E3711'!$F48</f>
        <v>865.93366850000018</v>
      </c>
      <c r="G14" s="384">
        <v>45200</v>
      </c>
      <c r="H14" s="380">
        <f>(('E303.3'!$D36+'E303.3'!$D48)+(2*SUM('E303.3'!$D37:$D47)))/24</f>
        <v>114771.57791666668</v>
      </c>
      <c r="I14" s="381">
        <f>(('E303.3'!$H36+'E303.3'!$H48)+(2*SUM('E303.3'!$H37:$H47)))/24</f>
        <v>-8827.8072511574064</v>
      </c>
      <c r="J14" s="382">
        <f>(('E303.3'!$L36+'E303.3'!$L48)+(2*SUM('E303.3'!$L37:$L47)))/24</f>
        <v>-1195.2833071180555</v>
      </c>
      <c r="K14" s="383">
        <f>'E303.3'!$F48</f>
        <v>6969.4236111111104</v>
      </c>
      <c r="M14" s="379">
        <v>45200</v>
      </c>
      <c r="N14" s="380">
        <f>(('E3912'!$D36+'E3912'!$D48)+(2*SUM('E3912'!$D37:$D47)))/24</f>
        <v>0</v>
      </c>
      <c r="O14" s="381">
        <f>(('E3912'!$H36+'E3912'!$H48)+(2*SUM('E3912'!$H37:$H47)))/24</f>
        <v>0</v>
      </c>
      <c r="P14" s="382">
        <f>(('E3912'!$L36+'E3912'!$L48)+(2*SUM('E3912'!$L37:$L47)))/24</f>
        <v>0</v>
      </c>
      <c r="Q14" s="383">
        <f>'E3912'!$F48</f>
        <v>0</v>
      </c>
      <c r="S14" s="384">
        <v>45200</v>
      </c>
      <c r="T14" s="380">
        <f>(('E368'!$D36+'E368'!$D48)+(2*SUM('E368'!$D37:$D47)))/24</f>
        <v>0</v>
      </c>
      <c r="U14" s="381">
        <f>(('E368'!$H36+'E368'!$H48)+(2*SUM('E368'!$H37:$H47)))/24</f>
        <v>0</v>
      </c>
      <c r="V14" s="382">
        <f>(('E368'!$L36+'E368'!$L48)+(2*SUM('E368'!$L37:$L47)))/24</f>
        <v>0</v>
      </c>
      <c r="W14" s="383">
        <f>'E368'!$F48</f>
        <v>0</v>
      </c>
    </row>
    <row r="15" spans="1:23" x14ac:dyDescent="0.25">
      <c r="A15" s="379">
        <v>45231</v>
      </c>
      <c r="B15" s="380">
        <f>(('E3711'!$D37+'E3711'!$D49)+(2*SUM('E3711'!$D38:$D48)))/24</f>
        <v>18090.536250000001</v>
      </c>
      <c r="C15" s="381">
        <f>(('E3711'!$H37+'E3711'!$H49)+(2*SUM('E3711'!$H38:$H48)))/24</f>
        <v>-180.40284760416671</v>
      </c>
      <c r="D15" s="382">
        <f>(('E3711'!$L37+'E3711'!$L49)+(2*SUM('E3711'!$L38:$L48)))/24</f>
        <v>-2535.1718815864583</v>
      </c>
      <c r="E15" s="383">
        <f>'E3711'!$F49</f>
        <v>1731.8673370000004</v>
      </c>
      <c r="G15" s="384">
        <v>45231</v>
      </c>
      <c r="H15" s="380">
        <f>(('E303.3'!$D37+'E303.3'!$D49)+(2*SUM('E303.3'!$D38:$D48)))/24</f>
        <v>135679.84875</v>
      </c>
      <c r="I15" s="381">
        <f>(('E303.3'!$H37+'E303.3'!$H49)+(2*SUM('E303.3'!$H38:$H48)))/24</f>
        <v>-12306.299288194443</v>
      </c>
      <c r="J15" s="382">
        <f>(('E303.3'!$L37+'E303.3'!$L49)+(2*SUM('E303.3'!$L38:$L48)))/24</f>
        <v>-1105.1157736111111</v>
      </c>
      <c r="K15" s="383">
        <f>'E303.3'!$F49</f>
        <v>6969.4236111111104</v>
      </c>
      <c r="M15" s="379">
        <v>45231</v>
      </c>
      <c r="N15" s="380">
        <f>(('E3912'!$D37+'E3912'!$D49)+(2*SUM('E3912'!$D38:$D48)))/24</f>
        <v>0</v>
      </c>
      <c r="O15" s="381">
        <f>(('E3912'!$H37+'E3912'!$H49)+(2*SUM('E3912'!$H38:$H48)))/24</f>
        <v>0</v>
      </c>
      <c r="P15" s="382">
        <f>(('E3912'!$L37+'E3912'!$L49)+(2*SUM('E3912'!$L38:$L48)))/24</f>
        <v>0</v>
      </c>
      <c r="Q15" s="383">
        <f>'E3912'!$F49</f>
        <v>0</v>
      </c>
      <c r="S15" s="384">
        <v>45231</v>
      </c>
      <c r="T15" s="380">
        <f>(('E368'!$D37+'E368'!$D49)+(2*SUM('E368'!$D38:$D48)))/24</f>
        <v>0</v>
      </c>
      <c r="U15" s="381">
        <f>(('E368'!$H37+'E368'!$H49)+(2*SUM('E368'!$H38:$H48)))/24</f>
        <v>0</v>
      </c>
      <c r="V15" s="382">
        <f>(('E368'!$L37+'E368'!$L49)+(2*SUM('E368'!$L38:$L48)))/24</f>
        <v>0</v>
      </c>
      <c r="W15" s="383">
        <f>'E368'!$F49</f>
        <v>0</v>
      </c>
    </row>
    <row r="16" spans="1:23" x14ac:dyDescent="0.25">
      <c r="A16" s="379">
        <v>45261</v>
      </c>
      <c r="B16" s="380">
        <f>(('E3711'!$D38+'E3711'!$D50)+(2*SUM('E3711'!$D39:$D49)))/24</f>
        <v>30196.409166666668</v>
      </c>
      <c r="C16" s="381">
        <f>(('E3711'!$H38+'E3711'!$H50)+(2*SUM('E3711'!$H39:$H49)))/24</f>
        <v>-469.31973768055559</v>
      </c>
      <c r="D16" s="382">
        <f>(('E3711'!$L38+'E3711'!$L50)+(2*SUM('E3711'!$L39:$L49)))/24</f>
        <v>-2963.5927150870843</v>
      </c>
      <c r="E16" s="383">
        <f>'E3711'!$F50</f>
        <v>1738.4033508333337</v>
      </c>
      <c r="G16" s="384">
        <v>45261</v>
      </c>
      <c r="H16" s="380">
        <f>(('E303.3'!$D38+'E303.3'!$D50)+(2*SUM('E303.3'!$D39:$D49)))/24</f>
        <v>156588.11958333335</v>
      </c>
      <c r="I16" s="381">
        <f>(('E303.3'!$H38+'E303.3'!$H50)+(2*SUM('E303.3'!$H39:$H49)))/24</f>
        <v>-16365.576626157403</v>
      </c>
      <c r="J16" s="382">
        <f>(('E303.3'!$L38+'E303.3'!$L50)+(2*SUM('E303.3'!$L39:$L49)))/24</f>
        <v>-953.96578350694472</v>
      </c>
      <c r="K16" s="383">
        <f>'E303.3'!$F50</f>
        <v>6969.4236111111104</v>
      </c>
      <c r="M16" s="379">
        <v>45261</v>
      </c>
      <c r="N16" s="380">
        <f>(('E3912'!$D38+'E3912'!$D50)+(2*SUM('E3912'!$D39:$D49)))/24</f>
        <v>0</v>
      </c>
      <c r="O16" s="381">
        <f>(('E3912'!$H38+'E3912'!$H50)+(2*SUM('E3912'!$H39:$H49)))/24</f>
        <v>0</v>
      </c>
      <c r="P16" s="382">
        <f>(('E3912'!$L38+'E3912'!$L50)+(2*SUM('E3912'!$L39:$L49)))/24</f>
        <v>0</v>
      </c>
      <c r="Q16" s="383">
        <f>'E3912'!$F50</f>
        <v>0</v>
      </c>
      <c r="S16" s="384">
        <v>45261</v>
      </c>
      <c r="T16" s="380">
        <f>(('E368'!$D38+'E368'!$D50)+(2*SUM('E368'!$D39:$D49)))/24</f>
        <v>0</v>
      </c>
      <c r="U16" s="381">
        <f>(('E368'!$H38+'E368'!$H50)+(2*SUM('E368'!$H39:$H49)))/24</f>
        <v>0</v>
      </c>
      <c r="V16" s="382">
        <f>(('E368'!$L38+'E368'!$L50)+(2*SUM('E368'!$L39:$L49)))/24</f>
        <v>0</v>
      </c>
      <c r="W16" s="383">
        <f>'E368'!$F50</f>
        <v>0</v>
      </c>
    </row>
    <row r="17" spans="1:23" x14ac:dyDescent="0.25">
      <c r="A17" s="379">
        <v>45292</v>
      </c>
      <c r="B17" s="380">
        <f>(('E3711'!$D39+'E3711'!$D51)+(2*SUM('E3711'!$D40:$D50)))/24</f>
        <v>42636.297500000001</v>
      </c>
      <c r="C17" s="381">
        <f>(('E3711'!$H39+'E3711'!$H51)+(2*SUM('E3711'!$H40:$H50)))/24</f>
        <v>-905.10209923611126</v>
      </c>
      <c r="D17" s="382">
        <f>(('E3711'!$L39+'E3711'!$L51)+(2*SUM('E3711'!$L40:$L50)))/24</f>
        <v>-3762.1959160770839</v>
      </c>
      <c r="E17" s="383">
        <f>'E3711'!$F51</f>
        <v>1786.3679646666667</v>
      </c>
      <c r="G17" s="384">
        <v>45292</v>
      </c>
      <c r="H17" s="380">
        <f>(('E303.3'!$D39+'E303.3'!$D51)+(2*SUM('E303.3'!$D40:$D50)))/24</f>
        <v>177496.39041666666</v>
      </c>
      <c r="I17" s="381">
        <f>(('E303.3'!$H39+'E303.3'!$H51)+(2*SUM('E303.3'!$H40:$H50)))/24</f>
        <v>-21005.639265046291</v>
      </c>
      <c r="J17" s="382">
        <f>(('E303.3'!$L39+'E303.3'!$L51)+(2*SUM('E303.3'!$L40:$L50)))/24</f>
        <v>-741.83333680555631</v>
      </c>
      <c r="K17" s="383">
        <f>'E303.3'!$F51</f>
        <v>6969.4236111111104</v>
      </c>
      <c r="M17" s="379">
        <v>45292</v>
      </c>
      <c r="N17" s="380">
        <f>(('E3912'!$D39+'E3912'!$D51)+(2*SUM('E3912'!$D40:$D50)))/24</f>
        <v>0</v>
      </c>
      <c r="O17" s="381">
        <f>(('E3912'!$H39+'E3912'!$H51)+(2*SUM('E3912'!$H40:$H50)))/24</f>
        <v>0</v>
      </c>
      <c r="P17" s="382">
        <f>(('E3912'!$L39+'E3912'!$L51)+(2*SUM('E3912'!$L40:$L50)))/24</f>
        <v>-131.25</v>
      </c>
      <c r="Q17" s="383">
        <f>'E3912'!$F51</f>
        <v>0</v>
      </c>
      <c r="S17" s="384">
        <v>45292</v>
      </c>
      <c r="T17" s="380">
        <f>(('E368'!$D39+'E368'!$D51)+(2*SUM('E368'!$D40:$D50)))/24</f>
        <v>1995.7335069444443</v>
      </c>
      <c r="U17" s="381">
        <f>(('E368'!$H39+'E368'!$H51)+(2*SUM('E368'!$H40:$H50)))/24</f>
        <v>-2.7524491283275463</v>
      </c>
      <c r="V17" s="382">
        <f>(('E368'!$L39+'E368'!$L51)+(2*SUM('E368'!$L40:$L50)))/24</f>
        <v>-114.74084496039497</v>
      </c>
      <c r="W17" s="383">
        <f>'E368'!$F51</f>
        <v>66.058779079861111</v>
      </c>
    </row>
    <row r="18" spans="1:23" x14ac:dyDescent="0.25">
      <c r="A18" s="379">
        <v>45323</v>
      </c>
      <c r="B18" s="380">
        <f>(('E3711'!$D40+'E3711'!$D52)+(2*SUM('E3711'!$D41:$D51)))/24</f>
        <v>60468.060833333329</v>
      </c>
      <c r="C18" s="381">
        <f>(('E3711'!$H40+'E3711'!$H52)+(2*SUM('E3711'!$H41:$H51)))/24</f>
        <v>-1522.009843263889</v>
      </c>
      <c r="D18" s="382">
        <f>(('E3711'!$L40+'E3711'!$L52)+(2*SUM('E3711'!$L41:$L51)))/24</f>
        <v>-5282.2811605812503</v>
      </c>
      <c r="E18" s="383">
        <f>'E3711'!$F52</f>
        <v>2560.6412146666671</v>
      </c>
      <c r="G18" s="384">
        <v>45323</v>
      </c>
      <c r="H18" s="380">
        <f>(('E303.3'!$D40+'E303.3'!$D52)+(2*SUM('E303.3'!$D41:$D51)))/24</f>
        <v>198404.66125</v>
      </c>
      <c r="I18" s="381">
        <f>(('E303.3'!$H40+'E303.3'!$H52)+(2*SUM('E303.3'!$H41:$H51)))/24</f>
        <v>-26226.487204861103</v>
      </c>
      <c r="J18" s="382">
        <f>(('E303.3'!$L40+'E303.3'!$L52)+(2*SUM('E303.3'!$L41:$L51)))/24</f>
        <v>-468.71843350694508</v>
      </c>
      <c r="K18" s="383">
        <f>'E303.3'!$F52</f>
        <v>6969.4236111111104</v>
      </c>
      <c r="M18" s="379">
        <v>45323</v>
      </c>
      <c r="N18" s="380">
        <f>(('E3912'!$D40+'E3912'!$D52)+(2*SUM('E3912'!$D41:$D51)))/24</f>
        <v>0</v>
      </c>
      <c r="O18" s="381">
        <f>(('E3912'!$H40+'E3912'!$H52)+(2*SUM('E3912'!$H41:$H51)))/24</f>
        <v>0</v>
      </c>
      <c r="P18" s="382">
        <f>(('E3912'!$L40+'E3912'!$L52)+(2*SUM('E3912'!$L41:$L51)))/24</f>
        <v>-525</v>
      </c>
      <c r="Q18" s="383">
        <f>'E3912'!$F52</f>
        <v>0</v>
      </c>
      <c r="S18" s="384">
        <v>45323</v>
      </c>
      <c r="T18" s="380">
        <f>(('E368'!$D40+'E368'!$D52)+(2*SUM('E368'!$D41:$D51)))/24</f>
        <v>17090.850694444442</v>
      </c>
      <c r="U18" s="381">
        <f>(('E368'!$H40+'E368'!$H52)+(2*SUM('E368'!$H41:$H51)))/24</f>
        <v>-29.076029839409717</v>
      </c>
      <c r="V18" s="382">
        <f>(('E368'!$L40+'E368'!$L52)+(2*SUM('E368'!$L41:$L51)))/24</f>
        <v>-455.16947084309913</v>
      </c>
      <c r="W18" s="383">
        <f>'E368'!$F52</f>
        <v>499.64837890624995</v>
      </c>
    </row>
    <row r="19" spans="1:23" x14ac:dyDescent="0.25">
      <c r="A19" s="379">
        <v>45352</v>
      </c>
      <c r="B19" s="380">
        <f>(('E3711'!$D41+'E3711'!$D53)+(2*SUM('E3711'!$D42:$D52)))/24</f>
        <v>89560.365833333344</v>
      </c>
      <c r="C19" s="381">
        <f>(('E3711'!$H41+'E3711'!$H53)+(2*SUM('E3711'!$H42:$H52)))/24</f>
        <v>-2419.6799294861116</v>
      </c>
      <c r="D19" s="382">
        <f>(('E3711'!$L41+'E3711'!$L53)+(2*SUM('E3711'!$L42:$L52)))/24</f>
        <v>-7502.9246870579182</v>
      </c>
      <c r="E19" s="383">
        <f>'E3711'!$F53</f>
        <v>4177.654998</v>
      </c>
      <c r="G19" s="384">
        <v>45352</v>
      </c>
      <c r="H19" s="380">
        <f>(('E303.3'!$D41+'E303.3'!$D53)+(2*SUM('E303.3'!$D42:$D52)))/24</f>
        <v>219312.93208333335</v>
      </c>
      <c r="I19" s="381">
        <f>(('E303.3'!$H41+'E303.3'!$H53)+(2*SUM('E303.3'!$H42:$H52)))/24</f>
        <v>-32028.120445601846</v>
      </c>
      <c r="J19" s="382">
        <f>(('E303.3'!$L41+'E303.3'!$L53)+(2*SUM('E303.3'!$L42:$L52)))/24</f>
        <v>-134.62107361111185</v>
      </c>
      <c r="K19" s="383">
        <f>'E303.3'!$F53</f>
        <v>6969.4236111111104</v>
      </c>
      <c r="M19" s="379">
        <v>45352</v>
      </c>
      <c r="N19" s="380">
        <f>(('E3912'!$D41+'E3912'!$D53)+(2*SUM('E3912'!$D42:$D52)))/24</f>
        <v>2083.3333333333335</v>
      </c>
      <c r="O19" s="381">
        <f>(('E3912'!$H41+'E3912'!$H53)+(2*SUM('E3912'!$H42:$H52)))/24</f>
        <v>-17.361111111111111</v>
      </c>
      <c r="P19" s="382">
        <f>(('E3912'!$L41+'E3912'!$L53)+(2*SUM('E3912'!$L42:$L52)))/24</f>
        <v>-1177.6041666666667</v>
      </c>
      <c r="Q19" s="383">
        <f>'E3912'!$F53</f>
        <v>416.66666666666669</v>
      </c>
      <c r="S19" s="384">
        <v>45352</v>
      </c>
      <c r="T19" s="380">
        <f>(('E368'!$D41+'E368'!$D53)+(2*SUM('E368'!$D42:$D52)))/24</f>
        <v>56634.665625000001</v>
      </c>
      <c r="U19" s="381">
        <f>(('E368'!$H41+'E368'!$H53)+(2*SUM('E368'!$H42:$H52)))/24</f>
        <v>-130.75580442997685</v>
      </c>
      <c r="V19" s="382">
        <f>(('E368'!$L41+'E368'!$L53)+(2*SUM('E368'!$L42:$L52)))/24</f>
        <v>-1010.4110145657988</v>
      </c>
      <c r="W19" s="383">
        <f>'E368'!$F53</f>
        <v>1308.9002742013888</v>
      </c>
    </row>
    <row r="20" spans="1:23" x14ac:dyDescent="0.25">
      <c r="A20" s="379">
        <v>45383</v>
      </c>
      <c r="B20" s="380">
        <f>(('E3711'!$D42+'E3711'!$D54)+(2*SUM('E3711'!$D43:$D53)))/24</f>
        <v>132559.00416666668</v>
      </c>
      <c r="C20" s="381">
        <f>(('E3711'!$H42+'E3711'!$H54)+(2*SUM('E3711'!$H43:$H53)))/24</f>
        <v>-3748.6941599861116</v>
      </c>
      <c r="D20" s="382">
        <f>(('E3711'!$L42+'E3711'!$L54)+(2*SUM('E3711'!$L43:$L53)))/24</f>
        <v>-10392.504317069584</v>
      </c>
      <c r="E20" s="383">
        <f>'E3711'!$F54</f>
        <v>6174.6044646666669</v>
      </c>
      <c r="G20" s="384">
        <v>45383</v>
      </c>
      <c r="H20" s="380">
        <f>(('E303.3'!$D42+'E303.3'!$D54)+(2*SUM('E303.3'!$D43:$D53)))/24</f>
        <v>240221.20291666666</v>
      </c>
      <c r="I20" s="381">
        <f>(('E303.3'!$H42+'E303.3'!$H54)+(2*SUM('E303.3'!$H43:$H53)))/24</f>
        <v>-38410.538987268512</v>
      </c>
      <c r="J20" s="382">
        <f>(('E303.3'!$L42+'E303.3'!$L54)+(2*SUM('E303.3'!$L43:$L53)))/24</f>
        <v>260.45874288194312</v>
      </c>
      <c r="K20" s="383">
        <f>'E303.3'!$F54</f>
        <v>6969.4236111111104</v>
      </c>
      <c r="M20" s="379">
        <v>45383</v>
      </c>
      <c r="N20" s="380">
        <f>(('E3912'!$D42+'E3912'!$D54)+(2*SUM('E3912'!$D43:$D53)))/24</f>
        <v>8333.3333333333339</v>
      </c>
      <c r="O20" s="381">
        <f>(('E3912'!$H42+'E3912'!$H54)+(2*SUM('E3912'!$H43:$H53)))/24</f>
        <v>-104.16666666666667</v>
      </c>
      <c r="P20" s="382">
        <f>(('E3912'!$L42+'E3912'!$L54)+(2*SUM('E3912'!$L43:$L53)))/24</f>
        <v>-2078.125</v>
      </c>
      <c r="Q20" s="383">
        <f>'E3912'!$F54</f>
        <v>1250</v>
      </c>
      <c r="S20" s="384">
        <v>45383</v>
      </c>
      <c r="T20" s="380">
        <f>(('E368'!$D42+'E368'!$D54)+(2*SUM('E368'!$D43:$D53)))/24</f>
        <v>126118.57569444443</v>
      </c>
      <c r="U20" s="381">
        <f>(('E368'!$H42+'E368'!$H54)+(2*SUM('E368'!$H43:$H53)))/24</f>
        <v>-382.80298308304396</v>
      </c>
      <c r="V20" s="382">
        <f>(('E368'!$L42+'E368'!$L54)+(2*SUM('E368'!$L43:$L53)))/24</f>
        <v>-1764.7131219900614</v>
      </c>
      <c r="W20" s="383">
        <f>'E368'!$F54</f>
        <v>2299.9174232986111</v>
      </c>
    </row>
    <row r="21" spans="1:23" x14ac:dyDescent="0.25">
      <c r="A21" s="379">
        <v>45413</v>
      </c>
      <c r="B21" s="380">
        <f>(('E3711'!$D43+'E3711'!$D55)+(2*SUM('E3711'!$D44:$D54)))/24</f>
        <v>193015.3091666667</v>
      </c>
      <c r="C21" s="381">
        <f>(('E3711'!$H43+'E3711'!$H55)+(2*SUM('E3711'!$H44:$H54)))/24</f>
        <v>-5696.7138014305565</v>
      </c>
      <c r="D21" s="382">
        <f>(('E3711'!$L43+'E3711'!$L55)+(2*SUM('E3711'!$L44:$L54)))/24</f>
        <v>-13911.611184616251</v>
      </c>
      <c r="E21" s="383">
        <f>'E3711'!$F55</f>
        <v>8681.5253979999998</v>
      </c>
      <c r="G21" s="384">
        <v>45413</v>
      </c>
      <c r="H21" s="380">
        <f>(('E303.3'!$D43+'E303.3'!$D55)+(2*SUM('E303.3'!$D44:$D54)))/24</f>
        <v>250752.54958333331</v>
      </c>
      <c r="I21" s="381">
        <f>(('E303.3'!$H43+'E303.3'!$H55)+(2*SUM('E303.3'!$H44:$H54)))/24</f>
        <v>-45229.618883101844</v>
      </c>
      <c r="J21" s="382">
        <f>(('E303.3'!$L43+'E303.3'!$L55)+(2*SUM('E303.3'!$L44:$L54)))/24</f>
        <v>686.25498715277581</v>
      </c>
      <c r="K21" s="383">
        <f>'E303.3'!$F55</f>
        <v>6969.4236111111104</v>
      </c>
      <c r="M21" s="379">
        <v>45413</v>
      </c>
      <c r="N21" s="380">
        <f>(('E3912'!$D43+'E3912'!$D55)+(2*SUM('E3912'!$D44:$D54)))/24</f>
        <v>19791.666666666668</v>
      </c>
      <c r="O21" s="381">
        <f>(('E3912'!$H43+'E3912'!$H55)+(2*SUM('E3912'!$H44:$H54)))/24</f>
        <v>-338.54166666666669</v>
      </c>
      <c r="P21" s="382">
        <f>(('E3912'!$L43+'E3912'!$L55)+(2*SUM('E3912'!$L44:$L54)))/24</f>
        <v>-3210.15625</v>
      </c>
      <c r="Q21" s="383">
        <f>'E3912'!$F55</f>
        <v>2291.666666666667</v>
      </c>
      <c r="S21" s="384">
        <v>45413</v>
      </c>
      <c r="T21" s="380">
        <f>(('E368'!$D43+'E368'!$D55)+(2*SUM('E368'!$D44:$D54)))/24</f>
        <v>233944.1954861111</v>
      </c>
      <c r="U21" s="381">
        <f>(('E368'!$H43+'E368'!$H55)+(2*SUM('E368'!$H44:$H54)))/24</f>
        <v>-879.38955500289342</v>
      </c>
      <c r="V21" s="382">
        <f>(('E368'!$L43+'E368'!$L55)+(2*SUM('E368'!$L44:$L54)))/24</f>
        <v>-2698.2996753829871</v>
      </c>
      <c r="W21" s="383">
        <f>'E368'!$F55</f>
        <v>3569.0280151041666</v>
      </c>
    </row>
    <row r="22" spans="1:23" x14ac:dyDescent="0.25">
      <c r="A22" s="379">
        <v>45444</v>
      </c>
      <c r="B22" s="380">
        <f>(('E3711'!$D44+'E3711'!$D56)+(2*SUM('E3711'!$D45:$D55)))/24</f>
        <v>272600.1141666667</v>
      </c>
      <c r="C22" s="381">
        <f>(('E3711'!$H44+'E3711'!$H56)+(2*SUM('E3711'!$H45:$H55)))/24</f>
        <v>-8482.646084375001</v>
      </c>
      <c r="D22" s="382">
        <f>(('E3711'!$L44+'E3711'!$L56)+(2*SUM('E3711'!$L45:$L55)))/24</f>
        <v>-18014.274771281249</v>
      </c>
      <c r="E22" s="383">
        <f>'E3711'!$F56</f>
        <v>11428.377998000002</v>
      </c>
      <c r="G22" s="384">
        <v>45444</v>
      </c>
      <c r="H22" s="380">
        <f>(('E303.3'!$D44+'E303.3'!$D56)+(2*SUM('E303.3'!$D45:$D55)))/24</f>
        <v>250864.50541666665</v>
      </c>
      <c r="I22" s="381">
        <f>(('E303.3'!$H44+'E303.3'!$H56)+(2*SUM('E303.3'!$H45:$H55)))/24</f>
        <v>-52196.522424768504</v>
      </c>
      <c r="J22" s="382">
        <f>(('E303.3'!$L44+'E303.3'!$L56)+(2*SUM('E303.3'!$L45:$L55)))/24</f>
        <v>1082.111740451387</v>
      </c>
      <c r="K22" s="383">
        <f>'E303.3'!$F56</f>
        <v>6969.4236111111104</v>
      </c>
      <c r="M22" s="379">
        <v>45444</v>
      </c>
      <c r="N22" s="380">
        <f>(('E3912'!$D44+'E3912'!$D56)+(2*SUM('E3912'!$D45:$D55)))/24</f>
        <v>36458.333333333336</v>
      </c>
      <c r="O22" s="381">
        <f>(('E3912'!$H44+'E3912'!$H56)+(2*SUM('E3912'!$H45:$H55)))/24</f>
        <v>-807.29166666666686</v>
      </c>
      <c r="P22" s="382">
        <f>(('E3912'!$L44+'E3912'!$L56)+(2*SUM('E3912'!$L45:$L55)))/24</f>
        <v>-4555.46875</v>
      </c>
      <c r="Q22" s="383">
        <f>'E3912'!$F56</f>
        <v>3333.333333333333</v>
      </c>
      <c r="S22" s="384">
        <v>45444</v>
      </c>
      <c r="T22" s="380">
        <f>(('E368'!$D44+'E368'!$D56)+(2*SUM('E368'!$D45:$D55)))/24</f>
        <v>384360.92499999999</v>
      </c>
      <c r="U22" s="381">
        <f>(('E368'!$H44+'E368'!$H56)+(2*SUM('E368'!$H45:$H55)))/24</f>
        <v>-1732.1353670066553</v>
      </c>
      <c r="V22" s="382">
        <f>(('E368'!$L44+'E368'!$L56)+(2*SUM('E368'!$L45:$L55)))/24</f>
        <v>-3787.7305069129784</v>
      </c>
      <c r="W22" s="383">
        <f>'E368'!$F56</f>
        <v>4978.7937469097224</v>
      </c>
    </row>
    <row r="23" spans="1:23" x14ac:dyDescent="0.25">
      <c r="A23" s="379">
        <v>45474</v>
      </c>
      <c r="B23" s="380">
        <f>(('E3711'!$D45+'E3711'!$D57)+(2*SUM('E3711'!$D46:$D56)))/24</f>
        <v>371820.91916666675</v>
      </c>
      <c r="C23" s="381">
        <f>(('E3711'!$H45+'E3711'!$H57)+(2*SUM('E3711'!$H46:$H56)))/24</f>
        <v>-12338.431933819447</v>
      </c>
      <c r="D23" s="382">
        <f>(('E3711'!$L45+'E3711'!$L57)+(2*SUM('E3711'!$L46:$L56)))/24</f>
        <v>-22651.787482814583</v>
      </c>
      <c r="E23" s="383">
        <f>'E3711'!$F57</f>
        <v>14248.107598000002</v>
      </c>
      <c r="G23" s="384">
        <v>45474</v>
      </c>
      <c r="H23" s="380">
        <f>(('E303.3'!$D45+'E303.3'!$D57)+(2*SUM('E303.3'!$D46:$D56)))/24</f>
        <v>250899.25</v>
      </c>
      <c r="I23" s="381">
        <f>(('E303.3'!$H45+'E303.3'!$H57)+(2*SUM('E303.3'!$H46:$H56)))/24</f>
        <v>-59165.463472222211</v>
      </c>
      <c r="J23" s="382">
        <f>(('E303.3'!$L45+'E303.3'!$L57)+(2*SUM('E303.3'!$L46:$L56)))/24</f>
        <v>1417.4139133680535</v>
      </c>
      <c r="K23" s="383">
        <f>'E303.3'!$F57</f>
        <v>6969.4236111111104</v>
      </c>
      <c r="M23" s="379">
        <v>45474</v>
      </c>
      <c r="N23" s="380">
        <f>(('E3912'!$D45+'E3912'!$D57)+(2*SUM('E3912'!$D46:$D56)))/24</f>
        <v>57291.666666666664</v>
      </c>
      <c r="O23" s="381">
        <f>(('E3912'!$H45+'E3912'!$H57)+(2*SUM('E3912'!$H46:$H56)))/24</f>
        <v>-1588.541666666667</v>
      </c>
      <c r="P23" s="382">
        <f>(('E3912'!$L45+'E3912'!$L57)+(2*SUM('E3912'!$L46:$L56)))/24</f>
        <v>-6097.65625</v>
      </c>
      <c r="Q23" s="383">
        <f>'E3912'!$F57</f>
        <v>4166.666666666667</v>
      </c>
      <c r="S23" s="384">
        <v>45474</v>
      </c>
      <c r="T23" s="380">
        <f>(('E368'!$D45+'E368'!$D57)+(2*SUM('E368'!$D46:$D56)))/24</f>
        <v>577841.54965277773</v>
      </c>
      <c r="U23" s="381">
        <f>(('E368'!$H45+'E368'!$H57)+(2*SUM('E368'!$H46:$H56)))/24</f>
        <v>-3059.1729466319443</v>
      </c>
      <c r="V23" s="382">
        <f>(('E368'!$L45+'E368'!$L57)+(2*SUM('E368'!$L46:$L56)))/24</f>
        <v>-5008.197785797136</v>
      </c>
      <c r="W23" s="383">
        <f>'E368'!$F57</f>
        <v>6404.2086760069433</v>
      </c>
    </row>
    <row r="24" spans="1:23" x14ac:dyDescent="0.25">
      <c r="A24" s="379">
        <v>45505</v>
      </c>
      <c r="B24" s="380">
        <f>(('E3711'!$D46+'E3711'!$D58)+(2*SUM('E3711'!$D47:$D57)))/24</f>
        <v>489006.89083333343</v>
      </c>
      <c r="C24" s="381">
        <f>(('E3711'!$H46+'E3711'!$H58)+(2*SUM('E3711'!$H47:$H57)))/24</f>
        <v>-17489.051663652779</v>
      </c>
      <c r="D24" s="382">
        <f>(('E3711'!$L46+'E3711'!$L58)+(2*SUM('E3711'!$L47:$L57)))/24</f>
        <v>-27776.903453299587</v>
      </c>
      <c r="E24" s="383">
        <f>'E3711'!$F58</f>
        <v>16827.905531333334</v>
      </c>
      <c r="G24" s="384">
        <v>45505</v>
      </c>
      <c r="H24" s="380">
        <f>(('E303.3'!$D46+'E303.3'!$D58)+(2*SUM('E303.3'!$D47:$D57)))/24</f>
        <v>250899.25</v>
      </c>
      <c r="I24" s="381">
        <f>(('E303.3'!$H46+'E303.3'!$H58)+(2*SUM('E303.3'!$H47:$H57)))/24</f>
        <v>-66134.88708333332</v>
      </c>
      <c r="J24" s="382">
        <f>(('E303.3'!$L46+'E303.3'!$L58)+(2*SUM('E303.3'!$L47:$L57)))/24</f>
        <v>1691.834968055553</v>
      </c>
      <c r="K24" s="383">
        <f>'E303.3'!$F58</f>
        <v>6969.4236111111104</v>
      </c>
      <c r="M24" s="379">
        <v>45505</v>
      </c>
      <c r="N24" s="380">
        <f>(('E3912'!$D46+'E3912'!$D58)+(2*SUM('E3912'!$D47:$D57)))/24</f>
        <v>81250</v>
      </c>
      <c r="O24" s="381">
        <f>(('E3912'!$H46+'E3912'!$H58)+(2*SUM('E3912'!$H47:$H57)))/24</f>
        <v>-2743.0555555555561</v>
      </c>
      <c r="P24" s="382">
        <f>(('E3912'!$L46+'E3912'!$L58)+(2*SUM('E3912'!$L47:$L57)))/24</f>
        <v>-7823.958333333333</v>
      </c>
      <c r="Q24" s="383">
        <f>'E3912'!$F58</f>
        <v>4791.6666666666661</v>
      </c>
      <c r="S24" s="384">
        <v>45505</v>
      </c>
      <c r="T24" s="380">
        <f>(('E368'!$D46+'E368'!$D58)+(2*SUM('E368'!$D47:$D57)))/24</f>
        <v>810916.1256944444</v>
      </c>
      <c r="U24" s="381">
        <f>(('E368'!$H46+'E368'!$H58)+(2*SUM('E368'!$H47:$H57)))/24</f>
        <v>-4974.5012405483212</v>
      </c>
      <c r="V24" s="382">
        <f>(('E368'!$L46+'E368'!$L58)+(2*SUM('E368'!$L47:$L57)))/24</f>
        <v>-6335.7617332348527</v>
      </c>
      <c r="W24" s="383">
        <f>'E368'!$F58</f>
        <v>7714.768466979167</v>
      </c>
    </row>
    <row r="25" spans="1:23" x14ac:dyDescent="0.25">
      <c r="A25" s="379">
        <v>45536</v>
      </c>
      <c r="B25" s="380">
        <f>(('E3711'!$D47+'E3711'!$D59)+(2*SUM('E3711'!$D48:$D58)))/24</f>
        <v>621004.69583333342</v>
      </c>
      <c r="C25" s="381">
        <f>(('E3711'!$H47+'E3711'!$H59)+(2*SUM('E3711'!$H48:$H58)))/24</f>
        <v>-24130.620990541673</v>
      </c>
      <c r="D25" s="382">
        <f>(('E3711'!$L47+'E3711'!$L59)+(2*SUM('E3711'!$L48:$L58)))/24</f>
        <v>-33348.438382236251</v>
      </c>
      <c r="E25" s="383">
        <f>'E3711'!$F59</f>
        <v>18954.884798000003</v>
      </c>
      <c r="G25" s="384">
        <v>45536</v>
      </c>
      <c r="H25" s="380">
        <f>(('E303.3'!$D47+'E303.3'!$D59)+(2*SUM('E303.3'!$D48:$D58)))/24</f>
        <v>250899.25</v>
      </c>
      <c r="I25" s="381">
        <f>(('E303.3'!$H47+'E303.3'!$H59)+(2*SUM('E303.3'!$H48:$H58)))/24</f>
        <v>-73104.310694444415</v>
      </c>
      <c r="J25" s="382">
        <f>(('E303.3'!$L47+'E303.3'!$L59)+(2*SUM('E303.3'!$L48:$L58)))/24</f>
        <v>1905.2735661458307</v>
      </c>
      <c r="K25" s="383">
        <f>'E303.3'!$F59</f>
        <v>6969.4236111111104</v>
      </c>
      <c r="M25" s="379">
        <v>45536</v>
      </c>
      <c r="N25" s="380">
        <f>(('E3912'!$D47+'E3912'!$D59)+(2*SUM('E3912'!$D48:$D58)))/24</f>
        <v>112500</v>
      </c>
      <c r="O25" s="381">
        <f>(('E3912'!$H47+'E3912'!$H59)+(2*SUM('E3912'!$H48:$H58)))/24</f>
        <v>-4357.6388888888896</v>
      </c>
      <c r="P25" s="382">
        <f>(('E3912'!$L47+'E3912'!$L59)+(2*SUM('E3912'!$L48:$L58)))/24</f>
        <v>-9716.1458333333339</v>
      </c>
      <c r="Q25" s="383">
        <f>'E3912'!$F59</f>
        <v>6250</v>
      </c>
      <c r="S25" s="384">
        <v>45536</v>
      </c>
      <c r="T25" s="380">
        <f>(('E368'!$D47+'E368'!$D59)+(2*SUM('E368'!$D48:$D58)))/24</f>
        <v>1077206.4177083333</v>
      </c>
      <c r="U25" s="381">
        <f>(('E368'!$H47+'E368'!$H59)+(2*SUM('E368'!$H48:$H58)))/24</f>
        <v>-7578.5369149913195</v>
      </c>
      <c r="V25" s="382">
        <f>(('E368'!$L47+'E368'!$L59)+(2*SUM('E368'!$L48:$L58)))/24</f>
        <v>-7749.3348493166695</v>
      </c>
      <c r="W25" s="383">
        <f>'E368'!$F59</f>
        <v>8814.2086656597221</v>
      </c>
    </row>
    <row r="26" spans="1:23" x14ac:dyDescent="0.25">
      <c r="A26" s="379">
        <v>45566</v>
      </c>
      <c r="B26" s="380">
        <f>(('E3711'!$D48+'E3711'!$D60)+(2*SUM('E3711'!$D49:$D59)))/24</f>
        <v>758451.82208333339</v>
      </c>
      <c r="C26" s="381">
        <f>(('E3711'!$H48+'E3711'!$H60)+(2*SUM('E3711'!$H49:$H59)))/24</f>
        <v>-32384.369156076387</v>
      </c>
      <c r="D26" s="382">
        <f>(('E3711'!$L48+'E3711'!$L60)+(2*SUM('E3711'!$L49:$L59)))/24</f>
        <v>-39340.934128890629</v>
      </c>
      <c r="E26" s="383">
        <f>'E3711'!$F60</f>
        <v>20603.340998000003</v>
      </c>
      <c r="G26" s="384">
        <v>45566</v>
      </c>
      <c r="H26" s="380">
        <f>(('E303.3'!$D48+'E303.3'!$D60)+(2*SUM('E303.3'!$D49:$D59)))/24</f>
        <v>250899.25</v>
      </c>
      <c r="I26" s="381">
        <f>(('E303.3'!$H48+'E303.3'!$H60)+(2*SUM('E303.3'!$H49:$H59)))/24</f>
        <v>-80073.734305555539</v>
      </c>
      <c r="J26" s="382">
        <f>(('E303.3'!$L48+'E303.3'!$L60)+(2*SUM('E303.3'!$L49:$L59)))/24</f>
        <v>2057.7297076388863</v>
      </c>
      <c r="K26" s="383">
        <f>'E303.3'!$F60</f>
        <v>6969.4236111111104</v>
      </c>
      <c r="M26" s="379">
        <v>45566</v>
      </c>
      <c r="N26" s="380">
        <f>(('E3912'!$D48+'E3912'!$D60)+(2*SUM('E3912'!$D49:$D59)))/24</f>
        <v>156250</v>
      </c>
      <c r="O26" s="381">
        <f>(('E3912'!$H48+'E3912'!$H60)+(2*SUM('E3912'!$H49:$H59)))/24</f>
        <v>-6597.2222222222226</v>
      </c>
      <c r="P26" s="382">
        <f>(('E3912'!$L48+'E3912'!$L60)+(2*SUM('E3912'!$L49:$L59)))/24</f>
        <v>-11739.583333333334</v>
      </c>
      <c r="Q26" s="383">
        <f>'E3912'!$F60</f>
        <v>8750</v>
      </c>
      <c r="S26" s="384">
        <v>45566</v>
      </c>
      <c r="T26" s="380">
        <f>(('E368'!$D48+'E368'!$D60)+(2*SUM('E368'!$D49:$D59)))/24</f>
        <v>1370221.1548611112</v>
      </c>
      <c r="U26" s="381">
        <f>(('E368'!$H48+'E368'!$H60)+(2*SUM('E368'!$H49:$H59)))/24</f>
        <v>-10953.947442160012</v>
      </c>
      <c r="V26" s="382">
        <f>(('E368'!$L48+'E368'!$L60)+(2*SUM('E368'!$L49:$L59)))/24</f>
        <v>-9231.5569648807777</v>
      </c>
      <c r="W26" s="383">
        <f>'E368'!$F60</f>
        <v>9698.7877997569449</v>
      </c>
    </row>
    <row r="27" spans="1:23" x14ac:dyDescent="0.25">
      <c r="A27" s="379">
        <v>45597</v>
      </c>
      <c r="B27" s="380">
        <f>(('E3711'!$D49+'E3711'!$D61)+(2*SUM('E3711'!$D50:$D60)))/24</f>
        <v>913372.85291666677</v>
      </c>
      <c r="C27" s="381">
        <f>(('E3711'!$H49+'E3711'!$H61)+(2*SUM('E3711'!$H50:$H60)))/24</f>
        <v>-42387.453461493067</v>
      </c>
      <c r="D27" s="382">
        <f>(('E3711'!$L49+'E3711'!$L61)+(2*SUM('E3711'!$L50:$L60)))/24</f>
        <v>-45725.587660003133</v>
      </c>
      <c r="E27" s="383">
        <f>'E3711'!$F61</f>
        <v>23978.527364666672</v>
      </c>
      <c r="G27" s="384">
        <v>45597</v>
      </c>
      <c r="H27" s="380">
        <f>(('E303.3'!$D49+'E303.3'!$D61)+(2*SUM('E303.3'!$D50:$D60)))/24</f>
        <v>250899.25</v>
      </c>
      <c r="I27" s="381">
        <f>(('E303.3'!$H49+'E303.3'!$H61)+(2*SUM('E303.3'!$H50:$H60)))/24</f>
        <v>-87043.157916666649</v>
      </c>
      <c r="J27" s="382">
        <f>(('E303.3'!$L49+'E303.3'!$L61)+(2*SUM('E303.3'!$L50:$L60)))/24</f>
        <v>2149.2033925347196</v>
      </c>
      <c r="K27" s="383">
        <f>'E303.3'!$F61</f>
        <v>6969.4236111111104</v>
      </c>
      <c r="M27" s="379">
        <v>45597</v>
      </c>
      <c r="N27" s="380">
        <f>(('E3912'!$D49+'E3912'!$D61)+(2*SUM('E3912'!$D50:$D60)))/24</f>
        <v>212500</v>
      </c>
      <c r="O27" s="381">
        <f>(('E3912'!$H49+'E3912'!$H61)+(2*SUM('E3912'!$H50:$H60)))/24</f>
        <v>-9670.1388888888887</v>
      </c>
      <c r="P27" s="382">
        <f>(('E3912'!$L49+'E3912'!$L61)+(2*SUM('E3912'!$L50:$L60)))/24</f>
        <v>-13850.520833333334</v>
      </c>
      <c r="Q27" s="383">
        <f>'E3912'!$F61</f>
        <v>11250</v>
      </c>
      <c r="S27" s="384">
        <v>45597</v>
      </c>
      <c r="T27" s="380">
        <f>(('E368'!$D49+'E368'!$D61)+(2*SUM('E368'!$D50:$D60)))/24</f>
        <v>1687881.6204861111</v>
      </c>
      <c r="U27" s="381">
        <f>(('E368'!$H49+'E368'!$H61)+(2*SUM('E368'!$H50:$H60)))/24</f>
        <v>-15171.580853159719</v>
      </c>
      <c r="V27" s="382">
        <f>(('E368'!$L49+'E368'!$L61)+(2*SUM('E368'!$L50:$L60)))/24</f>
        <v>-10767.549993395056</v>
      </c>
      <c r="W27" s="383">
        <f>'E368'!$F61</f>
        <v>10514.561412187501</v>
      </c>
    </row>
    <row r="28" spans="1:23" ht="15.75" thickBot="1" x14ac:dyDescent="0.3">
      <c r="A28" s="385">
        <v>45627</v>
      </c>
      <c r="B28" s="386">
        <f>(('E3711'!$D50+'E3711'!$D62)+(2*SUM('E3711'!$D51:$D61)))/24</f>
        <v>1105234.2016666669</v>
      </c>
      <c r="C28" s="387">
        <f>(('E3711'!$H50+'E3711'!$H62)+(2*SUM('E3711'!$H51:$H61)))/24</f>
        <v>-54465.452338083334</v>
      </c>
      <c r="D28" s="388">
        <f>(('E3711'!$L50+'E3711'!$L62)+(2*SUM('E3711'!$L51:$L61)))/24</f>
        <v>-52434.027505002501</v>
      </c>
      <c r="E28" s="389">
        <f>'E3711'!$F62</f>
        <v>29289.693031333336</v>
      </c>
      <c r="G28" s="390">
        <v>45627</v>
      </c>
      <c r="H28" s="386">
        <f>(('E303.3'!$D50+'E303.3'!$D62)+(2*SUM('E303.3'!$D51:$D61)))/24</f>
        <v>250899.25</v>
      </c>
      <c r="I28" s="387">
        <f>(('E303.3'!$H50+'E303.3'!$H62)+(2*SUM('E303.3'!$H51:$H61)))/24</f>
        <v>-94012.581527777758</v>
      </c>
      <c r="J28" s="388">
        <f>(('E303.3'!$L50+'E303.3'!$L62)+(2*SUM('E303.3'!$L51:$L61)))/24</f>
        <v>2179.6946208333306</v>
      </c>
      <c r="K28" s="389">
        <f>'E303.3'!$F62</f>
        <v>6969.4236111111104</v>
      </c>
      <c r="M28" s="385">
        <v>45627</v>
      </c>
      <c r="N28" s="386">
        <f>(('E3912'!$D50+'E3912'!$D62)+(2*SUM('E3912'!$D51:$D61)))/24</f>
        <v>281250</v>
      </c>
      <c r="O28" s="387">
        <f>(('E3912'!$H50+'E3912'!$H62)+(2*SUM('E3912'!$H51:$H61)))/24</f>
        <v>-13784.722222222224</v>
      </c>
      <c r="P28" s="388">
        <f>(('E3912'!$L50+'E3912'!$L62)+(2*SUM('E3912'!$L51:$L61)))/24</f>
        <v>-16005.208333333334</v>
      </c>
      <c r="Q28" s="389">
        <f>'E3912'!$F62</f>
        <v>13750</v>
      </c>
      <c r="S28" s="390">
        <v>45627</v>
      </c>
      <c r="T28" s="386">
        <f>(('E368'!$D50+'E368'!$D62)+(2*SUM('E368'!$D51:$D61)))/24</f>
        <v>2029317.0770833336</v>
      </c>
      <c r="U28" s="387">
        <f>(('E368'!$H50+'E368'!$H62)+(2*SUM('E368'!$H51:$H61)))/24</f>
        <v>-20298.217390224247</v>
      </c>
      <c r="V28" s="388">
        <f>(('E368'!$L50+'E368'!$L62)+(2*SUM('E368'!$L51:$L61)))/24</f>
        <v>-12343.290083990416</v>
      </c>
      <c r="W28" s="389">
        <f>'E368'!$F62</f>
        <v>11301.513613368057</v>
      </c>
    </row>
    <row r="30" spans="1:23" ht="15.75" thickBot="1" x14ac:dyDescent="0.3"/>
    <row r="31" spans="1:23" x14ac:dyDescent="0.25">
      <c r="A31" s="159"/>
      <c r="B31" s="160" t="s">
        <v>557</v>
      </c>
      <c r="C31" s="368"/>
      <c r="D31" s="368"/>
      <c r="E31" s="369"/>
      <c r="G31" s="159"/>
      <c r="H31" s="160" t="s">
        <v>570</v>
      </c>
      <c r="I31" s="368"/>
      <c r="J31" s="368"/>
      <c r="K31" s="369"/>
    </row>
    <row r="32" spans="1:23" x14ac:dyDescent="0.25">
      <c r="A32" s="372" t="s">
        <v>18</v>
      </c>
      <c r="B32" s="373" t="s">
        <v>558</v>
      </c>
      <c r="C32" s="374" t="s">
        <v>559</v>
      </c>
      <c r="D32" s="374" t="s">
        <v>560</v>
      </c>
      <c r="E32" s="375" t="s">
        <v>481</v>
      </c>
      <c r="G32" s="372" t="s">
        <v>18</v>
      </c>
      <c r="H32" s="373" t="s">
        <v>478</v>
      </c>
      <c r="I32" s="374" t="s">
        <v>479</v>
      </c>
      <c r="J32" s="374" t="s">
        <v>480</v>
      </c>
      <c r="K32" s="375" t="s">
        <v>481</v>
      </c>
    </row>
    <row r="33" spans="1:11" x14ac:dyDescent="0.25">
      <c r="A33" s="379">
        <v>44927</v>
      </c>
      <c r="B33" s="380">
        <f>'E368'!D39+'E3711'!D39+'E3912'!D39+'E303.3'!D39</f>
        <v>0</v>
      </c>
      <c r="C33" s="380">
        <f>'E368'!H39+'E3711'!H39+'E3912'!H39+'E303.3'!H39</f>
        <v>0</v>
      </c>
      <c r="D33" s="380">
        <f>'E368'!L39+'E3711'!L39+'E3912'!L39+'E303.3'!L39</f>
        <v>-1242.1477891666666</v>
      </c>
      <c r="E33" s="383">
        <f>'E368'!F39+'E3711'!F39+'E3912'!F39+'E303.3'!F39</f>
        <v>0</v>
      </c>
      <c r="G33" s="379">
        <v>44927</v>
      </c>
      <c r="H33" s="380">
        <f t="shared" ref="H33:H56" si="0">SUM(B5,H5,N5,T5)</f>
        <v>0</v>
      </c>
      <c r="I33" s="380">
        <f t="shared" ref="I33:I56" si="1">SUM(C5,I5,O5,U5)</f>
        <v>0</v>
      </c>
      <c r="J33" s="380">
        <f t="shared" ref="J33:J56" si="2">SUM(D5,J5,P5,V5)</f>
        <v>-51.756157881944439</v>
      </c>
      <c r="K33" s="383"/>
    </row>
    <row r="34" spans="1:11" x14ac:dyDescent="0.25">
      <c r="A34" s="379">
        <v>44958</v>
      </c>
      <c r="B34" s="380">
        <f>'E368'!D40+'E3711'!D40+'E3912'!D40+'E303.3'!D40</f>
        <v>0</v>
      </c>
      <c r="C34" s="380">
        <f>'E368'!H40+'E3711'!H40+'E3912'!H40+'E303.3'!H40</f>
        <v>0</v>
      </c>
      <c r="D34" s="380">
        <f>'E368'!L40+'E3711'!L40+'E3912'!L40+'E303.3'!L40</f>
        <v>-2484.2955783333332</v>
      </c>
      <c r="E34" s="383">
        <f>'E368'!F40+'E3711'!F40+'E3912'!F40+'E303.3'!F40</f>
        <v>0</v>
      </c>
      <c r="G34" s="379">
        <v>44958</v>
      </c>
      <c r="H34" s="380">
        <f t="shared" si="0"/>
        <v>0</v>
      </c>
      <c r="I34" s="380">
        <f t="shared" si="1"/>
        <v>0</v>
      </c>
      <c r="J34" s="380">
        <f t="shared" si="2"/>
        <v>-207.02463152777776</v>
      </c>
      <c r="K34" s="383"/>
    </row>
    <row r="35" spans="1:11" x14ac:dyDescent="0.25">
      <c r="A35" s="379">
        <v>44986</v>
      </c>
      <c r="B35" s="380">
        <f>'E368'!D41+'E3711'!D41+'E3912'!D41+'E303.3'!D41</f>
        <v>0</v>
      </c>
      <c r="C35" s="380">
        <f>'E368'!H41+'E3711'!H41+'E3912'!H41+'E303.3'!H41</f>
        <v>0</v>
      </c>
      <c r="D35" s="380">
        <f>'E368'!L41+'E3711'!L41+'E3912'!L41+'E303.3'!L41</f>
        <v>-3726.4433675</v>
      </c>
      <c r="E35" s="383">
        <f>'E368'!F41+'E3711'!F41+'E3912'!F41+'E303.3'!F41</f>
        <v>0</v>
      </c>
      <c r="G35" s="379">
        <v>44986</v>
      </c>
      <c r="H35" s="380">
        <f t="shared" si="0"/>
        <v>0</v>
      </c>
      <c r="I35" s="380">
        <f t="shared" si="1"/>
        <v>0</v>
      </c>
      <c r="J35" s="380">
        <f t="shared" si="2"/>
        <v>-465.80542093749989</v>
      </c>
      <c r="K35" s="383"/>
    </row>
    <row r="36" spans="1:11" x14ac:dyDescent="0.25">
      <c r="A36" s="379">
        <v>45017</v>
      </c>
      <c r="B36" s="380">
        <f>'E368'!D42+'E3711'!D42+'E3912'!D42+'E303.3'!D42</f>
        <v>0</v>
      </c>
      <c r="C36" s="380">
        <f>'E368'!H42+'E3711'!H42+'E3912'!H42+'E303.3'!H42</f>
        <v>0</v>
      </c>
      <c r="D36" s="380">
        <f>'E368'!L42+'E3711'!L42+'E3912'!L42+'E303.3'!L42</f>
        <v>-4968.5911566666664</v>
      </c>
      <c r="E36" s="383">
        <f>'E368'!F42+'E3711'!F42+'E3912'!F42+'E303.3'!F42</f>
        <v>0</v>
      </c>
      <c r="G36" s="379">
        <v>45017</v>
      </c>
      <c r="H36" s="380">
        <f t="shared" si="0"/>
        <v>0</v>
      </c>
      <c r="I36" s="380">
        <f t="shared" si="1"/>
        <v>0</v>
      </c>
      <c r="J36" s="380">
        <f t="shared" si="2"/>
        <v>-828.09852611111103</v>
      </c>
      <c r="K36" s="383"/>
    </row>
    <row r="37" spans="1:11" x14ac:dyDescent="0.25">
      <c r="A37" s="379">
        <v>45047</v>
      </c>
      <c r="B37" s="380">
        <f>'E368'!D43+'E3711'!D43+'E3912'!D43+'E303.3'!D43</f>
        <v>249046.18</v>
      </c>
      <c r="C37" s="380">
        <f>'E368'!H43+'E3711'!H43+'E3912'!H43+'E303.3'!H43</f>
        <v>-3458.9747222222218</v>
      </c>
      <c r="D37" s="380">
        <f>'E368'!L43+'E3711'!L43+'E3912'!L43+'E303.3'!L43</f>
        <v>-5484.3542541666675</v>
      </c>
      <c r="E37" s="383">
        <f>'E368'!F43+'E3711'!F43+'E3912'!F43+'E303.3'!F43</f>
        <v>3458.9747222222218</v>
      </c>
      <c r="G37" s="379">
        <v>45047</v>
      </c>
      <c r="H37" s="380">
        <f t="shared" si="0"/>
        <v>10376.924166666666</v>
      </c>
      <c r="I37" s="380">
        <f t="shared" si="1"/>
        <v>-144.12394675925924</v>
      </c>
      <c r="J37" s="380">
        <f t="shared" si="2"/>
        <v>-1263.6379182291666</v>
      </c>
      <c r="K37" s="383"/>
    </row>
    <row r="38" spans="1:11" x14ac:dyDescent="0.25">
      <c r="A38" s="379">
        <v>45078</v>
      </c>
      <c r="B38" s="380">
        <f>'E368'!D44+'E3711'!D44+'E3912'!D44+'E303.3'!D44</f>
        <v>250065.38</v>
      </c>
      <c r="C38" s="380">
        <f>'E368'!H44+'E3711'!H44+'E3912'!H44+'E303.3'!H44</f>
        <v>-10391.079722222221</v>
      </c>
      <c r="D38" s="380">
        <f>'E368'!L44+'E3711'!L44+'E3912'!L44+'E303.3'!L44</f>
        <v>-5270.7599933333331</v>
      </c>
      <c r="E38" s="383">
        <f>'E368'!F44+'E3711'!F44+'E3912'!F44+'E303.3'!F44</f>
        <v>6932.1049999999996</v>
      </c>
      <c r="G38" s="379">
        <v>45078</v>
      </c>
      <c r="H38" s="380">
        <f t="shared" si="0"/>
        <v>31173.239166666666</v>
      </c>
      <c r="I38" s="380">
        <f t="shared" si="1"/>
        <v>-721.20954861111102</v>
      </c>
      <c r="J38" s="380">
        <f t="shared" si="2"/>
        <v>-1711.7676785416666</v>
      </c>
      <c r="K38" s="383"/>
    </row>
    <row r="39" spans="1:11" x14ac:dyDescent="0.25">
      <c r="A39" s="379">
        <v>45108</v>
      </c>
      <c r="B39" s="380">
        <f>'E368'!D45+'E3711'!D45+'E3912'!D45+'E303.3'!D45</f>
        <v>250899.25</v>
      </c>
      <c r="C39" s="380">
        <f>'E368'!H45+'E3711'!H45+'E3912'!H45+'E303.3'!H45</f>
        <v>-17348.921805555554</v>
      </c>
      <c r="D39" s="380">
        <f>'E368'!L45+'E3711'!L45+'E3912'!L45+'E303.3'!L45</f>
        <v>-5051.7609449999973</v>
      </c>
      <c r="E39" s="383">
        <f>'E368'!F45+'E3711'!F45+'E3912'!F45+'E303.3'!F45</f>
        <v>6957.842083333333</v>
      </c>
      <c r="G39" s="379">
        <v>45108</v>
      </c>
      <c r="H39" s="380">
        <f t="shared" si="0"/>
        <v>52046.765416666669</v>
      </c>
      <c r="I39" s="380">
        <f t="shared" si="1"/>
        <v>-1877.0429456018517</v>
      </c>
      <c r="J39" s="380">
        <f t="shared" si="2"/>
        <v>-2141.8727176388888</v>
      </c>
      <c r="K39" s="383"/>
    </row>
    <row r="40" spans="1:11" x14ac:dyDescent="0.25">
      <c r="A40" s="379">
        <v>45139</v>
      </c>
      <c r="B40" s="380">
        <f>'E368'!D46+'E3711'!D46+'E3912'!D46+'E303.3'!D46</f>
        <v>250899.25</v>
      </c>
      <c r="C40" s="380">
        <f>'E368'!H46+'E3711'!H46+'E3912'!H46+'E303.3'!H46</f>
        <v>-24318.345416666663</v>
      </c>
      <c r="D40" s="380">
        <f>'E368'!L46+'E3711'!L46+'E3912'!L46+'E303.3'!L46</f>
        <v>-4830.3297758333356</v>
      </c>
      <c r="E40" s="383">
        <f>'E368'!F46+'E3711'!F46+'E3912'!F46+'E303.3'!F46</f>
        <v>6969.4236111111104</v>
      </c>
      <c r="G40" s="379">
        <v>45139</v>
      </c>
      <c r="H40" s="380">
        <f t="shared" si="0"/>
        <v>72955.036250000005</v>
      </c>
      <c r="I40" s="380">
        <f t="shared" si="1"/>
        <v>-3613.1790798611109</v>
      </c>
      <c r="J40" s="380">
        <f t="shared" si="2"/>
        <v>-2553.6264976736106</v>
      </c>
      <c r="K40" s="383"/>
    </row>
    <row r="41" spans="1:11" x14ac:dyDescent="0.25">
      <c r="A41" s="379">
        <v>45170</v>
      </c>
      <c r="B41" s="380">
        <f>'E368'!D47+'E3711'!D47+'E3912'!D47+'E303.3'!D47</f>
        <v>250899.25</v>
      </c>
      <c r="C41" s="380">
        <f>'E368'!H47+'E3711'!H47+'E3912'!H47+'E303.3'!H47</f>
        <v>-31287.769027777773</v>
      </c>
      <c r="D41" s="380">
        <f>'E368'!L47+'E3711'!L47+'E3912'!L47+'E303.3'!L47</f>
        <v>-4608.8986066666675</v>
      </c>
      <c r="E41" s="383">
        <f>'E368'!F47+'E3711'!F47+'E3912'!F47+'E303.3'!F47</f>
        <v>6969.4236111111104</v>
      </c>
      <c r="G41" s="379">
        <v>45170</v>
      </c>
      <c r="H41" s="380">
        <f t="shared" si="0"/>
        <v>93863.307083333333</v>
      </c>
      <c r="I41" s="380">
        <f t="shared" si="1"/>
        <v>-5930.1005150462952</v>
      </c>
      <c r="J41" s="380">
        <f t="shared" si="2"/>
        <v>-2946.9276802777777</v>
      </c>
      <c r="K41" s="383"/>
    </row>
    <row r="42" spans="1:11" x14ac:dyDescent="0.25">
      <c r="A42" s="379">
        <v>45200</v>
      </c>
      <c r="B42" s="380">
        <f>'E368'!D48+'E3711'!D48+'E3912'!D48+'E303.3'!D48</f>
        <v>395623.54000000004</v>
      </c>
      <c r="C42" s="380">
        <f>'E368'!H48+'E3711'!H48+'E3912'!H48+'E303.3'!H48</f>
        <v>-39123.126307388884</v>
      </c>
      <c r="D42" s="380">
        <f>'E368'!L48+'E3711'!L48+'E3912'!L48+'E303.3'!L48</f>
        <v>-4205.6213671150035</v>
      </c>
      <c r="E42" s="383">
        <f>'E368'!F48+'E3711'!F48+'E3912'!F48+'E303.3'!F48</f>
        <v>7835.3572796111102</v>
      </c>
      <c r="G42" s="379">
        <v>45200</v>
      </c>
      <c r="H42" s="380">
        <f t="shared" si="0"/>
        <v>120801.75666666668</v>
      </c>
      <c r="I42" s="380">
        <f t="shared" si="1"/>
        <v>-8863.8878206782392</v>
      </c>
      <c r="J42" s="380">
        <f t="shared" si="2"/>
        <v>-3314.1993458520137</v>
      </c>
      <c r="K42" s="383"/>
    </row>
    <row r="43" spans="1:11" x14ac:dyDescent="0.25">
      <c r="A43" s="379">
        <v>45231</v>
      </c>
      <c r="B43" s="380">
        <f>'E368'!D49+'E3711'!D49+'E3912'!D49+'E303.3'!D49</f>
        <v>395623.54000000004</v>
      </c>
      <c r="C43" s="380">
        <f>'E368'!H49+'E3711'!H49+'E3912'!H49+'E303.3'!H49</f>
        <v>-47824.41725549999</v>
      </c>
      <c r="D43" s="380">
        <f>'E368'!L49+'E3711'!L49+'E3912'!L49+'E303.3'!L49</f>
        <v>-3620.4980571783394</v>
      </c>
      <c r="E43" s="383">
        <f>'E368'!F49+'E3711'!F49+'E3912'!F49+'E303.3'!F49</f>
        <v>8701.290948111111</v>
      </c>
      <c r="G43" s="379">
        <v>45231</v>
      </c>
      <c r="H43" s="380">
        <f t="shared" si="0"/>
        <v>153770.38500000001</v>
      </c>
      <c r="I43" s="380">
        <f t="shared" si="1"/>
        <v>-12486.702135798609</v>
      </c>
      <c r="J43" s="380">
        <f t="shared" si="2"/>
        <v>-3640.2876551975696</v>
      </c>
      <c r="K43" s="383"/>
    </row>
    <row r="44" spans="1:11" x14ac:dyDescent="0.25">
      <c r="A44" s="379">
        <v>45261</v>
      </c>
      <c r="B44" s="391">
        <f>'E368'!D50+'E3711'!D50+'E3912'!D50+'E303.3'!D50</f>
        <v>396715.91000000003</v>
      </c>
      <c r="C44" s="380">
        <f>'E368'!H50+'E3711'!H50+'E3912'!H50+'E303.3'!H50</f>
        <v>-56532.244217444437</v>
      </c>
      <c r="D44" s="380">
        <f>'E368'!L50+'E3711'!L50+'E3912'!L50+'E303.3'!L50</f>
        <v>-3034.0021843366731</v>
      </c>
      <c r="E44" s="383">
        <f>'E368'!F50+'E3711'!F50+'E3912'!F50+'E303.3'!F50</f>
        <v>8707.8269619444436</v>
      </c>
      <c r="G44" s="379">
        <v>45261</v>
      </c>
      <c r="H44" s="380">
        <f t="shared" si="0"/>
        <v>186784.52875000003</v>
      </c>
      <c r="I44" s="380">
        <f t="shared" si="1"/>
        <v>-16834.896363837957</v>
      </c>
      <c r="J44" s="380">
        <f t="shared" si="2"/>
        <v>-3917.5584985940291</v>
      </c>
      <c r="K44" s="383">
        <f>SUM(E5:E16,K5:K16,Q5:Q16,W5:W16)</f>
        <v>56532.244217444437</v>
      </c>
    </row>
    <row r="45" spans="1:11" x14ac:dyDescent="0.25">
      <c r="A45" s="379">
        <v>45292</v>
      </c>
      <c r="B45" s="380">
        <f>'E368'!D51+'E3711'!D51+'E3912'!D51+'E303.3'!D51</f>
        <v>451537.51416666666</v>
      </c>
      <c r="C45" s="380">
        <f>'E368'!H51+'E3711'!H51+'E3912'!H51+'E303.3'!H51</f>
        <v>-65354.09457230207</v>
      </c>
      <c r="D45" s="380">
        <f>'E368'!L51+'E3711'!L51+'E3912'!L51+'E303.3'!L51</f>
        <v>-18187.223986806152</v>
      </c>
      <c r="E45" s="383">
        <f>'E368'!F51+'E3711'!F51+'E3912'!F51+'E303.3'!F51</f>
        <v>8821.8503548576373</v>
      </c>
      <c r="G45" s="379">
        <v>45292</v>
      </c>
      <c r="H45" s="380">
        <f t="shared" si="0"/>
        <v>222128.42142361111</v>
      </c>
      <c r="I45" s="380">
        <f t="shared" si="1"/>
        <v>-21913.493813410732</v>
      </c>
      <c r="J45" s="380">
        <f t="shared" si="2"/>
        <v>-4750.0200978430357</v>
      </c>
      <c r="K45" s="383"/>
    </row>
    <row r="46" spans="1:11" x14ac:dyDescent="0.25">
      <c r="A46" s="379">
        <v>45323</v>
      </c>
      <c r="B46" s="380">
        <f>'E368'!D52+'E3711'!D52+'E3912'!D52+'E303.3'!D52</f>
        <v>840506.1183333334</v>
      </c>
      <c r="C46" s="380">
        <f>'E368'!H52+'E3711'!H52+'E3912'!H52+'E303.3'!H52</f>
        <v>-75383.807776986097</v>
      </c>
      <c r="D46" s="380">
        <f>'E368'!L52+'E3711'!L52+'E3912'!L52+'E303.3'!L52</f>
        <v>-33086.794590812089</v>
      </c>
      <c r="E46" s="383">
        <f>'E368'!F52+'E3711'!F52+'E3912'!F52+'E303.3'!F52</f>
        <v>10029.713204684027</v>
      </c>
      <c r="G46" s="379">
        <v>45323</v>
      </c>
      <c r="H46" s="380">
        <f t="shared" si="0"/>
        <v>275963.57277777779</v>
      </c>
      <c r="I46" s="380">
        <f t="shared" si="1"/>
        <v>-27777.5730779644</v>
      </c>
      <c r="J46" s="380">
        <f t="shared" si="2"/>
        <v>-6731.169064931295</v>
      </c>
      <c r="K46" s="383"/>
    </row>
    <row r="47" spans="1:11" x14ac:dyDescent="0.25">
      <c r="A47" s="379">
        <v>45352</v>
      </c>
      <c r="B47" s="380">
        <f>'E368'!D53+'E3711'!D53+'E3912'!D53+'E303.3'!D53</f>
        <v>1358559.26</v>
      </c>
      <c r="C47" s="380">
        <f>'E368'!H53+'E3711'!H53+'E3912'!H53+'E303.3'!H53</f>
        <v>-88256.45332696526</v>
      </c>
      <c r="D47" s="380">
        <f>'E368'!L53+'E3711'!L53+'E3912'!L53+'E303.3'!L53</f>
        <v>-47389.349402306041</v>
      </c>
      <c r="E47" s="383">
        <f>'E368'!F53+'E3711'!F53+'E3912'!F53+'E303.3'!F53</f>
        <v>12872.645549979166</v>
      </c>
      <c r="G47" s="379">
        <v>45352</v>
      </c>
      <c r="H47" s="380">
        <f t="shared" si="0"/>
        <v>367591.29687500006</v>
      </c>
      <c r="I47" s="380">
        <f t="shared" si="1"/>
        <v>-34595.917290629048</v>
      </c>
      <c r="J47" s="380">
        <f t="shared" si="2"/>
        <v>-9825.5609419014963</v>
      </c>
      <c r="K47" s="383"/>
    </row>
    <row r="48" spans="1:11" x14ac:dyDescent="0.25">
      <c r="A48" s="379">
        <v>45383</v>
      </c>
      <c r="B48" s="380">
        <f>'E368'!D54+'E3711'!D54+'E3912'!D54+'E303.3'!D54</f>
        <v>1992820.4016666668</v>
      </c>
      <c r="C48" s="380">
        <f>'E368'!H54+'E3711'!H54+'E3912'!H54+'E303.3'!H54</f>
        <v>-104950.39882604165</v>
      </c>
      <c r="D48" s="380">
        <f>'E368'!L54+'E3711'!L54+'E3912'!L54+'E303.3'!L54</f>
        <v>-60889.431224489614</v>
      </c>
      <c r="E48" s="383">
        <f>'E368'!F54+'E3711'!F54+'E3912'!F54+'E303.3'!F54</f>
        <v>16693.945499076388</v>
      </c>
      <c r="G48" s="379">
        <v>45383</v>
      </c>
      <c r="H48" s="380">
        <f t="shared" si="0"/>
        <v>507232.11611111107</v>
      </c>
      <c r="I48" s="380">
        <f t="shared" si="1"/>
        <v>-42646.202797004327</v>
      </c>
      <c r="J48" s="380">
        <f t="shared" si="2"/>
        <v>-13974.883696177703</v>
      </c>
      <c r="K48" s="383"/>
    </row>
    <row r="49" spans="1:17" x14ac:dyDescent="0.25">
      <c r="A49" s="379">
        <v>45413</v>
      </c>
      <c r="B49" s="380">
        <f>'E368'!D55+'E3711'!D55+'E3912'!D55+'E303.3'!D55</f>
        <v>2822744.2933333335</v>
      </c>
      <c r="C49" s="380">
        <f>'E368'!H55+'E3711'!H55+'E3912'!H55+'E303.3'!H55</f>
        <v>-126462.0425169236</v>
      </c>
      <c r="D49" s="380">
        <f>'E368'!L55+'E3711'!L55+'E3912'!L55+'E303.3'!L55</f>
        <v>-73377.796426393965</v>
      </c>
      <c r="E49" s="383">
        <f>'E368'!F55+'E3711'!F55+'E3912'!F55+'E303.3'!F55</f>
        <v>21511.643690881941</v>
      </c>
      <c r="G49" s="379">
        <v>45413</v>
      </c>
      <c r="H49" s="380">
        <f t="shared" si="0"/>
        <v>697503.72090277774</v>
      </c>
      <c r="I49" s="380">
        <f t="shared" si="1"/>
        <v>-52144.263906201959</v>
      </c>
      <c r="J49" s="380">
        <f t="shared" si="2"/>
        <v>-19133.812122846462</v>
      </c>
      <c r="K49" s="383"/>
    </row>
    <row r="50" spans="1:17" x14ac:dyDescent="0.25">
      <c r="A50" s="379">
        <v>45444</v>
      </c>
      <c r="B50" s="380">
        <f>'E368'!D56+'E3711'!D56+'E3912'!D56+'E303.3'!D56</f>
        <v>3599091.0350000001</v>
      </c>
      <c r="C50" s="380">
        <f>'E368'!H56+'E3711'!H56+'E3912'!H56+'E303.3'!H56</f>
        <v>-153171.97120627775</v>
      </c>
      <c r="D50" s="380">
        <f>'E368'!L56+'E3711'!L56+'E3912'!L56+'E303.3'!L56</f>
        <v>-84774.52177861915</v>
      </c>
      <c r="E50" s="383">
        <f>'E368'!F56+'E3711'!F56+'E3912'!F56+'E303.3'!F56</f>
        <v>26709.928689354165</v>
      </c>
      <c r="G50" s="379">
        <v>45444</v>
      </c>
      <c r="H50" s="380">
        <f t="shared" si="0"/>
        <v>944283.87791666668</v>
      </c>
      <c r="I50" s="380">
        <f t="shared" si="1"/>
        <v>-63218.595542816824</v>
      </c>
      <c r="J50" s="380">
        <f t="shared" si="2"/>
        <v>-25275.362287742842</v>
      </c>
      <c r="K50" s="383"/>
    </row>
    <row r="51" spans="1:17" x14ac:dyDescent="0.25">
      <c r="A51" s="379">
        <v>45474</v>
      </c>
      <c r="B51" s="380">
        <f>'E368'!D57+'E3711'!D57+'E3912'!D57+'E303.3'!D57</f>
        <v>4427541.7766666673</v>
      </c>
      <c r="C51" s="380">
        <f>'E368'!H57+'E3711'!H57+'E3912'!H57+'E303.3'!H57</f>
        <v>-184960.3777580625</v>
      </c>
      <c r="D51" s="380">
        <f>'E368'!L57+'E3711'!L57+'E3912'!L57+'E303.3'!L57</f>
        <v>-95104.766779733967</v>
      </c>
      <c r="E51" s="383">
        <f>'E368'!F57+'E3711'!F57+'E3912'!F57+'E303.3'!F57</f>
        <v>31788.406551784723</v>
      </c>
      <c r="G51" s="379">
        <v>45474</v>
      </c>
      <c r="H51" s="380">
        <f t="shared" si="0"/>
        <v>1257853.385486111</v>
      </c>
      <c r="I51" s="380">
        <f t="shared" si="1"/>
        <v>-76151.610019340267</v>
      </c>
      <c r="J51" s="380">
        <f t="shared" si="2"/>
        <v>-32340.227605243665</v>
      </c>
      <c r="K51" s="383"/>
    </row>
    <row r="52" spans="1:17" x14ac:dyDescent="0.25">
      <c r="A52" s="379">
        <v>45505</v>
      </c>
      <c r="B52" s="380">
        <f>'E368'!D58+'E3711'!D58+'E3912'!D58+'E303.3'!D58</f>
        <v>5055509.8683333341</v>
      </c>
      <c r="C52" s="380">
        <f>'E368'!H58+'E3711'!H58+'E3912'!H58+'E303.3'!H58</f>
        <v>-221264.14203415276</v>
      </c>
      <c r="D52" s="380">
        <f>'E368'!L58+'E3711'!L58+'E3912'!L58+'E303.3'!L58</f>
        <v>-104486.78665874463</v>
      </c>
      <c r="E52" s="383">
        <f>'E368'!F58+'E3711'!F58+'E3912'!F58+'E303.3'!F58</f>
        <v>36303.764276090275</v>
      </c>
      <c r="G52" s="379">
        <v>45505</v>
      </c>
      <c r="H52" s="380">
        <f t="shared" si="0"/>
        <v>1632072.2665277778</v>
      </c>
      <c r="I52" s="380">
        <f t="shared" si="1"/>
        <v>-91341.495543089986</v>
      </c>
      <c r="J52" s="380">
        <f t="shared" si="2"/>
        <v>-40244.78855181222</v>
      </c>
      <c r="K52" s="383"/>
    </row>
    <row r="53" spans="1:17" x14ac:dyDescent="0.25">
      <c r="A53" s="379">
        <v>45536</v>
      </c>
      <c r="B53" s="380">
        <f>'E368'!D59+'E3711'!D59+'E3912'!D59+'E303.3'!D59</f>
        <v>5755202.9600000009</v>
      </c>
      <c r="C53" s="380">
        <f>'E368'!H59+'E3711'!H59+'E3912'!H59+'E303.3'!H59</f>
        <v>-262252.65910892357</v>
      </c>
      <c r="D53" s="380">
        <f>'E368'!L59+'E3711'!L59+'E3912'!L59+'E303.3'!L59</f>
        <v>-112885.00845003236</v>
      </c>
      <c r="E53" s="383">
        <f>'E368'!F59+'E3711'!F59+'E3912'!F59+'E303.3'!F59</f>
        <v>40988.517074770833</v>
      </c>
      <c r="G53" s="379">
        <v>45536</v>
      </c>
      <c r="H53" s="380">
        <f t="shared" si="0"/>
        <v>2061610.3635416669</v>
      </c>
      <c r="I53" s="380">
        <f t="shared" si="1"/>
        <v>-109171.1074888663</v>
      </c>
      <c r="J53" s="380">
        <f t="shared" si="2"/>
        <v>-48908.645498740421</v>
      </c>
      <c r="K53" s="383"/>
    </row>
    <row r="54" spans="1:17" x14ac:dyDescent="0.25">
      <c r="A54" s="379">
        <v>45566</v>
      </c>
      <c r="B54" s="380">
        <f>'E368'!D60+'E3711'!D60+'E3912'!D60+'E303.3'!D60</f>
        <v>6272404.5516666677</v>
      </c>
      <c r="C54" s="380">
        <f>'E368'!H60+'E3711'!H60+'E3912'!H60+'E303.3'!H60</f>
        <v>-308274.21151779167</v>
      </c>
      <c r="D54" s="380">
        <f>'E368'!L60+'E3711'!L60+'E3912'!L60+'E303.3'!L60</f>
        <v>-120226.29282115954</v>
      </c>
      <c r="E54" s="383">
        <f>'E368'!F60+'E3711'!F60+'E3912'!F60+'E303.3'!F60</f>
        <v>46021.552408868054</v>
      </c>
      <c r="G54" s="379">
        <v>45566</v>
      </c>
      <c r="H54" s="380">
        <f t="shared" si="0"/>
        <v>2535822.2269444447</v>
      </c>
      <c r="I54" s="380">
        <f t="shared" si="1"/>
        <v>-130009.27312601416</v>
      </c>
      <c r="J54" s="380">
        <f t="shared" si="2"/>
        <v>-58254.344719465858</v>
      </c>
      <c r="K54" s="383"/>
    </row>
    <row r="55" spans="1:17" x14ac:dyDescent="0.25">
      <c r="A55" s="379">
        <v>45597</v>
      </c>
      <c r="B55" s="380">
        <f>'E368'!D61+'E3711'!D61+'E3912'!D61+'E303.3'!D61</f>
        <v>7210798.4433333334</v>
      </c>
      <c r="C55" s="380">
        <f>'E368'!H61+'E3711'!H61+'E3912'!H61+'E303.3'!H61</f>
        <v>-360986.72390575695</v>
      </c>
      <c r="D55" s="380">
        <f>'E368'!L61+'E3711'!L61+'E3912'!L61+'E303.3'!L61</f>
        <v>-126162.47559667646</v>
      </c>
      <c r="E55" s="383">
        <f>'E368'!F61+'E3711'!F61+'E3912'!F61+'E303.3'!F61</f>
        <v>52712.512387965282</v>
      </c>
      <c r="G55" s="379">
        <v>45597</v>
      </c>
      <c r="H55" s="380">
        <f t="shared" si="0"/>
        <v>3064653.7234027777</v>
      </c>
      <c r="I55" s="380">
        <f t="shared" si="1"/>
        <v>-154272.33112020831</v>
      </c>
      <c r="J55" s="380">
        <f t="shared" si="2"/>
        <v>-68194.455094196805</v>
      </c>
      <c r="K55" s="383"/>
    </row>
    <row r="56" spans="1:17" ht="15.75" thickBot="1" x14ac:dyDescent="0.3">
      <c r="A56" s="385">
        <v>45627</v>
      </c>
      <c r="B56" s="386">
        <f>'E368'!D62+'E3711'!D62+'E3912'!D62+'E303.3'!D62</f>
        <v>8030664.3350000009</v>
      </c>
      <c r="C56" s="386">
        <f>'E368'!H62+'E3711'!H62+'E3912'!H62+'E303.3'!H62</f>
        <v>-422297.3541615695</v>
      </c>
      <c r="D56" s="386">
        <f>'E368'!L62+'E3711'!L62+'E3912'!L62+'E303.3'!L62</f>
        <v>-130293.05361994535</v>
      </c>
      <c r="E56" s="389">
        <f>'E368'!F62+'E3711'!F62+'E3912'!F62+'E303.3'!F62</f>
        <v>61310.630255812503</v>
      </c>
      <c r="G56" s="385">
        <v>45627</v>
      </c>
      <c r="H56" s="386">
        <f t="shared" si="0"/>
        <v>3666700.5287500005</v>
      </c>
      <c r="I56" s="386">
        <f t="shared" si="1"/>
        <v>-182560.97347830757</v>
      </c>
      <c r="J56" s="386">
        <f t="shared" si="2"/>
        <v>-78602.831301492915</v>
      </c>
      <c r="K56" s="389">
        <f>SUM(E17:E28,K17:K28,Q17:Q28,W17:W28)</f>
        <v>365765.10994412506</v>
      </c>
    </row>
    <row r="57" spans="1:17" x14ac:dyDescent="0.25">
      <c r="B57" s="392">
        <f>B56-B44</f>
        <v>7633948.4250000007</v>
      </c>
      <c r="N57" s="393"/>
      <c r="O57" s="393"/>
      <c r="P57" s="393"/>
      <c r="Q57" s="393"/>
    </row>
  </sheetData>
  <pageMargins left="0.7" right="0.7" top="0.75" bottom="0.75" header="0.3" footer="0.3"/>
  <pageSetup orientation="portrait" horizontalDpi="300" verticalDpi="300"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85"/>
  <sheetViews>
    <sheetView zoomScale="85" zoomScaleNormal="85" workbookViewId="0">
      <pane ySplit="13" topLeftCell="A65" activePane="bottomLeft" state="frozen"/>
      <selection activeCell="I43" sqref="I43"/>
      <selection pane="bottomLeft" activeCell="H81" sqref="H81"/>
    </sheetView>
  </sheetViews>
  <sheetFormatPr defaultColWidth="8.7109375" defaultRowHeight="12.75" x14ac:dyDescent="0.2"/>
  <cols>
    <col min="1" max="1" width="24.42578125" style="178" customWidth="1"/>
    <col min="2" max="2" width="14.28515625" style="178" customWidth="1"/>
    <col min="3" max="3" width="14.42578125" style="178" customWidth="1"/>
    <col min="4" max="4" width="14.42578125" style="178" bestFit="1" customWidth="1"/>
    <col min="5" max="5" width="11.7109375" style="178" bestFit="1" customWidth="1"/>
    <col min="6" max="6" width="13.42578125" style="178" bestFit="1" customWidth="1"/>
    <col min="7" max="8" width="12.28515625" style="178" bestFit="1" customWidth="1"/>
    <col min="9" max="9" width="12.42578125" style="178" bestFit="1" customWidth="1"/>
    <col min="10" max="11" width="12.28515625" style="178" bestFit="1" customWidth="1"/>
    <col min="12" max="12" width="11.28515625" style="178" bestFit="1" customWidth="1"/>
    <col min="13" max="13" width="11.5703125" style="178" bestFit="1" customWidth="1"/>
    <col min="14" max="14" width="9.5703125" style="205" bestFit="1" customWidth="1"/>
    <col min="15" max="15" width="7.5703125" style="178" bestFit="1" customWidth="1"/>
    <col min="16" max="18" width="7.42578125" style="178" bestFit="1" customWidth="1"/>
    <col min="19" max="19" width="11.7109375" style="178" bestFit="1" customWidth="1"/>
    <col min="20" max="20" width="13.28515625" style="178" bestFit="1" customWidth="1"/>
    <col min="21" max="21" width="11" style="178" bestFit="1" customWidth="1"/>
    <col min="22" max="22" width="14.5703125" style="178" bestFit="1" customWidth="1"/>
    <col min="23" max="23" width="12" style="178" bestFit="1" customWidth="1"/>
    <col min="24" max="24" width="13.28515625" style="178" bestFit="1" customWidth="1"/>
    <col min="25" max="29" width="10.28515625" style="178" customWidth="1"/>
    <col min="30" max="42" width="8.7109375" style="178"/>
    <col min="43" max="43" width="9.42578125" style="178" bestFit="1" customWidth="1"/>
    <col min="44" max="16384" width="8.7109375" style="178"/>
  </cols>
  <sheetData>
    <row r="1" spans="1:43" s="163" customFormat="1" x14ac:dyDescent="0.2">
      <c r="A1" s="263" t="s">
        <v>155</v>
      </c>
      <c r="B1" s="161"/>
      <c r="C1" s="161"/>
      <c r="D1" s="162"/>
      <c r="E1" s="162"/>
      <c r="F1" s="162"/>
      <c r="K1" s="162"/>
      <c r="L1" s="162"/>
      <c r="M1" s="164"/>
      <c r="N1" s="165"/>
      <c r="O1" s="164"/>
    </row>
    <row r="2" spans="1:43" s="163" customFormat="1" ht="9" customHeight="1" x14ac:dyDescent="0.2">
      <c r="A2" s="161"/>
      <c r="B2" s="161"/>
      <c r="C2" s="166"/>
      <c r="D2" s="167"/>
      <c r="E2" s="166"/>
      <c r="G2" s="162"/>
      <c r="H2" s="168"/>
      <c r="I2" s="169"/>
      <c r="J2" s="162"/>
      <c r="K2" s="162"/>
      <c r="L2" s="162"/>
      <c r="M2" s="170"/>
      <c r="N2" s="165"/>
      <c r="O2" s="164"/>
    </row>
    <row r="3" spans="1:43" s="163" customFormat="1" x14ac:dyDescent="0.2">
      <c r="A3" s="171"/>
      <c r="B3" s="172"/>
      <c r="C3" s="173"/>
      <c r="D3" s="174"/>
      <c r="E3" s="173"/>
      <c r="F3" s="175"/>
      <c r="G3" s="162"/>
      <c r="H3" s="176"/>
      <c r="K3" s="177"/>
      <c r="L3" s="177"/>
      <c r="M3" s="170"/>
      <c r="N3" s="165"/>
      <c r="O3" s="168"/>
    </row>
    <row r="4" spans="1:43" s="163" customFormat="1" ht="6.6" customHeight="1" x14ac:dyDescent="0.2">
      <c r="A4" s="178"/>
      <c r="B4" s="178"/>
      <c r="C4" s="179"/>
      <c r="D4" s="179"/>
      <c r="E4" s="179"/>
      <c r="F4" s="179"/>
      <c r="G4" s="179"/>
      <c r="H4" s="179"/>
      <c r="I4" s="179"/>
      <c r="J4" s="179"/>
      <c r="K4" s="179"/>
      <c r="L4" s="179"/>
      <c r="M4" s="179"/>
      <c r="N4" s="179"/>
      <c r="O4" s="179"/>
    </row>
    <row r="5" spans="1:43" s="163" customFormat="1" x14ac:dyDescent="0.2">
      <c r="A5" s="180" t="s">
        <v>542</v>
      </c>
      <c r="B5" s="180"/>
      <c r="C5" s="181">
        <v>1</v>
      </c>
      <c r="D5" s="181">
        <v>2</v>
      </c>
      <c r="E5" s="181">
        <v>3</v>
      </c>
      <c r="F5" s="181">
        <v>4</v>
      </c>
      <c r="G5" s="181">
        <v>5</v>
      </c>
      <c r="H5" s="181">
        <v>6</v>
      </c>
      <c r="I5" s="181">
        <v>7</v>
      </c>
      <c r="J5" s="181">
        <v>8</v>
      </c>
      <c r="K5" s="181">
        <v>9</v>
      </c>
      <c r="L5" s="181">
        <v>10</v>
      </c>
      <c r="M5" s="181">
        <v>11</v>
      </c>
      <c r="N5" s="181">
        <v>12</v>
      </c>
      <c r="O5" s="181">
        <v>13</v>
      </c>
      <c r="P5" s="181">
        <v>14</v>
      </c>
      <c r="Q5" s="181">
        <v>15</v>
      </c>
      <c r="R5" s="181">
        <v>16</v>
      </c>
      <c r="S5" s="181">
        <v>17</v>
      </c>
      <c r="T5" s="181">
        <v>18</v>
      </c>
      <c r="U5" s="181">
        <v>19</v>
      </c>
      <c r="V5" s="181">
        <v>20</v>
      </c>
      <c r="W5" s="181">
        <v>21</v>
      </c>
      <c r="X5" s="181">
        <v>22</v>
      </c>
      <c r="Y5" s="181">
        <v>23</v>
      </c>
      <c r="Z5" s="181">
        <v>24</v>
      </c>
      <c r="AA5" s="181">
        <v>25</v>
      </c>
      <c r="AB5" s="181">
        <v>26</v>
      </c>
      <c r="AC5" s="181">
        <v>27</v>
      </c>
      <c r="AD5" s="181">
        <v>28</v>
      </c>
      <c r="AE5" s="181">
        <v>29</v>
      </c>
      <c r="AF5" s="181">
        <v>30</v>
      </c>
      <c r="AG5" s="181">
        <v>31</v>
      </c>
      <c r="AH5" s="181">
        <v>32</v>
      </c>
      <c r="AI5" s="181">
        <v>33</v>
      </c>
      <c r="AJ5" s="181">
        <v>34</v>
      </c>
      <c r="AK5" s="181">
        <v>35</v>
      </c>
      <c r="AL5" s="181">
        <v>36</v>
      </c>
      <c r="AM5" s="181">
        <v>37</v>
      </c>
      <c r="AN5" s="181">
        <v>38</v>
      </c>
      <c r="AO5" s="181">
        <v>39</v>
      </c>
      <c r="AP5" s="181">
        <v>40</v>
      </c>
      <c r="AQ5" s="181" t="s">
        <v>25</v>
      </c>
    </row>
    <row r="6" spans="1:43" s="163" customFormat="1" x14ac:dyDescent="0.2">
      <c r="A6" s="182" t="s">
        <v>483</v>
      </c>
      <c r="B6" s="182"/>
      <c r="C6" s="267">
        <v>3.7499999999999999E-2</v>
      </c>
      <c r="D6" s="267">
        <v>7.2190000000000004E-2</v>
      </c>
      <c r="E6" s="267">
        <v>6.6769999999999996E-2</v>
      </c>
      <c r="F6" s="267">
        <v>6.1769999999999999E-2</v>
      </c>
      <c r="G6" s="267">
        <v>5.713E-2</v>
      </c>
      <c r="H6" s="267">
        <v>5.2850000000000001E-2</v>
      </c>
      <c r="I6" s="267">
        <v>4.888E-2</v>
      </c>
      <c r="J6" s="267">
        <v>4.5220000000000003E-2</v>
      </c>
      <c r="K6" s="267">
        <v>4.462E-2</v>
      </c>
      <c r="L6" s="267">
        <v>4.4609999999999997E-2</v>
      </c>
      <c r="M6" s="267">
        <v>4.462E-2</v>
      </c>
      <c r="N6" s="267">
        <v>4.4609999999999997E-2</v>
      </c>
      <c r="O6" s="267">
        <v>4.462E-2</v>
      </c>
      <c r="P6" s="267">
        <v>4.4609999999999997E-2</v>
      </c>
      <c r="Q6" s="267">
        <v>4.462E-2</v>
      </c>
      <c r="R6" s="267">
        <v>4.4609999999999997E-2</v>
      </c>
      <c r="S6" s="267">
        <v>4.462E-2</v>
      </c>
      <c r="T6" s="267">
        <v>4.4609999999999997E-2</v>
      </c>
      <c r="U6" s="267">
        <v>4.462E-2</v>
      </c>
      <c r="V6" s="267">
        <v>4.4609999999999997E-2</v>
      </c>
      <c r="W6" s="267">
        <v>2.231E-2</v>
      </c>
      <c r="X6" s="183"/>
      <c r="Y6" s="183"/>
      <c r="Z6" s="183"/>
      <c r="AA6" s="183"/>
      <c r="AB6" s="183"/>
      <c r="AC6" s="183"/>
      <c r="AD6" s="183"/>
      <c r="AE6" s="183"/>
      <c r="AF6" s="183"/>
      <c r="AG6" s="183"/>
      <c r="AH6" s="183"/>
      <c r="AI6" s="183"/>
      <c r="AJ6" s="183"/>
      <c r="AK6" s="183"/>
      <c r="AL6" s="183"/>
      <c r="AM6" s="183"/>
      <c r="AN6" s="183"/>
      <c r="AO6" s="183"/>
      <c r="AP6" s="183"/>
      <c r="AQ6" s="183">
        <f>SUM(C6:AP6)</f>
        <v>1.0000000000000002</v>
      </c>
    </row>
    <row r="7" spans="1:43" s="163" customFormat="1" ht="7.35" customHeight="1" x14ac:dyDescent="0.2">
      <c r="A7" s="184"/>
      <c r="B7" s="184"/>
      <c r="C7" s="179"/>
      <c r="D7" s="179"/>
      <c r="E7" s="179"/>
      <c r="F7" s="179"/>
      <c r="G7" s="179"/>
      <c r="H7" s="179"/>
      <c r="I7" s="185"/>
      <c r="J7" s="185"/>
      <c r="K7" s="185"/>
    </row>
    <row r="8" spans="1:43" ht="13.5" thickBot="1" x14ac:dyDescent="0.25">
      <c r="A8" s="186" t="s">
        <v>7</v>
      </c>
      <c r="B8" s="187" t="s">
        <v>484</v>
      </c>
      <c r="C8" s="188" t="s">
        <v>19</v>
      </c>
      <c r="D8" s="189"/>
      <c r="E8" s="188" t="s">
        <v>485</v>
      </c>
      <c r="F8" s="190"/>
      <c r="G8" s="188" t="s">
        <v>20</v>
      </c>
      <c r="H8" s="189"/>
      <c r="I8" s="188" t="s">
        <v>8</v>
      </c>
      <c r="J8" s="189"/>
      <c r="K8" s="191" t="s">
        <v>9</v>
      </c>
      <c r="L8" s="191" t="s">
        <v>10</v>
      </c>
      <c r="M8" s="192" t="s">
        <v>11</v>
      </c>
      <c r="N8" s="178"/>
    </row>
    <row r="9" spans="1:43" ht="13.5" thickBot="1" x14ac:dyDescent="0.25">
      <c r="A9" s="193"/>
      <c r="B9" s="194" t="s">
        <v>486</v>
      </c>
      <c r="C9" s="195"/>
      <c r="D9" s="196"/>
      <c r="E9" s="195" t="s">
        <v>487</v>
      </c>
      <c r="F9" s="197"/>
      <c r="G9" s="198"/>
      <c r="H9" s="196"/>
      <c r="I9" s="199"/>
      <c r="J9" s="200"/>
      <c r="K9" s="201"/>
      <c r="L9" s="201"/>
      <c r="M9" s="202" t="s">
        <v>488</v>
      </c>
      <c r="N9" s="178"/>
    </row>
    <row r="10" spans="1:43" ht="13.5" thickBot="1" x14ac:dyDescent="0.25">
      <c r="A10" s="193"/>
      <c r="B10" s="194" t="s">
        <v>489</v>
      </c>
      <c r="C10" s="195"/>
      <c r="D10" s="196"/>
      <c r="E10" s="195" t="s">
        <v>490</v>
      </c>
      <c r="F10" s="269">
        <f>'Exh. NWA-4'!S318/100</f>
        <v>3.3099999999999997E-2</v>
      </c>
      <c r="G10" s="198"/>
      <c r="H10" s="196"/>
      <c r="I10" s="199"/>
      <c r="J10" s="200"/>
      <c r="K10" s="201"/>
      <c r="L10" s="203" t="s">
        <v>168</v>
      </c>
      <c r="M10" s="202"/>
      <c r="N10" s="178"/>
    </row>
    <row r="11" spans="1:43" x14ac:dyDescent="0.2">
      <c r="A11" s="204"/>
      <c r="B11" s="205"/>
      <c r="C11" s="199" t="s">
        <v>12</v>
      </c>
      <c r="D11" s="200" t="s">
        <v>13</v>
      </c>
      <c r="E11" s="199" t="s">
        <v>27</v>
      </c>
      <c r="F11" s="200" t="s">
        <v>28</v>
      </c>
      <c r="G11" s="199" t="s">
        <v>12</v>
      </c>
      <c r="H11" s="200" t="s">
        <v>13</v>
      </c>
      <c r="I11" s="199" t="s">
        <v>12</v>
      </c>
      <c r="J11" s="200" t="s">
        <v>29</v>
      </c>
      <c r="K11" s="201" t="s">
        <v>14</v>
      </c>
      <c r="L11" s="203">
        <v>0.21</v>
      </c>
      <c r="M11" s="202" t="s">
        <v>21</v>
      </c>
      <c r="N11" s="178"/>
    </row>
    <row r="12" spans="1:43" x14ac:dyDescent="0.2">
      <c r="A12" s="204"/>
      <c r="B12" s="205"/>
      <c r="C12" s="199"/>
      <c r="D12" s="200"/>
      <c r="E12" s="199" t="s">
        <v>22</v>
      </c>
      <c r="F12" s="200" t="s">
        <v>26</v>
      </c>
      <c r="G12" s="199" t="s">
        <v>30</v>
      </c>
      <c r="H12" s="200" t="s">
        <v>31</v>
      </c>
      <c r="I12" s="199"/>
      <c r="J12" s="200"/>
      <c r="K12" s="201"/>
      <c r="L12" s="203" t="s">
        <v>32</v>
      </c>
      <c r="M12" s="202" t="s">
        <v>33</v>
      </c>
      <c r="N12" s="178"/>
    </row>
    <row r="13" spans="1:43" ht="15" x14ac:dyDescent="0.25">
      <c r="A13" s="206"/>
      <c r="B13" s="207"/>
      <c r="C13" s="208" t="s">
        <v>15</v>
      </c>
      <c r="D13" s="209" t="s">
        <v>16</v>
      </c>
      <c r="E13" s="208"/>
      <c r="F13" s="209" t="s">
        <v>23</v>
      </c>
      <c r="G13" s="208" t="s">
        <v>34</v>
      </c>
      <c r="H13" s="209" t="s">
        <v>35</v>
      </c>
      <c r="I13" s="208" t="s">
        <v>36</v>
      </c>
      <c r="J13" s="209" t="s">
        <v>37</v>
      </c>
      <c r="K13" s="210" t="s">
        <v>38</v>
      </c>
      <c r="L13" s="211">
        <v>0.21</v>
      </c>
      <c r="M13" s="212" t="s">
        <v>39</v>
      </c>
      <c r="N13" s="213"/>
    </row>
    <row r="14" spans="1:43" ht="15" x14ac:dyDescent="0.25">
      <c r="A14" s="214"/>
      <c r="B14" s="194"/>
      <c r="C14" s="194"/>
      <c r="D14" s="194"/>
      <c r="E14" s="194"/>
      <c r="F14" s="194"/>
      <c r="G14" s="194"/>
      <c r="H14" s="194"/>
      <c r="I14" s="194"/>
      <c r="J14" s="194"/>
      <c r="K14" s="215"/>
      <c r="L14" s="216"/>
      <c r="M14" s="217"/>
      <c r="N14" s="213"/>
      <c r="P14" s="158"/>
      <c r="Q14" s="158"/>
      <c r="R14" s="158"/>
      <c r="S14" s="158"/>
      <c r="T14" s="158"/>
      <c r="U14" s="158"/>
      <c r="V14" s="158"/>
      <c r="W14" s="158"/>
      <c r="X14" s="158"/>
      <c r="Y14" s="158"/>
      <c r="Z14" s="158"/>
      <c r="AA14" s="158"/>
      <c r="AB14" s="158"/>
      <c r="AC14" s="158"/>
      <c r="AD14" s="158"/>
      <c r="AE14" s="158"/>
      <c r="AF14" s="158"/>
      <c r="AG14" s="158"/>
      <c r="AH14" s="158"/>
    </row>
    <row r="15" spans="1:43" ht="15" x14ac:dyDescent="0.25">
      <c r="A15" s="219">
        <v>44227</v>
      </c>
      <c r="B15" s="220"/>
      <c r="C15" s="221"/>
      <c r="D15" s="221">
        <f>B15</f>
        <v>0</v>
      </c>
      <c r="E15" s="221"/>
      <c r="F15" s="221"/>
      <c r="G15" s="221"/>
      <c r="H15" s="221"/>
      <c r="I15" s="221"/>
      <c r="J15" s="221"/>
      <c r="K15" s="221"/>
      <c r="L15" s="221"/>
      <c r="M15" s="221"/>
      <c r="N15" s="221"/>
      <c r="P15" s="158"/>
      <c r="Q15" s="158"/>
      <c r="R15" s="158"/>
      <c r="S15" s="158"/>
      <c r="T15" s="158"/>
      <c r="U15" s="158"/>
      <c r="V15" s="158"/>
      <c r="W15" s="158"/>
      <c r="X15" s="158"/>
      <c r="Y15" s="158"/>
      <c r="Z15" s="158"/>
      <c r="AA15" s="158"/>
      <c r="AB15" s="158"/>
      <c r="AC15" s="158"/>
      <c r="AD15" s="158"/>
      <c r="AE15" s="158"/>
      <c r="AF15" s="158"/>
      <c r="AG15" s="158"/>
      <c r="AH15" s="158"/>
    </row>
    <row r="16" spans="1:43" ht="15" x14ac:dyDescent="0.25">
      <c r="A16" s="219">
        <v>44255</v>
      </c>
      <c r="B16" s="220"/>
      <c r="C16" s="221"/>
      <c r="D16" s="221">
        <f>D15+B16</f>
        <v>0</v>
      </c>
      <c r="E16" s="221"/>
      <c r="F16" s="221"/>
      <c r="G16" s="221"/>
      <c r="H16" s="221"/>
      <c r="I16" s="221"/>
      <c r="J16" s="221"/>
      <c r="K16" s="221"/>
      <c r="L16" s="221"/>
      <c r="M16" s="221"/>
      <c r="N16" s="221"/>
      <c r="P16" s="158"/>
      <c r="Q16" s="158"/>
      <c r="R16" s="158"/>
      <c r="S16" s="158"/>
      <c r="T16" s="158"/>
      <c r="U16" s="158"/>
      <c r="V16" s="158"/>
      <c r="W16" s="158"/>
      <c r="X16" s="158"/>
      <c r="Y16" s="158"/>
      <c r="Z16" s="158"/>
      <c r="AA16" s="158"/>
      <c r="AB16" s="158"/>
      <c r="AC16" s="158"/>
      <c r="AD16" s="158"/>
      <c r="AE16" s="158"/>
      <c r="AF16" s="158"/>
      <c r="AG16" s="158"/>
      <c r="AH16" s="158"/>
    </row>
    <row r="17" spans="1:34" ht="15" x14ac:dyDescent="0.25">
      <c r="A17" s="219">
        <v>44286</v>
      </c>
      <c r="B17" s="220"/>
      <c r="C17" s="221"/>
      <c r="D17" s="221">
        <f t="shared" ref="D17:D74" si="0">D16+B17</f>
        <v>0</v>
      </c>
      <c r="E17" s="221"/>
      <c r="F17" s="221"/>
      <c r="G17" s="221"/>
      <c r="H17" s="221"/>
      <c r="I17" s="221"/>
      <c r="J17" s="221"/>
      <c r="K17" s="221"/>
      <c r="L17" s="221"/>
      <c r="M17" s="221"/>
      <c r="N17" s="221"/>
      <c r="P17" s="158"/>
      <c r="Q17" s="158"/>
      <c r="R17" s="158"/>
      <c r="S17" s="158"/>
      <c r="T17" s="158"/>
      <c r="U17" s="158"/>
      <c r="V17" s="158"/>
      <c r="W17" s="158"/>
      <c r="X17" s="158"/>
      <c r="Y17" s="158"/>
      <c r="Z17" s="158"/>
      <c r="AA17" s="158"/>
      <c r="AB17" s="158"/>
      <c r="AC17" s="158"/>
      <c r="AD17" s="158"/>
      <c r="AE17" s="158"/>
      <c r="AF17" s="158"/>
      <c r="AG17" s="158"/>
      <c r="AH17" s="158"/>
    </row>
    <row r="18" spans="1:34" ht="15" x14ac:dyDescent="0.25">
      <c r="A18" s="219">
        <v>44316</v>
      </c>
      <c r="B18" s="220"/>
      <c r="C18" s="221"/>
      <c r="D18" s="221">
        <f t="shared" si="0"/>
        <v>0</v>
      </c>
      <c r="E18" s="221"/>
      <c r="F18" s="221"/>
      <c r="G18" s="221"/>
      <c r="H18" s="221"/>
      <c r="I18" s="221"/>
      <c r="J18" s="221"/>
      <c r="K18" s="221"/>
      <c r="L18" s="221"/>
      <c r="M18" s="221"/>
      <c r="N18" s="221"/>
      <c r="P18" s="158"/>
      <c r="Q18" s="158"/>
      <c r="R18" s="158"/>
      <c r="S18" s="158"/>
      <c r="T18" s="158"/>
      <c r="U18" s="158"/>
      <c r="V18" s="158"/>
      <c r="W18" s="158"/>
      <c r="X18" s="158"/>
      <c r="Y18" s="158"/>
      <c r="Z18" s="158"/>
      <c r="AA18" s="158"/>
      <c r="AB18" s="158"/>
      <c r="AC18" s="158"/>
      <c r="AD18" s="158"/>
      <c r="AE18" s="158"/>
      <c r="AF18" s="158"/>
      <c r="AG18" s="158"/>
      <c r="AH18" s="158"/>
    </row>
    <row r="19" spans="1:34" ht="15" x14ac:dyDescent="0.25">
      <c r="A19" s="219">
        <v>44347</v>
      </c>
      <c r="B19" s="220"/>
      <c r="C19" s="221"/>
      <c r="D19" s="221">
        <f t="shared" si="0"/>
        <v>0</v>
      </c>
      <c r="E19" s="221"/>
      <c r="F19" s="221"/>
      <c r="G19" s="221"/>
      <c r="H19" s="221"/>
      <c r="I19" s="221"/>
      <c r="J19" s="221"/>
      <c r="K19" s="221"/>
      <c r="L19" s="221"/>
      <c r="M19" s="221"/>
      <c r="N19" s="221"/>
      <c r="P19" s="158"/>
      <c r="Q19" s="158"/>
      <c r="R19" s="158"/>
      <c r="S19" s="158"/>
      <c r="T19" s="158"/>
      <c r="U19" s="158"/>
      <c r="V19" s="158"/>
      <c r="W19" s="158"/>
      <c r="X19" s="158"/>
      <c r="Y19" s="158"/>
      <c r="Z19" s="158"/>
      <c r="AA19" s="158"/>
      <c r="AB19" s="158"/>
      <c r="AC19" s="158"/>
      <c r="AD19" s="158"/>
      <c r="AE19" s="158"/>
      <c r="AF19" s="158"/>
      <c r="AG19" s="158"/>
      <c r="AH19" s="158"/>
    </row>
    <row r="20" spans="1:34" ht="15" x14ac:dyDescent="0.25">
      <c r="A20" s="219">
        <v>44377</v>
      </c>
      <c r="B20" s="220"/>
      <c r="C20" s="221"/>
      <c r="D20" s="221">
        <f t="shared" si="0"/>
        <v>0</v>
      </c>
      <c r="E20" s="221"/>
      <c r="F20" s="221"/>
      <c r="G20" s="221"/>
      <c r="H20" s="221"/>
      <c r="I20" s="221"/>
      <c r="J20" s="221"/>
      <c r="K20" s="221"/>
      <c r="L20" s="221"/>
      <c r="M20" s="221"/>
      <c r="N20" s="221"/>
      <c r="P20" s="158"/>
      <c r="Q20" s="158"/>
      <c r="R20" s="158"/>
      <c r="S20" s="158"/>
      <c r="T20" s="158"/>
      <c r="U20" s="158"/>
      <c r="V20" s="158"/>
      <c r="W20" s="158"/>
      <c r="X20" s="158"/>
      <c r="Y20" s="158"/>
      <c r="Z20" s="158"/>
      <c r="AA20" s="158"/>
      <c r="AB20" s="158"/>
      <c r="AC20" s="158"/>
      <c r="AD20" s="158"/>
      <c r="AE20" s="158"/>
      <c r="AF20" s="158"/>
      <c r="AG20" s="158"/>
      <c r="AH20" s="158"/>
    </row>
    <row r="21" spans="1:34" ht="15" x14ac:dyDescent="0.25">
      <c r="A21" s="219">
        <v>44408</v>
      </c>
      <c r="B21" s="220"/>
      <c r="C21" s="221"/>
      <c r="D21" s="221">
        <f t="shared" si="0"/>
        <v>0</v>
      </c>
      <c r="E21" s="221"/>
      <c r="F21" s="222"/>
      <c r="G21" s="255"/>
      <c r="H21" s="221"/>
      <c r="I21" s="255"/>
      <c r="J21" s="221"/>
      <c r="K21" s="255"/>
      <c r="L21" s="255"/>
      <c r="M21" s="221"/>
      <c r="N21" s="221"/>
      <c r="O21" s="205"/>
      <c r="P21" s="158"/>
      <c r="Q21" s="158"/>
      <c r="R21" s="158"/>
      <c r="S21" s="158"/>
      <c r="T21" s="158"/>
      <c r="U21" s="158"/>
      <c r="V21" s="158"/>
      <c r="W21" s="158"/>
      <c r="X21" s="158"/>
      <c r="Y21" s="158"/>
      <c r="Z21" s="158"/>
      <c r="AA21" s="158"/>
      <c r="AB21" s="158"/>
      <c r="AC21" s="158"/>
      <c r="AD21" s="158"/>
      <c r="AE21" s="158"/>
      <c r="AF21" s="158"/>
      <c r="AG21" s="158"/>
      <c r="AH21" s="158"/>
    </row>
    <row r="22" spans="1:34" ht="15" x14ac:dyDescent="0.25">
      <c r="A22" s="219">
        <v>44439</v>
      </c>
      <c r="B22" s="220"/>
      <c r="C22" s="221"/>
      <c r="D22" s="221">
        <f t="shared" si="0"/>
        <v>0</v>
      </c>
      <c r="E22" s="221"/>
      <c r="F22" s="221"/>
      <c r="G22" s="255"/>
      <c r="H22" s="222"/>
      <c r="I22" s="255"/>
      <c r="J22" s="221"/>
      <c r="K22" s="255"/>
      <c r="L22" s="255"/>
      <c r="M22" s="221"/>
      <c r="N22" s="223"/>
      <c r="O22" s="205"/>
      <c r="P22" s="158"/>
      <c r="Q22" s="158"/>
      <c r="R22" s="158"/>
      <c r="S22" s="158"/>
      <c r="T22" s="158"/>
      <c r="U22" s="158"/>
      <c r="V22" s="158"/>
      <c r="W22" s="158"/>
      <c r="X22" s="158"/>
      <c r="Y22" s="158"/>
      <c r="Z22" s="158"/>
      <c r="AA22" s="158"/>
      <c r="AB22" s="158"/>
      <c r="AC22" s="158"/>
      <c r="AD22" s="158"/>
      <c r="AE22" s="158"/>
      <c r="AF22" s="158"/>
      <c r="AG22" s="158"/>
      <c r="AH22" s="158"/>
    </row>
    <row r="23" spans="1:34" ht="15" x14ac:dyDescent="0.25">
      <c r="A23" s="219">
        <v>44469</v>
      </c>
      <c r="B23" s="220"/>
      <c r="C23" s="221"/>
      <c r="D23" s="221">
        <f t="shared" si="0"/>
        <v>0</v>
      </c>
      <c r="E23" s="221"/>
      <c r="F23" s="221"/>
      <c r="G23" s="221"/>
      <c r="H23" s="221"/>
      <c r="I23" s="221"/>
      <c r="J23" s="221"/>
      <c r="K23" s="221"/>
      <c r="L23" s="221"/>
      <c r="M23" s="221"/>
      <c r="N23" s="223"/>
      <c r="O23" s="205"/>
      <c r="P23" s="158"/>
      <c r="Q23" s="158"/>
      <c r="R23" s="158"/>
      <c r="S23" s="158"/>
      <c r="T23" s="158"/>
      <c r="U23" s="158"/>
      <c r="V23" s="158"/>
      <c r="W23" s="158"/>
      <c r="X23" s="158"/>
      <c r="Y23" s="158"/>
      <c r="Z23" s="158"/>
      <c r="AA23" s="158"/>
      <c r="AB23" s="158"/>
      <c r="AC23" s="158"/>
      <c r="AD23" s="158"/>
      <c r="AE23" s="158"/>
      <c r="AF23" s="158"/>
      <c r="AG23" s="158"/>
      <c r="AH23" s="158"/>
    </row>
    <row r="24" spans="1:34" ht="15" x14ac:dyDescent="0.25">
      <c r="A24" s="219">
        <v>44500</v>
      </c>
      <c r="B24" s="220"/>
      <c r="C24" s="221"/>
      <c r="D24" s="221">
        <f t="shared" si="0"/>
        <v>0</v>
      </c>
      <c r="E24" s="221"/>
      <c r="F24" s="221"/>
      <c r="G24" s="221"/>
      <c r="H24" s="221"/>
      <c r="I24" s="221"/>
      <c r="J24" s="221"/>
      <c r="K24" s="221"/>
      <c r="L24" s="221"/>
      <c r="M24" s="221"/>
      <c r="N24" s="223"/>
      <c r="O24" s="205"/>
      <c r="P24" s="158"/>
      <c r="Q24" s="158"/>
      <c r="R24" s="158"/>
      <c r="S24" s="158"/>
      <c r="T24" s="158"/>
      <c r="U24" s="158"/>
      <c r="V24" s="158"/>
      <c r="W24" s="158"/>
      <c r="X24" s="158"/>
      <c r="Y24" s="158"/>
      <c r="Z24" s="158"/>
      <c r="AA24" s="158"/>
      <c r="AB24" s="158"/>
      <c r="AC24" s="158"/>
      <c r="AD24" s="158"/>
      <c r="AE24" s="158"/>
      <c r="AF24" s="158"/>
      <c r="AG24" s="158"/>
      <c r="AH24" s="158"/>
    </row>
    <row r="25" spans="1:34" ht="15" x14ac:dyDescent="0.25">
      <c r="A25" s="219">
        <v>44530</v>
      </c>
      <c r="B25" s="220"/>
      <c r="C25" s="221"/>
      <c r="D25" s="221">
        <f t="shared" si="0"/>
        <v>0</v>
      </c>
      <c r="E25" s="221"/>
      <c r="F25" s="221"/>
      <c r="G25" s="221"/>
      <c r="H25" s="221"/>
      <c r="I25" s="221"/>
      <c r="J25" s="221"/>
      <c r="K25" s="221"/>
      <c r="L25" s="221"/>
      <c r="M25" s="221"/>
      <c r="N25" s="223"/>
      <c r="O25" s="256"/>
      <c r="P25" s="158"/>
      <c r="Q25" s="158"/>
      <c r="R25" s="158"/>
      <c r="S25" s="158"/>
      <c r="T25" s="158"/>
      <c r="U25" s="158"/>
      <c r="V25" s="158"/>
      <c r="W25" s="158"/>
      <c r="X25" s="158"/>
      <c r="Y25" s="158"/>
      <c r="Z25" s="158"/>
      <c r="AA25" s="158"/>
      <c r="AB25" s="158"/>
      <c r="AC25" s="158"/>
      <c r="AD25" s="158"/>
      <c r="AE25" s="158"/>
      <c r="AF25" s="158"/>
      <c r="AG25" s="158"/>
      <c r="AH25" s="158"/>
    </row>
    <row r="26" spans="1:34" ht="15" x14ac:dyDescent="0.25">
      <c r="A26" s="219">
        <v>44561</v>
      </c>
      <c r="B26" s="220"/>
      <c r="C26" s="255"/>
      <c r="D26" s="225">
        <f t="shared" si="0"/>
        <v>0</v>
      </c>
      <c r="E26" s="221"/>
      <c r="F26" s="255"/>
      <c r="G26" s="222"/>
      <c r="H26" s="255"/>
      <c r="I26" s="222"/>
      <c r="J26" s="255"/>
      <c r="K26" s="222"/>
      <c r="L26" s="221"/>
      <c r="M26" s="221"/>
      <c r="N26" s="226"/>
      <c r="O26" s="249"/>
      <c r="P26" s="158"/>
      <c r="Q26" s="158"/>
      <c r="R26" s="158"/>
      <c r="S26" s="158"/>
      <c r="T26" s="158"/>
      <c r="U26" s="158"/>
      <c r="V26" s="158"/>
      <c r="W26" s="158"/>
      <c r="X26" s="158"/>
      <c r="Y26" s="158"/>
      <c r="Z26" s="158"/>
      <c r="AA26" s="158"/>
      <c r="AB26" s="158"/>
      <c r="AC26" s="158"/>
      <c r="AD26" s="158"/>
      <c r="AE26" s="158"/>
      <c r="AF26" s="158"/>
      <c r="AG26" s="158"/>
      <c r="AH26" s="158"/>
    </row>
    <row r="27" spans="1:34" ht="15" x14ac:dyDescent="0.25">
      <c r="A27" s="227">
        <v>44592</v>
      </c>
      <c r="B27" s="228"/>
      <c r="C27" s="229">
        <f t="shared" ref="C27:C74" si="1">D27</f>
        <v>0</v>
      </c>
      <c r="D27" s="221">
        <f t="shared" si="0"/>
        <v>0</v>
      </c>
      <c r="E27" s="229">
        <f>(($C$26*$D$6/12)+(($C$38-$C$26)*$C$6/12))</f>
        <v>0</v>
      </c>
      <c r="F27" s="230">
        <f>+(D26*$F$9/12)+(((D27-D26)*$F$9/12)*0.5)</f>
        <v>0</v>
      </c>
      <c r="G27" s="229">
        <f t="shared" ref="G27:H42" si="2">-E27+G26</f>
        <v>0</v>
      </c>
      <c r="H27" s="230">
        <f t="shared" si="2"/>
        <v>0</v>
      </c>
      <c r="I27" s="229">
        <f t="shared" ref="I27:J42" si="3">C27+G27</f>
        <v>0</v>
      </c>
      <c r="J27" s="230">
        <f t="shared" si="3"/>
        <v>0</v>
      </c>
      <c r="K27" s="229">
        <f t="shared" ref="K27:K69" si="4">J27-I27</f>
        <v>0</v>
      </c>
      <c r="L27" s="229">
        <f t="shared" ref="L27:L74" si="5">-K27*$L$11</f>
        <v>0</v>
      </c>
      <c r="M27" s="229">
        <f t="shared" ref="M27:M74" si="6">-L27+L26</f>
        <v>0</v>
      </c>
      <c r="N27" s="223"/>
      <c r="O27" s="205"/>
      <c r="P27" s="158"/>
      <c r="Q27" s="158"/>
      <c r="R27" s="158"/>
      <c r="S27" s="158"/>
      <c r="T27" s="158"/>
      <c r="U27" s="158"/>
      <c r="V27" s="158"/>
      <c r="W27" s="158"/>
      <c r="X27" s="158"/>
      <c r="Y27" s="158"/>
      <c r="Z27" s="158"/>
      <c r="AA27" s="158"/>
      <c r="AB27" s="158"/>
      <c r="AC27" s="158"/>
      <c r="AD27" s="158"/>
      <c r="AE27" s="158"/>
      <c r="AF27" s="158"/>
      <c r="AG27" s="158"/>
      <c r="AH27" s="158"/>
    </row>
    <row r="28" spans="1:34" ht="15" x14ac:dyDescent="0.25">
      <c r="A28" s="219">
        <v>44620</v>
      </c>
      <c r="B28" s="224"/>
      <c r="C28" s="221">
        <f t="shared" si="1"/>
        <v>0</v>
      </c>
      <c r="D28" s="221">
        <f t="shared" si="0"/>
        <v>0</v>
      </c>
      <c r="E28" s="221">
        <f t="shared" ref="E28:E38" si="7">(($C$26*$D$6/12)+(($C$38-$C$26)*$C$6/12))</f>
        <v>0</v>
      </c>
      <c r="F28" s="222">
        <f>+(D27*$F$9/12)+(((D28-D27)*$F$9/12)*0.5)</f>
        <v>0</v>
      </c>
      <c r="G28" s="221">
        <f t="shared" si="2"/>
        <v>0</v>
      </c>
      <c r="H28" s="222">
        <f t="shared" si="2"/>
        <v>0</v>
      </c>
      <c r="I28" s="221">
        <f t="shared" si="3"/>
        <v>0</v>
      </c>
      <c r="J28" s="221">
        <f t="shared" si="3"/>
        <v>0</v>
      </c>
      <c r="K28" s="221">
        <f t="shared" si="4"/>
        <v>0</v>
      </c>
      <c r="L28" s="221">
        <f t="shared" si="5"/>
        <v>0</v>
      </c>
      <c r="M28" s="221">
        <f t="shared" si="6"/>
        <v>0</v>
      </c>
      <c r="N28" s="223"/>
      <c r="O28" s="257"/>
      <c r="P28" s="158"/>
      <c r="Q28" s="158"/>
      <c r="R28" s="158"/>
      <c r="S28" s="158"/>
      <c r="T28" s="158"/>
      <c r="U28" s="158"/>
      <c r="V28" s="158"/>
      <c r="W28" s="158"/>
      <c r="X28" s="158"/>
      <c r="Y28" s="158"/>
      <c r="Z28" s="158"/>
      <c r="AA28" s="158"/>
      <c r="AB28" s="158"/>
      <c r="AC28" s="158"/>
      <c r="AD28" s="158"/>
      <c r="AE28" s="158"/>
      <c r="AF28" s="158"/>
      <c r="AG28" s="158"/>
      <c r="AH28" s="158"/>
    </row>
    <row r="29" spans="1:34" ht="15" x14ac:dyDescent="0.25">
      <c r="A29" s="219">
        <v>44651</v>
      </c>
      <c r="B29" s="224"/>
      <c r="C29" s="221">
        <f t="shared" si="1"/>
        <v>0</v>
      </c>
      <c r="D29" s="221">
        <f t="shared" si="0"/>
        <v>0</v>
      </c>
      <c r="E29" s="221">
        <f t="shared" si="7"/>
        <v>0</v>
      </c>
      <c r="F29" s="222">
        <f>+(D28*$F$9/12)+(((D29-D28)*$F$9/12)*0.5)</f>
        <v>0</v>
      </c>
      <c r="G29" s="221">
        <f t="shared" si="2"/>
        <v>0</v>
      </c>
      <c r="H29" s="222">
        <f t="shared" si="2"/>
        <v>0</v>
      </c>
      <c r="I29" s="221">
        <f t="shared" si="3"/>
        <v>0</v>
      </c>
      <c r="J29" s="221">
        <f t="shared" si="3"/>
        <v>0</v>
      </c>
      <c r="K29" s="221">
        <f t="shared" si="4"/>
        <v>0</v>
      </c>
      <c r="L29" s="221">
        <f t="shared" si="5"/>
        <v>0</v>
      </c>
      <c r="M29" s="221">
        <f t="shared" si="6"/>
        <v>0</v>
      </c>
      <c r="N29" s="223"/>
      <c r="O29" s="205"/>
      <c r="P29" s="158"/>
      <c r="Q29" s="158"/>
      <c r="R29" s="158"/>
      <c r="S29" s="158"/>
      <c r="T29" s="158"/>
      <c r="U29" s="158"/>
      <c r="V29" s="158"/>
      <c r="W29" s="158"/>
      <c r="X29" s="158"/>
      <c r="Y29" s="158"/>
      <c r="Z29" s="158"/>
      <c r="AA29" s="158"/>
      <c r="AB29" s="158"/>
      <c r="AC29" s="158"/>
      <c r="AD29" s="158"/>
      <c r="AE29" s="158"/>
      <c r="AF29" s="158"/>
      <c r="AG29" s="158"/>
      <c r="AH29" s="158"/>
    </row>
    <row r="30" spans="1:34" ht="15" x14ac:dyDescent="0.25">
      <c r="A30" s="219">
        <v>44681</v>
      </c>
      <c r="B30" s="224"/>
      <c r="C30" s="221">
        <f t="shared" si="1"/>
        <v>0</v>
      </c>
      <c r="D30" s="221">
        <f t="shared" si="0"/>
        <v>0</v>
      </c>
      <c r="E30" s="221">
        <f t="shared" si="7"/>
        <v>0</v>
      </c>
      <c r="F30" s="222">
        <f t="shared" ref="F30:F38" si="8">+(D29*$F$9/12)+(((D30-D29)*$F$9/12)*0.5)</f>
        <v>0</v>
      </c>
      <c r="G30" s="221">
        <f t="shared" si="2"/>
        <v>0</v>
      </c>
      <c r="H30" s="222">
        <f t="shared" si="2"/>
        <v>0</v>
      </c>
      <c r="I30" s="221">
        <f t="shared" si="3"/>
        <v>0</v>
      </c>
      <c r="J30" s="221">
        <f t="shared" si="3"/>
        <v>0</v>
      </c>
      <c r="K30" s="221">
        <f t="shared" si="4"/>
        <v>0</v>
      </c>
      <c r="L30" s="221">
        <f t="shared" si="5"/>
        <v>0</v>
      </c>
      <c r="M30" s="221">
        <f t="shared" si="6"/>
        <v>0</v>
      </c>
      <c r="N30" s="223"/>
      <c r="O30" s="205"/>
      <c r="P30" s="158"/>
      <c r="Q30" s="158"/>
      <c r="R30" s="158"/>
      <c r="S30" s="158"/>
      <c r="T30" s="158"/>
      <c r="U30" s="158"/>
      <c r="V30" s="158"/>
      <c r="W30" s="158"/>
      <c r="X30" s="158"/>
      <c r="Y30" s="158"/>
      <c r="Z30" s="158"/>
      <c r="AA30" s="158"/>
      <c r="AB30" s="158"/>
      <c r="AC30" s="158"/>
      <c r="AD30" s="158"/>
      <c r="AE30" s="158"/>
      <c r="AF30" s="158"/>
      <c r="AG30" s="158"/>
      <c r="AH30" s="158"/>
    </row>
    <row r="31" spans="1:34" ht="15" x14ac:dyDescent="0.25">
      <c r="A31" s="219">
        <v>44712</v>
      </c>
      <c r="B31" s="224"/>
      <c r="C31" s="221">
        <f t="shared" si="1"/>
        <v>0</v>
      </c>
      <c r="D31" s="221">
        <f t="shared" si="0"/>
        <v>0</v>
      </c>
      <c r="E31" s="221">
        <f t="shared" si="7"/>
        <v>0</v>
      </c>
      <c r="F31" s="222">
        <f t="shared" si="8"/>
        <v>0</v>
      </c>
      <c r="G31" s="221">
        <f t="shared" si="2"/>
        <v>0</v>
      </c>
      <c r="H31" s="222">
        <f t="shared" si="2"/>
        <v>0</v>
      </c>
      <c r="I31" s="221">
        <f t="shared" si="3"/>
        <v>0</v>
      </c>
      <c r="J31" s="221">
        <f t="shared" si="3"/>
        <v>0</v>
      </c>
      <c r="K31" s="221">
        <f t="shared" si="4"/>
        <v>0</v>
      </c>
      <c r="L31" s="221">
        <f t="shared" si="5"/>
        <v>0</v>
      </c>
      <c r="M31" s="221">
        <f t="shared" si="6"/>
        <v>0</v>
      </c>
      <c r="N31" s="223"/>
      <c r="O31" s="205"/>
      <c r="P31" s="158"/>
      <c r="Q31" s="158"/>
      <c r="R31" s="158"/>
      <c r="S31" s="158"/>
      <c r="T31" s="158"/>
      <c r="U31" s="158"/>
      <c r="V31" s="158"/>
      <c r="W31" s="158"/>
      <c r="X31" s="158"/>
      <c r="Y31" s="158"/>
      <c r="Z31" s="158"/>
      <c r="AA31" s="158"/>
      <c r="AB31" s="158"/>
      <c r="AC31" s="158"/>
      <c r="AD31" s="158"/>
      <c r="AE31" s="158"/>
      <c r="AF31" s="158"/>
      <c r="AG31" s="158"/>
      <c r="AH31" s="158"/>
    </row>
    <row r="32" spans="1:34" ht="15" x14ac:dyDescent="0.25">
      <c r="A32" s="219">
        <v>44742</v>
      </c>
      <c r="B32" s="224"/>
      <c r="C32" s="221">
        <f t="shared" si="1"/>
        <v>0</v>
      </c>
      <c r="D32" s="221">
        <f t="shared" si="0"/>
        <v>0</v>
      </c>
      <c r="E32" s="221">
        <f t="shared" si="7"/>
        <v>0</v>
      </c>
      <c r="F32" s="222">
        <f t="shared" si="8"/>
        <v>0</v>
      </c>
      <c r="G32" s="221">
        <f t="shared" si="2"/>
        <v>0</v>
      </c>
      <c r="H32" s="222">
        <f t="shared" si="2"/>
        <v>0</v>
      </c>
      <c r="I32" s="221">
        <f t="shared" si="3"/>
        <v>0</v>
      </c>
      <c r="J32" s="221">
        <f t="shared" si="3"/>
        <v>0</v>
      </c>
      <c r="K32" s="221">
        <f t="shared" si="4"/>
        <v>0</v>
      </c>
      <c r="L32" s="221">
        <f t="shared" si="5"/>
        <v>0</v>
      </c>
      <c r="M32" s="221">
        <f t="shared" si="6"/>
        <v>0</v>
      </c>
      <c r="N32" s="223"/>
      <c r="O32" s="205"/>
      <c r="P32" s="158"/>
      <c r="Q32" s="158"/>
      <c r="R32" s="158"/>
      <c r="S32" s="158"/>
      <c r="T32" s="158"/>
      <c r="U32" s="158"/>
      <c r="V32" s="158"/>
      <c r="W32" s="158"/>
      <c r="X32" s="158"/>
      <c r="Y32" s="158"/>
      <c r="Z32" s="158"/>
      <c r="AA32" s="158"/>
      <c r="AB32" s="158"/>
      <c r="AC32" s="158"/>
      <c r="AD32" s="158"/>
      <c r="AE32" s="158"/>
      <c r="AF32" s="158"/>
      <c r="AG32" s="158"/>
      <c r="AH32" s="158"/>
    </row>
    <row r="33" spans="1:35" ht="15" x14ac:dyDescent="0.25">
      <c r="A33" s="219">
        <v>44773</v>
      </c>
      <c r="B33" s="224"/>
      <c r="C33" s="221">
        <f t="shared" si="1"/>
        <v>0</v>
      </c>
      <c r="D33" s="221">
        <f t="shared" si="0"/>
        <v>0</v>
      </c>
      <c r="E33" s="221">
        <f t="shared" si="7"/>
        <v>0</v>
      </c>
      <c r="F33" s="222">
        <f t="shared" si="8"/>
        <v>0</v>
      </c>
      <c r="G33" s="221">
        <f t="shared" si="2"/>
        <v>0</v>
      </c>
      <c r="H33" s="222">
        <f t="shared" si="2"/>
        <v>0</v>
      </c>
      <c r="I33" s="221">
        <f t="shared" si="3"/>
        <v>0</v>
      </c>
      <c r="J33" s="221">
        <f t="shared" si="3"/>
        <v>0</v>
      </c>
      <c r="K33" s="221">
        <f t="shared" si="4"/>
        <v>0</v>
      </c>
      <c r="L33" s="221">
        <f t="shared" si="5"/>
        <v>0</v>
      </c>
      <c r="M33" s="221">
        <f t="shared" si="6"/>
        <v>0</v>
      </c>
      <c r="N33" s="223"/>
      <c r="O33" s="205"/>
      <c r="P33" s="158"/>
      <c r="Q33" s="158"/>
      <c r="R33" s="158"/>
      <c r="S33" s="158"/>
      <c r="T33" s="158"/>
      <c r="U33" s="158"/>
      <c r="V33" s="158"/>
      <c r="W33" s="158"/>
      <c r="X33" s="158"/>
      <c r="Y33" s="158"/>
      <c r="Z33" s="158"/>
      <c r="AA33" s="158"/>
      <c r="AB33" s="158"/>
      <c r="AC33" s="158"/>
      <c r="AD33" s="158"/>
      <c r="AE33" s="158"/>
      <c r="AF33" s="158"/>
      <c r="AG33" s="158"/>
      <c r="AH33" s="158"/>
    </row>
    <row r="34" spans="1:35" ht="15" x14ac:dyDescent="0.25">
      <c r="A34" s="219">
        <v>44804</v>
      </c>
      <c r="B34" s="224"/>
      <c r="C34" s="221">
        <f t="shared" si="1"/>
        <v>0</v>
      </c>
      <c r="D34" s="221">
        <f t="shared" si="0"/>
        <v>0</v>
      </c>
      <c r="E34" s="221">
        <f t="shared" si="7"/>
        <v>0</v>
      </c>
      <c r="F34" s="222">
        <f t="shared" si="8"/>
        <v>0</v>
      </c>
      <c r="G34" s="221">
        <f t="shared" si="2"/>
        <v>0</v>
      </c>
      <c r="H34" s="222">
        <f t="shared" si="2"/>
        <v>0</v>
      </c>
      <c r="I34" s="221">
        <f t="shared" si="3"/>
        <v>0</v>
      </c>
      <c r="J34" s="221">
        <f t="shared" si="3"/>
        <v>0</v>
      </c>
      <c r="K34" s="221">
        <f t="shared" si="4"/>
        <v>0</v>
      </c>
      <c r="L34" s="221">
        <f t="shared" si="5"/>
        <v>0</v>
      </c>
      <c r="M34" s="221">
        <f t="shared" si="6"/>
        <v>0</v>
      </c>
      <c r="N34" s="223"/>
      <c r="O34" s="205"/>
      <c r="P34" s="158"/>
      <c r="Q34" s="158"/>
      <c r="R34" s="158"/>
      <c r="S34" s="158"/>
      <c r="T34" s="158"/>
      <c r="U34" s="158"/>
      <c r="V34" s="158"/>
      <c r="W34" s="158"/>
      <c r="X34" s="158"/>
      <c r="Y34" s="158"/>
      <c r="Z34" s="158"/>
      <c r="AA34" s="158"/>
      <c r="AB34" s="158"/>
      <c r="AC34" s="158"/>
      <c r="AD34" s="158"/>
      <c r="AE34" s="158"/>
      <c r="AF34" s="158"/>
      <c r="AG34" s="158"/>
      <c r="AH34" s="158"/>
    </row>
    <row r="35" spans="1:35" ht="15" x14ac:dyDescent="0.25">
      <c r="A35" s="219">
        <v>44834</v>
      </c>
      <c r="B35" s="224"/>
      <c r="C35" s="221">
        <f t="shared" si="1"/>
        <v>0</v>
      </c>
      <c r="D35" s="221">
        <f t="shared" si="0"/>
        <v>0</v>
      </c>
      <c r="E35" s="221">
        <f t="shared" si="7"/>
        <v>0</v>
      </c>
      <c r="F35" s="222">
        <f t="shared" si="8"/>
        <v>0</v>
      </c>
      <c r="G35" s="221">
        <f t="shared" si="2"/>
        <v>0</v>
      </c>
      <c r="H35" s="222">
        <f t="shared" si="2"/>
        <v>0</v>
      </c>
      <c r="I35" s="221">
        <f t="shared" si="3"/>
        <v>0</v>
      </c>
      <c r="J35" s="221">
        <f t="shared" si="3"/>
        <v>0</v>
      </c>
      <c r="K35" s="221">
        <f t="shared" si="4"/>
        <v>0</v>
      </c>
      <c r="L35" s="221">
        <f t="shared" si="5"/>
        <v>0</v>
      </c>
      <c r="M35" s="221">
        <f t="shared" si="6"/>
        <v>0</v>
      </c>
      <c r="N35" s="223"/>
      <c r="O35" s="258"/>
      <c r="P35" s="158"/>
      <c r="Q35" s="158"/>
      <c r="R35" s="158"/>
      <c r="S35" s="158"/>
      <c r="T35" s="158"/>
      <c r="U35" s="158"/>
      <c r="V35" s="158"/>
      <c r="W35" s="158"/>
      <c r="X35" s="158"/>
      <c r="Y35" s="158"/>
      <c r="Z35" s="158"/>
      <c r="AA35" s="158"/>
      <c r="AB35" s="158"/>
      <c r="AC35" s="158"/>
      <c r="AD35" s="158"/>
      <c r="AE35" s="158"/>
      <c r="AF35" s="158"/>
      <c r="AG35" s="158"/>
      <c r="AH35" s="158"/>
    </row>
    <row r="36" spans="1:35" ht="15" x14ac:dyDescent="0.25">
      <c r="A36" s="219">
        <v>44865</v>
      </c>
      <c r="B36" s="224"/>
      <c r="C36" s="221">
        <f t="shared" si="1"/>
        <v>0</v>
      </c>
      <c r="D36" s="221">
        <f t="shared" si="0"/>
        <v>0</v>
      </c>
      <c r="E36" s="221">
        <f t="shared" si="7"/>
        <v>0</v>
      </c>
      <c r="F36" s="222">
        <f t="shared" si="8"/>
        <v>0</v>
      </c>
      <c r="G36" s="221">
        <f t="shared" si="2"/>
        <v>0</v>
      </c>
      <c r="H36" s="222">
        <f t="shared" si="2"/>
        <v>0</v>
      </c>
      <c r="I36" s="221">
        <f t="shared" si="3"/>
        <v>0</v>
      </c>
      <c r="J36" s="221">
        <f t="shared" si="3"/>
        <v>0</v>
      </c>
      <c r="K36" s="221">
        <f t="shared" si="4"/>
        <v>0</v>
      </c>
      <c r="L36" s="221">
        <f t="shared" si="5"/>
        <v>0</v>
      </c>
      <c r="M36" s="221">
        <f t="shared" si="6"/>
        <v>0</v>
      </c>
      <c r="N36" s="223"/>
      <c r="O36" s="205"/>
      <c r="P36" s="158"/>
      <c r="Q36" s="158"/>
      <c r="R36" s="158"/>
      <c r="S36" s="158"/>
      <c r="T36" s="158"/>
      <c r="U36" s="158"/>
      <c r="V36" s="158"/>
      <c r="W36" s="158"/>
      <c r="X36" s="158"/>
      <c r="Y36" s="158"/>
      <c r="Z36" s="158"/>
      <c r="AA36" s="158"/>
      <c r="AB36" s="158"/>
      <c r="AC36" s="158"/>
      <c r="AD36" s="158"/>
      <c r="AE36" s="158"/>
      <c r="AF36" s="158"/>
      <c r="AG36" s="158"/>
      <c r="AH36" s="158"/>
    </row>
    <row r="37" spans="1:35" ht="15" x14ac:dyDescent="0.25">
      <c r="A37" s="219">
        <v>44895</v>
      </c>
      <c r="B37" s="224"/>
      <c r="C37" s="221">
        <f t="shared" si="1"/>
        <v>0</v>
      </c>
      <c r="D37" s="221">
        <f t="shared" si="0"/>
        <v>0</v>
      </c>
      <c r="E37" s="221">
        <f t="shared" si="7"/>
        <v>0</v>
      </c>
      <c r="F37" s="222">
        <f t="shared" si="8"/>
        <v>0</v>
      </c>
      <c r="G37" s="221">
        <f t="shared" si="2"/>
        <v>0</v>
      </c>
      <c r="H37" s="222">
        <f t="shared" si="2"/>
        <v>0</v>
      </c>
      <c r="I37" s="221">
        <f t="shared" si="3"/>
        <v>0</v>
      </c>
      <c r="J37" s="221">
        <f t="shared" si="3"/>
        <v>0</v>
      </c>
      <c r="K37" s="221">
        <f t="shared" si="4"/>
        <v>0</v>
      </c>
      <c r="L37" s="221">
        <f t="shared" si="5"/>
        <v>0</v>
      </c>
      <c r="M37" s="221">
        <f t="shared" si="6"/>
        <v>0</v>
      </c>
      <c r="N37" s="223"/>
      <c r="O37" s="256"/>
      <c r="P37" s="158"/>
      <c r="Q37" s="158"/>
      <c r="R37" s="158"/>
      <c r="S37" s="158"/>
      <c r="T37" s="158"/>
      <c r="U37" s="158"/>
      <c r="V37" s="158"/>
      <c r="W37" s="158"/>
      <c r="X37" s="158"/>
      <c r="Y37" s="158"/>
      <c r="Z37" s="158"/>
      <c r="AA37" s="158"/>
      <c r="AB37" s="158"/>
      <c r="AC37" s="158"/>
      <c r="AD37" s="158"/>
      <c r="AE37" s="158"/>
      <c r="AF37" s="158"/>
      <c r="AG37" s="158"/>
      <c r="AH37" s="158"/>
    </row>
    <row r="38" spans="1:35" ht="15" x14ac:dyDescent="0.25">
      <c r="A38" s="219">
        <v>44926</v>
      </c>
      <c r="B38" s="224"/>
      <c r="C38" s="221">
        <f t="shared" si="1"/>
        <v>0</v>
      </c>
      <c r="D38" s="225">
        <f t="shared" si="0"/>
        <v>0</v>
      </c>
      <c r="E38" s="221">
        <f t="shared" si="7"/>
        <v>0</v>
      </c>
      <c r="F38" s="222">
        <f t="shared" si="8"/>
        <v>0</v>
      </c>
      <c r="G38" s="221">
        <f t="shared" si="2"/>
        <v>0</v>
      </c>
      <c r="H38" s="222">
        <f t="shared" si="2"/>
        <v>0</v>
      </c>
      <c r="I38" s="221">
        <f t="shared" si="3"/>
        <v>0</v>
      </c>
      <c r="J38" s="221">
        <f t="shared" si="3"/>
        <v>0</v>
      </c>
      <c r="K38" s="221">
        <f t="shared" si="4"/>
        <v>0</v>
      </c>
      <c r="L38" s="221">
        <f t="shared" si="5"/>
        <v>0</v>
      </c>
      <c r="M38" s="221">
        <f t="shared" si="6"/>
        <v>0</v>
      </c>
      <c r="N38" s="226"/>
      <c r="O38" s="249"/>
      <c r="P38" s="158"/>
      <c r="Q38" s="158"/>
      <c r="R38" s="158"/>
      <c r="S38" s="158"/>
      <c r="T38" s="158"/>
      <c r="U38" s="158"/>
      <c r="V38" s="158"/>
      <c r="W38" s="158"/>
      <c r="X38" s="158"/>
      <c r="Y38" s="158"/>
      <c r="Z38" s="158"/>
      <c r="AA38" s="158"/>
      <c r="AB38" s="158"/>
      <c r="AC38" s="158"/>
      <c r="AD38" s="158"/>
      <c r="AE38" s="158"/>
      <c r="AF38" s="158"/>
      <c r="AG38" s="158"/>
      <c r="AH38" s="158"/>
    </row>
    <row r="39" spans="1:35" ht="15" x14ac:dyDescent="0.25">
      <c r="A39" s="227">
        <v>44957</v>
      </c>
      <c r="B39" s="228">
        <f t="array" ref="B39:B74">TRANSPOSE('TEP By Depr Grp'!B9:AL9)</f>
        <v>0</v>
      </c>
      <c r="C39" s="229">
        <f t="shared" si="1"/>
        <v>0</v>
      </c>
      <c r="D39" s="221">
        <f t="shared" si="0"/>
        <v>0</v>
      </c>
      <c r="E39" s="229">
        <f>(($C$26*$E$6/12)+(($C$38-$C$26)*$D$6/12)+(($C$50-$C$38)*$C$6/12))</f>
        <v>0</v>
      </c>
      <c r="F39" s="230">
        <f>+(D38*$F$10/12)+(((D39-D38)*$F$10/12)*0.5)</f>
        <v>0</v>
      </c>
      <c r="G39" s="229">
        <f t="shared" si="2"/>
        <v>0</v>
      </c>
      <c r="H39" s="230">
        <f t="shared" si="2"/>
        <v>0</v>
      </c>
      <c r="I39" s="229">
        <f t="shared" si="3"/>
        <v>0</v>
      </c>
      <c r="J39" s="229">
        <f t="shared" si="3"/>
        <v>0</v>
      </c>
      <c r="K39" s="229">
        <f t="shared" si="4"/>
        <v>0</v>
      </c>
      <c r="L39" s="229">
        <f t="shared" si="5"/>
        <v>0</v>
      </c>
      <c r="M39" s="229">
        <f t="shared" si="6"/>
        <v>0</v>
      </c>
      <c r="N39" s="223"/>
      <c r="O39" s="205"/>
      <c r="P39" s="158"/>
      <c r="Q39" s="158"/>
      <c r="R39" s="158"/>
      <c r="S39" s="158"/>
      <c r="T39" s="158"/>
      <c r="U39" s="158"/>
      <c r="V39" s="158"/>
      <c r="W39" s="158"/>
      <c r="X39" s="158"/>
      <c r="Y39" s="158"/>
      <c r="Z39" s="158"/>
      <c r="AA39" s="158"/>
      <c r="AB39" s="158"/>
      <c r="AC39" s="158"/>
      <c r="AD39" s="158"/>
      <c r="AE39" s="158"/>
      <c r="AF39" s="158"/>
      <c r="AG39" s="158"/>
      <c r="AH39" s="158"/>
    </row>
    <row r="40" spans="1:35" ht="15" x14ac:dyDescent="0.25">
      <c r="A40" s="219">
        <v>44985</v>
      </c>
      <c r="B40" s="224">
        <v>0</v>
      </c>
      <c r="C40" s="221">
        <f t="shared" si="1"/>
        <v>0</v>
      </c>
      <c r="D40" s="221">
        <f t="shared" si="0"/>
        <v>0</v>
      </c>
      <c r="E40" s="221">
        <f t="shared" ref="E40:E50" si="9">(($C$26*$E$6/12)+(($C$38-$C$26)*$D$6/12)+(($C$50-$C$38)*$C$6/12))</f>
        <v>0</v>
      </c>
      <c r="F40" s="222">
        <f>+(D39*$F$10/12)+(((D40-D39)*$F$10/12)*0.5)</f>
        <v>0</v>
      </c>
      <c r="G40" s="221">
        <f t="shared" si="2"/>
        <v>0</v>
      </c>
      <c r="H40" s="222">
        <f t="shared" si="2"/>
        <v>0</v>
      </c>
      <c r="I40" s="221">
        <f t="shared" si="3"/>
        <v>0</v>
      </c>
      <c r="J40" s="221">
        <f t="shared" si="3"/>
        <v>0</v>
      </c>
      <c r="K40" s="221">
        <f t="shared" si="4"/>
        <v>0</v>
      </c>
      <c r="L40" s="221">
        <f t="shared" si="5"/>
        <v>0</v>
      </c>
      <c r="M40" s="221">
        <f t="shared" si="6"/>
        <v>0</v>
      </c>
      <c r="N40" s="223"/>
      <c r="O40" s="205"/>
      <c r="P40" s="158"/>
      <c r="Q40" s="158"/>
      <c r="R40" s="158"/>
      <c r="S40" s="158"/>
      <c r="T40" s="158"/>
      <c r="U40" s="158"/>
      <c r="V40" s="158"/>
      <c r="W40" s="158"/>
      <c r="X40" s="158"/>
      <c r="Y40" s="158"/>
      <c r="Z40" s="158"/>
      <c r="AA40" s="158"/>
      <c r="AB40" s="158"/>
      <c r="AC40" s="158"/>
      <c r="AD40" s="158"/>
      <c r="AE40" s="158"/>
      <c r="AF40" s="158"/>
      <c r="AG40" s="158"/>
      <c r="AH40" s="158"/>
      <c r="AI40" s="232"/>
    </row>
    <row r="41" spans="1:35" ht="15" x14ac:dyDescent="0.25">
      <c r="A41" s="219">
        <v>45016</v>
      </c>
      <c r="B41" s="224">
        <v>0</v>
      </c>
      <c r="C41" s="221">
        <f t="shared" si="1"/>
        <v>0</v>
      </c>
      <c r="D41" s="221">
        <f t="shared" si="0"/>
        <v>0</v>
      </c>
      <c r="E41" s="221">
        <f t="shared" si="9"/>
        <v>0</v>
      </c>
      <c r="F41" s="222">
        <f t="shared" ref="F41:F74" si="10">+(D40*$F$10/12)+(((D41-D40)*$F$10/12)*0.5)</f>
        <v>0</v>
      </c>
      <c r="G41" s="221">
        <f t="shared" si="2"/>
        <v>0</v>
      </c>
      <c r="H41" s="222">
        <f t="shared" si="2"/>
        <v>0</v>
      </c>
      <c r="I41" s="221">
        <f t="shared" si="3"/>
        <v>0</v>
      </c>
      <c r="J41" s="221">
        <f t="shared" si="3"/>
        <v>0</v>
      </c>
      <c r="K41" s="221">
        <f t="shared" si="4"/>
        <v>0</v>
      </c>
      <c r="L41" s="221">
        <f t="shared" si="5"/>
        <v>0</v>
      </c>
      <c r="M41" s="221">
        <f t="shared" si="6"/>
        <v>0</v>
      </c>
      <c r="N41" s="223"/>
      <c r="O41" s="205"/>
      <c r="P41" s="158"/>
      <c r="Q41" s="158"/>
      <c r="R41" s="158"/>
      <c r="S41" s="158"/>
      <c r="T41" s="158"/>
      <c r="U41" s="158"/>
      <c r="V41" s="158"/>
      <c r="W41" s="158"/>
      <c r="X41" s="158"/>
      <c r="Y41" s="158"/>
      <c r="Z41" s="158"/>
      <c r="AA41" s="158"/>
      <c r="AB41" s="158"/>
      <c r="AC41" s="158"/>
      <c r="AD41" s="158"/>
      <c r="AE41" s="158"/>
      <c r="AF41" s="158"/>
      <c r="AG41" s="158"/>
      <c r="AH41" s="158"/>
      <c r="AI41" s="232"/>
    </row>
    <row r="42" spans="1:35" ht="15" x14ac:dyDescent="0.25">
      <c r="A42" s="219">
        <v>45046</v>
      </c>
      <c r="B42" s="224">
        <v>0</v>
      </c>
      <c r="C42" s="221">
        <f t="shared" si="1"/>
        <v>0</v>
      </c>
      <c r="D42" s="221">
        <f t="shared" si="0"/>
        <v>0</v>
      </c>
      <c r="E42" s="221">
        <f t="shared" si="9"/>
        <v>0</v>
      </c>
      <c r="F42" s="222">
        <f t="shared" si="10"/>
        <v>0</v>
      </c>
      <c r="G42" s="221">
        <f t="shared" si="2"/>
        <v>0</v>
      </c>
      <c r="H42" s="222">
        <f t="shared" si="2"/>
        <v>0</v>
      </c>
      <c r="I42" s="221">
        <f t="shared" si="3"/>
        <v>0</v>
      </c>
      <c r="J42" s="221">
        <f t="shared" si="3"/>
        <v>0</v>
      </c>
      <c r="K42" s="221">
        <f t="shared" si="4"/>
        <v>0</v>
      </c>
      <c r="L42" s="221">
        <f t="shared" si="5"/>
        <v>0</v>
      </c>
      <c r="M42" s="221">
        <f t="shared" si="6"/>
        <v>0</v>
      </c>
      <c r="N42" s="223"/>
      <c r="O42" s="221"/>
      <c r="P42" s="158"/>
      <c r="Q42" s="158"/>
      <c r="R42" s="158"/>
      <c r="S42" s="158"/>
      <c r="T42" s="158"/>
      <c r="U42" s="158"/>
      <c r="V42" s="158"/>
      <c r="W42" s="158"/>
      <c r="X42" s="158"/>
      <c r="Y42" s="158"/>
      <c r="Z42" s="158"/>
      <c r="AA42" s="158"/>
      <c r="AB42" s="158"/>
      <c r="AC42" s="158"/>
      <c r="AD42" s="158"/>
      <c r="AE42" s="158"/>
      <c r="AF42" s="158"/>
      <c r="AG42" s="158"/>
      <c r="AH42" s="158"/>
      <c r="AI42" s="232"/>
    </row>
    <row r="43" spans="1:35" ht="15" x14ac:dyDescent="0.25">
      <c r="A43" s="219">
        <v>45077</v>
      </c>
      <c r="B43" s="224">
        <v>0</v>
      </c>
      <c r="C43" s="221">
        <f t="shared" si="1"/>
        <v>0</v>
      </c>
      <c r="D43" s="221">
        <f t="shared" si="0"/>
        <v>0</v>
      </c>
      <c r="E43" s="221">
        <f t="shared" si="9"/>
        <v>0</v>
      </c>
      <c r="F43" s="222">
        <f t="shared" si="10"/>
        <v>0</v>
      </c>
      <c r="G43" s="221">
        <f t="shared" ref="G43:H58" si="11">-E43+G42</f>
        <v>0</v>
      </c>
      <c r="H43" s="222">
        <f t="shared" si="11"/>
        <v>0</v>
      </c>
      <c r="I43" s="221">
        <f t="shared" ref="I43:J58" si="12">C43+G43</f>
        <v>0</v>
      </c>
      <c r="J43" s="221">
        <f t="shared" si="12"/>
        <v>0</v>
      </c>
      <c r="K43" s="221">
        <f t="shared" si="4"/>
        <v>0</v>
      </c>
      <c r="L43" s="221">
        <f t="shared" si="5"/>
        <v>0</v>
      </c>
      <c r="M43" s="221">
        <f t="shared" si="6"/>
        <v>0</v>
      </c>
      <c r="N43" s="223"/>
      <c r="O43" s="222"/>
      <c r="P43" s="158"/>
      <c r="Q43" s="158"/>
      <c r="R43" s="158"/>
      <c r="S43" s="158"/>
      <c r="T43" s="158"/>
      <c r="U43" s="158"/>
      <c r="V43" s="158"/>
      <c r="W43" s="158"/>
      <c r="X43" s="158"/>
      <c r="Y43" s="158"/>
      <c r="Z43" s="158"/>
      <c r="AA43" s="158"/>
      <c r="AB43" s="158"/>
      <c r="AC43" s="158"/>
      <c r="AD43" s="158"/>
      <c r="AE43" s="158"/>
      <c r="AF43" s="158"/>
      <c r="AG43" s="158"/>
      <c r="AH43" s="158"/>
      <c r="AI43" s="232"/>
    </row>
    <row r="44" spans="1:35" ht="15" x14ac:dyDescent="0.25">
      <c r="A44" s="219">
        <v>45107</v>
      </c>
      <c r="B44" s="224">
        <v>0</v>
      </c>
      <c r="C44" s="221">
        <f t="shared" si="1"/>
        <v>0</v>
      </c>
      <c r="D44" s="221">
        <f t="shared" si="0"/>
        <v>0</v>
      </c>
      <c r="E44" s="221">
        <f t="shared" si="9"/>
        <v>0</v>
      </c>
      <c r="F44" s="222">
        <f t="shared" si="10"/>
        <v>0</v>
      </c>
      <c r="G44" s="221">
        <f t="shared" si="11"/>
        <v>0</v>
      </c>
      <c r="H44" s="222">
        <f t="shared" si="11"/>
        <v>0</v>
      </c>
      <c r="I44" s="221">
        <f t="shared" si="12"/>
        <v>0</v>
      </c>
      <c r="J44" s="221">
        <f t="shared" si="12"/>
        <v>0</v>
      </c>
      <c r="K44" s="221">
        <f t="shared" si="4"/>
        <v>0</v>
      </c>
      <c r="L44" s="221">
        <f t="shared" si="5"/>
        <v>0</v>
      </c>
      <c r="M44" s="221">
        <f t="shared" si="6"/>
        <v>0</v>
      </c>
      <c r="N44" s="223"/>
      <c r="O44" s="221"/>
      <c r="P44" s="158"/>
      <c r="Q44" s="158"/>
      <c r="R44" s="158"/>
      <c r="S44" s="158"/>
      <c r="T44" s="158"/>
      <c r="U44" s="158"/>
      <c r="V44" s="158"/>
      <c r="W44" s="158"/>
      <c r="X44" s="158"/>
      <c r="Y44" s="158"/>
      <c r="Z44" s="158"/>
      <c r="AA44" s="158"/>
      <c r="AB44" s="158"/>
      <c r="AC44" s="158"/>
      <c r="AD44" s="158"/>
      <c r="AE44" s="158"/>
      <c r="AF44" s="158"/>
      <c r="AG44" s="158"/>
      <c r="AH44" s="158"/>
      <c r="AI44" s="232"/>
    </row>
    <row r="45" spans="1:35" ht="15" x14ac:dyDescent="0.25">
      <c r="A45" s="219">
        <v>45138</v>
      </c>
      <c r="B45" s="224">
        <v>0</v>
      </c>
      <c r="C45" s="221">
        <f t="shared" si="1"/>
        <v>0</v>
      </c>
      <c r="D45" s="221">
        <f t="shared" si="0"/>
        <v>0</v>
      </c>
      <c r="E45" s="221">
        <f t="shared" si="9"/>
        <v>0</v>
      </c>
      <c r="F45" s="222">
        <f t="shared" si="10"/>
        <v>0</v>
      </c>
      <c r="G45" s="221">
        <f t="shared" si="11"/>
        <v>0</v>
      </c>
      <c r="H45" s="222">
        <f t="shared" si="11"/>
        <v>0</v>
      </c>
      <c r="I45" s="221">
        <f t="shared" si="12"/>
        <v>0</v>
      </c>
      <c r="J45" s="221">
        <f t="shared" si="12"/>
        <v>0</v>
      </c>
      <c r="K45" s="221">
        <f t="shared" si="4"/>
        <v>0</v>
      </c>
      <c r="L45" s="221">
        <f t="shared" si="5"/>
        <v>0</v>
      </c>
      <c r="M45" s="221">
        <f t="shared" si="6"/>
        <v>0</v>
      </c>
      <c r="N45" s="223"/>
      <c r="O45" s="205"/>
      <c r="P45" s="158"/>
      <c r="Q45" s="158"/>
      <c r="R45" s="158"/>
      <c r="S45" s="158"/>
      <c r="T45" s="158"/>
      <c r="U45" s="158"/>
      <c r="V45" s="158"/>
      <c r="W45" s="158"/>
      <c r="X45" s="158"/>
      <c r="Y45" s="158"/>
      <c r="Z45" s="158"/>
      <c r="AA45" s="158"/>
      <c r="AB45" s="158"/>
      <c r="AC45" s="158"/>
      <c r="AD45" s="158"/>
      <c r="AE45" s="158"/>
      <c r="AF45" s="158"/>
      <c r="AG45" s="158"/>
      <c r="AH45" s="158"/>
      <c r="AI45" s="232"/>
    </row>
    <row r="46" spans="1:35" ht="15" x14ac:dyDescent="0.25">
      <c r="A46" s="219">
        <v>45169</v>
      </c>
      <c r="B46" s="224">
        <v>0</v>
      </c>
      <c r="C46" s="221">
        <f t="shared" si="1"/>
        <v>0</v>
      </c>
      <c r="D46" s="221">
        <f t="shared" si="0"/>
        <v>0</v>
      </c>
      <c r="E46" s="221">
        <f t="shared" si="9"/>
        <v>0</v>
      </c>
      <c r="F46" s="222">
        <f t="shared" si="10"/>
        <v>0</v>
      </c>
      <c r="G46" s="221">
        <f t="shared" si="11"/>
        <v>0</v>
      </c>
      <c r="H46" s="222">
        <f t="shared" si="11"/>
        <v>0</v>
      </c>
      <c r="I46" s="221">
        <f t="shared" si="12"/>
        <v>0</v>
      </c>
      <c r="J46" s="221">
        <f t="shared" si="12"/>
        <v>0</v>
      </c>
      <c r="K46" s="221">
        <f t="shared" si="4"/>
        <v>0</v>
      </c>
      <c r="L46" s="221">
        <f t="shared" si="5"/>
        <v>0</v>
      </c>
      <c r="M46" s="221">
        <f t="shared" si="6"/>
        <v>0</v>
      </c>
      <c r="N46" s="223"/>
      <c r="O46" s="221"/>
      <c r="P46" s="158"/>
      <c r="Q46" s="158"/>
      <c r="R46" s="158"/>
      <c r="S46" s="158"/>
      <c r="T46" s="158"/>
      <c r="U46" s="158"/>
      <c r="V46" s="158"/>
      <c r="W46" s="158"/>
      <c r="X46" s="158"/>
      <c r="Y46" s="158"/>
      <c r="Z46" s="158"/>
      <c r="AA46" s="158"/>
      <c r="AB46" s="158"/>
      <c r="AC46" s="158"/>
      <c r="AD46" s="158"/>
      <c r="AE46" s="158"/>
      <c r="AF46" s="158"/>
      <c r="AG46" s="158"/>
      <c r="AH46" s="158"/>
      <c r="AI46" s="232"/>
    </row>
    <row r="47" spans="1:35" ht="15" x14ac:dyDescent="0.25">
      <c r="A47" s="219">
        <v>45199</v>
      </c>
      <c r="B47" s="224">
        <v>0</v>
      </c>
      <c r="C47" s="221">
        <f t="shared" si="1"/>
        <v>0</v>
      </c>
      <c r="D47" s="221">
        <f t="shared" si="0"/>
        <v>0</v>
      </c>
      <c r="E47" s="221">
        <f t="shared" si="9"/>
        <v>0</v>
      </c>
      <c r="F47" s="222">
        <f t="shared" si="10"/>
        <v>0</v>
      </c>
      <c r="G47" s="221">
        <f t="shared" si="11"/>
        <v>0</v>
      </c>
      <c r="H47" s="222">
        <f t="shared" si="11"/>
        <v>0</v>
      </c>
      <c r="I47" s="221">
        <f t="shared" si="12"/>
        <v>0</v>
      </c>
      <c r="J47" s="221">
        <f t="shared" si="12"/>
        <v>0</v>
      </c>
      <c r="K47" s="221">
        <f t="shared" si="4"/>
        <v>0</v>
      </c>
      <c r="L47" s="221">
        <f t="shared" si="5"/>
        <v>0</v>
      </c>
      <c r="M47" s="221">
        <f t="shared" si="6"/>
        <v>0</v>
      </c>
      <c r="N47" s="223"/>
      <c r="O47" s="221"/>
      <c r="P47" s="158"/>
      <c r="Q47" s="158"/>
      <c r="R47" s="158"/>
      <c r="S47" s="158"/>
      <c r="T47" s="158"/>
      <c r="U47" s="158"/>
      <c r="V47" s="158"/>
      <c r="W47" s="158"/>
      <c r="X47" s="158"/>
      <c r="Y47" s="158"/>
      <c r="Z47" s="158"/>
      <c r="AA47" s="158"/>
      <c r="AB47" s="158"/>
      <c r="AC47" s="158"/>
      <c r="AD47" s="158"/>
      <c r="AE47" s="158"/>
      <c r="AF47" s="158"/>
      <c r="AG47" s="158"/>
      <c r="AH47" s="158"/>
      <c r="AI47" s="232"/>
    </row>
    <row r="48" spans="1:35" ht="15" x14ac:dyDescent="0.25">
      <c r="A48" s="219">
        <v>45230</v>
      </c>
      <c r="B48" s="224">
        <v>0</v>
      </c>
      <c r="C48" s="221">
        <f t="shared" si="1"/>
        <v>0</v>
      </c>
      <c r="D48" s="221">
        <f t="shared" si="0"/>
        <v>0</v>
      </c>
      <c r="E48" s="221">
        <f t="shared" si="9"/>
        <v>0</v>
      </c>
      <c r="F48" s="222">
        <f t="shared" si="10"/>
        <v>0</v>
      </c>
      <c r="G48" s="221">
        <f t="shared" si="11"/>
        <v>0</v>
      </c>
      <c r="H48" s="222">
        <f t="shared" si="11"/>
        <v>0</v>
      </c>
      <c r="I48" s="221">
        <f t="shared" si="12"/>
        <v>0</v>
      </c>
      <c r="J48" s="221">
        <f t="shared" si="12"/>
        <v>0</v>
      </c>
      <c r="K48" s="221">
        <f t="shared" si="4"/>
        <v>0</v>
      </c>
      <c r="L48" s="221">
        <f t="shared" si="5"/>
        <v>0</v>
      </c>
      <c r="M48" s="221">
        <f t="shared" si="6"/>
        <v>0</v>
      </c>
      <c r="N48" s="223"/>
      <c r="O48" s="221"/>
      <c r="P48" s="158"/>
      <c r="Q48" s="158"/>
      <c r="R48" s="158"/>
      <c r="S48" s="158"/>
      <c r="T48" s="158"/>
      <c r="U48" s="158"/>
      <c r="V48" s="158"/>
      <c r="W48" s="158"/>
      <c r="X48" s="158"/>
      <c r="Y48" s="158"/>
      <c r="Z48" s="158"/>
      <c r="AA48" s="158"/>
      <c r="AB48" s="158"/>
      <c r="AC48" s="158"/>
      <c r="AD48" s="158"/>
      <c r="AE48" s="158"/>
      <c r="AF48" s="158"/>
      <c r="AG48" s="158"/>
      <c r="AH48" s="158"/>
      <c r="AI48" s="232"/>
    </row>
    <row r="49" spans="1:35" ht="15" x14ac:dyDescent="0.25">
      <c r="A49" s="219">
        <v>45260</v>
      </c>
      <c r="B49" s="224">
        <v>0</v>
      </c>
      <c r="C49" s="221">
        <f t="shared" si="1"/>
        <v>0</v>
      </c>
      <c r="D49" s="221">
        <f t="shared" si="0"/>
        <v>0</v>
      </c>
      <c r="E49" s="221">
        <f t="shared" si="9"/>
        <v>0</v>
      </c>
      <c r="F49" s="222">
        <f t="shared" si="10"/>
        <v>0</v>
      </c>
      <c r="G49" s="221">
        <f t="shared" si="11"/>
        <v>0</v>
      </c>
      <c r="H49" s="222">
        <f t="shared" si="11"/>
        <v>0</v>
      </c>
      <c r="I49" s="221">
        <f t="shared" si="12"/>
        <v>0</v>
      </c>
      <c r="J49" s="221">
        <f t="shared" si="12"/>
        <v>0</v>
      </c>
      <c r="K49" s="221">
        <f t="shared" si="4"/>
        <v>0</v>
      </c>
      <c r="L49" s="221">
        <f t="shared" si="5"/>
        <v>0</v>
      </c>
      <c r="M49" s="221">
        <f t="shared" si="6"/>
        <v>0</v>
      </c>
      <c r="N49" s="236"/>
      <c r="O49" s="221"/>
      <c r="P49" s="259"/>
      <c r="Q49" s="259"/>
      <c r="R49" s="259"/>
      <c r="S49" s="259"/>
      <c r="T49" s="259"/>
      <c r="U49" s="259"/>
      <c r="V49" s="259"/>
      <c r="W49" s="259"/>
      <c r="X49" s="259"/>
      <c r="Y49" s="259"/>
      <c r="Z49" s="259"/>
      <c r="AA49" s="259"/>
      <c r="AB49" s="259"/>
      <c r="AC49" s="259"/>
      <c r="AD49" s="259"/>
      <c r="AE49" s="259"/>
      <c r="AF49" s="259"/>
      <c r="AG49" s="259"/>
      <c r="AH49" s="259"/>
      <c r="AI49" s="232"/>
    </row>
    <row r="50" spans="1:35" s="245" customFormat="1" ht="15" x14ac:dyDescent="0.25">
      <c r="A50" s="238">
        <v>45291</v>
      </c>
      <c r="B50" s="231">
        <v>0</v>
      </c>
      <c r="C50" s="239">
        <f t="shared" si="1"/>
        <v>0</v>
      </c>
      <c r="D50" s="240">
        <f t="shared" si="0"/>
        <v>0</v>
      </c>
      <c r="E50" s="239">
        <f t="shared" si="9"/>
        <v>0</v>
      </c>
      <c r="F50" s="241">
        <f t="shared" si="10"/>
        <v>0</v>
      </c>
      <c r="G50" s="239">
        <f t="shared" si="11"/>
        <v>0</v>
      </c>
      <c r="H50" s="241">
        <f t="shared" si="11"/>
        <v>0</v>
      </c>
      <c r="I50" s="239">
        <f t="shared" si="12"/>
        <v>0</v>
      </c>
      <c r="J50" s="239">
        <f t="shared" si="12"/>
        <v>0</v>
      </c>
      <c r="K50" s="239">
        <f t="shared" si="4"/>
        <v>0</v>
      </c>
      <c r="L50" s="239">
        <f t="shared" si="5"/>
        <v>0</v>
      </c>
      <c r="M50" s="239">
        <f t="shared" si="6"/>
        <v>0</v>
      </c>
      <c r="N50" s="242"/>
      <c r="O50" s="239"/>
      <c r="P50" s="260"/>
      <c r="Q50" s="260"/>
      <c r="R50" s="260"/>
      <c r="S50" s="260"/>
      <c r="T50" s="260"/>
      <c r="U50" s="260"/>
      <c r="V50" s="260"/>
      <c r="W50" s="260"/>
      <c r="X50" s="260"/>
      <c r="Y50" s="260"/>
      <c r="Z50" s="260"/>
      <c r="AA50" s="260"/>
      <c r="AB50" s="260"/>
      <c r="AC50" s="260"/>
      <c r="AD50" s="260"/>
      <c r="AE50" s="260"/>
      <c r="AF50" s="260"/>
      <c r="AG50" s="260"/>
      <c r="AH50" s="260"/>
      <c r="AI50" s="244"/>
    </row>
    <row r="51" spans="1:35" ht="15" x14ac:dyDescent="0.25">
      <c r="A51" s="227">
        <v>45322</v>
      </c>
      <c r="B51" s="228">
        <v>47897.604166666664</v>
      </c>
      <c r="C51" s="229">
        <f t="shared" si="1"/>
        <v>47897.604166666664</v>
      </c>
      <c r="D51" s="221">
        <f t="shared" si="0"/>
        <v>47897.604166666664</v>
      </c>
      <c r="E51" s="229">
        <f t="shared" ref="E51:E61" si="13">($C$26*$F$6+($C$38-$C$26)*$E$6+($C$50-$C$38)*$D$6+($C$62-$C$50)*$C$6)/12</f>
        <v>13179.298203125001</v>
      </c>
      <c r="F51" s="230">
        <f t="shared" si="10"/>
        <v>66.058779079861111</v>
      </c>
      <c r="G51" s="229">
        <f t="shared" si="11"/>
        <v>-13179.298203125001</v>
      </c>
      <c r="H51" s="230">
        <f t="shared" si="11"/>
        <v>-66.058779079861111</v>
      </c>
      <c r="I51" s="229">
        <f t="shared" si="12"/>
        <v>34718.305963541665</v>
      </c>
      <c r="J51" s="229">
        <f t="shared" si="12"/>
        <v>47831.545387586804</v>
      </c>
      <c r="K51" s="229">
        <f t="shared" si="4"/>
        <v>13113.239424045139</v>
      </c>
      <c r="L51" s="229">
        <f t="shared" si="5"/>
        <v>-2753.7802790494793</v>
      </c>
      <c r="M51" s="229">
        <f t="shared" si="6"/>
        <v>2753.7802790494793</v>
      </c>
      <c r="N51" s="223"/>
      <c r="O51" s="221"/>
      <c r="P51" s="158"/>
      <c r="Q51" s="158"/>
      <c r="R51" s="158"/>
      <c r="S51" s="158"/>
      <c r="T51" s="158"/>
      <c r="U51" s="158"/>
      <c r="V51" s="158"/>
      <c r="W51" s="158"/>
      <c r="X51" s="158"/>
      <c r="Y51" s="158"/>
      <c r="Z51" s="158"/>
      <c r="AA51" s="158"/>
      <c r="AB51" s="158"/>
      <c r="AC51" s="158"/>
      <c r="AD51" s="158"/>
      <c r="AE51" s="158"/>
      <c r="AF51" s="158"/>
      <c r="AG51" s="158"/>
      <c r="AH51" s="158"/>
      <c r="AI51" s="232"/>
    </row>
    <row r="52" spans="1:35" ht="15" x14ac:dyDescent="0.25">
      <c r="A52" s="219">
        <v>45351</v>
      </c>
      <c r="B52" s="224">
        <v>266487.60416666663</v>
      </c>
      <c r="C52" s="221">
        <f t="shared" si="1"/>
        <v>314385.20833333331</v>
      </c>
      <c r="D52" s="221">
        <f t="shared" si="0"/>
        <v>314385.20833333331</v>
      </c>
      <c r="E52" s="221">
        <f t="shared" si="13"/>
        <v>13179.298203125001</v>
      </c>
      <c r="F52" s="222">
        <f t="shared" si="10"/>
        <v>499.64837890624995</v>
      </c>
      <c r="G52" s="221">
        <f t="shared" si="11"/>
        <v>-26358.596406250002</v>
      </c>
      <c r="H52" s="222">
        <f t="shared" si="11"/>
        <v>-565.70715798611104</v>
      </c>
      <c r="I52" s="221">
        <f t="shared" si="12"/>
        <v>288026.61192708329</v>
      </c>
      <c r="J52" s="221">
        <f t="shared" si="12"/>
        <v>313819.50117534719</v>
      </c>
      <c r="K52" s="221">
        <f t="shared" si="4"/>
        <v>25792.889248263906</v>
      </c>
      <c r="L52" s="221">
        <f t="shared" si="5"/>
        <v>-5416.5067421354197</v>
      </c>
      <c r="M52" s="221">
        <f t="shared" si="6"/>
        <v>2662.7264630859404</v>
      </c>
      <c r="N52" s="223"/>
      <c r="O52" s="221"/>
      <c r="P52" s="158"/>
      <c r="Q52" s="158"/>
      <c r="R52" s="158"/>
      <c r="S52" s="158"/>
      <c r="T52" s="158"/>
      <c r="U52" s="158"/>
      <c r="V52" s="158"/>
      <c r="W52" s="158"/>
      <c r="X52" s="158"/>
      <c r="Y52" s="158"/>
      <c r="Z52" s="158"/>
      <c r="AA52" s="158"/>
      <c r="AB52" s="158"/>
      <c r="AC52" s="158"/>
      <c r="AD52" s="158"/>
      <c r="AE52" s="158"/>
      <c r="AF52" s="158"/>
      <c r="AG52" s="158"/>
      <c r="AH52" s="158"/>
      <c r="AI52" s="232"/>
    </row>
    <row r="53" spans="1:35" ht="15" x14ac:dyDescent="0.25">
      <c r="A53" s="219">
        <v>45382</v>
      </c>
      <c r="B53" s="224">
        <v>320281.14166666666</v>
      </c>
      <c r="C53" s="221">
        <f t="shared" si="1"/>
        <v>634666.35</v>
      </c>
      <c r="D53" s="221">
        <f t="shared" si="0"/>
        <v>634666.35</v>
      </c>
      <c r="E53" s="221">
        <f t="shared" si="13"/>
        <v>13179.298203125001</v>
      </c>
      <c r="F53" s="222">
        <f t="shared" si="10"/>
        <v>1308.9002742013888</v>
      </c>
      <c r="G53" s="221">
        <f t="shared" si="11"/>
        <v>-39537.894609375006</v>
      </c>
      <c r="H53" s="222">
        <f t="shared" si="11"/>
        <v>-1874.6074321874999</v>
      </c>
      <c r="I53" s="221">
        <f t="shared" si="12"/>
        <v>595128.45539062493</v>
      </c>
      <c r="J53" s="221">
        <f t="shared" si="12"/>
        <v>632791.74256781244</v>
      </c>
      <c r="K53" s="221">
        <f t="shared" si="4"/>
        <v>37663.287177187507</v>
      </c>
      <c r="L53" s="221">
        <f t="shared" si="5"/>
        <v>-7909.2903072093759</v>
      </c>
      <c r="M53" s="221">
        <f t="shared" si="6"/>
        <v>2492.7835650739562</v>
      </c>
      <c r="N53" s="223"/>
      <c r="O53" s="221"/>
      <c r="P53" s="158"/>
      <c r="Q53" s="158"/>
      <c r="R53" s="158"/>
      <c r="S53" s="158"/>
      <c r="T53" s="158"/>
      <c r="U53" s="158"/>
      <c r="V53" s="158"/>
      <c r="W53" s="158"/>
      <c r="X53" s="158"/>
      <c r="Y53" s="158"/>
      <c r="Z53" s="158"/>
      <c r="AA53" s="158"/>
      <c r="AB53" s="158"/>
      <c r="AC53" s="158"/>
      <c r="AD53" s="158"/>
      <c r="AE53" s="158"/>
      <c r="AF53" s="158"/>
      <c r="AG53" s="158"/>
      <c r="AH53" s="158"/>
      <c r="AI53" s="232"/>
    </row>
    <row r="54" spans="1:35" ht="15" x14ac:dyDescent="0.25">
      <c r="A54" s="219">
        <v>45412</v>
      </c>
      <c r="B54" s="224">
        <v>398281.14166666666</v>
      </c>
      <c r="C54" s="221">
        <f t="shared" si="1"/>
        <v>1032947.4916666667</v>
      </c>
      <c r="D54" s="221">
        <f t="shared" si="0"/>
        <v>1032947.4916666667</v>
      </c>
      <c r="E54" s="221">
        <f t="shared" si="13"/>
        <v>13179.298203125001</v>
      </c>
      <c r="F54" s="222">
        <f t="shared" si="10"/>
        <v>2299.9174232986111</v>
      </c>
      <c r="G54" s="221">
        <f t="shared" si="11"/>
        <v>-52717.192812500005</v>
      </c>
      <c r="H54" s="222">
        <f t="shared" si="11"/>
        <v>-4174.5248554861109</v>
      </c>
      <c r="I54" s="221">
        <f t="shared" si="12"/>
        <v>980230.29885416664</v>
      </c>
      <c r="J54" s="221">
        <f t="shared" si="12"/>
        <v>1028772.9668111806</v>
      </c>
      <c r="K54" s="221">
        <f t="shared" si="4"/>
        <v>48542.667957013939</v>
      </c>
      <c r="L54" s="221">
        <f t="shared" si="5"/>
        <v>-10193.960270972926</v>
      </c>
      <c r="M54" s="221">
        <f t="shared" si="6"/>
        <v>2284.6699637635502</v>
      </c>
      <c r="N54" s="223"/>
      <c r="O54" s="221"/>
      <c r="P54" s="158"/>
      <c r="Q54" s="158"/>
      <c r="R54" s="158"/>
      <c r="S54" s="158"/>
      <c r="T54" s="158"/>
      <c r="U54" s="158"/>
      <c r="V54" s="158"/>
      <c r="W54" s="158"/>
      <c r="X54" s="158"/>
      <c r="Y54" s="158"/>
      <c r="Z54" s="158"/>
      <c r="AA54" s="158"/>
      <c r="AB54" s="158"/>
      <c r="AC54" s="158"/>
      <c r="AD54" s="158"/>
      <c r="AE54" s="158"/>
      <c r="AF54" s="158"/>
      <c r="AG54" s="158"/>
      <c r="AH54" s="158"/>
      <c r="AI54" s="232"/>
    </row>
    <row r="55" spans="1:35" ht="15" x14ac:dyDescent="0.25">
      <c r="A55" s="219">
        <v>45443</v>
      </c>
      <c r="B55" s="224">
        <v>521919.89166666666</v>
      </c>
      <c r="C55" s="221">
        <f t="shared" si="1"/>
        <v>1554867.3833333333</v>
      </c>
      <c r="D55" s="221">
        <f t="shared" si="0"/>
        <v>1554867.3833333333</v>
      </c>
      <c r="E55" s="221">
        <f t="shared" si="13"/>
        <v>13179.298203125001</v>
      </c>
      <c r="F55" s="222">
        <f t="shared" si="10"/>
        <v>3569.0280151041666</v>
      </c>
      <c r="G55" s="221">
        <f t="shared" si="11"/>
        <v>-65896.491015625012</v>
      </c>
      <c r="H55" s="222">
        <f t="shared" si="11"/>
        <v>-7743.552870590278</v>
      </c>
      <c r="I55" s="221">
        <f t="shared" si="12"/>
        <v>1488970.8923177083</v>
      </c>
      <c r="J55" s="221">
        <f t="shared" si="12"/>
        <v>1547123.8304627431</v>
      </c>
      <c r="K55" s="221">
        <f t="shared" si="4"/>
        <v>58152.938145034714</v>
      </c>
      <c r="L55" s="221">
        <f t="shared" si="5"/>
        <v>-12212.11701045729</v>
      </c>
      <c r="M55" s="221">
        <f t="shared" si="6"/>
        <v>2018.1567394843642</v>
      </c>
      <c r="N55" s="223"/>
      <c r="O55" s="221"/>
      <c r="P55" s="158"/>
      <c r="Q55" s="158"/>
      <c r="R55" s="158"/>
      <c r="S55" s="158"/>
      <c r="T55" s="158"/>
      <c r="U55" s="158"/>
      <c r="V55" s="158"/>
      <c r="W55" s="158"/>
      <c r="X55" s="158"/>
      <c r="Y55" s="158"/>
      <c r="Z55" s="158"/>
      <c r="AA55" s="158"/>
      <c r="AB55" s="158"/>
      <c r="AC55" s="158"/>
      <c r="AD55" s="158"/>
      <c r="AE55" s="158"/>
      <c r="AF55" s="158"/>
      <c r="AG55" s="158"/>
      <c r="AH55" s="158"/>
      <c r="AI55" s="232"/>
    </row>
    <row r="56" spans="1:35" ht="15" x14ac:dyDescent="0.25">
      <c r="A56" s="219">
        <v>45473</v>
      </c>
      <c r="B56" s="224">
        <v>500266.7416666667</v>
      </c>
      <c r="C56" s="221">
        <f t="shared" si="1"/>
        <v>2055134.125</v>
      </c>
      <c r="D56" s="221">
        <f t="shared" si="0"/>
        <v>2055134.125</v>
      </c>
      <c r="E56" s="221">
        <f t="shared" si="13"/>
        <v>13179.298203125001</v>
      </c>
      <c r="F56" s="222">
        <f t="shared" si="10"/>
        <v>4978.7937469097224</v>
      </c>
      <c r="G56" s="221">
        <f t="shared" si="11"/>
        <v>-79075.789218750011</v>
      </c>
      <c r="H56" s="222">
        <f t="shared" si="11"/>
        <v>-12722.346617499999</v>
      </c>
      <c r="I56" s="221">
        <f t="shared" si="12"/>
        <v>1976058.3357812499</v>
      </c>
      <c r="J56" s="221">
        <f t="shared" si="12"/>
        <v>2042411.7783824999</v>
      </c>
      <c r="K56" s="221">
        <f t="shared" si="4"/>
        <v>66353.442601250019</v>
      </c>
      <c r="L56" s="221">
        <f t="shared" si="5"/>
        <v>-13934.222946262504</v>
      </c>
      <c r="M56" s="221">
        <f t="shared" si="6"/>
        <v>1722.1059358052134</v>
      </c>
      <c r="N56" s="223"/>
      <c r="O56" s="221"/>
      <c r="P56" s="158"/>
      <c r="Q56" s="158"/>
      <c r="R56" s="158"/>
      <c r="S56" s="158"/>
      <c r="T56" s="158"/>
      <c r="U56" s="158"/>
      <c r="V56" s="158"/>
      <c r="W56" s="158"/>
      <c r="X56" s="158"/>
      <c r="Y56" s="158"/>
      <c r="Z56" s="158"/>
      <c r="AA56" s="158"/>
      <c r="AB56" s="158"/>
      <c r="AC56" s="158"/>
      <c r="AD56" s="158"/>
      <c r="AE56" s="158"/>
      <c r="AF56" s="158"/>
      <c r="AG56" s="158"/>
      <c r="AH56" s="158"/>
      <c r="AI56" s="232"/>
    </row>
    <row r="57" spans="1:35" ht="15" x14ac:dyDescent="0.25">
      <c r="A57" s="219">
        <v>45504</v>
      </c>
      <c r="B57" s="224">
        <v>533266.7416666667</v>
      </c>
      <c r="C57" s="221">
        <f t="shared" si="1"/>
        <v>2588400.8666666667</v>
      </c>
      <c r="D57" s="221">
        <f t="shared" si="0"/>
        <v>2588400.8666666667</v>
      </c>
      <c r="E57" s="221">
        <f t="shared" si="13"/>
        <v>13179.298203125001</v>
      </c>
      <c r="F57" s="222">
        <f t="shared" si="10"/>
        <v>6404.2086760069433</v>
      </c>
      <c r="G57" s="221">
        <f t="shared" si="11"/>
        <v>-92255.08742187501</v>
      </c>
      <c r="H57" s="222">
        <f t="shared" si="11"/>
        <v>-19126.555293506943</v>
      </c>
      <c r="I57" s="221">
        <f t="shared" si="12"/>
        <v>2496145.7792447917</v>
      </c>
      <c r="J57" s="221">
        <f t="shared" si="12"/>
        <v>2569274.3113731598</v>
      </c>
      <c r="K57" s="221">
        <f t="shared" si="4"/>
        <v>73128.532128368039</v>
      </c>
      <c r="L57" s="221">
        <f t="shared" si="5"/>
        <v>-15356.991746957288</v>
      </c>
      <c r="M57" s="221">
        <f t="shared" si="6"/>
        <v>1422.7688006947847</v>
      </c>
      <c r="N57" s="223"/>
      <c r="O57" s="221"/>
      <c r="P57" s="158"/>
      <c r="Q57" s="158"/>
      <c r="R57" s="158"/>
      <c r="S57" s="158"/>
      <c r="T57" s="158"/>
      <c r="U57" s="158"/>
      <c r="V57" s="158"/>
      <c r="W57" s="158"/>
      <c r="X57" s="158"/>
      <c r="Y57" s="158"/>
      <c r="Z57" s="158"/>
      <c r="AA57" s="158"/>
      <c r="AB57" s="158"/>
      <c r="AC57" s="158"/>
      <c r="AD57" s="158"/>
      <c r="AE57" s="158"/>
      <c r="AF57" s="158"/>
      <c r="AG57" s="158"/>
      <c r="AH57" s="158"/>
      <c r="AI57" s="232"/>
    </row>
    <row r="58" spans="1:35" ht="15" x14ac:dyDescent="0.25">
      <c r="A58" s="219">
        <v>45535</v>
      </c>
      <c r="B58" s="224">
        <v>416988.09166666667</v>
      </c>
      <c r="C58" s="221">
        <f t="shared" si="1"/>
        <v>3005388.9583333335</v>
      </c>
      <c r="D58" s="221">
        <f t="shared" si="0"/>
        <v>3005388.9583333335</v>
      </c>
      <c r="E58" s="221">
        <f t="shared" si="13"/>
        <v>13179.298203125001</v>
      </c>
      <c r="F58" s="222">
        <f t="shared" si="10"/>
        <v>7714.768466979167</v>
      </c>
      <c r="G58" s="221">
        <f t="shared" si="11"/>
        <v>-105434.38562500001</v>
      </c>
      <c r="H58" s="222">
        <f t="shared" si="11"/>
        <v>-26841.32376048611</v>
      </c>
      <c r="I58" s="221">
        <f t="shared" si="12"/>
        <v>2899954.5727083334</v>
      </c>
      <c r="J58" s="221">
        <f t="shared" si="12"/>
        <v>2978547.6345728473</v>
      </c>
      <c r="K58" s="221">
        <f t="shared" si="4"/>
        <v>78593.061864513904</v>
      </c>
      <c r="L58" s="221">
        <f t="shared" si="5"/>
        <v>-16504.542991547918</v>
      </c>
      <c r="M58" s="221">
        <f t="shared" si="6"/>
        <v>1147.5512445906297</v>
      </c>
      <c r="N58" s="223"/>
      <c r="O58" s="221"/>
      <c r="P58" s="158"/>
      <c r="Q58" s="158"/>
      <c r="R58" s="158"/>
      <c r="S58" s="158"/>
      <c r="T58" s="158"/>
      <c r="U58" s="158"/>
      <c r="V58" s="158"/>
      <c r="W58" s="158"/>
      <c r="X58" s="158"/>
      <c r="Y58" s="158"/>
      <c r="Z58" s="158"/>
      <c r="AA58" s="158"/>
      <c r="AB58" s="158"/>
      <c r="AC58" s="158"/>
      <c r="AD58" s="158"/>
      <c r="AE58" s="158"/>
      <c r="AF58" s="158"/>
      <c r="AG58" s="158"/>
      <c r="AH58" s="158"/>
      <c r="AI58" s="232"/>
    </row>
    <row r="59" spans="1:35" ht="15" x14ac:dyDescent="0.25">
      <c r="A59" s="219">
        <v>45565</v>
      </c>
      <c r="B59" s="224">
        <v>380189.09166666667</v>
      </c>
      <c r="C59" s="221">
        <f t="shared" si="1"/>
        <v>3385578.0500000003</v>
      </c>
      <c r="D59" s="221">
        <f t="shared" si="0"/>
        <v>3385578.0500000003</v>
      </c>
      <c r="E59" s="221">
        <f t="shared" si="13"/>
        <v>13179.298203125001</v>
      </c>
      <c r="F59" s="222">
        <f t="shared" si="10"/>
        <v>8814.2086656597221</v>
      </c>
      <c r="G59" s="221">
        <f t="shared" ref="G59:H74" si="14">-E59+G58</f>
        <v>-118613.68382812501</v>
      </c>
      <c r="H59" s="222">
        <f t="shared" si="14"/>
        <v>-35655.53242614583</v>
      </c>
      <c r="I59" s="221">
        <f t="shared" ref="I59:J74" si="15">C59+G59</f>
        <v>3266964.366171875</v>
      </c>
      <c r="J59" s="221">
        <f t="shared" si="15"/>
        <v>3349922.5175738544</v>
      </c>
      <c r="K59" s="221">
        <f t="shared" si="4"/>
        <v>82958.151401979383</v>
      </c>
      <c r="L59" s="221">
        <f t="shared" si="5"/>
        <v>-17421.211794415671</v>
      </c>
      <c r="M59" s="221">
        <f t="shared" si="6"/>
        <v>916.66880286775267</v>
      </c>
      <c r="N59" s="223"/>
      <c r="O59" s="221"/>
      <c r="P59" s="158"/>
      <c r="Q59" s="158"/>
      <c r="R59" s="158"/>
      <c r="S59" s="158"/>
      <c r="T59" s="158"/>
      <c r="U59" s="158"/>
      <c r="V59" s="158"/>
      <c r="W59" s="158"/>
      <c r="X59" s="158"/>
      <c r="Y59" s="158"/>
      <c r="Z59" s="158"/>
      <c r="AA59" s="158"/>
      <c r="AB59" s="158"/>
      <c r="AC59" s="158"/>
      <c r="AD59" s="158"/>
      <c r="AE59" s="158"/>
      <c r="AF59" s="158"/>
      <c r="AG59" s="158"/>
      <c r="AH59" s="158"/>
      <c r="AI59" s="232"/>
    </row>
    <row r="60" spans="1:35" ht="15" x14ac:dyDescent="0.25">
      <c r="A60" s="219">
        <v>45596</v>
      </c>
      <c r="B60" s="224">
        <v>261197.59166666667</v>
      </c>
      <c r="C60" s="221">
        <f t="shared" si="1"/>
        <v>3646775.6416666671</v>
      </c>
      <c r="D60" s="221">
        <f t="shared" si="0"/>
        <v>3646775.6416666671</v>
      </c>
      <c r="E60" s="221">
        <f t="shared" si="13"/>
        <v>13179.298203125001</v>
      </c>
      <c r="F60" s="222">
        <f t="shared" si="10"/>
        <v>9698.7877997569449</v>
      </c>
      <c r="G60" s="221">
        <f t="shared" si="14"/>
        <v>-131792.98203125002</v>
      </c>
      <c r="H60" s="222">
        <f t="shared" si="14"/>
        <v>-45354.320225902775</v>
      </c>
      <c r="I60" s="221">
        <f t="shared" si="15"/>
        <v>3514982.6596354172</v>
      </c>
      <c r="J60" s="221">
        <f t="shared" si="15"/>
        <v>3601421.3214407642</v>
      </c>
      <c r="K60" s="221">
        <f t="shared" si="4"/>
        <v>86438.661805347074</v>
      </c>
      <c r="L60" s="221">
        <f t="shared" si="5"/>
        <v>-18152.118979122886</v>
      </c>
      <c r="M60" s="221">
        <f t="shared" si="6"/>
        <v>730.90718470721549</v>
      </c>
      <c r="N60" s="223"/>
      <c r="O60" s="221"/>
      <c r="P60" s="158"/>
      <c r="Q60" s="158"/>
      <c r="R60" s="158"/>
      <c r="S60" s="158"/>
      <c r="T60" s="158"/>
      <c r="U60" s="158"/>
      <c r="V60" s="158"/>
      <c r="W60" s="158"/>
      <c r="X60" s="158"/>
      <c r="Y60" s="158"/>
      <c r="Z60" s="158"/>
      <c r="AA60" s="158"/>
      <c r="AB60" s="158"/>
      <c r="AC60" s="158"/>
      <c r="AD60" s="158"/>
      <c r="AE60" s="158"/>
      <c r="AF60" s="158"/>
      <c r="AG60" s="158"/>
      <c r="AH60" s="158"/>
      <c r="AI60" s="232"/>
    </row>
    <row r="61" spans="1:35" ht="15" x14ac:dyDescent="0.25">
      <c r="A61" s="219">
        <v>45626</v>
      </c>
      <c r="B61" s="224">
        <v>330299.89166666666</v>
      </c>
      <c r="C61" s="221">
        <f t="shared" si="1"/>
        <v>3977075.5333333337</v>
      </c>
      <c r="D61" s="221">
        <f t="shared" si="0"/>
        <v>3977075.5333333337</v>
      </c>
      <c r="E61" s="221">
        <f t="shared" si="13"/>
        <v>13179.298203125001</v>
      </c>
      <c r="F61" s="222">
        <f t="shared" si="10"/>
        <v>10514.561412187501</v>
      </c>
      <c r="G61" s="221">
        <f t="shared" si="14"/>
        <v>-144972.28023437504</v>
      </c>
      <c r="H61" s="222">
        <f t="shared" si="14"/>
        <v>-55868.881638090272</v>
      </c>
      <c r="I61" s="221">
        <f t="shared" si="15"/>
        <v>3832103.2530989586</v>
      </c>
      <c r="J61" s="221">
        <f t="shared" si="15"/>
        <v>3921206.6516952435</v>
      </c>
      <c r="K61" s="221">
        <f t="shared" si="4"/>
        <v>89103.398596284911</v>
      </c>
      <c r="L61" s="221">
        <f t="shared" si="5"/>
        <v>-18711.71370521983</v>
      </c>
      <c r="M61" s="221">
        <f t="shared" si="6"/>
        <v>559.59472609694421</v>
      </c>
      <c r="N61" s="223"/>
      <c r="O61" s="221"/>
      <c r="P61" s="158"/>
      <c r="Q61" s="158"/>
      <c r="R61" s="158"/>
      <c r="S61" s="158"/>
      <c r="T61" s="158"/>
      <c r="U61" s="158"/>
      <c r="V61" s="158"/>
      <c r="W61" s="158"/>
      <c r="X61" s="158"/>
      <c r="Y61" s="158"/>
      <c r="Z61" s="158"/>
      <c r="AA61" s="158"/>
      <c r="AB61" s="158"/>
      <c r="AC61" s="158"/>
      <c r="AD61" s="158"/>
      <c r="AE61" s="158"/>
      <c r="AF61" s="158"/>
      <c r="AG61" s="158"/>
      <c r="AH61" s="158"/>
      <c r="AI61" s="232"/>
    </row>
    <row r="62" spans="1:35" ht="15" x14ac:dyDescent="0.25">
      <c r="A62" s="219">
        <v>45657</v>
      </c>
      <c r="B62" s="224">
        <v>240299.89166666666</v>
      </c>
      <c r="C62" s="221">
        <f t="shared" si="1"/>
        <v>4217375.4250000007</v>
      </c>
      <c r="D62" s="225">
        <f t="shared" si="0"/>
        <v>4217375.4250000007</v>
      </c>
      <c r="E62" s="221">
        <f>($C$26*$F$6+($C$38-$C$26)*$E$6+($C$50-$C$38)*$D$6+($C$62-$C$50)*$C$6)/12</f>
        <v>13179.298203125001</v>
      </c>
      <c r="F62" s="222">
        <f t="shared" si="10"/>
        <v>11301.513613368057</v>
      </c>
      <c r="G62" s="221">
        <f t="shared" si="14"/>
        <v>-158151.57843750005</v>
      </c>
      <c r="H62" s="222">
        <f t="shared" si="14"/>
        <v>-67170.395251458336</v>
      </c>
      <c r="I62" s="221">
        <f t="shared" si="15"/>
        <v>4059223.8465625006</v>
      </c>
      <c r="J62" s="221">
        <f t="shared" si="15"/>
        <v>4150205.0297485422</v>
      </c>
      <c r="K62" s="221">
        <f t="shared" si="4"/>
        <v>90981.183186041657</v>
      </c>
      <c r="L62" s="221">
        <f t="shared" si="5"/>
        <v>-19106.048469068748</v>
      </c>
      <c r="M62" s="221">
        <f t="shared" si="6"/>
        <v>394.33476384891765</v>
      </c>
      <c r="N62" s="223"/>
      <c r="O62" s="221"/>
      <c r="P62" s="158"/>
      <c r="Q62" s="158"/>
      <c r="R62" s="158"/>
      <c r="S62" s="158"/>
      <c r="T62" s="158"/>
      <c r="U62" s="158"/>
      <c r="V62" s="158"/>
      <c r="W62" s="158"/>
      <c r="X62" s="158"/>
      <c r="Y62" s="158"/>
      <c r="Z62" s="158"/>
      <c r="AA62" s="158"/>
      <c r="AB62" s="158"/>
      <c r="AC62" s="158"/>
      <c r="AD62" s="158"/>
      <c r="AE62" s="158"/>
      <c r="AF62" s="158"/>
      <c r="AG62" s="158"/>
      <c r="AH62" s="158"/>
      <c r="AI62" s="232"/>
    </row>
    <row r="63" spans="1:35" ht="15" x14ac:dyDescent="0.25">
      <c r="A63" s="227">
        <v>45688</v>
      </c>
      <c r="B63" s="228">
        <v>0</v>
      </c>
      <c r="C63" s="229">
        <f t="shared" si="1"/>
        <v>4217375.4250000007</v>
      </c>
      <c r="D63" s="221">
        <f t="shared" si="0"/>
        <v>4217375.4250000007</v>
      </c>
      <c r="E63" s="229">
        <f t="shared" ref="E63:E73" si="16">($C$26*$G$6+($C$38-$C$26)*$F$6+($C$50-$C$38)*$E$6+($C$62-$C$50)*$D$6+($C$74-$C$62)*$C$6)/12</f>
        <v>25371.027660895837</v>
      </c>
      <c r="F63" s="230">
        <f t="shared" si="10"/>
        <v>11632.927213958334</v>
      </c>
      <c r="G63" s="229">
        <f t="shared" si="14"/>
        <v>-183522.60609839589</v>
      </c>
      <c r="H63" s="230">
        <f t="shared" si="14"/>
        <v>-78803.32246541667</v>
      </c>
      <c r="I63" s="229">
        <f t="shared" si="15"/>
        <v>4033852.818901605</v>
      </c>
      <c r="J63" s="229">
        <f t="shared" si="15"/>
        <v>4138572.1025345842</v>
      </c>
      <c r="K63" s="229">
        <f t="shared" si="4"/>
        <v>104719.28363297926</v>
      </c>
      <c r="L63" s="229">
        <f t="shared" si="5"/>
        <v>-21991.049562925644</v>
      </c>
      <c r="M63" s="229">
        <f t="shared" si="6"/>
        <v>2885.0010938568957</v>
      </c>
      <c r="N63" s="223"/>
      <c r="O63" s="221"/>
      <c r="P63" s="158"/>
      <c r="Q63" s="158"/>
      <c r="R63" s="158"/>
      <c r="S63" s="158"/>
      <c r="T63" s="158"/>
      <c r="U63" s="158"/>
      <c r="V63" s="158"/>
      <c r="W63" s="158"/>
      <c r="X63" s="158"/>
      <c r="Y63" s="158"/>
      <c r="Z63" s="158"/>
      <c r="AA63" s="158"/>
      <c r="AB63" s="158"/>
      <c r="AC63" s="158"/>
      <c r="AD63" s="158"/>
      <c r="AE63" s="158"/>
      <c r="AF63" s="158"/>
      <c r="AG63" s="158"/>
      <c r="AH63" s="158"/>
      <c r="AI63" s="232"/>
    </row>
    <row r="64" spans="1:35" ht="15" x14ac:dyDescent="0.25">
      <c r="A64" s="219">
        <v>45716</v>
      </c>
      <c r="B64" s="224">
        <v>0</v>
      </c>
      <c r="C64" s="221">
        <f t="shared" si="1"/>
        <v>4217375.4250000007</v>
      </c>
      <c r="D64" s="221">
        <f t="shared" si="0"/>
        <v>4217375.4250000007</v>
      </c>
      <c r="E64" s="221">
        <f t="shared" si="16"/>
        <v>25371.027660895837</v>
      </c>
      <c r="F64" s="222">
        <f t="shared" si="10"/>
        <v>11632.927213958334</v>
      </c>
      <c r="G64" s="221">
        <f t="shared" si="14"/>
        <v>-208893.63375929173</v>
      </c>
      <c r="H64" s="222">
        <f t="shared" si="14"/>
        <v>-90436.249679375003</v>
      </c>
      <c r="I64" s="221">
        <f t="shared" si="15"/>
        <v>4008481.7912407089</v>
      </c>
      <c r="J64" s="221">
        <f t="shared" si="15"/>
        <v>4126939.1753206258</v>
      </c>
      <c r="K64" s="221">
        <f t="shared" si="4"/>
        <v>118457.38407991687</v>
      </c>
      <c r="L64" s="221">
        <f t="shared" si="5"/>
        <v>-24876.050656782543</v>
      </c>
      <c r="M64" s="221">
        <f t="shared" si="6"/>
        <v>2885.0010938568994</v>
      </c>
      <c r="N64" s="223"/>
      <c r="O64" s="221"/>
      <c r="P64" s="158"/>
      <c r="Q64" s="158"/>
      <c r="R64" s="158"/>
      <c r="S64" s="158"/>
      <c r="T64" s="158"/>
      <c r="U64" s="158"/>
      <c r="V64" s="158"/>
      <c r="W64" s="158"/>
      <c r="X64" s="158"/>
      <c r="Y64" s="158"/>
      <c r="Z64" s="158"/>
      <c r="AA64" s="158"/>
      <c r="AB64" s="158"/>
      <c r="AC64" s="158"/>
      <c r="AD64" s="158"/>
      <c r="AE64" s="158"/>
      <c r="AF64" s="158"/>
      <c r="AG64" s="158"/>
      <c r="AH64" s="158"/>
      <c r="AI64" s="232"/>
    </row>
    <row r="65" spans="1:35" ht="15" x14ac:dyDescent="0.25">
      <c r="A65" s="219">
        <v>45747</v>
      </c>
      <c r="B65" s="224">
        <v>0</v>
      </c>
      <c r="C65" s="221">
        <f t="shared" si="1"/>
        <v>4217375.4250000007</v>
      </c>
      <c r="D65" s="221">
        <f t="shared" si="0"/>
        <v>4217375.4250000007</v>
      </c>
      <c r="E65" s="221">
        <f t="shared" si="16"/>
        <v>25371.027660895837</v>
      </c>
      <c r="F65" s="222">
        <f t="shared" si="10"/>
        <v>11632.927213958334</v>
      </c>
      <c r="G65" s="221">
        <f t="shared" si="14"/>
        <v>-234264.66142018756</v>
      </c>
      <c r="H65" s="222">
        <f t="shared" si="14"/>
        <v>-102069.17689333334</v>
      </c>
      <c r="I65" s="221">
        <f t="shared" si="15"/>
        <v>3983110.7635798133</v>
      </c>
      <c r="J65" s="221">
        <f t="shared" si="15"/>
        <v>4115306.2481066673</v>
      </c>
      <c r="K65" s="221">
        <f t="shared" si="4"/>
        <v>132195.48452685401</v>
      </c>
      <c r="L65" s="221">
        <f t="shared" si="5"/>
        <v>-27761.051750639341</v>
      </c>
      <c r="M65" s="221">
        <f t="shared" si="6"/>
        <v>2885.0010938567975</v>
      </c>
      <c r="N65" s="223"/>
      <c r="O65" s="221"/>
      <c r="P65" s="158"/>
      <c r="Q65" s="158"/>
      <c r="R65" s="158"/>
      <c r="S65" s="158"/>
      <c r="T65" s="158"/>
      <c r="U65" s="158"/>
      <c r="V65" s="158"/>
      <c r="W65" s="158"/>
      <c r="X65" s="158"/>
      <c r="Y65" s="158"/>
      <c r="Z65" s="158"/>
      <c r="AA65" s="158"/>
      <c r="AB65" s="158"/>
      <c r="AC65" s="158"/>
      <c r="AD65" s="158"/>
      <c r="AE65" s="158"/>
      <c r="AF65" s="158"/>
      <c r="AG65" s="158"/>
      <c r="AH65" s="158"/>
      <c r="AI65" s="232"/>
    </row>
    <row r="66" spans="1:35" ht="15" x14ac:dyDescent="0.25">
      <c r="A66" s="219">
        <v>45777</v>
      </c>
      <c r="B66" s="224">
        <v>0</v>
      </c>
      <c r="C66" s="221">
        <f t="shared" si="1"/>
        <v>4217375.4250000007</v>
      </c>
      <c r="D66" s="221">
        <f t="shared" si="0"/>
        <v>4217375.4250000007</v>
      </c>
      <c r="E66" s="221">
        <f t="shared" si="16"/>
        <v>25371.027660895837</v>
      </c>
      <c r="F66" s="222">
        <f t="shared" si="10"/>
        <v>11632.927213958334</v>
      </c>
      <c r="G66" s="221">
        <f t="shared" si="14"/>
        <v>-259635.6890810834</v>
      </c>
      <c r="H66" s="222">
        <f t="shared" si="14"/>
        <v>-113702.10410729167</v>
      </c>
      <c r="I66" s="221">
        <f t="shared" si="15"/>
        <v>3957739.7359189172</v>
      </c>
      <c r="J66" s="221">
        <f t="shared" si="15"/>
        <v>4103673.3208927093</v>
      </c>
      <c r="K66" s="221">
        <f t="shared" si="4"/>
        <v>145933.58497379208</v>
      </c>
      <c r="L66" s="221">
        <f t="shared" si="5"/>
        <v>-30646.052844496335</v>
      </c>
      <c r="M66" s="221">
        <f t="shared" si="6"/>
        <v>2885.001093856994</v>
      </c>
      <c r="N66" s="223"/>
      <c r="O66" s="221"/>
      <c r="P66" s="158"/>
      <c r="Q66" s="158"/>
      <c r="R66" s="158"/>
      <c r="S66" s="158"/>
      <c r="T66" s="158"/>
      <c r="U66" s="158"/>
      <c r="V66" s="158"/>
      <c r="W66" s="158"/>
      <c r="X66" s="158"/>
      <c r="Y66" s="158"/>
      <c r="Z66" s="158"/>
      <c r="AA66" s="158"/>
      <c r="AB66" s="158"/>
      <c r="AC66" s="158"/>
      <c r="AD66" s="158"/>
      <c r="AE66" s="158"/>
      <c r="AF66" s="158"/>
      <c r="AG66" s="158"/>
      <c r="AH66" s="158"/>
    </row>
    <row r="67" spans="1:35" ht="15" x14ac:dyDescent="0.25">
      <c r="A67" s="219">
        <v>45808</v>
      </c>
      <c r="B67" s="224">
        <v>0</v>
      </c>
      <c r="C67" s="221">
        <f t="shared" si="1"/>
        <v>4217375.4250000007</v>
      </c>
      <c r="D67" s="221">
        <f t="shared" si="0"/>
        <v>4217375.4250000007</v>
      </c>
      <c r="E67" s="221">
        <f t="shared" si="16"/>
        <v>25371.027660895837</v>
      </c>
      <c r="F67" s="222">
        <f t="shared" si="10"/>
        <v>11632.927213958334</v>
      </c>
      <c r="G67" s="221">
        <f t="shared" si="14"/>
        <v>-285006.71674197924</v>
      </c>
      <c r="H67" s="222">
        <f t="shared" si="14"/>
        <v>-125335.03132125</v>
      </c>
      <c r="I67" s="221">
        <f t="shared" si="15"/>
        <v>3932368.7082580216</v>
      </c>
      <c r="J67" s="221">
        <f t="shared" si="15"/>
        <v>4092040.3936787508</v>
      </c>
      <c r="K67" s="221">
        <f t="shared" si="4"/>
        <v>159671.68542072922</v>
      </c>
      <c r="L67" s="221">
        <f t="shared" si="5"/>
        <v>-33531.053938353136</v>
      </c>
      <c r="M67" s="221">
        <f t="shared" si="6"/>
        <v>2885.0010938568012</v>
      </c>
      <c r="N67" s="223"/>
      <c r="O67" s="221"/>
      <c r="P67" s="158"/>
      <c r="Q67" s="158"/>
      <c r="R67" s="158"/>
      <c r="S67" s="158"/>
      <c r="T67" s="158"/>
      <c r="U67" s="158"/>
      <c r="V67" s="158"/>
      <c r="W67" s="158"/>
      <c r="X67" s="158"/>
      <c r="Y67" s="158"/>
      <c r="Z67" s="158"/>
      <c r="AA67" s="158"/>
      <c r="AB67" s="158"/>
      <c r="AC67" s="158"/>
      <c r="AD67" s="158"/>
      <c r="AE67" s="158"/>
      <c r="AF67" s="158"/>
      <c r="AG67" s="158"/>
      <c r="AH67" s="158"/>
    </row>
    <row r="68" spans="1:35" ht="15" x14ac:dyDescent="0.25">
      <c r="A68" s="219">
        <v>45838</v>
      </c>
      <c r="B68" s="224">
        <v>0</v>
      </c>
      <c r="C68" s="221">
        <f t="shared" si="1"/>
        <v>4217375.4250000007</v>
      </c>
      <c r="D68" s="221">
        <f t="shared" si="0"/>
        <v>4217375.4250000007</v>
      </c>
      <c r="E68" s="221">
        <f t="shared" si="16"/>
        <v>25371.027660895837</v>
      </c>
      <c r="F68" s="222">
        <f t="shared" si="10"/>
        <v>11632.927213958334</v>
      </c>
      <c r="G68" s="221">
        <f t="shared" si="14"/>
        <v>-310377.74440287508</v>
      </c>
      <c r="H68" s="222">
        <f t="shared" si="14"/>
        <v>-136967.95853520834</v>
      </c>
      <c r="I68" s="221">
        <f t="shared" si="15"/>
        <v>3906997.6805971256</v>
      </c>
      <c r="J68" s="221">
        <f t="shared" si="15"/>
        <v>4080407.4664647924</v>
      </c>
      <c r="K68" s="221">
        <f t="shared" si="4"/>
        <v>173409.78586766683</v>
      </c>
      <c r="L68" s="221">
        <f t="shared" si="5"/>
        <v>-36416.055032210032</v>
      </c>
      <c r="M68" s="221">
        <f t="shared" si="6"/>
        <v>2885.0010938568957</v>
      </c>
      <c r="N68" s="223"/>
      <c r="O68" s="221"/>
      <c r="P68" s="158"/>
      <c r="Q68" s="158"/>
      <c r="R68" s="158"/>
      <c r="S68" s="158"/>
      <c r="T68" s="158"/>
      <c r="U68" s="158"/>
      <c r="V68" s="158"/>
      <c r="W68" s="158"/>
      <c r="X68" s="158"/>
      <c r="Y68" s="158"/>
      <c r="Z68" s="158"/>
      <c r="AA68" s="158"/>
      <c r="AB68" s="158"/>
      <c r="AC68" s="158"/>
      <c r="AD68" s="158"/>
      <c r="AE68" s="158"/>
      <c r="AF68" s="158"/>
      <c r="AG68" s="158"/>
      <c r="AH68" s="158"/>
    </row>
    <row r="69" spans="1:35" ht="15" x14ac:dyDescent="0.25">
      <c r="A69" s="219">
        <v>45869</v>
      </c>
      <c r="B69" s="224">
        <v>0</v>
      </c>
      <c r="C69" s="221">
        <f t="shared" si="1"/>
        <v>4217375.4250000007</v>
      </c>
      <c r="D69" s="221">
        <f t="shared" si="0"/>
        <v>4217375.4250000007</v>
      </c>
      <c r="E69" s="221">
        <f t="shared" si="16"/>
        <v>25371.027660895837</v>
      </c>
      <c r="F69" s="222">
        <f t="shared" si="10"/>
        <v>11632.927213958334</v>
      </c>
      <c r="G69" s="221">
        <f t="shared" si="14"/>
        <v>-335748.77206377091</v>
      </c>
      <c r="H69" s="222">
        <f t="shared" si="14"/>
        <v>-148600.88574916666</v>
      </c>
      <c r="I69" s="221">
        <f t="shared" si="15"/>
        <v>3881626.6529362299</v>
      </c>
      <c r="J69" s="221">
        <f t="shared" si="15"/>
        <v>4068774.5392508339</v>
      </c>
      <c r="K69" s="221">
        <f t="shared" si="4"/>
        <v>187147.88631460397</v>
      </c>
      <c r="L69" s="221">
        <f t="shared" si="5"/>
        <v>-39301.056126066833</v>
      </c>
      <c r="M69" s="221">
        <f t="shared" si="6"/>
        <v>2885.0010938568012</v>
      </c>
      <c r="N69" s="223"/>
      <c r="O69" s="221"/>
      <c r="P69" s="158"/>
      <c r="Q69" s="158"/>
      <c r="R69" s="158"/>
      <c r="S69" s="158"/>
      <c r="T69" s="158"/>
      <c r="U69" s="158"/>
      <c r="V69" s="158"/>
      <c r="W69" s="158"/>
      <c r="X69" s="158"/>
      <c r="Y69" s="158"/>
      <c r="Z69" s="158"/>
      <c r="AA69" s="158"/>
      <c r="AB69" s="158"/>
      <c r="AC69" s="158"/>
      <c r="AD69" s="158"/>
      <c r="AE69" s="158"/>
      <c r="AF69" s="158"/>
      <c r="AG69" s="158"/>
      <c r="AH69" s="158"/>
    </row>
    <row r="70" spans="1:35" ht="15" x14ac:dyDescent="0.25">
      <c r="A70" s="219">
        <v>45900</v>
      </c>
      <c r="B70" s="224">
        <v>0</v>
      </c>
      <c r="C70" s="221">
        <f t="shared" si="1"/>
        <v>4217375.4250000007</v>
      </c>
      <c r="D70" s="221">
        <f t="shared" si="0"/>
        <v>4217375.4250000007</v>
      </c>
      <c r="E70" s="221">
        <f t="shared" si="16"/>
        <v>25371.027660895837</v>
      </c>
      <c r="F70" s="222">
        <f t="shared" si="10"/>
        <v>11632.927213958334</v>
      </c>
      <c r="G70" s="221">
        <f t="shared" si="14"/>
        <v>-361119.79972466675</v>
      </c>
      <c r="H70" s="222">
        <f t="shared" si="14"/>
        <v>-160233.812963125</v>
      </c>
      <c r="I70" s="221">
        <f t="shared" si="15"/>
        <v>3856255.6252753339</v>
      </c>
      <c r="J70" s="221">
        <f t="shared" si="15"/>
        <v>4057141.6120368759</v>
      </c>
      <c r="K70" s="221">
        <f>J70-I70</f>
        <v>200885.98676154204</v>
      </c>
      <c r="L70" s="221">
        <f t="shared" si="5"/>
        <v>-42186.057219923823</v>
      </c>
      <c r="M70" s="221">
        <f t="shared" si="6"/>
        <v>2885.0010938569903</v>
      </c>
      <c r="N70" s="223"/>
      <c r="O70" s="221"/>
      <c r="P70" s="158"/>
      <c r="Q70" s="158"/>
      <c r="R70" s="158"/>
      <c r="S70" s="158"/>
      <c r="T70" s="158"/>
      <c r="U70" s="158"/>
      <c r="V70" s="158"/>
      <c r="W70" s="158"/>
      <c r="X70" s="158"/>
      <c r="Y70" s="158"/>
      <c r="Z70" s="158"/>
      <c r="AA70" s="158"/>
      <c r="AB70" s="158"/>
      <c r="AC70" s="158"/>
      <c r="AD70" s="158"/>
      <c r="AE70" s="158"/>
      <c r="AF70" s="158"/>
      <c r="AG70" s="158"/>
      <c r="AH70" s="158"/>
    </row>
    <row r="71" spans="1:35" ht="15" customHeight="1" x14ac:dyDescent="0.25">
      <c r="A71" s="219">
        <v>45930</v>
      </c>
      <c r="B71" s="224">
        <v>0</v>
      </c>
      <c r="C71" s="221">
        <f t="shared" si="1"/>
        <v>4217375.4250000007</v>
      </c>
      <c r="D71" s="221">
        <f t="shared" si="0"/>
        <v>4217375.4250000007</v>
      </c>
      <c r="E71" s="221">
        <f t="shared" si="16"/>
        <v>25371.027660895837</v>
      </c>
      <c r="F71" s="222">
        <f t="shared" si="10"/>
        <v>11632.927213958334</v>
      </c>
      <c r="G71" s="221">
        <f t="shared" si="14"/>
        <v>-386490.82738556259</v>
      </c>
      <c r="H71" s="222">
        <f t="shared" si="14"/>
        <v>-171866.74017708335</v>
      </c>
      <c r="I71" s="221">
        <f t="shared" si="15"/>
        <v>3830884.5976144383</v>
      </c>
      <c r="J71" s="221">
        <f t="shared" si="15"/>
        <v>4045508.6848229175</v>
      </c>
      <c r="K71" s="221">
        <f>J71-I71</f>
        <v>214624.08720847918</v>
      </c>
      <c r="L71" s="221">
        <f t="shared" si="5"/>
        <v>-45071.058313780624</v>
      </c>
      <c r="M71" s="221">
        <f t="shared" si="6"/>
        <v>2885.0010938568012</v>
      </c>
      <c r="N71" s="223"/>
      <c r="O71" s="221"/>
      <c r="P71" s="158"/>
      <c r="Q71" s="158"/>
      <c r="R71" s="158"/>
      <c r="S71" s="158"/>
      <c r="T71" s="158"/>
      <c r="U71" s="158"/>
      <c r="V71" s="158"/>
      <c r="W71" s="158"/>
      <c r="X71" s="158"/>
      <c r="Y71" s="158"/>
      <c r="Z71" s="158"/>
      <c r="AA71" s="158"/>
      <c r="AB71" s="158"/>
      <c r="AC71" s="158"/>
      <c r="AD71" s="158"/>
      <c r="AE71" s="158"/>
      <c r="AF71" s="158"/>
      <c r="AG71" s="158"/>
      <c r="AH71" s="158"/>
    </row>
    <row r="72" spans="1:35" ht="15" customHeight="1" x14ac:dyDescent="0.25">
      <c r="A72" s="219">
        <v>45961</v>
      </c>
      <c r="B72" s="224">
        <v>0</v>
      </c>
      <c r="C72" s="221">
        <f t="shared" si="1"/>
        <v>4217375.4250000007</v>
      </c>
      <c r="D72" s="221">
        <f t="shared" si="0"/>
        <v>4217375.4250000007</v>
      </c>
      <c r="E72" s="221">
        <f t="shared" si="16"/>
        <v>25371.027660895837</v>
      </c>
      <c r="F72" s="222">
        <f t="shared" si="10"/>
        <v>11632.927213958334</v>
      </c>
      <c r="G72" s="221">
        <f t="shared" si="14"/>
        <v>-411861.85504645843</v>
      </c>
      <c r="H72" s="222">
        <f t="shared" si="14"/>
        <v>-183499.6673910417</v>
      </c>
      <c r="I72" s="221">
        <f t="shared" si="15"/>
        <v>3805513.5699535422</v>
      </c>
      <c r="J72" s="221">
        <f t="shared" si="15"/>
        <v>4033875.757608959</v>
      </c>
      <c r="K72" s="221">
        <f t="shared" ref="K72:K74" si="17">J72-I72</f>
        <v>228362.18765541678</v>
      </c>
      <c r="L72" s="221">
        <f t="shared" si="5"/>
        <v>-47956.05940763752</v>
      </c>
      <c r="M72" s="221">
        <f t="shared" si="6"/>
        <v>2885.0010938568957</v>
      </c>
      <c r="N72" s="223"/>
      <c r="O72" s="221"/>
      <c r="P72" s="158"/>
      <c r="Q72" s="158"/>
      <c r="R72" s="158"/>
      <c r="S72" s="158"/>
      <c r="T72" s="158"/>
      <c r="U72" s="158"/>
      <c r="V72" s="158"/>
      <c r="W72" s="158"/>
      <c r="X72" s="158"/>
      <c r="Y72" s="158"/>
      <c r="Z72" s="158"/>
      <c r="AA72" s="158"/>
      <c r="AB72" s="158"/>
      <c r="AC72" s="158"/>
      <c r="AD72" s="158"/>
      <c r="AE72" s="158"/>
      <c r="AF72" s="158"/>
      <c r="AG72" s="158"/>
      <c r="AH72" s="158"/>
    </row>
    <row r="73" spans="1:35" ht="15" customHeight="1" x14ac:dyDescent="0.25">
      <c r="A73" s="219">
        <v>45991</v>
      </c>
      <c r="B73" s="224">
        <v>0</v>
      </c>
      <c r="C73" s="221">
        <f t="shared" si="1"/>
        <v>4217375.4250000007</v>
      </c>
      <c r="D73" s="221">
        <f t="shared" si="0"/>
        <v>4217375.4250000007</v>
      </c>
      <c r="E73" s="221">
        <f t="shared" si="16"/>
        <v>25371.027660895837</v>
      </c>
      <c r="F73" s="222">
        <f t="shared" si="10"/>
        <v>11632.927213958334</v>
      </c>
      <c r="G73" s="221">
        <f t="shared" si="14"/>
        <v>-437232.88270735426</v>
      </c>
      <c r="H73" s="222">
        <f t="shared" si="14"/>
        <v>-195132.59460500005</v>
      </c>
      <c r="I73" s="221">
        <f t="shared" si="15"/>
        <v>3780142.5422926466</v>
      </c>
      <c r="J73" s="221">
        <f t="shared" si="15"/>
        <v>4022242.8303950005</v>
      </c>
      <c r="K73" s="221">
        <f t="shared" si="17"/>
        <v>242100.28810235392</v>
      </c>
      <c r="L73" s="221">
        <f t="shared" si="5"/>
        <v>-50841.060501494321</v>
      </c>
      <c r="M73" s="221">
        <f t="shared" si="6"/>
        <v>2885.0010938568012</v>
      </c>
      <c r="N73" s="223"/>
      <c r="O73" s="221"/>
      <c r="P73" s="158"/>
      <c r="Q73" s="158"/>
      <c r="R73" s="158"/>
      <c r="S73" s="158"/>
      <c r="T73" s="158"/>
      <c r="U73" s="158"/>
      <c r="V73" s="158"/>
      <c r="W73" s="158"/>
      <c r="X73" s="158"/>
      <c r="Y73" s="158"/>
      <c r="Z73" s="158"/>
      <c r="AA73" s="158"/>
      <c r="AB73" s="158"/>
      <c r="AC73" s="158"/>
      <c r="AD73" s="158"/>
      <c r="AE73" s="158"/>
      <c r="AF73" s="158"/>
      <c r="AG73" s="158"/>
      <c r="AH73" s="158"/>
    </row>
    <row r="74" spans="1:35" ht="15" x14ac:dyDescent="0.25">
      <c r="A74" s="219">
        <v>46022</v>
      </c>
      <c r="B74" s="224">
        <v>0</v>
      </c>
      <c r="C74" s="221">
        <f t="shared" si="1"/>
        <v>4217375.4250000007</v>
      </c>
      <c r="D74" s="221">
        <f t="shared" si="0"/>
        <v>4217375.4250000007</v>
      </c>
      <c r="E74" s="221">
        <f>($C$26*$G$6+($C$38-$C$26)*$F$6+($C$50-$C$38)*$E$6+($C$62-$C$50)*$D$6+($C$74-$C$62)*$C$6)/12</f>
        <v>25371.027660895837</v>
      </c>
      <c r="F74" s="222">
        <f t="shared" si="10"/>
        <v>11632.927213958334</v>
      </c>
      <c r="G74" s="221">
        <f t="shared" si="14"/>
        <v>-462603.9103682501</v>
      </c>
      <c r="H74" s="222">
        <f t="shared" si="14"/>
        <v>-206765.5218189584</v>
      </c>
      <c r="I74" s="221">
        <f t="shared" si="15"/>
        <v>3754771.5146317505</v>
      </c>
      <c r="J74" s="221">
        <f t="shared" si="15"/>
        <v>4010609.9031810425</v>
      </c>
      <c r="K74" s="221">
        <f t="shared" si="17"/>
        <v>255838.38854929199</v>
      </c>
      <c r="L74" s="221">
        <f t="shared" si="5"/>
        <v>-53726.061595351319</v>
      </c>
      <c r="M74" s="221">
        <f t="shared" si="6"/>
        <v>2885.0010938569976</v>
      </c>
      <c r="N74" s="223"/>
      <c r="O74" s="221"/>
      <c r="P74" s="158"/>
      <c r="Q74" s="158"/>
      <c r="R74" s="158"/>
      <c r="S74" s="158"/>
      <c r="T74" s="158"/>
      <c r="U74" s="158"/>
      <c r="V74" s="158"/>
      <c r="W74" s="158"/>
      <c r="X74" s="158"/>
      <c r="Y74" s="158"/>
      <c r="Z74" s="158"/>
      <c r="AA74" s="158"/>
      <c r="AB74" s="158"/>
      <c r="AC74" s="158"/>
      <c r="AD74" s="158"/>
      <c r="AE74" s="158"/>
      <c r="AF74" s="158"/>
      <c r="AG74" s="158"/>
      <c r="AH74" s="158"/>
    </row>
    <row r="75" spans="1:35" ht="15" x14ac:dyDescent="0.25">
      <c r="A75" s="246" t="s">
        <v>24</v>
      </c>
      <c r="B75" s="247"/>
      <c r="C75" s="248"/>
      <c r="D75" s="249">
        <f>D74-'TEP By Depr Grp'!AL9</f>
        <v>0</v>
      </c>
      <c r="E75" s="250">
        <f>G74+SUM(E15:E74)</f>
        <v>0</v>
      </c>
      <c r="F75" s="251">
        <f>H74+SUM(F21:F74)</f>
        <v>0</v>
      </c>
      <c r="G75" s="248"/>
      <c r="H75" s="252"/>
      <c r="I75" s="248"/>
      <c r="J75" s="248"/>
      <c r="K75" s="248"/>
      <c r="L75" s="248"/>
      <c r="M75" s="253"/>
      <c r="N75" s="223"/>
      <c r="O75" s="221"/>
      <c r="P75" s="158"/>
      <c r="Q75" s="158"/>
      <c r="R75" s="158"/>
      <c r="S75" s="158"/>
      <c r="T75" s="158"/>
      <c r="U75" s="158"/>
      <c r="V75" s="158"/>
      <c r="W75" s="158"/>
      <c r="X75" s="158"/>
      <c r="Y75" s="158"/>
      <c r="Z75" s="158"/>
      <c r="AA75" s="158"/>
      <c r="AB75" s="158"/>
      <c r="AC75" s="158"/>
      <c r="AD75" s="158"/>
      <c r="AE75" s="158"/>
      <c r="AF75" s="158"/>
      <c r="AG75" s="158"/>
      <c r="AH75" s="158"/>
    </row>
    <row r="76" spans="1:35" ht="15" x14ac:dyDescent="0.25">
      <c r="A76" s="158"/>
      <c r="B76" s="158"/>
      <c r="C76" s="158"/>
      <c r="D76" s="158"/>
      <c r="E76" s="158"/>
      <c r="F76" s="158"/>
      <c r="G76" s="158"/>
      <c r="H76" s="158"/>
      <c r="I76" s="158"/>
      <c r="J76" s="158"/>
      <c r="K76" s="158"/>
      <c r="L76" s="158"/>
      <c r="M76" s="158"/>
      <c r="N76" s="177"/>
      <c r="O76" s="221"/>
      <c r="P76" s="158"/>
      <c r="Q76" s="158"/>
      <c r="R76" s="158"/>
      <c r="S76" s="158"/>
      <c r="T76" s="158"/>
      <c r="U76" s="158"/>
      <c r="V76" s="158"/>
      <c r="W76" s="158"/>
      <c r="X76" s="158"/>
      <c r="Y76" s="158"/>
      <c r="Z76" s="158"/>
      <c r="AA76" s="158"/>
      <c r="AB76" s="158"/>
      <c r="AC76" s="158"/>
      <c r="AD76" s="158"/>
      <c r="AE76" s="158"/>
      <c r="AF76" s="158"/>
      <c r="AG76" s="158"/>
      <c r="AH76" s="158"/>
    </row>
    <row r="77" spans="1:35" ht="15" x14ac:dyDescent="0.25">
      <c r="A77" s="158"/>
      <c r="B77" s="158"/>
      <c r="C77" s="158"/>
      <c r="D77" s="158"/>
      <c r="E77" s="158"/>
      <c r="F77" s="158"/>
      <c r="G77" s="158"/>
      <c r="H77" s="158"/>
      <c r="I77" s="158"/>
      <c r="J77" s="158"/>
      <c r="K77" s="158"/>
      <c r="L77" s="158"/>
      <c r="M77" s="158"/>
      <c r="N77" s="177"/>
      <c r="O77" s="221"/>
      <c r="P77" s="158"/>
      <c r="Q77" s="158"/>
      <c r="R77" s="158"/>
      <c r="S77" s="158"/>
      <c r="T77" s="158"/>
      <c r="U77" s="158"/>
      <c r="V77" s="158"/>
      <c r="W77" s="158"/>
      <c r="X77" s="158"/>
      <c r="Y77" s="158"/>
      <c r="Z77" s="158"/>
      <c r="AA77" s="158"/>
      <c r="AB77" s="158"/>
      <c r="AC77" s="158"/>
      <c r="AD77" s="158"/>
      <c r="AE77" s="158"/>
      <c r="AF77" s="158"/>
      <c r="AG77" s="158"/>
      <c r="AH77" s="158"/>
    </row>
    <row r="78" spans="1:35" ht="15" x14ac:dyDescent="0.25">
      <c r="A78" s="158"/>
      <c r="B78" s="158"/>
      <c r="C78" s="158"/>
      <c r="D78" s="158"/>
      <c r="E78" s="158"/>
      <c r="F78" s="158"/>
      <c r="G78" s="158"/>
      <c r="H78" s="158"/>
      <c r="I78" s="158"/>
      <c r="J78" s="158"/>
      <c r="K78" s="158"/>
      <c r="L78" s="158"/>
      <c r="M78" s="158"/>
      <c r="N78" s="177"/>
      <c r="O78" s="221"/>
      <c r="P78" s="158"/>
      <c r="Q78" s="158"/>
      <c r="R78" s="158"/>
      <c r="S78" s="158"/>
      <c r="T78" s="158"/>
      <c r="U78" s="158"/>
      <c r="V78" s="158"/>
      <c r="W78" s="158"/>
      <c r="X78" s="158"/>
      <c r="Y78" s="158"/>
      <c r="Z78" s="158"/>
      <c r="AA78" s="158"/>
      <c r="AB78" s="158"/>
      <c r="AC78" s="158"/>
      <c r="AD78" s="158"/>
      <c r="AE78" s="158"/>
      <c r="AF78" s="158"/>
      <c r="AG78" s="158"/>
      <c r="AH78" s="158"/>
    </row>
    <row r="79" spans="1:35" ht="15" x14ac:dyDescent="0.25">
      <c r="A79" s="158"/>
      <c r="B79" s="158"/>
      <c r="C79" s="158"/>
      <c r="D79" s="158"/>
      <c r="E79" s="158"/>
      <c r="F79" s="158"/>
      <c r="G79" s="158"/>
      <c r="H79" s="158"/>
      <c r="I79" s="158"/>
      <c r="J79" s="158"/>
      <c r="K79" s="158"/>
      <c r="L79" s="158"/>
      <c r="M79" s="158"/>
      <c r="N79" s="177"/>
      <c r="O79" s="221"/>
      <c r="P79" s="158"/>
      <c r="Q79" s="158"/>
      <c r="R79" s="158"/>
      <c r="S79" s="158"/>
      <c r="T79" s="158"/>
      <c r="U79" s="158"/>
      <c r="V79" s="158"/>
      <c r="W79" s="158"/>
      <c r="X79" s="158"/>
      <c r="Y79" s="158"/>
      <c r="Z79" s="158"/>
      <c r="AA79" s="158"/>
      <c r="AB79" s="158"/>
      <c r="AC79" s="158"/>
      <c r="AD79" s="158"/>
      <c r="AE79" s="158"/>
      <c r="AF79" s="158"/>
      <c r="AG79" s="158"/>
      <c r="AH79" s="158"/>
    </row>
    <row r="80" spans="1:35" ht="15" x14ac:dyDescent="0.25">
      <c r="A80" s="158"/>
      <c r="B80" s="158"/>
      <c r="C80" s="158"/>
      <c r="D80" s="158"/>
      <c r="E80" s="158"/>
      <c r="F80" s="158"/>
      <c r="G80" s="158"/>
      <c r="H80" s="158"/>
      <c r="I80" s="158"/>
      <c r="J80" s="158"/>
      <c r="K80" s="158"/>
      <c r="L80" s="158"/>
      <c r="M80" s="158"/>
      <c r="N80" s="177"/>
      <c r="O80" s="221"/>
      <c r="P80" s="158"/>
      <c r="Q80" s="158"/>
      <c r="R80" s="158"/>
      <c r="S80" s="158"/>
      <c r="T80" s="158"/>
      <c r="U80" s="158"/>
      <c r="V80" s="158"/>
      <c r="W80" s="158"/>
      <c r="X80" s="158"/>
      <c r="Y80" s="158"/>
      <c r="Z80" s="158"/>
      <c r="AA80" s="158"/>
      <c r="AB80" s="158"/>
      <c r="AC80" s="158"/>
      <c r="AD80" s="158"/>
      <c r="AE80" s="158"/>
      <c r="AF80" s="158"/>
      <c r="AG80" s="158"/>
      <c r="AH80" s="158"/>
    </row>
    <row r="81" spans="1:43" ht="15" x14ac:dyDescent="0.25">
      <c r="A81" s="158"/>
      <c r="B81" s="158"/>
      <c r="C81" s="158"/>
      <c r="D81" s="158"/>
      <c r="E81" s="158"/>
      <c r="F81" s="158"/>
      <c r="G81" s="158"/>
      <c r="H81" s="158"/>
      <c r="I81" s="158"/>
      <c r="J81" s="158"/>
      <c r="K81" s="158"/>
      <c r="L81" s="158"/>
      <c r="M81" s="158"/>
      <c r="N81" s="177"/>
      <c r="O81" s="221"/>
      <c r="P81" s="158"/>
      <c r="Q81" s="158"/>
      <c r="R81" s="158"/>
      <c r="S81" s="158"/>
      <c r="T81" s="158"/>
      <c r="U81" s="158"/>
      <c r="V81" s="158"/>
      <c r="W81" s="158"/>
      <c r="X81" s="158"/>
      <c r="Y81" s="158"/>
      <c r="Z81" s="158"/>
      <c r="AA81" s="158"/>
      <c r="AB81" s="158"/>
      <c r="AC81" s="158"/>
      <c r="AD81" s="158"/>
      <c r="AE81" s="158"/>
      <c r="AF81" s="158"/>
      <c r="AG81" s="158"/>
      <c r="AH81" s="158"/>
    </row>
    <row r="82" spans="1:43" ht="15" x14ac:dyDescent="0.25">
      <c r="A82" s="158"/>
      <c r="B82" s="158"/>
      <c r="C82" s="158"/>
      <c r="D82" s="158"/>
      <c r="E82" s="158"/>
      <c r="F82" s="158"/>
      <c r="G82" s="158"/>
      <c r="H82" s="158"/>
      <c r="I82" s="158"/>
      <c r="J82" s="158"/>
      <c r="K82" s="158"/>
      <c r="L82" s="158"/>
      <c r="M82" s="158"/>
      <c r="N82" s="177"/>
      <c r="O82" s="221"/>
      <c r="P82" s="158"/>
      <c r="Q82" s="158"/>
      <c r="R82" s="158"/>
      <c r="S82" s="158"/>
      <c r="T82" s="158"/>
      <c r="U82" s="158"/>
      <c r="V82" s="158"/>
      <c r="W82" s="158"/>
      <c r="X82" s="158"/>
      <c r="Y82" s="158"/>
      <c r="Z82" s="158"/>
      <c r="AA82" s="158"/>
      <c r="AB82" s="158"/>
      <c r="AC82" s="158"/>
      <c r="AD82" s="158"/>
      <c r="AE82" s="158"/>
      <c r="AF82" s="158"/>
      <c r="AG82" s="158"/>
      <c r="AH82" s="158"/>
    </row>
    <row r="83" spans="1:43" ht="15" x14ac:dyDescent="0.25">
      <c r="A83" s="158"/>
      <c r="B83" s="158"/>
      <c r="C83" s="158"/>
      <c r="D83" s="158"/>
      <c r="E83" s="158"/>
      <c r="F83" s="158"/>
      <c r="G83" s="158"/>
      <c r="H83" s="158"/>
      <c r="I83" s="158"/>
      <c r="J83" s="158"/>
      <c r="K83" s="158"/>
      <c r="L83" s="158"/>
      <c r="M83" s="158"/>
      <c r="N83" s="177"/>
      <c r="O83" s="205"/>
      <c r="P83" s="158"/>
      <c r="Q83" s="158"/>
      <c r="R83" s="158"/>
      <c r="S83" s="158"/>
      <c r="T83" s="158"/>
      <c r="U83" s="158"/>
      <c r="V83" s="158"/>
      <c r="W83" s="158"/>
      <c r="X83" s="158"/>
      <c r="Y83" s="158"/>
      <c r="Z83" s="158"/>
      <c r="AA83" s="158"/>
      <c r="AB83" s="158"/>
      <c r="AC83" s="158"/>
      <c r="AD83" s="158"/>
      <c r="AE83" s="158"/>
      <c r="AF83" s="158"/>
      <c r="AG83" s="158"/>
      <c r="AH83" s="158"/>
    </row>
    <row r="84" spans="1:43" ht="15" x14ac:dyDescent="0.25">
      <c r="A84" s="158"/>
      <c r="B84" s="158"/>
      <c r="C84" s="158"/>
      <c r="D84" s="158"/>
      <c r="E84" s="158"/>
      <c r="F84" s="158"/>
      <c r="G84" s="158"/>
      <c r="H84" s="158"/>
      <c r="I84" s="158"/>
      <c r="J84" s="158"/>
      <c r="K84" s="158"/>
      <c r="L84" s="158"/>
      <c r="M84" s="158"/>
      <c r="N84" s="177"/>
      <c r="O84" s="205"/>
      <c r="P84" s="158"/>
      <c r="Q84" s="158"/>
      <c r="R84" s="158"/>
      <c r="S84" s="158"/>
      <c r="T84" s="158"/>
      <c r="U84" s="158"/>
      <c r="V84" s="158"/>
      <c r="W84" s="158"/>
      <c r="X84" s="158"/>
      <c r="Y84" s="158"/>
      <c r="Z84" s="158"/>
      <c r="AA84" s="158"/>
      <c r="AB84" s="158"/>
      <c r="AC84" s="158"/>
      <c r="AD84" s="158"/>
      <c r="AE84" s="158"/>
      <c r="AF84" s="158"/>
      <c r="AG84" s="158"/>
      <c r="AH84" s="158"/>
    </row>
    <row r="85" spans="1:43" ht="15" x14ac:dyDescent="0.25">
      <c r="A85" s="158"/>
      <c r="B85" s="158"/>
      <c r="C85" s="158"/>
      <c r="D85" s="158"/>
      <c r="E85" s="158"/>
      <c r="F85" s="158"/>
      <c r="G85" s="158"/>
      <c r="H85" s="158"/>
      <c r="I85" s="158"/>
      <c r="J85" s="158"/>
      <c r="K85" s="158"/>
      <c r="L85" s="158"/>
      <c r="M85" s="158"/>
      <c r="N85" s="177"/>
      <c r="P85" s="158"/>
      <c r="Q85" s="158"/>
      <c r="R85" s="158"/>
      <c r="S85" s="158"/>
      <c r="T85" s="158"/>
      <c r="U85" s="158"/>
      <c r="V85" s="158"/>
      <c r="W85" s="158"/>
      <c r="X85" s="158"/>
      <c r="Y85" s="158"/>
      <c r="Z85" s="158"/>
      <c r="AA85" s="158"/>
      <c r="AB85" s="158"/>
      <c r="AC85" s="158"/>
      <c r="AD85" s="158"/>
      <c r="AE85" s="158"/>
      <c r="AF85" s="158"/>
      <c r="AG85" s="158"/>
      <c r="AH85" s="158"/>
    </row>
    <row r="86" spans="1:43" ht="15" x14ac:dyDescent="0.25">
      <c r="A86" s="158"/>
      <c r="B86" s="158"/>
      <c r="C86" s="158"/>
      <c r="D86" s="158"/>
      <c r="E86" s="158"/>
      <c r="F86" s="158"/>
      <c r="G86" s="158"/>
      <c r="H86" s="158"/>
      <c r="I86" s="158"/>
      <c r="J86" s="158"/>
      <c r="K86" s="158"/>
      <c r="L86" s="158"/>
      <c r="M86" s="158"/>
      <c r="N86" s="177"/>
      <c r="O86" s="163"/>
      <c r="P86" s="158"/>
      <c r="Q86" s="158"/>
      <c r="R86" s="158"/>
      <c r="S86" s="158"/>
      <c r="T86" s="158"/>
      <c r="U86" s="158"/>
      <c r="V86" s="158"/>
      <c r="W86" s="158"/>
      <c r="X86" s="158"/>
      <c r="Y86" s="158"/>
      <c r="Z86" s="158"/>
      <c r="AA86" s="158"/>
      <c r="AB86" s="158"/>
      <c r="AC86" s="158"/>
      <c r="AD86" s="158"/>
      <c r="AE86" s="158"/>
      <c r="AF86" s="158"/>
      <c r="AG86" s="158"/>
      <c r="AH86" s="158"/>
    </row>
    <row r="87" spans="1:43" ht="15" x14ac:dyDescent="0.25">
      <c r="A87" s="158"/>
      <c r="B87" s="158"/>
      <c r="C87" s="158"/>
      <c r="D87" s="158"/>
      <c r="E87" s="158"/>
      <c r="F87" s="158"/>
      <c r="G87" s="158"/>
      <c r="H87" s="158"/>
      <c r="I87" s="158"/>
      <c r="J87" s="158"/>
      <c r="K87" s="158"/>
      <c r="L87" s="158"/>
      <c r="M87" s="158"/>
      <c r="P87" s="158"/>
      <c r="Q87" s="158"/>
      <c r="R87" s="158"/>
      <c r="S87" s="158"/>
      <c r="T87" s="158"/>
      <c r="U87" s="158"/>
      <c r="V87" s="158"/>
      <c r="W87" s="158"/>
      <c r="X87" s="158"/>
      <c r="Y87" s="158"/>
      <c r="Z87" s="158"/>
      <c r="AA87" s="158"/>
      <c r="AB87" s="158"/>
      <c r="AC87" s="158"/>
      <c r="AD87" s="158"/>
      <c r="AE87" s="158"/>
      <c r="AF87" s="158"/>
      <c r="AG87" s="158"/>
      <c r="AH87" s="158"/>
    </row>
    <row r="88" spans="1:43" ht="15" x14ac:dyDescent="0.25">
      <c r="A88" s="158"/>
      <c r="B88" s="158"/>
      <c r="C88" s="158"/>
      <c r="D88" s="158"/>
      <c r="E88" s="158"/>
      <c r="F88" s="158"/>
      <c r="G88" s="158"/>
      <c r="H88" s="158"/>
      <c r="I88" s="158"/>
      <c r="J88" s="158"/>
      <c r="K88" s="158"/>
      <c r="L88" s="158"/>
      <c r="M88" s="158"/>
      <c r="P88" s="158"/>
      <c r="Q88" s="158"/>
      <c r="R88" s="158"/>
      <c r="S88" s="158"/>
      <c r="T88" s="158"/>
      <c r="U88" s="158"/>
      <c r="V88" s="158"/>
      <c r="W88" s="158"/>
      <c r="X88" s="158"/>
      <c r="Y88" s="158"/>
      <c r="Z88" s="158"/>
      <c r="AA88" s="158"/>
      <c r="AB88" s="158"/>
      <c r="AC88" s="158"/>
      <c r="AD88" s="158"/>
      <c r="AE88" s="158"/>
      <c r="AF88" s="158"/>
      <c r="AG88" s="158"/>
      <c r="AH88" s="158"/>
    </row>
    <row r="89" spans="1:43" s="205" customFormat="1" ht="15" x14ac:dyDescent="0.25">
      <c r="A89" s="158"/>
      <c r="B89" s="158"/>
      <c r="C89" s="158"/>
      <c r="D89" s="158"/>
      <c r="E89" s="158"/>
      <c r="F89" s="158"/>
      <c r="G89" s="158"/>
      <c r="H89" s="158"/>
      <c r="I89" s="158"/>
      <c r="J89" s="158"/>
      <c r="K89" s="158"/>
      <c r="L89" s="158"/>
      <c r="M89" s="158"/>
      <c r="O89" s="178"/>
      <c r="P89" s="158"/>
      <c r="Q89" s="158"/>
      <c r="R89" s="158"/>
      <c r="S89" s="158"/>
      <c r="T89" s="158"/>
      <c r="U89" s="158"/>
      <c r="V89" s="158"/>
      <c r="W89" s="158"/>
      <c r="X89" s="158"/>
      <c r="Y89" s="158"/>
      <c r="Z89" s="158"/>
      <c r="AA89" s="158"/>
      <c r="AB89" s="158"/>
      <c r="AC89" s="158"/>
      <c r="AD89" s="158"/>
      <c r="AE89" s="158"/>
      <c r="AF89" s="158"/>
      <c r="AG89" s="158"/>
      <c r="AH89" s="158"/>
      <c r="AI89" s="178"/>
      <c r="AJ89" s="178"/>
      <c r="AK89" s="178"/>
      <c r="AL89" s="178"/>
      <c r="AM89" s="178"/>
    </row>
    <row r="90" spans="1:43" s="205" customFormat="1" ht="15" x14ac:dyDescent="0.25">
      <c r="A90" s="158"/>
      <c r="B90" s="158"/>
      <c r="C90" s="158"/>
      <c r="D90" s="158"/>
      <c r="E90" s="158"/>
      <c r="F90" s="158"/>
      <c r="G90" s="158"/>
      <c r="H90" s="158"/>
      <c r="I90" s="158"/>
      <c r="J90" s="158"/>
      <c r="K90" s="158"/>
      <c r="L90" s="158"/>
      <c r="M90" s="158"/>
      <c r="O90" s="178"/>
      <c r="P90" s="158"/>
      <c r="Q90" s="158"/>
      <c r="R90" s="158"/>
      <c r="S90" s="158"/>
      <c r="T90" s="158"/>
      <c r="U90" s="158"/>
      <c r="V90" s="158"/>
      <c r="W90" s="158"/>
      <c r="X90" s="158"/>
      <c r="Y90" s="158"/>
      <c r="Z90" s="158"/>
      <c r="AA90" s="158"/>
      <c r="AB90" s="158"/>
      <c r="AC90" s="158"/>
      <c r="AD90" s="158"/>
      <c r="AE90" s="158"/>
      <c r="AF90" s="158"/>
      <c r="AG90" s="158"/>
      <c r="AH90" s="158"/>
      <c r="AI90" s="178"/>
      <c r="AJ90" s="178"/>
      <c r="AK90" s="178"/>
      <c r="AL90" s="178"/>
      <c r="AM90" s="178"/>
    </row>
    <row r="91" spans="1:43" s="205" customFormat="1" ht="15" x14ac:dyDescent="0.25">
      <c r="A91" s="158"/>
      <c r="B91" s="158"/>
      <c r="C91" s="158"/>
      <c r="D91" s="158"/>
      <c r="E91" s="158"/>
      <c r="F91" s="158"/>
      <c r="G91" s="158"/>
      <c r="H91" s="158"/>
      <c r="I91" s="158"/>
      <c r="J91" s="158"/>
      <c r="K91" s="158"/>
      <c r="L91" s="158"/>
      <c r="M91" s="158"/>
      <c r="O91" s="178"/>
      <c r="P91" s="158"/>
      <c r="Q91" s="158"/>
      <c r="R91" s="158"/>
      <c r="S91" s="158"/>
      <c r="T91" s="158"/>
      <c r="U91" s="158"/>
      <c r="V91" s="158"/>
      <c r="W91" s="158"/>
      <c r="X91" s="158"/>
      <c r="Y91" s="158"/>
      <c r="Z91" s="158"/>
      <c r="AA91" s="158"/>
      <c r="AB91" s="158"/>
      <c r="AC91" s="158"/>
      <c r="AD91" s="158"/>
      <c r="AE91" s="158"/>
      <c r="AF91" s="158"/>
      <c r="AG91" s="158"/>
      <c r="AH91" s="158"/>
      <c r="AI91" s="178"/>
      <c r="AJ91" s="178"/>
      <c r="AK91" s="178"/>
      <c r="AL91" s="178"/>
      <c r="AM91" s="178"/>
    </row>
    <row r="92" spans="1:43" s="205" customFormat="1" ht="15" x14ac:dyDescent="0.25">
      <c r="A92" s="158"/>
      <c r="B92" s="158"/>
      <c r="C92" s="158"/>
      <c r="D92" s="158"/>
      <c r="E92" s="158"/>
      <c r="F92" s="158"/>
      <c r="G92" s="158"/>
      <c r="H92" s="158"/>
      <c r="I92" s="158"/>
      <c r="J92" s="158"/>
      <c r="K92" s="158"/>
      <c r="L92" s="158"/>
      <c r="M92" s="158"/>
      <c r="O92" s="178"/>
      <c r="P92" s="158"/>
      <c r="Q92" s="158"/>
      <c r="R92" s="158"/>
      <c r="S92" s="158"/>
      <c r="T92" s="158"/>
      <c r="U92" s="158"/>
      <c r="V92" s="158"/>
      <c r="W92" s="158"/>
      <c r="X92" s="158"/>
      <c r="Y92" s="158"/>
      <c r="Z92" s="158"/>
      <c r="AA92" s="158"/>
      <c r="AB92" s="158"/>
      <c r="AC92" s="158"/>
      <c r="AD92" s="158"/>
      <c r="AE92" s="158"/>
      <c r="AF92" s="158"/>
      <c r="AG92" s="158"/>
      <c r="AH92" s="158"/>
      <c r="AI92" s="178"/>
      <c r="AJ92" s="178"/>
      <c r="AK92" s="178"/>
      <c r="AL92" s="178"/>
      <c r="AM92" s="178"/>
      <c r="AN92" s="178"/>
      <c r="AO92" s="178"/>
      <c r="AP92" s="178"/>
      <c r="AQ92" s="178"/>
    </row>
    <row r="93" spans="1:43" s="205" customFormat="1" ht="15" x14ac:dyDescent="0.25">
      <c r="A93" s="158"/>
      <c r="B93" s="158"/>
      <c r="C93" s="158"/>
      <c r="D93" s="158"/>
      <c r="E93" s="158"/>
      <c r="F93" s="158"/>
      <c r="G93" s="158"/>
      <c r="H93" s="158"/>
      <c r="I93" s="158"/>
      <c r="J93" s="158"/>
      <c r="K93" s="158"/>
      <c r="L93" s="158"/>
      <c r="M93" s="158"/>
      <c r="O93" s="178"/>
      <c r="P93" s="158"/>
      <c r="Q93" s="158"/>
      <c r="R93" s="158"/>
      <c r="S93" s="158"/>
      <c r="T93" s="158"/>
      <c r="U93" s="158"/>
      <c r="V93" s="158"/>
      <c r="W93" s="158"/>
      <c r="X93" s="158"/>
      <c r="Y93" s="158"/>
      <c r="Z93" s="158"/>
      <c r="AA93" s="158"/>
      <c r="AB93" s="158"/>
      <c r="AC93" s="158"/>
      <c r="AD93" s="158"/>
      <c r="AE93" s="158"/>
      <c r="AF93" s="158"/>
      <c r="AG93" s="158"/>
      <c r="AH93" s="158"/>
      <c r="AI93" s="178"/>
      <c r="AJ93" s="178"/>
      <c r="AK93" s="178"/>
      <c r="AL93" s="178"/>
      <c r="AM93" s="178"/>
      <c r="AN93" s="178"/>
      <c r="AO93" s="178"/>
      <c r="AP93" s="178"/>
      <c r="AQ93" s="178"/>
    </row>
    <row r="94" spans="1:43" ht="15" x14ac:dyDescent="0.25">
      <c r="A94" s="158"/>
      <c r="B94" s="158"/>
      <c r="C94" s="158"/>
      <c r="D94" s="158"/>
      <c r="E94" s="158"/>
      <c r="F94" s="158"/>
      <c r="G94" s="158"/>
      <c r="H94" s="158"/>
      <c r="I94" s="158"/>
      <c r="J94" s="158"/>
      <c r="K94" s="158"/>
      <c r="L94" s="158"/>
      <c r="M94" s="158"/>
      <c r="P94" s="158"/>
      <c r="Q94" s="158"/>
      <c r="R94" s="158"/>
      <c r="S94" s="158"/>
      <c r="T94" s="158"/>
      <c r="U94" s="158"/>
      <c r="V94" s="158"/>
      <c r="W94" s="158"/>
      <c r="X94" s="158"/>
      <c r="Y94" s="158"/>
      <c r="Z94" s="158"/>
      <c r="AA94" s="158"/>
      <c r="AB94" s="158"/>
      <c r="AC94" s="158"/>
      <c r="AD94" s="158"/>
      <c r="AE94" s="158"/>
      <c r="AF94" s="158"/>
      <c r="AG94" s="158"/>
      <c r="AH94" s="158"/>
    </row>
    <row r="95" spans="1:43" ht="15" x14ac:dyDescent="0.25">
      <c r="A95" s="158"/>
      <c r="B95" s="158"/>
      <c r="C95" s="158"/>
      <c r="D95" s="158"/>
      <c r="E95" s="158"/>
      <c r="F95" s="158"/>
      <c r="G95" s="158"/>
      <c r="H95" s="158"/>
      <c r="I95" s="158"/>
      <c r="J95" s="158"/>
      <c r="K95" s="158"/>
      <c r="L95" s="158"/>
      <c r="M95" s="158"/>
      <c r="P95" s="158"/>
      <c r="Q95" s="158"/>
      <c r="R95" s="158"/>
      <c r="S95" s="158"/>
      <c r="T95" s="158"/>
      <c r="U95" s="158"/>
      <c r="V95" s="158"/>
      <c r="W95" s="158"/>
      <c r="X95" s="158"/>
      <c r="Y95" s="158"/>
      <c r="Z95" s="158"/>
      <c r="AA95" s="158"/>
      <c r="AB95" s="158"/>
      <c r="AC95" s="158"/>
      <c r="AD95" s="158"/>
      <c r="AE95" s="158"/>
      <c r="AF95" s="158"/>
      <c r="AG95" s="158"/>
      <c r="AH95" s="158"/>
    </row>
    <row r="96" spans="1:43" ht="15" x14ac:dyDescent="0.25">
      <c r="A96" s="261"/>
      <c r="B96" s="261"/>
      <c r="C96" s="261"/>
      <c r="D96" s="261"/>
      <c r="E96" s="261"/>
      <c r="F96" s="261"/>
      <c r="G96" s="261"/>
      <c r="H96" s="261"/>
      <c r="I96" s="261"/>
      <c r="J96" s="261"/>
      <c r="K96" s="261"/>
      <c r="L96" s="261"/>
      <c r="M96" s="261"/>
      <c r="P96" s="158"/>
      <c r="Q96" s="158"/>
      <c r="R96" s="158"/>
      <c r="S96" s="158"/>
      <c r="T96" s="158"/>
      <c r="U96" s="158"/>
      <c r="V96" s="158"/>
      <c r="W96" s="158"/>
      <c r="X96" s="158"/>
      <c r="Y96" s="158"/>
      <c r="Z96" s="158"/>
      <c r="AA96" s="158"/>
      <c r="AB96" s="158"/>
      <c r="AC96" s="158"/>
      <c r="AD96" s="158"/>
      <c r="AE96" s="158"/>
      <c r="AF96" s="158"/>
      <c r="AG96" s="158"/>
      <c r="AH96" s="158"/>
    </row>
    <row r="97" spans="1:34" ht="15" x14ac:dyDescent="0.25">
      <c r="A97" s="261"/>
      <c r="B97" s="261"/>
      <c r="C97" s="261"/>
      <c r="D97" s="261"/>
      <c r="E97" s="261"/>
      <c r="F97" s="261"/>
      <c r="G97" s="261"/>
      <c r="H97" s="261"/>
      <c r="I97" s="261"/>
      <c r="J97" s="261"/>
      <c r="K97" s="261"/>
      <c r="L97" s="261"/>
      <c r="M97" s="261"/>
      <c r="P97" s="158"/>
      <c r="Q97" s="158"/>
      <c r="R97" s="158"/>
      <c r="S97" s="158"/>
      <c r="T97" s="158"/>
      <c r="U97" s="158"/>
      <c r="V97" s="158"/>
      <c r="W97" s="158"/>
      <c r="X97" s="158"/>
      <c r="Y97" s="158"/>
      <c r="Z97" s="158"/>
      <c r="AA97" s="158"/>
      <c r="AB97" s="158"/>
      <c r="AC97" s="158"/>
      <c r="AD97" s="158"/>
      <c r="AE97" s="158"/>
      <c r="AF97" s="158"/>
      <c r="AG97" s="158"/>
      <c r="AH97" s="158"/>
    </row>
    <row r="98" spans="1:34" ht="15" x14ac:dyDescent="0.25">
      <c r="A98" s="261"/>
      <c r="B98" s="261"/>
      <c r="C98" s="261"/>
      <c r="D98" s="261"/>
      <c r="E98" s="261"/>
      <c r="F98" s="261"/>
      <c r="G98" s="261"/>
      <c r="H98" s="261"/>
      <c r="I98" s="261"/>
      <c r="J98" s="261"/>
      <c r="K98" s="261"/>
      <c r="L98" s="261"/>
      <c r="M98" s="261"/>
      <c r="P98" s="158"/>
      <c r="Q98" s="158"/>
      <c r="R98" s="158"/>
      <c r="S98" s="158"/>
      <c r="T98" s="158"/>
      <c r="U98" s="158"/>
      <c r="V98" s="158"/>
      <c r="W98" s="158"/>
      <c r="X98" s="158"/>
      <c r="Y98" s="158"/>
      <c r="Z98" s="158"/>
      <c r="AA98" s="158"/>
      <c r="AB98" s="158"/>
      <c r="AC98" s="158"/>
      <c r="AD98" s="158"/>
      <c r="AE98" s="158"/>
      <c r="AF98" s="158"/>
      <c r="AG98" s="158"/>
      <c r="AH98" s="158"/>
    </row>
    <row r="99" spans="1:34" ht="15" x14ac:dyDescent="0.25">
      <c r="A99" s="261"/>
      <c r="B99" s="261"/>
      <c r="C99" s="261"/>
      <c r="D99" s="261"/>
      <c r="E99" s="261"/>
      <c r="F99" s="261"/>
      <c r="G99" s="261"/>
      <c r="H99" s="261"/>
      <c r="I99" s="261"/>
      <c r="J99" s="261"/>
      <c r="K99" s="261"/>
      <c r="L99" s="261"/>
      <c r="M99" s="261"/>
      <c r="P99" s="158"/>
      <c r="Q99" s="158"/>
      <c r="R99" s="158"/>
      <c r="S99" s="158"/>
      <c r="T99" s="158"/>
      <c r="U99" s="158"/>
      <c r="V99" s="158"/>
      <c r="W99" s="158"/>
      <c r="X99" s="158"/>
      <c r="Y99" s="158"/>
      <c r="Z99" s="158"/>
      <c r="AA99" s="158"/>
      <c r="AB99" s="158"/>
      <c r="AC99" s="158"/>
      <c r="AD99" s="158"/>
      <c r="AE99" s="158"/>
      <c r="AF99" s="158"/>
      <c r="AG99" s="158"/>
      <c r="AH99" s="158"/>
    </row>
    <row r="100" spans="1:34" ht="15" x14ac:dyDescent="0.25">
      <c r="A100" s="261"/>
      <c r="B100" s="261"/>
      <c r="C100" s="261"/>
      <c r="D100" s="261"/>
      <c r="E100" s="261"/>
      <c r="F100" s="261"/>
      <c r="G100" s="261"/>
      <c r="H100" s="261"/>
      <c r="I100" s="261"/>
      <c r="J100" s="261"/>
      <c r="K100" s="261"/>
      <c r="L100" s="261"/>
      <c r="M100" s="261"/>
      <c r="P100" s="158"/>
      <c r="Q100" s="158"/>
      <c r="R100" s="158"/>
      <c r="S100" s="158"/>
      <c r="T100" s="158"/>
      <c r="U100" s="158"/>
      <c r="V100" s="158"/>
      <c r="W100" s="158"/>
      <c r="X100" s="158"/>
      <c r="Y100" s="158"/>
      <c r="Z100" s="158"/>
      <c r="AA100" s="158"/>
      <c r="AB100" s="158"/>
      <c r="AC100" s="158"/>
      <c r="AD100" s="158"/>
      <c r="AE100" s="158"/>
      <c r="AF100" s="158"/>
      <c r="AG100" s="158"/>
      <c r="AH100" s="158"/>
    </row>
    <row r="101" spans="1:34" ht="15" x14ac:dyDescent="0.25">
      <c r="A101" s="261"/>
      <c r="B101" s="261"/>
      <c r="C101" s="261"/>
      <c r="D101" s="261"/>
      <c r="E101" s="261"/>
      <c r="F101" s="261"/>
      <c r="G101" s="261"/>
      <c r="H101" s="261"/>
      <c r="I101" s="261"/>
      <c r="J101" s="261"/>
      <c r="K101" s="261"/>
      <c r="L101" s="261"/>
      <c r="M101" s="261"/>
      <c r="P101" s="158"/>
      <c r="Q101" s="158"/>
      <c r="R101" s="158"/>
      <c r="S101" s="158"/>
      <c r="T101" s="158"/>
      <c r="U101" s="158"/>
      <c r="V101" s="158"/>
      <c r="W101" s="158"/>
      <c r="X101" s="158"/>
      <c r="Y101" s="158"/>
      <c r="Z101" s="158"/>
      <c r="AA101" s="158"/>
      <c r="AB101" s="158"/>
      <c r="AC101" s="158"/>
      <c r="AD101" s="158"/>
      <c r="AE101" s="158"/>
      <c r="AF101" s="158"/>
      <c r="AG101" s="158"/>
      <c r="AH101" s="158"/>
    </row>
    <row r="102" spans="1:34" ht="15" x14ac:dyDescent="0.25">
      <c r="A102" s="261"/>
      <c r="B102" s="261"/>
      <c r="C102" s="261"/>
      <c r="D102" s="261"/>
      <c r="E102" s="261"/>
      <c r="F102" s="261"/>
      <c r="G102" s="261"/>
      <c r="H102" s="261"/>
      <c r="I102" s="261"/>
      <c r="J102" s="261"/>
      <c r="K102" s="261"/>
      <c r="L102" s="261"/>
      <c r="M102" s="261"/>
      <c r="P102" s="158"/>
      <c r="Q102" s="158"/>
      <c r="R102" s="158"/>
      <c r="S102" s="158"/>
      <c r="T102" s="158"/>
      <c r="U102" s="158"/>
      <c r="V102" s="158"/>
      <c r="W102" s="158"/>
      <c r="X102" s="158"/>
      <c r="Y102" s="158"/>
      <c r="Z102" s="158"/>
      <c r="AA102" s="158"/>
      <c r="AB102" s="158"/>
      <c r="AC102" s="158"/>
      <c r="AD102" s="158"/>
      <c r="AE102" s="158"/>
      <c r="AF102" s="158"/>
      <c r="AG102" s="158"/>
      <c r="AH102" s="158"/>
    </row>
    <row r="103" spans="1:34" ht="15" x14ac:dyDescent="0.25">
      <c r="A103" s="261"/>
      <c r="B103" s="261"/>
      <c r="C103" s="261"/>
      <c r="D103" s="261"/>
      <c r="E103" s="261"/>
      <c r="F103" s="261"/>
      <c r="G103" s="261"/>
      <c r="H103" s="261"/>
      <c r="I103" s="261"/>
      <c r="J103" s="261"/>
      <c r="K103" s="261"/>
      <c r="L103" s="261"/>
      <c r="M103" s="261"/>
      <c r="P103" s="158"/>
      <c r="Q103" s="158"/>
      <c r="R103" s="158"/>
      <c r="S103" s="158"/>
      <c r="T103" s="158"/>
      <c r="U103" s="158"/>
      <c r="V103" s="158"/>
      <c r="W103" s="158"/>
      <c r="X103" s="158"/>
      <c r="Y103" s="158"/>
      <c r="Z103" s="158"/>
      <c r="AA103" s="158"/>
      <c r="AB103" s="158"/>
      <c r="AC103" s="158"/>
      <c r="AD103" s="158"/>
      <c r="AE103" s="158"/>
      <c r="AF103" s="158"/>
      <c r="AG103" s="158"/>
      <c r="AH103" s="158"/>
    </row>
    <row r="104" spans="1:34" ht="15" x14ac:dyDescent="0.25">
      <c r="A104" s="261"/>
      <c r="B104" s="261"/>
      <c r="C104" s="261"/>
      <c r="D104" s="261"/>
      <c r="E104" s="261"/>
      <c r="F104" s="261"/>
      <c r="G104" s="261"/>
      <c r="H104" s="261"/>
      <c r="I104" s="261"/>
      <c r="J104" s="261"/>
      <c r="K104" s="261"/>
      <c r="L104" s="261"/>
      <c r="M104" s="261"/>
      <c r="P104" s="158"/>
      <c r="Q104" s="158"/>
      <c r="R104" s="158"/>
      <c r="S104" s="158"/>
      <c r="T104" s="158"/>
      <c r="U104" s="158"/>
      <c r="V104" s="158"/>
      <c r="W104" s="158"/>
      <c r="X104" s="158"/>
      <c r="Y104" s="158"/>
      <c r="Z104" s="158"/>
      <c r="AA104" s="158"/>
      <c r="AB104" s="158"/>
      <c r="AC104" s="158"/>
      <c r="AD104" s="158"/>
      <c r="AE104" s="158"/>
      <c r="AF104" s="158"/>
      <c r="AG104" s="158"/>
      <c r="AH104" s="158"/>
    </row>
    <row r="105" spans="1:34" ht="15" x14ac:dyDescent="0.25">
      <c r="A105" s="261"/>
      <c r="B105" s="261"/>
      <c r="C105" s="261"/>
      <c r="D105" s="261"/>
      <c r="E105" s="261"/>
      <c r="F105" s="261"/>
      <c r="G105" s="261"/>
      <c r="H105" s="261"/>
      <c r="I105" s="261"/>
      <c r="J105" s="261"/>
      <c r="K105" s="261"/>
      <c r="L105" s="261"/>
      <c r="M105" s="261"/>
      <c r="P105" s="158"/>
      <c r="Q105" s="158"/>
      <c r="R105" s="158"/>
      <c r="S105" s="158"/>
      <c r="T105" s="158"/>
      <c r="U105" s="158"/>
      <c r="V105" s="158"/>
      <c r="W105" s="158"/>
      <c r="X105" s="158"/>
      <c r="Y105" s="158"/>
      <c r="Z105" s="158"/>
      <c r="AA105" s="158"/>
      <c r="AB105" s="158"/>
      <c r="AC105" s="158"/>
      <c r="AD105" s="158"/>
      <c r="AE105" s="158"/>
      <c r="AF105" s="158"/>
      <c r="AG105" s="158"/>
      <c r="AH105" s="158"/>
    </row>
    <row r="106" spans="1:34" ht="15" x14ac:dyDescent="0.25">
      <c r="A106" s="261"/>
      <c r="B106" s="261"/>
      <c r="C106" s="261"/>
      <c r="D106" s="261"/>
      <c r="E106" s="261"/>
      <c r="F106" s="261"/>
      <c r="G106" s="261"/>
      <c r="H106" s="261"/>
      <c r="I106" s="261"/>
      <c r="J106" s="261"/>
      <c r="K106" s="261"/>
      <c r="L106" s="261"/>
      <c r="M106" s="261"/>
      <c r="P106" s="158"/>
      <c r="Q106" s="158"/>
      <c r="R106" s="158"/>
      <c r="S106" s="158"/>
      <c r="T106" s="158"/>
      <c r="U106" s="158"/>
      <c r="V106" s="158"/>
      <c r="W106" s="158"/>
      <c r="X106" s="158"/>
      <c r="Y106" s="158"/>
      <c r="Z106" s="158"/>
      <c r="AA106" s="158"/>
      <c r="AB106" s="158"/>
      <c r="AC106" s="158"/>
      <c r="AD106" s="158"/>
      <c r="AE106" s="158"/>
      <c r="AF106" s="158"/>
      <c r="AG106" s="158"/>
      <c r="AH106" s="158"/>
    </row>
    <row r="107" spans="1:34" ht="15" x14ac:dyDescent="0.25">
      <c r="A107" s="261"/>
      <c r="B107" s="261"/>
      <c r="C107" s="261"/>
      <c r="D107" s="261"/>
      <c r="E107" s="261"/>
      <c r="F107" s="261"/>
      <c r="G107" s="261"/>
      <c r="H107" s="261"/>
      <c r="I107" s="261"/>
      <c r="J107" s="261"/>
      <c r="K107" s="261"/>
      <c r="L107" s="261"/>
      <c r="M107" s="261"/>
      <c r="P107" s="158"/>
      <c r="Q107" s="158"/>
      <c r="R107" s="158"/>
      <c r="S107" s="158"/>
      <c r="T107" s="158"/>
      <c r="U107" s="158"/>
      <c r="V107" s="158"/>
      <c r="W107" s="158"/>
      <c r="X107" s="158"/>
      <c r="Y107" s="158"/>
      <c r="Z107" s="158"/>
      <c r="AA107" s="158"/>
      <c r="AB107" s="158"/>
      <c r="AC107" s="158"/>
      <c r="AD107" s="158"/>
      <c r="AE107" s="158"/>
      <c r="AF107" s="158"/>
      <c r="AG107" s="158"/>
      <c r="AH107" s="158"/>
    </row>
    <row r="108" spans="1:34" ht="15" x14ac:dyDescent="0.25">
      <c r="A108" s="261"/>
      <c r="B108" s="261"/>
      <c r="C108" s="261"/>
      <c r="D108" s="261"/>
      <c r="E108" s="261"/>
      <c r="F108" s="261"/>
      <c r="G108" s="261"/>
      <c r="H108" s="261"/>
      <c r="I108" s="261"/>
      <c r="J108" s="261"/>
      <c r="K108" s="261"/>
      <c r="L108" s="261"/>
      <c r="M108" s="261"/>
      <c r="P108" s="158"/>
      <c r="Q108" s="158"/>
      <c r="R108" s="158"/>
      <c r="S108" s="158"/>
      <c r="T108" s="158"/>
      <c r="U108" s="158"/>
      <c r="V108" s="158"/>
      <c r="W108" s="158"/>
      <c r="X108" s="158"/>
      <c r="Y108" s="158"/>
      <c r="Z108" s="158"/>
      <c r="AA108" s="158"/>
      <c r="AB108" s="158"/>
      <c r="AC108" s="158"/>
      <c r="AD108" s="158"/>
      <c r="AE108" s="158"/>
      <c r="AF108" s="158"/>
      <c r="AG108" s="158"/>
      <c r="AH108" s="158"/>
    </row>
    <row r="109" spans="1:34" ht="15" x14ac:dyDescent="0.25">
      <c r="A109" s="261"/>
      <c r="B109" s="261"/>
      <c r="C109" s="261"/>
      <c r="D109" s="261"/>
      <c r="E109" s="261"/>
      <c r="F109" s="261"/>
      <c r="G109" s="261"/>
      <c r="H109" s="261"/>
      <c r="I109" s="261"/>
      <c r="J109" s="261"/>
      <c r="K109" s="261"/>
      <c r="L109" s="261"/>
      <c r="M109" s="261"/>
      <c r="P109" s="158"/>
      <c r="Q109" s="158"/>
      <c r="R109" s="158"/>
      <c r="S109" s="158"/>
      <c r="T109" s="158"/>
      <c r="U109" s="158"/>
      <c r="V109" s="158"/>
      <c r="W109" s="158"/>
      <c r="X109" s="158"/>
      <c r="Y109" s="158"/>
      <c r="Z109" s="158"/>
      <c r="AA109" s="158"/>
      <c r="AB109" s="158"/>
      <c r="AC109" s="158"/>
      <c r="AD109" s="158"/>
      <c r="AE109" s="158"/>
      <c r="AF109" s="158"/>
      <c r="AG109" s="158"/>
      <c r="AH109" s="158"/>
    </row>
    <row r="110" spans="1:34" ht="15" x14ac:dyDescent="0.25">
      <c r="A110" s="261"/>
      <c r="B110" s="261"/>
      <c r="C110" s="261"/>
      <c r="D110" s="261"/>
      <c r="E110" s="261"/>
      <c r="F110" s="261"/>
      <c r="G110" s="261"/>
      <c r="H110" s="261"/>
      <c r="I110" s="261"/>
      <c r="J110" s="261"/>
      <c r="K110" s="261"/>
      <c r="L110" s="261"/>
      <c r="M110" s="261"/>
      <c r="P110" s="158"/>
      <c r="Q110" s="158"/>
      <c r="R110" s="158"/>
      <c r="S110" s="158"/>
      <c r="T110" s="158"/>
      <c r="U110" s="158"/>
      <c r="V110" s="158"/>
      <c r="W110" s="158"/>
      <c r="X110" s="158"/>
      <c r="Y110" s="158"/>
      <c r="Z110" s="158"/>
      <c r="AA110" s="158"/>
      <c r="AB110" s="158"/>
      <c r="AC110" s="158"/>
      <c r="AD110" s="158"/>
      <c r="AE110" s="158"/>
      <c r="AF110" s="158"/>
      <c r="AG110" s="158"/>
      <c r="AH110" s="158"/>
    </row>
    <row r="111" spans="1:34" ht="15" x14ac:dyDescent="0.25">
      <c r="A111" s="261"/>
      <c r="B111" s="261"/>
      <c r="C111" s="261"/>
      <c r="D111" s="261"/>
      <c r="E111" s="261"/>
      <c r="F111" s="261"/>
      <c r="G111" s="261"/>
      <c r="H111" s="261"/>
      <c r="I111" s="261"/>
      <c r="J111" s="261"/>
      <c r="K111" s="261"/>
      <c r="L111" s="261"/>
      <c r="M111" s="261"/>
      <c r="P111" s="158"/>
      <c r="Q111" s="158"/>
      <c r="R111" s="158"/>
      <c r="S111" s="158"/>
      <c r="T111" s="158"/>
      <c r="U111" s="158"/>
      <c r="V111" s="158"/>
      <c r="W111" s="158"/>
      <c r="X111" s="158"/>
      <c r="Y111" s="158"/>
      <c r="Z111" s="158"/>
      <c r="AA111" s="158"/>
      <c r="AB111" s="158"/>
      <c r="AC111" s="158"/>
      <c r="AD111" s="158"/>
      <c r="AE111" s="158"/>
      <c r="AF111" s="158"/>
      <c r="AG111" s="158"/>
      <c r="AH111" s="158"/>
    </row>
    <row r="112" spans="1:34" ht="15" x14ac:dyDescent="0.25">
      <c r="A112" s="261"/>
      <c r="B112" s="261"/>
      <c r="C112" s="261"/>
      <c r="D112" s="261"/>
      <c r="E112" s="261"/>
      <c r="F112" s="261"/>
      <c r="G112" s="261"/>
      <c r="H112" s="261"/>
      <c r="I112" s="261"/>
      <c r="J112" s="261"/>
      <c r="K112" s="261"/>
      <c r="L112" s="261"/>
      <c r="M112" s="261"/>
      <c r="P112" s="158"/>
      <c r="Q112" s="158"/>
      <c r="R112" s="158"/>
      <c r="S112" s="158"/>
      <c r="T112" s="158"/>
      <c r="U112" s="158"/>
      <c r="V112" s="158"/>
      <c r="W112" s="158"/>
      <c r="X112" s="158"/>
      <c r="Y112" s="158"/>
      <c r="Z112" s="158"/>
      <c r="AA112" s="158"/>
      <c r="AB112" s="158"/>
      <c r="AC112" s="158"/>
      <c r="AD112" s="158"/>
      <c r="AE112" s="158"/>
      <c r="AF112" s="158"/>
      <c r="AG112" s="158"/>
      <c r="AH112" s="158"/>
    </row>
    <row r="113" spans="1:34" ht="15" x14ac:dyDescent="0.25">
      <c r="A113" s="261"/>
      <c r="B113" s="261"/>
      <c r="C113" s="261"/>
      <c r="D113" s="261"/>
      <c r="E113" s="261"/>
      <c r="F113" s="261"/>
      <c r="G113" s="261"/>
      <c r="H113" s="261"/>
      <c r="I113" s="261"/>
      <c r="J113" s="261"/>
      <c r="K113" s="261"/>
      <c r="L113" s="261"/>
      <c r="M113" s="261"/>
      <c r="P113" s="158"/>
      <c r="Q113" s="158"/>
      <c r="R113" s="158"/>
      <c r="S113" s="158"/>
      <c r="T113" s="158"/>
      <c r="U113" s="158"/>
      <c r="V113" s="158"/>
      <c r="W113" s="158"/>
      <c r="X113" s="158"/>
      <c r="Y113" s="158"/>
      <c r="Z113" s="158"/>
      <c r="AA113" s="158"/>
      <c r="AB113" s="158"/>
      <c r="AC113" s="158"/>
      <c r="AD113" s="158"/>
      <c r="AE113" s="158"/>
      <c r="AF113" s="158"/>
      <c r="AG113" s="158"/>
      <c r="AH113" s="158"/>
    </row>
    <row r="114" spans="1:34" ht="15" x14ac:dyDescent="0.25">
      <c r="A114" s="261"/>
      <c r="B114" s="261"/>
      <c r="C114" s="261"/>
      <c r="D114" s="261"/>
      <c r="E114" s="261"/>
      <c r="F114" s="261"/>
      <c r="G114" s="261"/>
      <c r="H114" s="261"/>
      <c r="I114" s="261"/>
      <c r="J114" s="261"/>
      <c r="K114" s="261"/>
      <c r="L114" s="261"/>
      <c r="M114" s="261"/>
      <c r="P114" s="158"/>
      <c r="Q114" s="158"/>
      <c r="R114" s="158"/>
      <c r="S114" s="158"/>
      <c r="T114" s="158"/>
      <c r="U114" s="158"/>
      <c r="V114" s="158"/>
      <c r="W114" s="158"/>
      <c r="X114" s="158"/>
      <c r="Y114" s="158"/>
      <c r="Z114" s="158"/>
      <c r="AA114" s="158"/>
      <c r="AB114" s="158"/>
      <c r="AC114" s="158"/>
      <c r="AD114" s="158"/>
      <c r="AE114" s="158"/>
      <c r="AF114" s="158"/>
      <c r="AG114" s="158"/>
      <c r="AH114" s="158"/>
    </row>
    <row r="115" spans="1:34" ht="15" x14ac:dyDescent="0.25">
      <c r="A115" s="261"/>
      <c r="B115" s="261"/>
      <c r="C115" s="261"/>
      <c r="D115" s="261"/>
      <c r="E115" s="261"/>
      <c r="F115" s="261"/>
      <c r="G115" s="261"/>
      <c r="H115" s="261"/>
      <c r="I115" s="261"/>
      <c r="J115" s="261"/>
      <c r="K115" s="261"/>
      <c r="L115" s="261"/>
      <c r="M115" s="261"/>
      <c r="P115" s="158"/>
      <c r="Q115" s="158"/>
      <c r="R115" s="158"/>
      <c r="S115" s="158"/>
      <c r="T115" s="158"/>
      <c r="U115" s="158"/>
      <c r="V115" s="158"/>
      <c r="W115" s="158"/>
      <c r="X115" s="158"/>
      <c r="Y115" s="158"/>
      <c r="Z115" s="158"/>
      <c r="AA115" s="158"/>
      <c r="AB115" s="158"/>
      <c r="AC115" s="158"/>
      <c r="AD115" s="158"/>
      <c r="AE115" s="158"/>
      <c r="AF115" s="158"/>
      <c r="AG115" s="158"/>
      <c r="AH115" s="158"/>
    </row>
    <row r="116" spans="1:34" ht="15" x14ac:dyDescent="0.25">
      <c r="A116" s="261"/>
      <c r="B116" s="261"/>
      <c r="C116" s="261"/>
      <c r="D116" s="261"/>
      <c r="E116" s="261"/>
      <c r="F116" s="261"/>
      <c r="G116" s="261"/>
      <c r="H116" s="261"/>
      <c r="I116" s="261"/>
      <c r="J116" s="261"/>
      <c r="K116" s="261"/>
      <c r="L116" s="261"/>
      <c r="M116" s="261"/>
      <c r="P116" s="158"/>
      <c r="Q116" s="158"/>
      <c r="R116" s="158"/>
      <c r="S116" s="158"/>
      <c r="T116" s="158"/>
      <c r="U116" s="158"/>
      <c r="V116" s="158"/>
      <c r="W116" s="158"/>
      <c r="X116" s="158"/>
      <c r="Y116" s="158"/>
      <c r="Z116" s="158"/>
      <c r="AA116" s="158"/>
      <c r="AB116" s="158"/>
      <c r="AC116" s="158"/>
      <c r="AD116" s="158"/>
      <c r="AE116" s="158"/>
      <c r="AF116" s="158"/>
      <c r="AG116" s="158"/>
      <c r="AH116" s="158"/>
    </row>
    <row r="117" spans="1:34" ht="15" x14ac:dyDescent="0.25">
      <c r="A117" s="261"/>
      <c r="B117" s="261"/>
      <c r="C117" s="261"/>
      <c r="D117" s="261"/>
      <c r="E117" s="261"/>
      <c r="F117" s="261"/>
      <c r="G117" s="261"/>
      <c r="H117" s="261"/>
      <c r="I117" s="261"/>
      <c r="J117" s="261"/>
      <c r="K117" s="261"/>
      <c r="L117" s="261"/>
      <c r="M117" s="261"/>
      <c r="P117" s="158"/>
      <c r="Q117" s="158"/>
      <c r="R117" s="158"/>
      <c r="S117" s="158"/>
      <c r="T117" s="158"/>
      <c r="U117" s="158"/>
      <c r="V117" s="158"/>
      <c r="W117" s="158"/>
      <c r="X117" s="158"/>
      <c r="Y117" s="158"/>
      <c r="Z117" s="158"/>
      <c r="AA117" s="158"/>
      <c r="AB117" s="158"/>
      <c r="AC117" s="158"/>
      <c r="AD117" s="158"/>
      <c r="AE117" s="158"/>
      <c r="AF117" s="158"/>
      <c r="AG117" s="158"/>
      <c r="AH117" s="158"/>
    </row>
    <row r="118" spans="1:34" ht="15" x14ac:dyDescent="0.25">
      <c r="A118" s="261"/>
      <c r="B118" s="261"/>
      <c r="C118" s="261"/>
      <c r="D118" s="261"/>
      <c r="E118" s="261"/>
      <c r="F118" s="261"/>
      <c r="G118" s="261"/>
      <c r="H118" s="261"/>
      <c r="I118" s="261"/>
      <c r="J118" s="261"/>
      <c r="K118" s="261"/>
      <c r="L118" s="261"/>
      <c r="M118" s="261"/>
      <c r="P118" s="158"/>
      <c r="Q118" s="158"/>
      <c r="R118" s="158"/>
      <c r="S118" s="158"/>
      <c r="T118" s="158"/>
      <c r="U118" s="158"/>
      <c r="V118" s="158"/>
      <c r="W118" s="158"/>
      <c r="X118" s="158"/>
      <c r="Y118" s="158"/>
      <c r="Z118" s="158"/>
      <c r="AA118" s="158"/>
      <c r="AB118" s="158"/>
      <c r="AC118" s="158"/>
      <c r="AD118" s="158"/>
      <c r="AE118" s="158"/>
      <c r="AF118" s="158"/>
      <c r="AG118" s="158"/>
      <c r="AH118" s="158"/>
    </row>
    <row r="119" spans="1:34" ht="15" x14ac:dyDescent="0.25">
      <c r="A119" s="261"/>
      <c r="B119" s="261"/>
      <c r="C119" s="261"/>
      <c r="D119" s="261"/>
      <c r="E119" s="261"/>
      <c r="F119" s="261"/>
      <c r="G119" s="261"/>
      <c r="H119" s="261"/>
      <c r="I119" s="261"/>
      <c r="J119" s="261"/>
      <c r="K119" s="261"/>
      <c r="L119" s="261"/>
      <c r="M119" s="261"/>
      <c r="P119" s="158"/>
      <c r="Q119" s="158"/>
      <c r="R119" s="158"/>
      <c r="S119" s="158"/>
      <c r="T119" s="158"/>
      <c r="U119" s="158"/>
      <c r="V119" s="158"/>
      <c r="W119" s="158"/>
      <c r="X119" s="158"/>
      <c r="Y119" s="158"/>
      <c r="Z119" s="158"/>
      <c r="AA119" s="158"/>
      <c r="AB119" s="158"/>
      <c r="AC119" s="158"/>
      <c r="AD119" s="158"/>
      <c r="AE119" s="158"/>
      <c r="AF119" s="158"/>
      <c r="AG119" s="158"/>
      <c r="AH119" s="158"/>
    </row>
    <row r="120" spans="1:34" ht="15" x14ac:dyDescent="0.25">
      <c r="A120" s="261"/>
      <c r="B120" s="261"/>
      <c r="C120" s="261"/>
      <c r="D120" s="261"/>
      <c r="E120" s="261"/>
      <c r="F120" s="261"/>
      <c r="G120" s="261"/>
      <c r="H120" s="261"/>
      <c r="I120" s="261"/>
      <c r="J120" s="261"/>
      <c r="K120" s="261"/>
      <c r="L120" s="261"/>
      <c r="M120" s="261"/>
      <c r="P120" s="158"/>
      <c r="Q120" s="158"/>
      <c r="R120" s="158"/>
      <c r="S120" s="158"/>
      <c r="T120" s="158"/>
      <c r="U120" s="158"/>
      <c r="V120" s="158"/>
      <c r="W120" s="158"/>
      <c r="X120" s="158"/>
      <c r="Y120" s="158"/>
      <c r="Z120" s="158"/>
      <c r="AA120" s="158"/>
      <c r="AB120" s="158"/>
      <c r="AC120" s="158"/>
      <c r="AD120" s="158"/>
      <c r="AE120" s="158"/>
      <c r="AF120" s="158"/>
      <c r="AG120" s="158"/>
      <c r="AH120" s="158"/>
    </row>
    <row r="121" spans="1:34" ht="15" x14ac:dyDescent="0.25">
      <c r="A121" s="261"/>
      <c r="B121" s="261"/>
      <c r="C121" s="261"/>
      <c r="D121" s="261"/>
      <c r="E121" s="261"/>
      <c r="F121" s="261"/>
      <c r="G121" s="261"/>
      <c r="H121" s="261"/>
      <c r="I121" s="261"/>
      <c r="J121" s="261"/>
      <c r="K121" s="261"/>
      <c r="L121" s="261"/>
      <c r="M121" s="261"/>
      <c r="P121" s="158"/>
      <c r="Q121" s="158"/>
      <c r="R121" s="158"/>
      <c r="S121" s="158"/>
      <c r="T121" s="158"/>
      <c r="U121" s="158"/>
      <c r="V121" s="158"/>
      <c r="W121" s="158"/>
      <c r="X121" s="158"/>
      <c r="Y121" s="158"/>
      <c r="Z121" s="158"/>
      <c r="AA121" s="158"/>
      <c r="AB121" s="158"/>
      <c r="AC121" s="158"/>
      <c r="AD121" s="158"/>
      <c r="AE121" s="158"/>
      <c r="AF121" s="158"/>
      <c r="AG121" s="158"/>
      <c r="AH121" s="158"/>
    </row>
    <row r="122" spans="1:34" ht="15" x14ac:dyDescent="0.25">
      <c r="A122" s="261"/>
      <c r="B122" s="261"/>
      <c r="C122" s="261"/>
      <c r="D122" s="261"/>
      <c r="E122" s="261"/>
      <c r="F122" s="261"/>
      <c r="G122" s="261"/>
      <c r="H122" s="261"/>
      <c r="I122" s="261"/>
      <c r="J122" s="261"/>
      <c r="K122" s="261"/>
      <c r="L122" s="261"/>
      <c r="M122" s="261"/>
      <c r="P122" s="158"/>
      <c r="Q122" s="158"/>
      <c r="R122" s="158"/>
      <c r="S122" s="158"/>
      <c r="T122" s="158"/>
      <c r="U122" s="158"/>
      <c r="V122" s="158"/>
      <c r="W122" s="158"/>
      <c r="X122" s="158"/>
      <c r="Y122" s="158"/>
      <c r="Z122" s="158"/>
      <c r="AA122" s="158"/>
      <c r="AB122" s="158"/>
      <c r="AC122" s="158"/>
      <c r="AD122" s="158"/>
      <c r="AE122" s="158"/>
      <c r="AF122" s="158"/>
      <c r="AG122" s="158"/>
      <c r="AH122" s="158"/>
    </row>
    <row r="123" spans="1:34" ht="15" x14ac:dyDescent="0.25">
      <c r="P123" s="158"/>
      <c r="Q123" s="158"/>
      <c r="R123" s="158"/>
      <c r="S123" s="158"/>
      <c r="T123" s="158"/>
      <c r="U123" s="158"/>
      <c r="V123" s="158"/>
      <c r="W123" s="158"/>
      <c r="X123" s="158"/>
      <c r="Y123" s="158"/>
      <c r="Z123" s="158"/>
      <c r="AA123" s="158"/>
      <c r="AB123" s="158"/>
      <c r="AC123" s="158"/>
      <c r="AD123" s="158"/>
      <c r="AE123" s="158"/>
      <c r="AF123" s="158"/>
      <c r="AG123" s="158"/>
      <c r="AH123" s="158"/>
    </row>
    <row r="124" spans="1:34" ht="15" x14ac:dyDescent="0.25">
      <c r="P124" s="158"/>
      <c r="Q124" s="158"/>
      <c r="R124" s="158"/>
      <c r="S124" s="158"/>
      <c r="T124" s="158"/>
      <c r="U124" s="158"/>
      <c r="V124" s="158"/>
      <c r="W124" s="158"/>
      <c r="X124" s="158"/>
      <c r="Y124" s="158"/>
      <c r="Z124" s="158"/>
      <c r="AA124" s="158"/>
      <c r="AB124" s="158"/>
      <c r="AC124" s="158"/>
      <c r="AD124" s="158"/>
      <c r="AE124" s="158"/>
      <c r="AF124" s="158"/>
      <c r="AG124" s="158"/>
      <c r="AH124" s="158"/>
    </row>
    <row r="125" spans="1:34" ht="15" x14ac:dyDescent="0.25">
      <c r="P125" s="158"/>
      <c r="Q125" s="158"/>
      <c r="R125" s="158"/>
      <c r="S125" s="158"/>
      <c r="T125" s="158"/>
      <c r="U125" s="158"/>
      <c r="V125" s="158"/>
      <c r="W125" s="158"/>
      <c r="X125" s="158"/>
      <c r="Y125" s="158"/>
      <c r="Z125" s="158"/>
      <c r="AA125" s="158"/>
      <c r="AB125" s="158"/>
      <c r="AC125" s="158"/>
      <c r="AD125" s="158"/>
      <c r="AE125" s="158"/>
      <c r="AF125" s="158"/>
      <c r="AG125" s="158"/>
      <c r="AH125" s="158"/>
    </row>
    <row r="126" spans="1:34" ht="15" x14ac:dyDescent="0.25">
      <c r="P126" s="158"/>
      <c r="Q126" s="158"/>
      <c r="R126" s="158"/>
      <c r="S126" s="158"/>
      <c r="T126" s="158"/>
      <c r="U126" s="158"/>
      <c r="V126" s="158"/>
      <c r="W126" s="158"/>
      <c r="X126" s="158"/>
      <c r="Y126" s="158"/>
      <c r="Z126" s="158"/>
      <c r="AA126" s="158"/>
      <c r="AB126" s="158"/>
      <c r="AC126" s="158"/>
      <c r="AD126" s="158"/>
      <c r="AE126" s="158"/>
      <c r="AF126" s="158"/>
      <c r="AG126" s="158"/>
      <c r="AH126" s="158"/>
    </row>
    <row r="127" spans="1:34" ht="15" x14ac:dyDescent="0.25">
      <c r="P127" s="158"/>
      <c r="Q127" s="158"/>
      <c r="R127" s="158"/>
      <c r="S127" s="158"/>
      <c r="T127" s="158"/>
      <c r="U127" s="158"/>
      <c r="V127" s="158"/>
      <c r="W127" s="158"/>
      <c r="X127" s="158"/>
      <c r="Y127" s="158"/>
      <c r="Z127" s="158"/>
      <c r="AA127" s="158"/>
      <c r="AB127" s="158"/>
      <c r="AC127" s="158"/>
      <c r="AD127" s="158"/>
      <c r="AE127" s="158"/>
      <c r="AF127" s="158"/>
      <c r="AG127" s="158"/>
      <c r="AH127" s="158"/>
    </row>
    <row r="128" spans="1:34" ht="15" x14ac:dyDescent="0.25">
      <c r="P128" s="158"/>
      <c r="Q128" s="158"/>
      <c r="R128" s="158"/>
      <c r="S128" s="158"/>
      <c r="T128" s="158"/>
      <c r="U128" s="158"/>
      <c r="V128" s="158"/>
      <c r="W128" s="158"/>
      <c r="X128" s="158"/>
      <c r="Y128" s="158"/>
      <c r="Z128" s="158"/>
      <c r="AA128" s="158"/>
      <c r="AB128" s="158"/>
      <c r="AC128" s="158"/>
      <c r="AD128" s="158"/>
      <c r="AE128" s="158"/>
      <c r="AF128" s="158"/>
      <c r="AG128" s="158"/>
      <c r="AH128" s="158"/>
    </row>
    <row r="129" spans="16:34" ht="15" x14ac:dyDescent="0.25">
      <c r="P129" s="158"/>
      <c r="Q129" s="158"/>
      <c r="R129" s="158"/>
      <c r="S129" s="158"/>
      <c r="T129" s="158"/>
      <c r="U129" s="158"/>
      <c r="V129" s="158"/>
      <c r="W129" s="158"/>
      <c r="X129" s="158"/>
      <c r="Y129" s="158"/>
      <c r="Z129" s="158"/>
      <c r="AA129" s="158"/>
      <c r="AB129" s="158"/>
      <c r="AC129" s="158"/>
      <c r="AD129" s="158"/>
      <c r="AE129" s="158"/>
      <c r="AF129" s="158"/>
      <c r="AG129" s="158"/>
      <c r="AH129" s="158"/>
    </row>
    <row r="130" spans="16:34" ht="15" x14ac:dyDescent="0.25">
      <c r="P130" s="158"/>
      <c r="Q130" s="158"/>
      <c r="R130" s="158"/>
      <c r="S130" s="158"/>
      <c r="T130" s="158"/>
      <c r="U130" s="158"/>
      <c r="V130" s="158"/>
      <c r="W130" s="158"/>
      <c r="X130" s="158"/>
      <c r="Y130" s="158"/>
      <c r="Z130" s="158"/>
      <c r="AA130" s="158"/>
      <c r="AB130" s="158"/>
      <c r="AC130" s="158"/>
      <c r="AD130" s="158"/>
      <c r="AE130" s="158"/>
      <c r="AF130" s="158"/>
      <c r="AG130" s="158"/>
      <c r="AH130" s="158"/>
    </row>
    <row r="131" spans="16:34" ht="15" x14ac:dyDescent="0.25">
      <c r="P131" s="158"/>
      <c r="Q131" s="158"/>
      <c r="R131" s="158"/>
      <c r="S131" s="158"/>
      <c r="T131" s="158"/>
      <c r="U131" s="158"/>
      <c r="V131" s="158"/>
      <c r="W131" s="158"/>
      <c r="X131" s="158"/>
      <c r="Y131" s="158"/>
      <c r="Z131" s="158"/>
      <c r="AA131" s="158"/>
      <c r="AB131" s="158"/>
      <c r="AC131" s="158"/>
      <c r="AD131" s="158"/>
      <c r="AE131" s="158"/>
      <c r="AF131" s="158"/>
      <c r="AG131" s="158"/>
      <c r="AH131" s="158"/>
    </row>
    <row r="132" spans="16:34" ht="15" x14ac:dyDescent="0.25">
      <c r="P132" s="158"/>
      <c r="Q132" s="158"/>
      <c r="R132" s="158"/>
      <c r="S132" s="158"/>
      <c r="T132" s="158"/>
      <c r="U132" s="158"/>
      <c r="V132" s="158"/>
      <c r="W132" s="158"/>
      <c r="X132" s="158"/>
      <c r="Y132" s="158"/>
      <c r="Z132" s="158"/>
      <c r="AA132" s="158"/>
      <c r="AB132" s="158"/>
      <c r="AC132" s="158"/>
      <c r="AD132" s="158"/>
      <c r="AE132" s="158"/>
      <c r="AF132" s="158"/>
      <c r="AG132" s="158"/>
      <c r="AH132" s="158"/>
    </row>
    <row r="133" spans="16:34" ht="15" x14ac:dyDescent="0.25">
      <c r="P133" s="158"/>
      <c r="Q133" s="158"/>
      <c r="R133" s="158"/>
      <c r="S133" s="158"/>
      <c r="T133" s="158"/>
      <c r="U133" s="158"/>
      <c r="V133" s="158"/>
      <c r="W133" s="158"/>
      <c r="X133" s="158"/>
      <c r="Y133" s="158"/>
      <c r="Z133" s="158"/>
      <c r="AA133" s="158"/>
      <c r="AB133" s="158"/>
      <c r="AC133" s="158"/>
      <c r="AD133" s="158"/>
      <c r="AE133" s="158"/>
      <c r="AF133" s="158"/>
      <c r="AG133" s="158"/>
      <c r="AH133" s="158"/>
    </row>
    <row r="134" spans="16:34" ht="15" x14ac:dyDescent="0.25">
      <c r="P134" s="158"/>
      <c r="Q134" s="158"/>
      <c r="R134" s="158"/>
      <c r="S134" s="158"/>
      <c r="T134" s="158"/>
      <c r="U134" s="158"/>
      <c r="V134" s="158"/>
      <c r="W134" s="158"/>
      <c r="X134" s="158"/>
      <c r="Y134" s="158"/>
      <c r="Z134" s="158"/>
      <c r="AA134" s="158"/>
      <c r="AB134" s="158"/>
      <c r="AC134" s="158"/>
      <c r="AD134" s="158"/>
      <c r="AE134" s="158"/>
      <c r="AF134" s="158"/>
      <c r="AG134" s="158"/>
      <c r="AH134" s="158"/>
    </row>
    <row r="135" spans="16:34" ht="15" x14ac:dyDescent="0.25">
      <c r="P135" s="158"/>
      <c r="Q135" s="158"/>
      <c r="R135" s="158"/>
      <c r="S135" s="158"/>
      <c r="T135" s="158"/>
      <c r="U135" s="158"/>
      <c r="V135" s="158"/>
      <c r="W135" s="158"/>
      <c r="X135" s="158"/>
      <c r="Y135" s="158"/>
      <c r="Z135" s="158"/>
      <c r="AA135" s="158"/>
      <c r="AB135" s="158"/>
      <c r="AC135" s="158"/>
      <c r="AD135" s="158"/>
      <c r="AE135" s="158"/>
      <c r="AF135" s="158"/>
      <c r="AG135" s="158"/>
      <c r="AH135" s="158"/>
    </row>
    <row r="136" spans="16:34" ht="15" x14ac:dyDescent="0.25">
      <c r="P136" s="158"/>
      <c r="Q136" s="158"/>
      <c r="R136" s="158"/>
      <c r="S136" s="158"/>
      <c r="T136" s="158"/>
      <c r="U136" s="158"/>
      <c r="V136" s="158"/>
      <c r="W136" s="158"/>
      <c r="X136" s="158"/>
      <c r="Y136" s="158"/>
      <c r="Z136" s="158"/>
      <c r="AA136" s="158"/>
      <c r="AB136" s="158"/>
      <c r="AC136" s="158"/>
      <c r="AD136" s="158"/>
      <c r="AE136" s="158"/>
      <c r="AF136" s="158"/>
      <c r="AG136" s="158"/>
      <c r="AH136" s="158"/>
    </row>
    <row r="137" spans="16:34" ht="15" x14ac:dyDescent="0.25">
      <c r="P137" s="158"/>
      <c r="Q137" s="158"/>
      <c r="R137" s="158"/>
      <c r="S137" s="158"/>
      <c r="T137" s="158"/>
      <c r="U137" s="158"/>
      <c r="V137" s="158"/>
      <c r="W137" s="158"/>
      <c r="X137" s="158"/>
      <c r="Y137" s="158"/>
      <c r="Z137" s="158"/>
      <c r="AA137" s="158"/>
      <c r="AB137" s="158"/>
      <c r="AC137" s="158"/>
      <c r="AD137" s="158"/>
      <c r="AE137" s="158"/>
      <c r="AF137" s="158"/>
      <c r="AG137" s="158"/>
      <c r="AH137" s="158"/>
    </row>
    <row r="138" spans="16:34" ht="15" x14ac:dyDescent="0.25">
      <c r="P138" s="158"/>
      <c r="Q138" s="158"/>
      <c r="R138" s="158"/>
      <c r="S138" s="158"/>
      <c r="T138" s="158"/>
      <c r="U138" s="158"/>
      <c r="V138" s="158"/>
      <c r="W138" s="158"/>
      <c r="X138" s="158"/>
      <c r="Y138" s="158"/>
      <c r="Z138" s="158"/>
      <c r="AA138" s="158"/>
      <c r="AB138" s="158"/>
      <c r="AC138" s="158"/>
      <c r="AD138" s="158"/>
      <c r="AE138" s="158"/>
      <c r="AF138" s="158"/>
      <c r="AG138" s="158"/>
      <c r="AH138" s="158"/>
    </row>
    <row r="139" spans="16:34" ht="15" x14ac:dyDescent="0.25">
      <c r="P139" s="158"/>
      <c r="Q139" s="158"/>
      <c r="R139" s="158"/>
      <c r="S139" s="158"/>
      <c r="T139" s="158"/>
      <c r="U139" s="158"/>
      <c r="V139" s="158"/>
      <c r="W139" s="158"/>
      <c r="X139" s="158"/>
      <c r="Y139" s="158"/>
      <c r="Z139" s="158"/>
      <c r="AA139" s="158"/>
      <c r="AB139" s="158"/>
      <c r="AC139" s="158"/>
      <c r="AD139" s="158"/>
      <c r="AE139" s="158"/>
      <c r="AF139" s="158"/>
      <c r="AG139" s="158"/>
      <c r="AH139" s="158"/>
    </row>
    <row r="140" spans="16:34" ht="15" x14ac:dyDescent="0.25">
      <c r="P140" s="158"/>
      <c r="Q140" s="158"/>
      <c r="R140" s="158"/>
      <c r="S140" s="158"/>
      <c r="T140" s="158"/>
      <c r="U140" s="158"/>
      <c r="V140" s="158"/>
      <c r="W140" s="158"/>
      <c r="X140" s="158"/>
      <c r="Y140" s="158"/>
      <c r="Z140" s="158"/>
      <c r="AA140" s="158"/>
      <c r="AB140" s="158"/>
      <c r="AC140" s="158"/>
      <c r="AD140" s="158"/>
      <c r="AE140" s="158"/>
      <c r="AF140" s="158"/>
      <c r="AG140" s="158"/>
      <c r="AH140" s="158"/>
    </row>
    <row r="141" spans="16:34" ht="15" x14ac:dyDescent="0.25">
      <c r="P141" s="158"/>
      <c r="Q141" s="158"/>
      <c r="R141" s="158"/>
      <c r="S141" s="158"/>
      <c r="T141" s="158"/>
      <c r="U141" s="158"/>
      <c r="V141" s="158"/>
      <c r="W141" s="158"/>
      <c r="X141" s="158"/>
      <c r="Y141" s="158"/>
      <c r="Z141" s="158"/>
      <c r="AA141" s="158"/>
      <c r="AB141" s="158"/>
      <c r="AC141" s="158"/>
      <c r="AD141" s="158"/>
      <c r="AE141" s="158"/>
      <c r="AF141" s="158"/>
      <c r="AG141" s="158"/>
      <c r="AH141" s="158"/>
    </row>
    <row r="142" spans="16:34" ht="15" x14ac:dyDescent="0.25">
      <c r="P142" s="158"/>
      <c r="Q142" s="158"/>
      <c r="R142" s="158"/>
      <c r="S142" s="158"/>
      <c r="T142" s="158"/>
      <c r="U142" s="158"/>
      <c r="V142" s="158"/>
      <c r="W142" s="158"/>
      <c r="X142" s="158"/>
      <c r="Y142" s="158"/>
      <c r="Z142" s="158"/>
      <c r="AA142" s="158"/>
      <c r="AB142" s="158"/>
      <c r="AC142" s="158"/>
      <c r="AD142" s="158"/>
      <c r="AE142" s="158"/>
      <c r="AF142" s="158"/>
      <c r="AG142" s="158"/>
      <c r="AH142" s="158"/>
    </row>
    <row r="143" spans="16:34" ht="15" x14ac:dyDescent="0.25">
      <c r="P143" s="158"/>
      <c r="Q143" s="158"/>
      <c r="R143" s="158"/>
      <c r="S143" s="158"/>
      <c r="T143" s="158"/>
      <c r="U143" s="158"/>
      <c r="V143" s="158"/>
      <c r="W143" s="158"/>
      <c r="X143" s="158"/>
      <c r="Y143" s="158"/>
      <c r="Z143" s="158"/>
      <c r="AA143" s="158"/>
      <c r="AB143" s="158"/>
      <c r="AC143" s="158"/>
      <c r="AD143" s="158"/>
      <c r="AE143" s="158"/>
      <c r="AF143" s="158"/>
      <c r="AG143" s="158"/>
      <c r="AH143" s="158"/>
    </row>
    <row r="144" spans="16:34" ht="15" x14ac:dyDescent="0.25">
      <c r="P144" s="158"/>
      <c r="Q144" s="158"/>
      <c r="R144" s="158"/>
      <c r="S144" s="158"/>
      <c r="T144" s="158"/>
      <c r="U144" s="158"/>
      <c r="V144" s="158"/>
      <c r="W144" s="158"/>
      <c r="X144" s="158"/>
      <c r="Y144" s="158"/>
      <c r="Z144" s="158"/>
      <c r="AA144" s="158"/>
      <c r="AB144" s="158"/>
      <c r="AC144" s="158"/>
      <c r="AD144" s="158"/>
      <c r="AE144" s="158"/>
      <c r="AF144" s="158"/>
      <c r="AG144" s="158"/>
      <c r="AH144" s="158"/>
    </row>
    <row r="145" spans="16:34" ht="15" x14ac:dyDescent="0.25">
      <c r="P145" s="158"/>
      <c r="Q145" s="158"/>
      <c r="R145" s="158"/>
      <c r="S145" s="158"/>
      <c r="T145" s="158"/>
      <c r="U145" s="158"/>
      <c r="V145" s="158"/>
      <c r="W145" s="158"/>
      <c r="X145" s="158"/>
      <c r="Y145" s="158"/>
      <c r="Z145" s="158"/>
      <c r="AA145" s="158"/>
      <c r="AB145" s="158"/>
      <c r="AC145" s="158"/>
      <c r="AD145" s="158"/>
      <c r="AE145" s="158"/>
      <c r="AF145" s="158"/>
      <c r="AG145" s="158"/>
      <c r="AH145" s="158"/>
    </row>
    <row r="146" spans="16:34" ht="15" x14ac:dyDescent="0.25">
      <c r="P146" s="158"/>
      <c r="Q146" s="158"/>
      <c r="R146" s="158"/>
      <c r="S146" s="158"/>
      <c r="T146" s="158"/>
      <c r="U146" s="158"/>
      <c r="V146" s="158"/>
      <c r="W146" s="158"/>
      <c r="X146" s="158"/>
      <c r="Y146" s="158"/>
      <c r="Z146" s="158"/>
      <c r="AA146" s="158"/>
      <c r="AB146" s="158"/>
      <c r="AC146" s="158"/>
      <c r="AD146" s="158"/>
      <c r="AE146" s="158"/>
      <c r="AF146" s="158"/>
      <c r="AG146" s="158"/>
      <c r="AH146" s="158"/>
    </row>
    <row r="147" spans="16:34" ht="15" x14ac:dyDescent="0.25">
      <c r="P147" s="158"/>
      <c r="Q147" s="158"/>
      <c r="R147" s="158"/>
      <c r="S147" s="158"/>
      <c r="T147" s="158"/>
      <c r="U147" s="158"/>
      <c r="V147" s="158"/>
      <c r="W147" s="158"/>
      <c r="X147" s="158"/>
      <c r="Y147" s="158"/>
      <c r="Z147" s="158"/>
      <c r="AA147" s="158"/>
      <c r="AB147" s="158"/>
      <c r="AC147" s="158"/>
      <c r="AD147" s="158"/>
      <c r="AE147" s="158"/>
      <c r="AF147" s="158"/>
      <c r="AG147" s="158"/>
      <c r="AH147" s="158"/>
    </row>
    <row r="148" spans="16:34" ht="15" x14ac:dyDescent="0.25">
      <c r="P148" s="158"/>
      <c r="Q148" s="158"/>
      <c r="R148" s="158"/>
      <c r="S148" s="158"/>
      <c r="T148" s="158"/>
      <c r="U148" s="158"/>
      <c r="V148" s="158"/>
      <c r="W148" s="158"/>
      <c r="X148" s="158"/>
      <c r="Y148" s="158"/>
      <c r="Z148" s="158"/>
      <c r="AA148" s="158"/>
      <c r="AB148" s="158"/>
      <c r="AC148" s="158"/>
      <c r="AD148" s="158"/>
      <c r="AE148" s="158"/>
      <c r="AF148" s="158"/>
      <c r="AG148" s="158"/>
      <c r="AH148" s="158"/>
    </row>
    <row r="149" spans="16:34" ht="15" x14ac:dyDescent="0.25">
      <c r="P149" s="158"/>
      <c r="Q149" s="158"/>
      <c r="R149" s="158"/>
      <c r="S149" s="158"/>
      <c r="T149" s="158"/>
      <c r="U149" s="158"/>
      <c r="V149" s="158"/>
      <c r="W149" s="158"/>
      <c r="X149" s="158"/>
      <c r="Y149" s="158"/>
      <c r="Z149" s="158"/>
      <c r="AA149" s="158"/>
      <c r="AB149" s="158"/>
      <c r="AC149" s="158"/>
      <c r="AD149" s="158"/>
      <c r="AE149" s="158"/>
      <c r="AF149" s="158"/>
      <c r="AG149" s="158"/>
      <c r="AH149" s="158"/>
    </row>
    <row r="150" spans="16:34" ht="15" x14ac:dyDescent="0.25">
      <c r="P150" s="158"/>
      <c r="Q150" s="158"/>
      <c r="R150" s="158"/>
      <c r="S150" s="158"/>
      <c r="T150" s="158"/>
      <c r="U150" s="158"/>
      <c r="V150" s="158"/>
      <c r="W150" s="158"/>
      <c r="X150" s="158"/>
      <c r="Y150" s="158"/>
      <c r="Z150" s="158"/>
      <c r="AA150" s="158"/>
      <c r="AB150" s="158"/>
      <c r="AC150" s="158"/>
      <c r="AD150" s="158"/>
      <c r="AE150" s="158"/>
      <c r="AF150" s="158"/>
      <c r="AG150" s="158"/>
      <c r="AH150" s="158"/>
    </row>
    <row r="151" spans="16:34" ht="15" x14ac:dyDescent="0.25">
      <c r="P151" s="158"/>
      <c r="Q151" s="158"/>
      <c r="R151" s="158"/>
      <c r="S151" s="158"/>
      <c r="T151" s="158"/>
      <c r="U151" s="158"/>
      <c r="V151" s="158"/>
      <c r="W151" s="158"/>
      <c r="X151" s="158"/>
      <c r="Y151" s="158"/>
      <c r="Z151" s="158"/>
      <c r="AA151" s="158"/>
      <c r="AB151" s="158"/>
      <c r="AC151" s="158"/>
      <c r="AD151" s="158"/>
      <c r="AE151" s="158"/>
      <c r="AF151" s="158"/>
      <c r="AG151" s="158"/>
      <c r="AH151" s="158"/>
    </row>
    <row r="152" spans="16:34" ht="15" x14ac:dyDescent="0.25">
      <c r="P152" s="158"/>
      <c r="Q152" s="158"/>
      <c r="R152" s="158"/>
      <c r="S152" s="158"/>
      <c r="T152" s="158"/>
      <c r="U152" s="158"/>
      <c r="V152" s="158"/>
      <c r="W152" s="158"/>
      <c r="X152" s="158"/>
      <c r="Y152" s="158"/>
      <c r="Z152" s="158"/>
      <c r="AA152" s="158"/>
      <c r="AB152" s="158"/>
      <c r="AC152" s="158"/>
      <c r="AD152" s="158"/>
      <c r="AE152" s="158"/>
      <c r="AF152" s="158"/>
      <c r="AG152" s="158"/>
      <c r="AH152" s="158"/>
    </row>
    <row r="153" spans="16:34" ht="15" x14ac:dyDescent="0.25">
      <c r="P153" s="158"/>
      <c r="Q153" s="158"/>
      <c r="R153" s="158"/>
      <c r="S153" s="158"/>
      <c r="T153" s="158"/>
      <c r="U153" s="158"/>
      <c r="V153" s="158"/>
      <c r="W153" s="158"/>
      <c r="X153" s="158"/>
      <c r="Y153" s="158"/>
      <c r="Z153" s="158"/>
      <c r="AA153" s="158"/>
      <c r="AB153" s="158"/>
      <c r="AC153" s="158"/>
      <c r="AD153" s="158"/>
      <c r="AE153" s="158"/>
      <c r="AF153" s="158"/>
      <c r="AG153" s="158"/>
      <c r="AH153" s="158"/>
    </row>
    <row r="154" spans="16:34" ht="15" x14ac:dyDescent="0.25">
      <c r="P154" s="158"/>
      <c r="Q154" s="158"/>
      <c r="R154" s="158"/>
      <c r="S154" s="158"/>
      <c r="T154" s="158"/>
      <c r="U154" s="158"/>
      <c r="V154" s="158"/>
      <c r="W154" s="158"/>
      <c r="X154" s="158"/>
      <c r="Y154" s="158"/>
      <c r="Z154" s="158"/>
      <c r="AA154" s="158"/>
      <c r="AB154" s="158"/>
      <c r="AC154" s="158"/>
      <c r="AD154" s="158"/>
      <c r="AE154" s="158"/>
      <c r="AF154" s="158"/>
      <c r="AG154" s="158"/>
      <c r="AH154" s="158"/>
    </row>
    <row r="155" spans="16:34" ht="15" x14ac:dyDescent="0.25">
      <c r="P155" s="158"/>
      <c r="Q155" s="158"/>
      <c r="R155" s="158"/>
      <c r="S155" s="158"/>
      <c r="T155" s="158"/>
      <c r="U155" s="158"/>
      <c r="V155" s="158"/>
      <c r="W155" s="158"/>
      <c r="X155" s="158"/>
      <c r="Y155" s="158"/>
      <c r="Z155" s="158"/>
      <c r="AA155" s="158"/>
      <c r="AB155" s="158"/>
      <c r="AC155" s="158"/>
      <c r="AD155" s="158"/>
      <c r="AE155" s="158"/>
      <c r="AF155" s="158"/>
      <c r="AG155" s="158"/>
      <c r="AH155" s="158"/>
    </row>
    <row r="156" spans="16:34" ht="15" x14ac:dyDescent="0.25">
      <c r="P156" s="158"/>
      <c r="Q156" s="158"/>
      <c r="R156" s="158"/>
      <c r="S156" s="158"/>
      <c r="T156" s="158"/>
      <c r="U156" s="158"/>
      <c r="V156" s="158"/>
      <c r="W156" s="158"/>
      <c r="X156" s="158"/>
      <c r="Y156" s="158"/>
      <c r="Z156" s="158"/>
      <c r="AA156" s="158"/>
      <c r="AB156" s="158"/>
      <c r="AC156" s="158"/>
      <c r="AD156" s="158"/>
      <c r="AE156" s="158"/>
      <c r="AF156" s="158"/>
      <c r="AG156" s="158"/>
      <c r="AH156" s="158"/>
    </row>
    <row r="157" spans="16:34" ht="15" x14ac:dyDescent="0.25">
      <c r="P157" s="158"/>
      <c r="Q157" s="158"/>
      <c r="R157" s="158"/>
      <c r="S157" s="158"/>
      <c r="T157" s="158"/>
      <c r="U157" s="158"/>
      <c r="V157" s="158"/>
      <c r="W157" s="158"/>
      <c r="X157" s="158"/>
      <c r="Y157" s="158"/>
      <c r="Z157" s="158"/>
      <c r="AA157" s="158"/>
      <c r="AB157" s="158"/>
      <c r="AC157" s="158"/>
      <c r="AD157" s="158"/>
      <c r="AE157" s="158"/>
      <c r="AF157" s="158"/>
      <c r="AG157" s="158"/>
      <c r="AH157" s="158"/>
    </row>
    <row r="158" spans="16:34" ht="15" x14ac:dyDescent="0.25">
      <c r="P158" s="158"/>
      <c r="Q158" s="158"/>
      <c r="R158" s="158"/>
      <c r="S158" s="158"/>
      <c r="T158" s="158"/>
      <c r="U158" s="158"/>
      <c r="V158" s="158"/>
      <c r="W158" s="158"/>
      <c r="X158" s="158"/>
      <c r="Y158" s="158"/>
      <c r="Z158" s="158"/>
      <c r="AA158" s="158"/>
      <c r="AB158" s="158"/>
      <c r="AC158" s="158"/>
      <c r="AD158" s="158"/>
      <c r="AE158" s="158"/>
      <c r="AF158" s="158"/>
      <c r="AG158" s="158"/>
      <c r="AH158" s="158"/>
    </row>
    <row r="159" spans="16:34" ht="15" x14ac:dyDescent="0.25">
      <c r="P159" s="158"/>
      <c r="Q159" s="158"/>
      <c r="R159" s="158"/>
      <c r="S159" s="158"/>
      <c r="T159" s="158"/>
      <c r="U159" s="158"/>
      <c r="V159" s="158"/>
      <c r="W159" s="158"/>
      <c r="X159" s="158"/>
      <c r="Y159" s="158"/>
      <c r="Z159" s="158"/>
      <c r="AA159" s="158"/>
      <c r="AB159" s="158"/>
      <c r="AC159" s="158"/>
      <c r="AD159" s="158"/>
      <c r="AE159" s="158"/>
      <c r="AF159" s="158"/>
      <c r="AG159" s="158"/>
      <c r="AH159" s="158"/>
    </row>
    <row r="160" spans="16:34" ht="15" x14ac:dyDescent="0.25">
      <c r="P160" s="158"/>
      <c r="Q160" s="158"/>
      <c r="R160" s="158"/>
      <c r="S160" s="158"/>
      <c r="T160" s="158"/>
      <c r="U160" s="158"/>
      <c r="V160" s="158"/>
      <c r="W160" s="158"/>
      <c r="X160" s="158"/>
      <c r="Y160" s="158"/>
      <c r="Z160" s="158"/>
      <c r="AA160" s="158"/>
      <c r="AB160" s="158"/>
      <c r="AC160" s="158"/>
      <c r="AD160" s="158"/>
      <c r="AE160" s="158"/>
      <c r="AF160" s="158"/>
      <c r="AG160" s="158"/>
      <c r="AH160" s="158"/>
    </row>
    <row r="161" spans="16:34" ht="15" x14ac:dyDescent="0.25">
      <c r="P161" s="158"/>
      <c r="Q161" s="158"/>
      <c r="R161" s="158"/>
      <c r="S161" s="158"/>
      <c r="T161" s="158"/>
      <c r="U161" s="158"/>
      <c r="V161" s="158"/>
      <c r="W161" s="158"/>
      <c r="X161" s="158"/>
      <c r="Y161" s="158"/>
      <c r="Z161" s="158"/>
      <c r="AA161" s="158"/>
      <c r="AB161" s="158"/>
      <c r="AC161" s="158"/>
      <c r="AD161" s="158"/>
      <c r="AE161" s="158"/>
      <c r="AF161" s="158"/>
      <c r="AG161" s="158"/>
      <c r="AH161" s="158"/>
    </row>
    <row r="162" spans="16:34" ht="15" x14ac:dyDescent="0.25">
      <c r="P162" s="158"/>
      <c r="Q162" s="158"/>
      <c r="R162" s="158"/>
      <c r="S162" s="158"/>
      <c r="T162" s="158"/>
      <c r="U162" s="158"/>
      <c r="V162" s="158"/>
      <c r="W162" s="158"/>
      <c r="X162" s="158"/>
      <c r="Y162" s="158"/>
      <c r="Z162" s="158"/>
      <c r="AA162" s="158"/>
      <c r="AB162" s="158"/>
      <c r="AC162" s="158"/>
      <c r="AD162" s="158"/>
      <c r="AE162" s="158"/>
      <c r="AF162" s="158"/>
      <c r="AG162" s="158"/>
      <c r="AH162" s="158"/>
    </row>
    <row r="163" spans="16:34" ht="15" x14ac:dyDescent="0.25">
      <c r="P163" s="158"/>
      <c r="Q163" s="158"/>
      <c r="R163" s="158"/>
      <c r="S163" s="158"/>
      <c r="T163" s="158"/>
      <c r="U163" s="158"/>
      <c r="V163" s="158"/>
      <c r="W163" s="158"/>
      <c r="X163" s="158"/>
      <c r="Y163" s="158"/>
      <c r="Z163" s="158"/>
      <c r="AA163" s="158"/>
      <c r="AB163" s="158"/>
      <c r="AC163" s="158"/>
      <c r="AD163" s="158"/>
      <c r="AE163" s="158"/>
      <c r="AF163" s="158"/>
      <c r="AG163" s="158"/>
      <c r="AH163" s="158"/>
    </row>
    <row r="164" spans="16:34" ht="15" x14ac:dyDescent="0.25">
      <c r="P164" s="158"/>
      <c r="Q164" s="158"/>
      <c r="R164" s="158"/>
      <c r="S164" s="158"/>
      <c r="T164" s="158"/>
      <c r="U164" s="158"/>
      <c r="V164" s="158"/>
      <c r="W164" s="158"/>
      <c r="X164" s="158"/>
      <c r="Y164" s="158"/>
      <c r="Z164" s="158"/>
      <c r="AA164" s="158"/>
      <c r="AB164" s="158"/>
      <c r="AC164" s="158"/>
      <c r="AD164" s="158"/>
      <c r="AE164" s="158"/>
      <c r="AF164" s="158"/>
      <c r="AG164" s="158"/>
      <c r="AH164" s="158"/>
    </row>
    <row r="165" spans="16:34" ht="15" x14ac:dyDescent="0.25">
      <c r="P165" s="158"/>
      <c r="Q165" s="158"/>
      <c r="R165" s="158"/>
      <c r="S165" s="158"/>
      <c r="T165" s="158"/>
      <c r="U165" s="158"/>
      <c r="V165" s="158"/>
      <c r="W165" s="158"/>
      <c r="X165" s="158"/>
      <c r="Y165" s="158"/>
      <c r="Z165" s="158"/>
      <c r="AA165" s="158"/>
      <c r="AB165" s="158"/>
      <c r="AC165" s="158"/>
      <c r="AD165" s="158"/>
      <c r="AE165" s="158"/>
      <c r="AF165" s="158"/>
      <c r="AG165" s="158"/>
      <c r="AH165" s="158"/>
    </row>
    <row r="166" spans="16:34" ht="15" x14ac:dyDescent="0.25">
      <c r="P166" s="158"/>
      <c r="Q166" s="158"/>
      <c r="R166" s="158"/>
      <c r="S166" s="158"/>
      <c r="T166" s="158"/>
      <c r="U166" s="158"/>
      <c r="V166" s="158"/>
      <c r="W166" s="158"/>
      <c r="X166" s="158"/>
      <c r="Y166" s="158"/>
      <c r="Z166" s="158"/>
      <c r="AA166" s="158"/>
      <c r="AB166" s="158"/>
      <c r="AC166" s="158"/>
      <c r="AD166" s="158"/>
      <c r="AE166" s="158"/>
      <c r="AF166" s="158"/>
      <c r="AG166" s="158"/>
      <c r="AH166" s="158"/>
    </row>
    <row r="167" spans="16:34" ht="15" x14ac:dyDescent="0.25">
      <c r="P167" s="158"/>
      <c r="Q167" s="158"/>
      <c r="R167" s="158"/>
      <c r="S167" s="158"/>
      <c r="T167" s="158"/>
      <c r="U167" s="158"/>
      <c r="V167" s="158"/>
      <c r="W167" s="158"/>
      <c r="X167" s="158"/>
      <c r="Y167" s="158"/>
      <c r="Z167" s="158"/>
      <c r="AA167" s="158"/>
      <c r="AB167" s="158"/>
      <c r="AC167" s="158"/>
      <c r="AD167" s="158"/>
      <c r="AE167" s="158"/>
      <c r="AF167" s="158"/>
      <c r="AG167" s="158"/>
      <c r="AH167" s="158"/>
    </row>
    <row r="168" spans="16:34" ht="15" x14ac:dyDescent="0.25">
      <c r="P168" s="158"/>
      <c r="Q168" s="158"/>
      <c r="R168" s="158"/>
      <c r="S168" s="158"/>
      <c r="T168" s="158"/>
      <c r="U168" s="158"/>
      <c r="V168" s="158"/>
      <c r="W168" s="158"/>
      <c r="X168" s="158"/>
      <c r="Y168" s="158"/>
      <c r="Z168" s="158"/>
      <c r="AA168" s="158"/>
      <c r="AB168" s="158"/>
      <c r="AC168" s="158"/>
      <c r="AD168" s="158"/>
      <c r="AE168" s="158"/>
      <c r="AF168" s="158"/>
      <c r="AG168" s="158"/>
      <c r="AH168" s="158"/>
    </row>
    <row r="169" spans="16:34" ht="15" x14ac:dyDescent="0.25">
      <c r="P169" s="158"/>
      <c r="Q169" s="158"/>
      <c r="R169" s="158"/>
      <c r="S169" s="158"/>
      <c r="T169" s="158"/>
      <c r="U169" s="158"/>
      <c r="V169" s="158"/>
      <c r="W169" s="158"/>
      <c r="X169" s="158"/>
      <c r="Y169" s="158"/>
      <c r="Z169" s="158"/>
      <c r="AA169" s="158"/>
      <c r="AB169" s="158"/>
      <c r="AC169" s="158"/>
      <c r="AD169" s="158"/>
      <c r="AE169" s="158"/>
      <c r="AF169" s="158"/>
      <c r="AG169" s="158"/>
      <c r="AH169" s="158"/>
    </row>
    <row r="170" spans="16:34" ht="15" x14ac:dyDescent="0.25">
      <c r="P170" s="158"/>
      <c r="Q170" s="158"/>
      <c r="R170" s="158"/>
      <c r="S170" s="158"/>
      <c r="T170" s="158"/>
      <c r="U170" s="158"/>
      <c r="V170" s="158"/>
      <c r="W170" s="158"/>
      <c r="X170" s="158"/>
      <c r="Y170" s="158"/>
      <c r="Z170" s="158"/>
      <c r="AA170" s="158"/>
      <c r="AB170" s="158"/>
      <c r="AC170" s="158"/>
      <c r="AD170" s="158"/>
      <c r="AE170" s="158"/>
      <c r="AF170" s="158"/>
      <c r="AG170" s="158"/>
      <c r="AH170" s="158"/>
    </row>
    <row r="171" spans="16:34" ht="15" x14ac:dyDescent="0.25">
      <c r="P171" s="158"/>
      <c r="Q171" s="158"/>
      <c r="R171" s="158"/>
      <c r="S171" s="158"/>
      <c r="T171" s="158"/>
      <c r="U171" s="158"/>
      <c r="V171" s="158"/>
      <c r="W171" s="158"/>
      <c r="X171" s="158"/>
      <c r="Y171" s="158"/>
      <c r="Z171" s="158"/>
      <c r="AA171" s="158"/>
      <c r="AB171" s="158"/>
      <c r="AC171" s="158"/>
      <c r="AD171" s="158"/>
      <c r="AE171" s="158"/>
      <c r="AF171" s="158"/>
      <c r="AG171" s="158"/>
      <c r="AH171" s="158"/>
    </row>
    <row r="172" spans="16:34" ht="15" x14ac:dyDescent="0.25">
      <c r="P172" s="158"/>
      <c r="Q172" s="158"/>
      <c r="R172" s="158"/>
      <c r="S172" s="158"/>
      <c r="T172" s="158"/>
      <c r="U172" s="158"/>
      <c r="V172" s="158"/>
      <c r="W172" s="158"/>
      <c r="X172" s="158"/>
      <c r="Y172" s="158"/>
      <c r="Z172" s="158"/>
      <c r="AA172" s="158"/>
      <c r="AB172" s="158"/>
      <c r="AC172" s="158"/>
      <c r="AD172" s="158"/>
      <c r="AE172" s="158"/>
      <c r="AF172" s="158"/>
      <c r="AG172" s="158"/>
      <c r="AH172" s="158"/>
    </row>
    <row r="173" spans="16:34" ht="15" x14ac:dyDescent="0.25">
      <c r="P173" s="158"/>
      <c r="Q173" s="158"/>
      <c r="R173" s="158"/>
      <c r="S173" s="158"/>
      <c r="T173" s="158"/>
      <c r="U173" s="158"/>
      <c r="V173" s="158"/>
      <c r="W173" s="158"/>
      <c r="X173" s="158"/>
      <c r="Y173" s="158"/>
      <c r="Z173" s="158"/>
      <c r="AA173" s="158"/>
      <c r="AB173" s="158"/>
      <c r="AC173" s="158"/>
      <c r="AD173" s="158"/>
      <c r="AE173" s="158"/>
      <c r="AF173" s="158"/>
      <c r="AG173" s="158"/>
      <c r="AH173" s="158"/>
    </row>
    <row r="174" spans="16:34" ht="15" x14ac:dyDescent="0.25">
      <c r="P174" s="158"/>
      <c r="Q174" s="158"/>
      <c r="R174" s="158"/>
      <c r="S174" s="158"/>
      <c r="T174" s="158"/>
      <c r="U174" s="158"/>
      <c r="V174" s="158"/>
      <c r="W174" s="158"/>
      <c r="X174" s="158"/>
      <c r="Y174" s="158"/>
      <c r="Z174" s="158"/>
      <c r="AA174" s="158"/>
      <c r="AB174" s="158"/>
      <c r="AC174" s="158"/>
      <c r="AD174" s="158"/>
      <c r="AE174" s="158"/>
      <c r="AF174" s="158"/>
      <c r="AG174" s="158"/>
      <c r="AH174" s="158"/>
    </row>
    <row r="175" spans="16:34" ht="15" x14ac:dyDescent="0.25">
      <c r="P175" s="158"/>
      <c r="Q175" s="158"/>
      <c r="R175" s="158"/>
      <c r="S175" s="158"/>
      <c r="T175" s="158"/>
      <c r="U175" s="158"/>
      <c r="V175" s="158"/>
      <c r="W175" s="158"/>
      <c r="X175" s="158"/>
      <c r="Y175" s="158"/>
      <c r="Z175" s="158"/>
      <c r="AA175" s="158"/>
      <c r="AB175" s="158"/>
      <c r="AC175" s="158"/>
      <c r="AD175" s="158"/>
      <c r="AE175" s="158"/>
      <c r="AF175" s="158"/>
      <c r="AG175" s="158"/>
      <c r="AH175" s="158"/>
    </row>
    <row r="176" spans="16:34" ht="15" x14ac:dyDescent="0.25">
      <c r="P176" s="158"/>
      <c r="Q176" s="158"/>
      <c r="R176" s="158"/>
      <c r="S176" s="158"/>
      <c r="T176" s="158"/>
      <c r="U176" s="158"/>
      <c r="V176" s="158"/>
      <c r="W176" s="158"/>
      <c r="X176" s="158"/>
      <c r="Y176" s="158"/>
      <c r="Z176" s="158"/>
      <c r="AA176" s="158"/>
      <c r="AB176" s="158"/>
      <c r="AC176" s="158"/>
      <c r="AD176" s="158"/>
      <c r="AE176" s="158"/>
      <c r="AF176" s="158"/>
      <c r="AG176" s="158"/>
      <c r="AH176" s="158"/>
    </row>
    <row r="177" spans="16:34" ht="15" x14ac:dyDescent="0.25">
      <c r="P177" s="158"/>
      <c r="Q177" s="158"/>
      <c r="R177" s="158"/>
      <c r="S177" s="158"/>
      <c r="T177" s="158"/>
      <c r="U177" s="158"/>
      <c r="V177" s="158"/>
      <c r="W177" s="158"/>
      <c r="X177" s="158"/>
      <c r="Y177" s="158"/>
      <c r="Z177" s="158"/>
      <c r="AA177" s="158"/>
      <c r="AB177" s="158"/>
      <c r="AC177" s="158"/>
      <c r="AD177" s="158"/>
      <c r="AE177" s="158"/>
      <c r="AF177" s="158"/>
      <c r="AG177" s="158"/>
      <c r="AH177" s="158"/>
    </row>
    <row r="178" spans="16:34" ht="15" x14ac:dyDescent="0.25">
      <c r="P178" s="158"/>
      <c r="Q178" s="158"/>
      <c r="R178" s="158"/>
      <c r="S178" s="158"/>
      <c r="T178" s="158"/>
      <c r="U178" s="158"/>
      <c r="V178" s="158"/>
      <c r="W178" s="158"/>
      <c r="X178" s="158"/>
      <c r="Y178" s="158"/>
      <c r="Z178" s="158"/>
      <c r="AA178" s="158"/>
      <c r="AB178" s="158"/>
      <c r="AC178" s="158"/>
      <c r="AD178" s="158"/>
      <c r="AE178" s="158"/>
      <c r="AF178" s="158"/>
      <c r="AG178" s="158"/>
      <c r="AH178" s="158"/>
    </row>
    <row r="179" spans="16:34" ht="15" x14ac:dyDescent="0.25">
      <c r="P179" s="158"/>
      <c r="Q179" s="158"/>
      <c r="R179" s="158"/>
      <c r="S179" s="158"/>
      <c r="T179" s="158"/>
      <c r="U179" s="158"/>
      <c r="V179" s="158"/>
      <c r="W179" s="158"/>
      <c r="X179" s="158"/>
      <c r="Y179" s="158"/>
      <c r="Z179" s="158"/>
      <c r="AA179" s="158"/>
      <c r="AB179" s="158"/>
      <c r="AC179" s="158"/>
      <c r="AD179" s="158"/>
      <c r="AE179" s="158"/>
      <c r="AF179" s="158"/>
      <c r="AG179" s="158"/>
      <c r="AH179" s="158"/>
    </row>
    <row r="180" spans="16:34" ht="15" x14ac:dyDescent="0.25">
      <c r="Y180" s="261"/>
      <c r="Z180" s="261"/>
      <c r="AA180" s="261"/>
    </row>
    <row r="181" spans="16:34" ht="15" x14ac:dyDescent="0.25">
      <c r="Y181" s="261"/>
      <c r="Z181" s="261"/>
      <c r="AA181" s="261"/>
    </row>
    <row r="182" spans="16:34" ht="15" x14ac:dyDescent="0.25">
      <c r="Y182" s="261"/>
      <c r="Z182" s="261"/>
      <c r="AA182" s="261"/>
    </row>
    <row r="183" spans="16:34" ht="15" x14ac:dyDescent="0.25">
      <c r="Y183" s="261"/>
      <c r="Z183" s="261"/>
      <c r="AA183" s="261"/>
    </row>
    <row r="184" spans="16:34" ht="15" x14ac:dyDescent="0.25">
      <c r="Y184" s="261"/>
      <c r="Z184" s="261"/>
      <c r="AA184" s="261"/>
    </row>
    <row r="185" spans="16:34" ht="15" x14ac:dyDescent="0.25">
      <c r="Y185" s="261"/>
      <c r="Z185" s="261"/>
      <c r="AA185" s="261"/>
    </row>
  </sheetData>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85"/>
  <sheetViews>
    <sheetView zoomScale="85" zoomScaleNormal="85" workbookViewId="0">
      <pane xSplit="1" ySplit="13" topLeftCell="B68" activePane="bottomRight" state="frozen"/>
      <selection activeCell="I43" sqref="I43"/>
      <selection pane="topRight" activeCell="I43" sqref="I43"/>
      <selection pane="bottomLeft" activeCell="I43" sqref="I43"/>
      <selection pane="bottomRight" activeCell="H48" sqref="H48:H50"/>
    </sheetView>
  </sheetViews>
  <sheetFormatPr defaultColWidth="8.7109375" defaultRowHeight="12.75" x14ac:dyDescent="0.2"/>
  <cols>
    <col min="1" max="1" width="24.42578125" style="178" customWidth="1"/>
    <col min="2" max="2" width="14.28515625" style="178" customWidth="1"/>
    <col min="3" max="3" width="14.42578125" style="178" customWidth="1"/>
    <col min="4" max="4" width="14.42578125" style="178" bestFit="1" customWidth="1"/>
    <col min="5" max="5" width="11.7109375" style="178" bestFit="1" customWidth="1"/>
    <col min="6" max="6" width="13.42578125" style="178" bestFit="1" customWidth="1"/>
    <col min="7" max="8" width="12.28515625" style="178" bestFit="1" customWidth="1"/>
    <col min="9" max="10" width="12.42578125" style="178" bestFit="1" customWidth="1"/>
    <col min="11" max="11" width="12.28515625" style="178" bestFit="1" customWidth="1"/>
    <col min="12" max="12" width="11.28515625" style="178" bestFit="1" customWidth="1"/>
    <col min="13" max="13" width="11.5703125" style="178" bestFit="1" customWidth="1"/>
    <col min="14" max="14" width="9.5703125" style="205" bestFit="1" customWidth="1"/>
    <col min="15" max="16" width="11.5703125" style="178" bestFit="1" customWidth="1"/>
    <col min="17" max="18" width="9" style="178" bestFit="1" customWidth="1"/>
    <col min="19" max="19" width="11.7109375" style="178" bestFit="1" customWidth="1"/>
    <col min="20" max="20" width="13.28515625" style="178" bestFit="1" customWidth="1"/>
    <col min="21" max="21" width="11" style="178" bestFit="1" customWidth="1"/>
    <col min="22" max="22" width="14.5703125" style="178" bestFit="1" customWidth="1"/>
    <col min="23" max="23" width="12" style="178" bestFit="1" customWidth="1"/>
    <col min="24" max="24" width="13.28515625" style="178" bestFit="1" customWidth="1"/>
    <col min="25" max="29" width="10.28515625" style="178" customWidth="1"/>
    <col min="30" max="42" width="8.7109375" style="178"/>
    <col min="43" max="43" width="9.42578125" style="178" bestFit="1" customWidth="1"/>
    <col min="44" max="16384" width="8.7109375" style="178"/>
  </cols>
  <sheetData>
    <row r="1" spans="1:43" s="163" customFormat="1" x14ac:dyDescent="0.2">
      <c r="A1" s="161" t="s">
        <v>73</v>
      </c>
      <c r="B1" s="161"/>
      <c r="C1" s="161"/>
      <c r="D1" s="162"/>
      <c r="E1" s="162"/>
      <c r="F1" s="162"/>
      <c r="K1" s="162"/>
      <c r="L1" s="162"/>
      <c r="M1" s="164"/>
      <c r="N1" s="165"/>
      <c r="O1" s="164"/>
    </row>
    <row r="2" spans="1:43" s="163" customFormat="1" ht="9" customHeight="1" x14ac:dyDescent="0.2">
      <c r="A2" s="161"/>
      <c r="B2" s="161"/>
      <c r="C2" s="166"/>
      <c r="D2" s="167"/>
      <c r="E2" s="166"/>
      <c r="G2" s="162"/>
      <c r="H2" s="168"/>
      <c r="I2" s="169"/>
      <c r="J2" s="162"/>
      <c r="K2" s="162"/>
      <c r="L2" s="162"/>
      <c r="M2" s="170"/>
      <c r="N2" s="165"/>
      <c r="O2" s="164"/>
    </row>
    <row r="3" spans="1:43" s="163" customFormat="1" x14ac:dyDescent="0.2">
      <c r="A3" s="171"/>
      <c r="B3" s="172"/>
      <c r="C3" s="173"/>
      <c r="D3" s="174"/>
      <c r="E3" s="173"/>
      <c r="F3" s="175"/>
      <c r="G3" s="162"/>
      <c r="H3" s="176"/>
      <c r="K3" s="177"/>
      <c r="L3" s="177"/>
      <c r="M3" s="170"/>
      <c r="N3" s="165"/>
      <c r="O3" s="168"/>
    </row>
    <row r="4" spans="1:43" s="163" customFormat="1" ht="6.6" customHeight="1" x14ac:dyDescent="0.2">
      <c r="A4" s="178"/>
      <c r="B4" s="178"/>
      <c r="C4" s="179"/>
      <c r="D4" s="179"/>
      <c r="E4" s="179"/>
      <c r="F4" s="179"/>
      <c r="G4" s="179"/>
      <c r="H4" s="179"/>
      <c r="I4" s="179"/>
      <c r="J4" s="179"/>
      <c r="K4" s="179"/>
      <c r="L4" s="179"/>
      <c r="M4" s="179"/>
      <c r="N4" s="179"/>
      <c r="O4" s="179"/>
    </row>
    <row r="5" spans="1:43" s="163" customFormat="1" x14ac:dyDescent="0.2">
      <c r="A5" s="180" t="s">
        <v>482</v>
      </c>
      <c r="B5" s="180"/>
      <c r="C5" s="181">
        <v>1</v>
      </c>
      <c r="D5" s="181">
        <v>2</v>
      </c>
      <c r="E5" s="181">
        <v>3</v>
      </c>
      <c r="F5" s="181">
        <v>4</v>
      </c>
      <c r="G5" s="181">
        <v>5</v>
      </c>
      <c r="H5" s="181">
        <v>6</v>
      </c>
      <c r="I5" s="181">
        <v>7</v>
      </c>
      <c r="J5" s="181">
        <v>8</v>
      </c>
      <c r="K5" s="181">
        <v>9</v>
      </c>
      <c r="L5" s="181">
        <v>10</v>
      </c>
      <c r="M5" s="181">
        <v>11</v>
      </c>
      <c r="N5" s="181">
        <v>12</v>
      </c>
      <c r="O5" s="181">
        <v>13</v>
      </c>
      <c r="P5" s="181">
        <v>14</v>
      </c>
      <c r="Q5" s="181">
        <v>15</v>
      </c>
      <c r="R5" s="181">
        <v>16</v>
      </c>
      <c r="S5" s="181">
        <v>17</v>
      </c>
      <c r="T5" s="181">
        <v>18</v>
      </c>
      <c r="U5" s="181">
        <v>19</v>
      </c>
      <c r="V5" s="181">
        <v>20</v>
      </c>
      <c r="W5" s="181">
        <v>21</v>
      </c>
      <c r="X5" s="181">
        <v>22</v>
      </c>
      <c r="Y5" s="181">
        <v>23</v>
      </c>
      <c r="Z5" s="181">
        <v>24</v>
      </c>
      <c r="AA5" s="181">
        <v>25</v>
      </c>
      <c r="AB5" s="181">
        <v>26</v>
      </c>
      <c r="AC5" s="181">
        <v>27</v>
      </c>
      <c r="AD5" s="181">
        <v>28</v>
      </c>
      <c r="AE5" s="181">
        <v>29</v>
      </c>
      <c r="AF5" s="181">
        <v>30</v>
      </c>
      <c r="AG5" s="181">
        <v>31</v>
      </c>
      <c r="AH5" s="181">
        <v>32</v>
      </c>
      <c r="AI5" s="181">
        <v>33</v>
      </c>
      <c r="AJ5" s="181">
        <v>34</v>
      </c>
      <c r="AK5" s="181">
        <v>35</v>
      </c>
      <c r="AL5" s="181">
        <v>36</v>
      </c>
      <c r="AM5" s="181">
        <v>37</v>
      </c>
      <c r="AN5" s="181">
        <v>38</v>
      </c>
      <c r="AO5" s="181">
        <v>39</v>
      </c>
      <c r="AP5" s="181">
        <v>40</v>
      </c>
      <c r="AQ5" s="181" t="s">
        <v>25</v>
      </c>
    </row>
    <row r="6" spans="1:43" s="163" customFormat="1" x14ac:dyDescent="0.2">
      <c r="A6" s="182" t="s">
        <v>483</v>
      </c>
      <c r="B6" s="182"/>
      <c r="C6" s="183">
        <v>0.2</v>
      </c>
      <c r="D6" s="183">
        <v>0.32</v>
      </c>
      <c r="E6" s="183">
        <v>0.192</v>
      </c>
      <c r="F6" s="183">
        <v>0.1152</v>
      </c>
      <c r="G6" s="183">
        <v>0.1152</v>
      </c>
      <c r="H6" s="183">
        <v>5.7599999999999998E-2</v>
      </c>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f>SUM(C6:AP6)</f>
        <v>0.99999999999999989</v>
      </c>
    </row>
    <row r="7" spans="1:43" s="163" customFormat="1" ht="7.35" customHeight="1" x14ac:dyDescent="0.2">
      <c r="A7" s="184"/>
      <c r="B7" s="184"/>
      <c r="C7" s="179"/>
      <c r="D7" s="179"/>
      <c r="E7" s="179"/>
      <c r="F7" s="179"/>
      <c r="G7" s="179"/>
      <c r="H7" s="179"/>
      <c r="I7" s="185"/>
      <c r="J7" s="185"/>
      <c r="K7" s="185"/>
    </row>
    <row r="8" spans="1:43" ht="13.5" thickBot="1" x14ac:dyDescent="0.25">
      <c r="A8" s="186" t="s">
        <v>7</v>
      </c>
      <c r="B8" s="187" t="s">
        <v>484</v>
      </c>
      <c r="C8" s="188" t="s">
        <v>19</v>
      </c>
      <c r="D8" s="189"/>
      <c r="E8" s="188" t="s">
        <v>485</v>
      </c>
      <c r="F8" s="190"/>
      <c r="G8" s="188" t="s">
        <v>20</v>
      </c>
      <c r="H8" s="189"/>
      <c r="I8" s="188" t="s">
        <v>8</v>
      </c>
      <c r="J8" s="189"/>
      <c r="K8" s="191" t="s">
        <v>9</v>
      </c>
      <c r="L8" s="191" t="s">
        <v>10</v>
      </c>
      <c r="M8" s="192" t="s">
        <v>11</v>
      </c>
      <c r="N8" s="178"/>
    </row>
    <row r="9" spans="1:43" ht="15.75" thickBot="1" x14ac:dyDescent="0.3">
      <c r="A9" s="193"/>
      <c r="B9" s="194" t="s">
        <v>486</v>
      </c>
      <c r="C9" s="195"/>
      <c r="D9" s="196"/>
      <c r="E9" s="195" t="s">
        <v>487</v>
      </c>
      <c r="F9" s="197"/>
      <c r="G9" s="198"/>
      <c r="H9" s="196"/>
      <c r="I9" s="199"/>
      <c r="J9" s="200"/>
      <c r="K9" s="201"/>
      <c r="L9" s="201"/>
      <c r="M9" s="202" t="s">
        <v>488</v>
      </c>
      <c r="N9" s="178"/>
      <c r="O9"/>
      <c r="P9"/>
      <c r="Q9"/>
      <c r="R9"/>
      <c r="S9"/>
      <c r="T9"/>
      <c r="U9"/>
      <c r="V9"/>
      <c r="W9"/>
      <c r="X9"/>
    </row>
    <row r="10" spans="1:43" ht="15.75" thickBot="1" x14ac:dyDescent="0.3">
      <c r="A10" s="193"/>
      <c r="B10" s="194" t="s">
        <v>489</v>
      </c>
      <c r="C10" s="195"/>
      <c r="D10" s="196"/>
      <c r="E10" s="195" t="s">
        <v>490</v>
      </c>
      <c r="F10" s="269">
        <f>'Exh. NWA-4'!S321/100</f>
        <v>0.14360000000000001</v>
      </c>
      <c r="G10" s="198"/>
      <c r="H10" s="196"/>
      <c r="I10" s="199"/>
      <c r="J10" s="200"/>
      <c r="K10" s="201"/>
      <c r="L10" s="203" t="s">
        <v>168</v>
      </c>
      <c r="M10" s="202"/>
      <c r="N10" s="178"/>
      <c r="O10"/>
      <c r="P10"/>
      <c r="Q10"/>
      <c r="R10"/>
      <c r="S10"/>
      <c r="T10"/>
      <c r="U10"/>
      <c r="V10"/>
      <c r="W10"/>
      <c r="X10"/>
    </row>
    <row r="11" spans="1:43" ht="15" x14ac:dyDescent="0.25">
      <c r="A11" s="204"/>
      <c r="B11" s="205"/>
      <c r="C11" s="199" t="s">
        <v>12</v>
      </c>
      <c r="D11" s="200" t="s">
        <v>13</v>
      </c>
      <c r="E11" s="199" t="s">
        <v>27</v>
      </c>
      <c r="F11" s="200" t="s">
        <v>28</v>
      </c>
      <c r="G11" s="199" t="s">
        <v>12</v>
      </c>
      <c r="H11" s="200" t="s">
        <v>13</v>
      </c>
      <c r="I11" s="199" t="s">
        <v>12</v>
      </c>
      <c r="J11" s="200" t="s">
        <v>29</v>
      </c>
      <c r="K11" s="201" t="s">
        <v>14</v>
      </c>
      <c r="L11" s="203">
        <v>0.21</v>
      </c>
      <c r="M11" s="202" t="s">
        <v>21</v>
      </c>
      <c r="N11" s="178"/>
      <c r="O11"/>
      <c r="P11"/>
      <c r="Q11"/>
      <c r="R11"/>
      <c r="S11"/>
      <c r="T11"/>
      <c r="U11"/>
      <c r="V11"/>
      <c r="W11"/>
      <c r="X11"/>
    </row>
    <row r="12" spans="1:43" ht="15" x14ac:dyDescent="0.25">
      <c r="A12" s="204"/>
      <c r="B12" s="205"/>
      <c r="C12" s="199"/>
      <c r="D12" s="200"/>
      <c r="E12" s="199" t="s">
        <v>22</v>
      </c>
      <c r="F12" s="200" t="s">
        <v>26</v>
      </c>
      <c r="G12" s="199" t="s">
        <v>30</v>
      </c>
      <c r="H12" s="200" t="s">
        <v>31</v>
      </c>
      <c r="I12" s="199"/>
      <c r="J12" s="200"/>
      <c r="K12" s="201"/>
      <c r="L12" s="203" t="s">
        <v>32</v>
      </c>
      <c r="M12" s="202" t="s">
        <v>33</v>
      </c>
      <c r="N12" s="178"/>
      <c r="O12"/>
      <c r="P12"/>
      <c r="Q12"/>
      <c r="R12"/>
      <c r="S12"/>
      <c r="T12"/>
      <c r="U12"/>
      <c r="V12"/>
      <c r="W12"/>
      <c r="X12"/>
    </row>
    <row r="13" spans="1:43" ht="15" x14ac:dyDescent="0.25">
      <c r="A13" s="206"/>
      <c r="B13" s="207"/>
      <c r="C13" s="208" t="s">
        <v>15</v>
      </c>
      <c r="D13" s="209" t="s">
        <v>16</v>
      </c>
      <c r="E13" s="208"/>
      <c r="F13" s="209" t="s">
        <v>23</v>
      </c>
      <c r="G13" s="208" t="s">
        <v>34</v>
      </c>
      <c r="H13" s="209" t="s">
        <v>35</v>
      </c>
      <c r="I13" s="208" t="s">
        <v>36</v>
      </c>
      <c r="J13" s="209" t="s">
        <v>37</v>
      </c>
      <c r="K13" s="210" t="s">
        <v>38</v>
      </c>
      <c r="L13" s="211">
        <v>0.21</v>
      </c>
      <c r="M13" s="212" t="s">
        <v>39</v>
      </c>
      <c r="N13" s="213"/>
      <c r="O13"/>
      <c r="P13"/>
      <c r="Q13"/>
      <c r="R13"/>
      <c r="S13"/>
      <c r="T13"/>
      <c r="U13"/>
      <c r="V13"/>
      <c r="W13"/>
      <c r="X13"/>
    </row>
    <row r="14" spans="1:43" ht="15" x14ac:dyDescent="0.25">
      <c r="A14" s="214"/>
      <c r="B14" s="194"/>
      <c r="C14" s="194"/>
      <c r="D14" s="194"/>
      <c r="E14" s="194"/>
      <c r="F14" s="194"/>
      <c r="G14" s="194"/>
      <c r="H14" s="194"/>
      <c r="I14" s="194"/>
      <c r="J14" s="194"/>
      <c r="K14" s="215"/>
      <c r="L14" s="216"/>
      <c r="M14" s="217"/>
      <c r="N14" s="213"/>
      <c r="O14"/>
      <c r="P14"/>
      <c r="Q14"/>
      <c r="R14"/>
      <c r="S14"/>
      <c r="T14"/>
      <c r="U14"/>
      <c r="V14"/>
      <c r="W14"/>
      <c r="X14"/>
      <c r="Y14" s="218"/>
      <c r="Z14" s="218"/>
      <c r="AA14" s="218"/>
    </row>
    <row r="15" spans="1:43" ht="15" x14ac:dyDescent="0.25">
      <c r="A15" s="219">
        <v>44227</v>
      </c>
      <c r="B15" s="220"/>
      <c r="C15" s="221"/>
      <c r="D15" s="221">
        <f>B15</f>
        <v>0</v>
      </c>
      <c r="E15" s="221"/>
      <c r="F15" s="221"/>
      <c r="G15" s="221"/>
      <c r="H15" s="221"/>
      <c r="I15" s="221"/>
      <c r="J15" s="221"/>
      <c r="K15" s="221"/>
      <c r="L15" s="221"/>
      <c r="M15" s="221"/>
      <c r="N15" s="221"/>
      <c r="O15"/>
      <c r="P15"/>
      <c r="Q15"/>
      <c r="R15"/>
      <c r="S15"/>
      <c r="T15"/>
      <c r="U15"/>
      <c r="V15"/>
      <c r="W15"/>
      <c r="X15"/>
      <c r="Y15" s="218"/>
      <c r="Z15" s="218"/>
      <c r="AA15" s="218"/>
    </row>
    <row r="16" spans="1:43" ht="15" x14ac:dyDescent="0.25">
      <c r="A16" s="219">
        <v>44255</v>
      </c>
      <c r="B16" s="220"/>
      <c r="C16" s="221"/>
      <c r="D16" s="221">
        <f>D15+B16</f>
        <v>0</v>
      </c>
      <c r="E16" s="221"/>
      <c r="F16" s="221"/>
      <c r="G16" s="221"/>
      <c r="H16" s="221"/>
      <c r="I16" s="221"/>
      <c r="J16" s="221"/>
      <c r="K16" s="221"/>
      <c r="L16" s="221"/>
      <c r="M16" s="221"/>
      <c r="N16" s="221"/>
      <c r="O16"/>
      <c r="P16"/>
      <c r="Q16"/>
      <c r="R16"/>
      <c r="S16"/>
      <c r="T16"/>
      <c r="U16"/>
      <c r="V16"/>
      <c r="W16"/>
      <c r="X16"/>
      <c r="Y16" s="218"/>
      <c r="Z16" s="218"/>
      <c r="AA16" s="218"/>
    </row>
    <row r="17" spans="1:27" ht="15" x14ac:dyDescent="0.25">
      <c r="A17" s="219">
        <v>44286</v>
      </c>
      <c r="B17" s="220"/>
      <c r="C17" s="221"/>
      <c r="D17" s="221">
        <f t="shared" ref="D17:D74" si="0">D16+B17</f>
        <v>0</v>
      </c>
      <c r="E17" s="221"/>
      <c r="F17" s="221"/>
      <c r="G17" s="221"/>
      <c r="H17" s="221"/>
      <c r="I17" s="221"/>
      <c r="J17" s="221"/>
      <c r="K17" s="221"/>
      <c r="L17" s="221"/>
      <c r="M17" s="221"/>
      <c r="N17" s="221"/>
      <c r="O17"/>
      <c r="P17"/>
      <c r="Q17"/>
      <c r="R17"/>
      <c r="S17"/>
      <c r="T17"/>
      <c r="U17"/>
      <c r="V17"/>
      <c r="W17"/>
      <c r="X17"/>
      <c r="Y17" s="218"/>
      <c r="Z17" s="218"/>
      <c r="AA17" s="218"/>
    </row>
    <row r="18" spans="1:27" ht="15" x14ac:dyDescent="0.25">
      <c r="A18" s="219">
        <v>44316</v>
      </c>
      <c r="B18" s="220"/>
      <c r="C18" s="221"/>
      <c r="D18" s="221">
        <f t="shared" si="0"/>
        <v>0</v>
      </c>
      <c r="E18" s="221"/>
      <c r="F18" s="221"/>
      <c r="G18" s="221"/>
      <c r="H18" s="221"/>
      <c r="I18" s="221"/>
      <c r="J18" s="221"/>
      <c r="K18" s="221"/>
      <c r="L18" s="221"/>
      <c r="M18" s="221"/>
      <c r="N18" s="221"/>
      <c r="O18"/>
      <c r="P18"/>
      <c r="Q18"/>
      <c r="R18"/>
      <c r="S18"/>
      <c r="T18"/>
      <c r="U18"/>
      <c r="V18"/>
      <c r="W18"/>
      <c r="X18"/>
      <c r="Y18" s="218"/>
      <c r="Z18" s="218"/>
      <c r="AA18" s="218"/>
    </row>
    <row r="19" spans="1:27" ht="15" x14ac:dyDescent="0.25">
      <c r="A19" s="219">
        <v>44347</v>
      </c>
      <c r="B19" s="220"/>
      <c r="C19" s="221"/>
      <c r="D19" s="221">
        <f t="shared" si="0"/>
        <v>0</v>
      </c>
      <c r="E19" s="221"/>
      <c r="F19" s="221"/>
      <c r="G19" s="221"/>
      <c r="H19" s="221"/>
      <c r="I19" s="221"/>
      <c r="J19" s="221"/>
      <c r="K19" s="221"/>
      <c r="L19" s="221"/>
      <c r="M19" s="221"/>
      <c r="N19" s="221"/>
      <c r="O19"/>
      <c r="P19"/>
      <c r="Q19"/>
      <c r="R19"/>
      <c r="S19"/>
      <c r="T19"/>
      <c r="U19"/>
      <c r="V19"/>
      <c r="W19"/>
      <c r="X19"/>
      <c r="Y19" s="218"/>
      <c r="Z19" s="218"/>
      <c r="AA19" s="218"/>
    </row>
    <row r="20" spans="1:27" ht="15" x14ac:dyDescent="0.25">
      <c r="A20" s="219">
        <v>44377</v>
      </c>
      <c r="B20" s="220"/>
      <c r="C20" s="221"/>
      <c r="D20" s="221">
        <f t="shared" si="0"/>
        <v>0</v>
      </c>
      <c r="E20" s="221"/>
      <c r="F20" s="221"/>
      <c r="G20" s="221"/>
      <c r="H20" s="221"/>
      <c r="I20" s="221"/>
      <c r="J20" s="221"/>
      <c r="K20" s="221"/>
      <c r="L20" s="221"/>
      <c r="M20" s="221"/>
      <c r="N20" s="221"/>
      <c r="O20"/>
      <c r="P20"/>
      <c r="Q20"/>
      <c r="R20"/>
      <c r="S20"/>
      <c r="T20"/>
      <c r="U20"/>
      <c r="V20"/>
      <c r="W20"/>
      <c r="X20"/>
      <c r="Y20" s="218"/>
      <c r="Z20" s="218"/>
      <c r="AA20" s="218"/>
    </row>
    <row r="21" spans="1:27" ht="15" x14ac:dyDescent="0.25">
      <c r="A21" s="219">
        <v>44408</v>
      </c>
      <c r="B21" s="220"/>
      <c r="C21" s="221"/>
      <c r="D21" s="221">
        <f t="shared" si="0"/>
        <v>0</v>
      </c>
      <c r="E21" s="221"/>
      <c r="F21" s="222"/>
      <c r="G21" s="255"/>
      <c r="H21" s="221"/>
      <c r="I21" s="255"/>
      <c r="J21" s="221"/>
      <c r="K21" s="255"/>
      <c r="L21" s="255"/>
      <c r="M21" s="221"/>
      <c r="N21" s="221"/>
      <c r="O21"/>
      <c r="P21"/>
      <c r="Q21"/>
      <c r="R21"/>
      <c r="S21"/>
      <c r="T21"/>
      <c r="U21"/>
      <c r="V21"/>
      <c r="W21"/>
      <c r="X21"/>
      <c r="Y21" s="218"/>
      <c r="Z21" s="218"/>
      <c r="AA21" s="218"/>
    </row>
    <row r="22" spans="1:27" ht="15" x14ac:dyDescent="0.25">
      <c r="A22" s="219">
        <v>44439</v>
      </c>
      <c r="B22" s="220"/>
      <c r="C22" s="221"/>
      <c r="D22" s="221">
        <f t="shared" si="0"/>
        <v>0</v>
      </c>
      <c r="E22" s="221"/>
      <c r="F22" s="221"/>
      <c r="G22" s="255"/>
      <c r="H22" s="222"/>
      <c r="I22" s="255"/>
      <c r="J22" s="221"/>
      <c r="K22" s="255"/>
      <c r="L22" s="255"/>
      <c r="M22" s="221"/>
      <c r="N22" s="223"/>
      <c r="O22"/>
      <c r="P22"/>
      <c r="Q22"/>
      <c r="R22"/>
      <c r="S22"/>
      <c r="T22"/>
      <c r="U22"/>
      <c r="V22"/>
      <c r="W22"/>
      <c r="X22"/>
      <c r="Y22" s="218"/>
      <c r="Z22" s="218"/>
      <c r="AA22" s="218"/>
    </row>
    <row r="23" spans="1:27" ht="15" x14ac:dyDescent="0.25">
      <c r="A23" s="219">
        <v>44469</v>
      </c>
      <c r="B23" s="220"/>
      <c r="C23" s="221"/>
      <c r="D23" s="221">
        <f t="shared" si="0"/>
        <v>0</v>
      </c>
      <c r="E23" s="221"/>
      <c r="F23" s="221"/>
      <c r="G23" s="221"/>
      <c r="H23" s="221"/>
      <c r="I23" s="221"/>
      <c r="J23" s="221"/>
      <c r="K23" s="221"/>
      <c r="L23" s="221"/>
      <c r="M23" s="221"/>
      <c r="N23" s="223"/>
      <c r="O23"/>
      <c r="P23"/>
      <c r="Q23"/>
      <c r="R23"/>
      <c r="S23"/>
      <c r="T23"/>
      <c r="U23"/>
      <c r="V23"/>
      <c r="W23"/>
      <c r="X23"/>
      <c r="Y23" s="218"/>
      <c r="Z23" s="218"/>
      <c r="AA23" s="218"/>
    </row>
    <row r="24" spans="1:27" ht="15" x14ac:dyDescent="0.25">
      <c r="A24" s="219">
        <v>44500</v>
      </c>
      <c r="B24" s="220"/>
      <c r="C24" s="221"/>
      <c r="D24" s="221">
        <f t="shared" si="0"/>
        <v>0</v>
      </c>
      <c r="E24" s="221"/>
      <c r="F24" s="221"/>
      <c r="G24" s="221"/>
      <c r="H24" s="221"/>
      <c r="I24" s="221"/>
      <c r="J24" s="221"/>
      <c r="K24" s="221"/>
      <c r="L24" s="221"/>
      <c r="M24" s="221"/>
      <c r="N24" s="223"/>
      <c r="O24"/>
      <c r="P24"/>
      <c r="Q24"/>
      <c r="R24"/>
      <c r="S24"/>
      <c r="T24"/>
      <c r="U24"/>
      <c r="V24"/>
      <c r="W24"/>
      <c r="X24"/>
      <c r="Y24" s="218"/>
      <c r="Z24" s="218"/>
      <c r="AA24" s="218"/>
    </row>
    <row r="25" spans="1:27" ht="15" x14ac:dyDescent="0.25">
      <c r="A25" s="219">
        <v>44530</v>
      </c>
      <c r="B25" s="220"/>
      <c r="C25" s="221"/>
      <c r="D25" s="221">
        <f t="shared" si="0"/>
        <v>0</v>
      </c>
      <c r="E25" s="221"/>
      <c r="F25" s="221"/>
      <c r="G25" s="221"/>
      <c r="H25" s="221"/>
      <c r="I25" s="221"/>
      <c r="J25" s="221"/>
      <c r="K25" s="221"/>
      <c r="L25" s="221"/>
      <c r="M25" s="221"/>
      <c r="N25" s="223"/>
      <c r="O25"/>
      <c r="P25"/>
      <c r="Q25"/>
      <c r="R25"/>
      <c r="S25"/>
      <c r="T25"/>
      <c r="U25"/>
      <c r="V25"/>
      <c r="W25"/>
      <c r="X25"/>
      <c r="Y25" s="218"/>
      <c r="Z25" s="218"/>
      <c r="AA25" s="218"/>
    </row>
    <row r="26" spans="1:27" ht="15" x14ac:dyDescent="0.25">
      <c r="A26" s="219">
        <v>44561</v>
      </c>
      <c r="B26" s="220"/>
      <c r="C26" s="255"/>
      <c r="D26" s="225">
        <f t="shared" si="0"/>
        <v>0</v>
      </c>
      <c r="E26" s="221"/>
      <c r="F26" s="255"/>
      <c r="G26" s="222"/>
      <c r="H26" s="255"/>
      <c r="I26" s="222"/>
      <c r="J26" s="255"/>
      <c r="K26" s="222"/>
      <c r="L26" s="221"/>
      <c r="M26" s="221"/>
      <c r="N26" s="226"/>
      <c r="O26"/>
      <c r="P26"/>
      <c r="Q26"/>
      <c r="R26"/>
      <c r="S26"/>
      <c r="T26"/>
      <c r="U26"/>
      <c r="V26"/>
      <c r="W26"/>
      <c r="X26"/>
      <c r="Y26" s="218"/>
      <c r="Z26" s="218"/>
      <c r="AA26" s="218"/>
    </row>
    <row r="27" spans="1:27" ht="15" x14ac:dyDescent="0.25">
      <c r="A27" s="227">
        <v>44592</v>
      </c>
      <c r="B27" s="228"/>
      <c r="C27" s="229">
        <f t="shared" ref="C27:C74" si="1">D27</f>
        <v>0</v>
      </c>
      <c r="D27" s="221">
        <f t="shared" si="0"/>
        <v>0</v>
      </c>
      <c r="E27" s="229">
        <f>(($C$26*$D$6/12)+(($C$38-$C$26)*$C$6/12))</f>
        <v>0</v>
      </c>
      <c r="F27" s="230">
        <f>+(D26*$F$9/12)+(((D27-D26)*$F$9/12)*0.5)</f>
        <v>0</v>
      </c>
      <c r="G27" s="229">
        <f t="shared" ref="G27:H42" si="2">-E27+G26</f>
        <v>0</v>
      </c>
      <c r="H27" s="230">
        <f t="shared" si="2"/>
        <v>0</v>
      </c>
      <c r="I27" s="229">
        <f t="shared" ref="I27:J42" si="3">C27+G27</f>
        <v>0</v>
      </c>
      <c r="J27" s="230">
        <f t="shared" si="3"/>
        <v>0</v>
      </c>
      <c r="K27" s="229">
        <f t="shared" ref="K27:K69" si="4">J27-I27</f>
        <v>0</v>
      </c>
      <c r="L27" s="229">
        <f t="shared" ref="L27:L74" si="5">-K27*$L$11</f>
        <v>0</v>
      </c>
      <c r="M27" s="229">
        <f t="shared" ref="M27:M74" si="6">-L27+L26</f>
        <v>0</v>
      </c>
      <c r="N27" s="223"/>
      <c r="O27"/>
      <c r="P27"/>
      <c r="Q27"/>
      <c r="R27"/>
      <c r="S27"/>
      <c r="T27"/>
      <c r="U27"/>
      <c r="V27"/>
      <c r="W27"/>
      <c r="X27"/>
      <c r="Y27" s="218"/>
      <c r="Z27" s="218"/>
      <c r="AA27" s="218"/>
    </row>
    <row r="28" spans="1:27" ht="15" x14ac:dyDescent="0.25">
      <c r="A28" s="219">
        <v>44620</v>
      </c>
      <c r="B28" s="224"/>
      <c r="C28" s="221">
        <f t="shared" si="1"/>
        <v>0</v>
      </c>
      <c r="D28" s="221">
        <f t="shared" si="0"/>
        <v>0</v>
      </c>
      <c r="E28" s="221">
        <f t="shared" ref="E28:E38" si="7">(($C$26*$D$6/12)+(($C$38-$C$26)*$C$6/12))</f>
        <v>0</v>
      </c>
      <c r="F28" s="222">
        <f>+(D27*$F$9/12)+(((D28-D27)*$F$9/12)*0.5)</f>
        <v>0</v>
      </c>
      <c r="G28" s="221">
        <f t="shared" si="2"/>
        <v>0</v>
      </c>
      <c r="H28" s="222">
        <f t="shared" si="2"/>
        <v>0</v>
      </c>
      <c r="I28" s="221">
        <f t="shared" si="3"/>
        <v>0</v>
      </c>
      <c r="J28" s="221">
        <f t="shared" si="3"/>
        <v>0</v>
      </c>
      <c r="K28" s="221">
        <f t="shared" si="4"/>
        <v>0</v>
      </c>
      <c r="L28" s="221">
        <f t="shared" si="5"/>
        <v>0</v>
      </c>
      <c r="M28" s="221">
        <f t="shared" si="6"/>
        <v>0</v>
      </c>
      <c r="N28" s="223"/>
      <c r="O28"/>
      <c r="P28"/>
      <c r="Q28"/>
      <c r="R28"/>
      <c r="S28"/>
      <c r="T28"/>
      <c r="U28"/>
      <c r="V28"/>
      <c r="W28"/>
      <c r="X28"/>
      <c r="Y28" s="218"/>
      <c r="Z28" s="218"/>
      <c r="AA28" s="218"/>
    </row>
    <row r="29" spans="1:27" ht="15" x14ac:dyDescent="0.25">
      <c r="A29" s="219">
        <v>44651</v>
      </c>
      <c r="B29" s="224"/>
      <c r="C29" s="221">
        <f t="shared" si="1"/>
        <v>0</v>
      </c>
      <c r="D29" s="221">
        <f t="shared" si="0"/>
        <v>0</v>
      </c>
      <c r="E29" s="221">
        <f t="shared" si="7"/>
        <v>0</v>
      </c>
      <c r="F29" s="222">
        <f>+(D28*$F$9/12)+(((D29-D28)*$F$9/12)*0.5)</f>
        <v>0</v>
      </c>
      <c r="G29" s="221">
        <f t="shared" si="2"/>
        <v>0</v>
      </c>
      <c r="H29" s="222">
        <f t="shared" si="2"/>
        <v>0</v>
      </c>
      <c r="I29" s="221">
        <f t="shared" si="3"/>
        <v>0</v>
      </c>
      <c r="J29" s="221">
        <f t="shared" si="3"/>
        <v>0</v>
      </c>
      <c r="K29" s="221">
        <f t="shared" si="4"/>
        <v>0</v>
      </c>
      <c r="L29" s="221">
        <f t="shared" si="5"/>
        <v>0</v>
      </c>
      <c r="M29" s="221">
        <f t="shared" si="6"/>
        <v>0</v>
      </c>
      <c r="N29" s="223"/>
      <c r="O29"/>
      <c r="P29"/>
      <c r="Q29"/>
      <c r="R29"/>
      <c r="S29"/>
      <c r="T29"/>
      <c r="U29"/>
      <c r="V29"/>
      <c r="W29"/>
      <c r="X29"/>
      <c r="Y29" s="218"/>
      <c r="Z29" s="218"/>
      <c r="AA29" s="218"/>
    </row>
    <row r="30" spans="1:27" ht="15" x14ac:dyDescent="0.25">
      <c r="A30" s="219">
        <v>44681</v>
      </c>
      <c r="B30" s="224"/>
      <c r="C30" s="221">
        <f t="shared" si="1"/>
        <v>0</v>
      </c>
      <c r="D30" s="221">
        <f t="shared" si="0"/>
        <v>0</v>
      </c>
      <c r="E30" s="221">
        <f t="shared" si="7"/>
        <v>0</v>
      </c>
      <c r="F30" s="222">
        <f t="shared" ref="F30:F38" si="8">+(D29*$F$9/12)+(((D30-D29)*$F$9/12)*0.5)</f>
        <v>0</v>
      </c>
      <c r="G30" s="221">
        <f t="shared" si="2"/>
        <v>0</v>
      </c>
      <c r="H30" s="222">
        <f t="shared" si="2"/>
        <v>0</v>
      </c>
      <c r="I30" s="221">
        <f t="shared" si="3"/>
        <v>0</v>
      </c>
      <c r="J30" s="221">
        <f t="shared" si="3"/>
        <v>0</v>
      </c>
      <c r="K30" s="221">
        <f t="shared" si="4"/>
        <v>0</v>
      </c>
      <c r="L30" s="221">
        <f t="shared" si="5"/>
        <v>0</v>
      </c>
      <c r="M30" s="221">
        <f t="shared" si="6"/>
        <v>0</v>
      </c>
      <c r="N30" s="223"/>
      <c r="O30"/>
      <c r="P30"/>
      <c r="Q30"/>
      <c r="R30"/>
      <c r="S30"/>
      <c r="T30"/>
      <c r="U30"/>
      <c r="V30"/>
      <c r="W30"/>
      <c r="X30"/>
      <c r="Y30" s="218"/>
      <c r="Z30" s="218"/>
      <c r="AA30" s="218"/>
    </row>
    <row r="31" spans="1:27" ht="15" x14ac:dyDescent="0.25">
      <c r="A31" s="219">
        <v>44712</v>
      </c>
      <c r="B31" s="224"/>
      <c r="C31" s="221">
        <f t="shared" si="1"/>
        <v>0</v>
      </c>
      <c r="D31" s="221">
        <f t="shared" si="0"/>
        <v>0</v>
      </c>
      <c r="E31" s="221">
        <f t="shared" si="7"/>
        <v>0</v>
      </c>
      <c r="F31" s="222">
        <f t="shared" si="8"/>
        <v>0</v>
      </c>
      <c r="G31" s="221">
        <f t="shared" si="2"/>
        <v>0</v>
      </c>
      <c r="H31" s="222">
        <f t="shared" si="2"/>
        <v>0</v>
      </c>
      <c r="I31" s="221">
        <f t="shared" si="3"/>
        <v>0</v>
      </c>
      <c r="J31" s="221">
        <f t="shared" si="3"/>
        <v>0</v>
      </c>
      <c r="K31" s="221">
        <f t="shared" si="4"/>
        <v>0</v>
      </c>
      <c r="L31" s="221">
        <f t="shared" si="5"/>
        <v>0</v>
      </c>
      <c r="M31" s="221">
        <f t="shared" si="6"/>
        <v>0</v>
      </c>
      <c r="N31" s="223"/>
      <c r="O31"/>
      <c r="P31"/>
      <c r="Q31"/>
      <c r="R31"/>
      <c r="S31"/>
      <c r="T31"/>
      <c r="U31"/>
      <c r="V31"/>
      <c r="W31"/>
      <c r="X31"/>
      <c r="Y31" s="218"/>
      <c r="Z31" s="218"/>
      <c r="AA31" s="218"/>
    </row>
    <row r="32" spans="1:27" ht="15" x14ac:dyDescent="0.25">
      <c r="A32" s="219">
        <v>44742</v>
      </c>
      <c r="B32" s="224"/>
      <c r="C32" s="221">
        <f t="shared" si="1"/>
        <v>0</v>
      </c>
      <c r="D32" s="221">
        <f t="shared" si="0"/>
        <v>0</v>
      </c>
      <c r="E32" s="221">
        <f t="shared" si="7"/>
        <v>0</v>
      </c>
      <c r="F32" s="222">
        <f t="shared" si="8"/>
        <v>0</v>
      </c>
      <c r="G32" s="221">
        <f t="shared" si="2"/>
        <v>0</v>
      </c>
      <c r="H32" s="222">
        <f t="shared" si="2"/>
        <v>0</v>
      </c>
      <c r="I32" s="221">
        <f t="shared" si="3"/>
        <v>0</v>
      </c>
      <c r="J32" s="221">
        <f t="shared" si="3"/>
        <v>0</v>
      </c>
      <c r="K32" s="221">
        <f t="shared" si="4"/>
        <v>0</v>
      </c>
      <c r="L32" s="221">
        <f t="shared" si="5"/>
        <v>0</v>
      </c>
      <c r="M32" s="221">
        <f t="shared" si="6"/>
        <v>0</v>
      </c>
      <c r="N32" s="223"/>
      <c r="O32"/>
      <c r="P32"/>
      <c r="Q32"/>
      <c r="R32"/>
      <c r="S32"/>
      <c r="T32"/>
      <c r="U32"/>
      <c r="V32"/>
      <c r="W32"/>
      <c r="X32"/>
      <c r="Y32" s="218"/>
      <c r="Z32" s="218"/>
      <c r="AA32" s="218"/>
    </row>
    <row r="33" spans="1:35" ht="15" x14ac:dyDescent="0.25">
      <c r="A33" s="219">
        <v>44773</v>
      </c>
      <c r="B33" s="224"/>
      <c r="C33" s="221">
        <f t="shared" si="1"/>
        <v>0</v>
      </c>
      <c r="D33" s="221">
        <f t="shared" si="0"/>
        <v>0</v>
      </c>
      <c r="E33" s="221">
        <f t="shared" si="7"/>
        <v>0</v>
      </c>
      <c r="F33" s="222">
        <f t="shared" si="8"/>
        <v>0</v>
      </c>
      <c r="G33" s="221">
        <f t="shared" si="2"/>
        <v>0</v>
      </c>
      <c r="H33" s="222">
        <f t="shared" si="2"/>
        <v>0</v>
      </c>
      <c r="I33" s="221">
        <f t="shared" si="3"/>
        <v>0</v>
      </c>
      <c r="J33" s="221">
        <f t="shared" si="3"/>
        <v>0</v>
      </c>
      <c r="K33" s="221">
        <f t="shared" si="4"/>
        <v>0</v>
      </c>
      <c r="L33" s="221">
        <f t="shared" si="5"/>
        <v>0</v>
      </c>
      <c r="M33" s="221">
        <f t="shared" si="6"/>
        <v>0</v>
      </c>
      <c r="N33" s="223"/>
      <c r="O33"/>
      <c r="P33"/>
      <c r="Q33"/>
      <c r="R33"/>
      <c r="S33"/>
      <c r="T33"/>
      <c r="U33"/>
      <c r="V33"/>
      <c r="W33"/>
      <c r="X33"/>
      <c r="Y33" s="218"/>
      <c r="Z33" s="218"/>
      <c r="AA33" s="218"/>
    </row>
    <row r="34" spans="1:35" ht="15" x14ac:dyDescent="0.25">
      <c r="A34" s="219">
        <v>44804</v>
      </c>
      <c r="B34" s="224"/>
      <c r="C34" s="221">
        <f t="shared" si="1"/>
        <v>0</v>
      </c>
      <c r="D34" s="221">
        <f t="shared" si="0"/>
        <v>0</v>
      </c>
      <c r="E34" s="221">
        <f t="shared" si="7"/>
        <v>0</v>
      </c>
      <c r="F34" s="222">
        <f t="shared" si="8"/>
        <v>0</v>
      </c>
      <c r="G34" s="221">
        <f t="shared" si="2"/>
        <v>0</v>
      </c>
      <c r="H34" s="222">
        <f t="shared" si="2"/>
        <v>0</v>
      </c>
      <c r="I34" s="221">
        <f t="shared" si="3"/>
        <v>0</v>
      </c>
      <c r="J34" s="221">
        <f t="shared" si="3"/>
        <v>0</v>
      </c>
      <c r="K34" s="221">
        <f t="shared" si="4"/>
        <v>0</v>
      </c>
      <c r="L34" s="221">
        <f t="shared" si="5"/>
        <v>0</v>
      </c>
      <c r="M34" s="221">
        <f t="shared" si="6"/>
        <v>0</v>
      </c>
      <c r="N34" s="223"/>
      <c r="O34"/>
      <c r="P34"/>
      <c r="Q34"/>
      <c r="R34"/>
      <c r="S34"/>
      <c r="T34"/>
      <c r="U34"/>
      <c r="V34"/>
      <c r="W34"/>
      <c r="X34"/>
      <c r="Y34" s="218"/>
      <c r="Z34" s="218"/>
      <c r="AA34" s="218"/>
    </row>
    <row r="35" spans="1:35" ht="15" x14ac:dyDescent="0.25">
      <c r="A35" s="219">
        <v>44834</v>
      </c>
      <c r="B35" s="224"/>
      <c r="C35" s="221">
        <f t="shared" si="1"/>
        <v>0</v>
      </c>
      <c r="D35" s="221">
        <f t="shared" si="0"/>
        <v>0</v>
      </c>
      <c r="E35" s="221">
        <f t="shared" si="7"/>
        <v>0</v>
      </c>
      <c r="F35" s="222">
        <f t="shared" si="8"/>
        <v>0</v>
      </c>
      <c r="G35" s="221">
        <f t="shared" si="2"/>
        <v>0</v>
      </c>
      <c r="H35" s="222">
        <f t="shared" si="2"/>
        <v>0</v>
      </c>
      <c r="I35" s="221">
        <f t="shared" si="3"/>
        <v>0</v>
      </c>
      <c r="J35" s="221">
        <f t="shared" si="3"/>
        <v>0</v>
      </c>
      <c r="K35" s="221">
        <f t="shared" si="4"/>
        <v>0</v>
      </c>
      <c r="L35" s="221">
        <f t="shared" si="5"/>
        <v>0</v>
      </c>
      <c r="M35" s="221">
        <f t="shared" si="6"/>
        <v>0</v>
      </c>
      <c r="N35" s="223"/>
      <c r="O35"/>
      <c r="P35"/>
      <c r="Q35"/>
      <c r="R35"/>
      <c r="S35"/>
      <c r="T35"/>
      <c r="U35"/>
      <c r="V35"/>
      <c r="W35"/>
      <c r="X35"/>
      <c r="Y35" s="218"/>
      <c r="Z35" s="218"/>
      <c r="AA35" s="218"/>
    </row>
    <row r="36" spans="1:35" ht="15" x14ac:dyDescent="0.25">
      <c r="A36" s="219">
        <v>44865</v>
      </c>
      <c r="B36" s="224"/>
      <c r="C36" s="221">
        <f t="shared" si="1"/>
        <v>0</v>
      </c>
      <c r="D36" s="221">
        <f t="shared" si="0"/>
        <v>0</v>
      </c>
      <c r="E36" s="221">
        <f t="shared" si="7"/>
        <v>0</v>
      </c>
      <c r="F36" s="222">
        <f t="shared" si="8"/>
        <v>0</v>
      </c>
      <c r="G36" s="221">
        <f t="shared" si="2"/>
        <v>0</v>
      </c>
      <c r="H36" s="222">
        <f t="shared" si="2"/>
        <v>0</v>
      </c>
      <c r="I36" s="221">
        <f t="shared" si="3"/>
        <v>0</v>
      </c>
      <c r="J36" s="221">
        <f t="shared" si="3"/>
        <v>0</v>
      </c>
      <c r="K36" s="221">
        <f t="shared" si="4"/>
        <v>0</v>
      </c>
      <c r="L36" s="221">
        <f t="shared" si="5"/>
        <v>0</v>
      </c>
      <c r="M36" s="221">
        <f t="shared" si="6"/>
        <v>0</v>
      </c>
      <c r="N36" s="223"/>
      <c r="O36"/>
      <c r="P36"/>
      <c r="Q36"/>
      <c r="R36"/>
      <c r="S36"/>
      <c r="T36"/>
      <c r="U36"/>
      <c r="V36"/>
      <c r="W36"/>
      <c r="X36"/>
      <c r="Y36" s="218"/>
      <c r="Z36" s="218"/>
      <c r="AA36" s="218"/>
    </row>
    <row r="37" spans="1:35" ht="15" x14ac:dyDescent="0.25">
      <c r="A37" s="219">
        <v>44895</v>
      </c>
      <c r="B37" s="224"/>
      <c r="C37" s="221">
        <f t="shared" si="1"/>
        <v>0</v>
      </c>
      <c r="D37" s="221">
        <f t="shared" si="0"/>
        <v>0</v>
      </c>
      <c r="E37" s="221">
        <f t="shared" si="7"/>
        <v>0</v>
      </c>
      <c r="F37" s="222">
        <f t="shared" si="8"/>
        <v>0</v>
      </c>
      <c r="G37" s="221">
        <f t="shared" si="2"/>
        <v>0</v>
      </c>
      <c r="H37" s="222">
        <f t="shared" si="2"/>
        <v>0</v>
      </c>
      <c r="I37" s="221">
        <f t="shared" si="3"/>
        <v>0</v>
      </c>
      <c r="J37" s="221">
        <f t="shared" si="3"/>
        <v>0</v>
      </c>
      <c r="K37" s="221">
        <f t="shared" si="4"/>
        <v>0</v>
      </c>
      <c r="L37" s="221">
        <f t="shared" si="5"/>
        <v>0</v>
      </c>
      <c r="M37" s="221">
        <f t="shared" si="6"/>
        <v>0</v>
      </c>
      <c r="N37" s="223"/>
      <c r="O37"/>
      <c r="P37"/>
      <c r="Q37"/>
      <c r="R37"/>
      <c r="S37"/>
      <c r="T37"/>
      <c r="U37"/>
      <c r="V37"/>
      <c r="W37"/>
      <c r="X37"/>
      <c r="Y37" s="218"/>
      <c r="Z37" s="218"/>
      <c r="AA37" s="218"/>
    </row>
    <row r="38" spans="1:35" ht="15" x14ac:dyDescent="0.25">
      <c r="A38" s="219">
        <v>44926</v>
      </c>
      <c r="B38" s="224"/>
      <c r="C38" s="221">
        <f t="shared" si="1"/>
        <v>0</v>
      </c>
      <c r="D38" s="225">
        <f t="shared" si="0"/>
        <v>0</v>
      </c>
      <c r="E38" s="221">
        <f t="shared" si="7"/>
        <v>0</v>
      </c>
      <c r="F38" s="222">
        <f t="shared" si="8"/>
        <v>0</v>
      </c>
      <c r="G38" s="221">
        <f t="shared" si="2"/>
        <v>0</v>
      </c>
      <c r="H38" s="222">
        <f t="shared" si="2"/>
        <v>0</v>
      </c>
      <c r="I38" s="221">
        <f t="shared" si="3"/>
        <v>0</v>
      </c>
      <c r="J38" s="221">
        <f t="shared" si="3"/>
        <v>0</v>
      </c>
      <c r="K38" s="221">
        <f t="shared" si="4"/>
        <v>0</v>
      </c>
      <c r="L38" s="221">
        <f t="shared" si="5"/>
        <v>0</v>
      </c>
      <c r="M38" s="221">
        <f t="shared" si="6"/>
        <v>0</v>
      </c>
      <c r="N38" s="226"/>
      <c r="O38"/>
      <c r="P38"/>
      <c r="Q38"/>
      <c r="R38"/>
      <c r="S38"/>
      <c r="T38"/>
      <c r="U38"/>
      <c r="V38"/>
      <c r="W38"/>
      <c r="X38"/>
      <c r="Y38" s="218"/>
      <c r="Z38" s="218"/>
      <c r="AA38" s="218"/>
    </row>
    <row r="39" spans="1:35" ht="15" x14ac:dyDescent="0.25">
      <c r="A39" s="227">
        <v>44957</v>
      </c>
      <c r="B39" s="228">
        <f t="array" ref="B39:B74">TRANSPOSE('TEP By Depr Grp'!B4:AL4)</f>
        <v>0</v>
      </c>
      <c r="C39" s="229">
        <f t="shared" si="1"/>
        <v>0</v>
      </c>
      <c r="D39" s="221">
        <f t="shared" si="0"/>
        <v>0</v>
      </c>
      <c r="E39" s="229">
        <f>(($C$26*$E$6/12)+(($C$38-$C$26)*$D$6/12)+(($C$50-$C$38)*$C$6/12))</f>
        <v>2430.2776666666668</v>
      </c>
      <c r="F39" s="230">
        <f>+(D38*$F$10/12)+(((D39-D38)*$F$10/12)*0.5)</f>
        <v>0</v>
      </c>
      <c r="G39" s="229">
        <f t="shared" si="2"/>
        <v>-2430.2776666666668</v>
      </c>
      <c r="H39" s="230">
        <f t="shared" si="2"/>
        <v>0</v>
      </c>
      <c r="I39" s="229">
        <f t="shared" si="3"/>
        <v>-2430.2776666666668</v>
      </c>
      <c r="J39" s="229">
        <f t="shared" si="3"/>
        <v>0</v>
      </c>
      <c r="K39" s="229">
        <f t="shared" si="4"/>
        <v>2430.2776666666668</v>
      </c>
      <c r="L39" s="229">
        <f t="shared" si="5"/>
        <v>-510.35831000000002</v>
      </c>
      <c r="M39" s="229">
        <f t="shared" si="6"/>
        <v>510.35831000000002</v>
      </c>
      <c r="N39" s="223"/>
      <c r="O39"/>
      <c r="P39"/>
      <c r="Q39"/>
      <c r="R39"/>
      <c r="S39"/>
      <c r="T39"/>
      <c r="U39"/>
      <c r="V39"/>
      <c r="W39"/>
      <c r="X39"/>
      <c r="Y39" s="218"/>
      <c r="Z39" s="218"/>
      <c r="AA39" s="218"/>
    </row>
    <row r="40" spans="1:35" ht="15" x14ac:dyDescent="0.25">
      <c r="A40" s="219">
        <v>44985</v>
      </c>
      <c r="B40" s="224">
        <v>0</v>
      </c>
      <c r="C40" s="221">
        <f t="shared" si="1"/>
        <v>0</v>
      </c>
      <c r="D40" s="221">
        <f t="shared" si="0"/>
        <v>0</v>
      </c>
      <c r="E40" s="221">
        <f t="shared" ref="E40:E50" si="9">(($C$26*$E$6/12)+(($C$38-$C$26)*$D$6/12)+(($C$50-$C$38)*$C$6/12))</f>
        <v>2430.2776666666668</v>
      </c>
      <c r="F40" s="222">
        <f>+(D39*$F$10/12)+(((D40-D39)*$F$10/12)*0.5)</f>
        <v>0</v>
      </c>
      <c r="G40" s="221">
        <f t="shared" si="2"/>
        <v>-4860.5553333333337</v>
      </c>
      <c r="H40" s="222">
        <f t="shared" si="2"/>
        <v>0</v>
      </c>
      <c r="I40" s="221">
        <f t="shared" si="3"/>
        <v>-4860.5553333333337</v>
      </c>
      <c r="J40" s="221">
        <f t="shared" si="3"/>
        <v>0</v>
      </c>
      <c r="K40" s="221">
        <f t="shared" si="4"/>
        <v>4860.5553333333337</v>
      </c>
      <c r="L40" s="221">
        <f t="shared" si="5"/>
        <v>-1020.71662</v>
      </c>
      <c r="M40" s="221">
        <f t="shared" si="6"/>
        <v>510.35831000000002</v>
      </c>
      <c r="N40" s="223"/>
      <c r="O40"/>
      <c r="P40"/>
      <c r="Q40"/>
      <c r="R40"/>
      <c r="S40"/>
      <c r="T40"/>
      <c r="U40"/>
      <c r="V40"/>
      <c r="W40"/>
      <c r="X40"/>
      <c r="Y40" s="218"/>
      <c r="Z40" s="218"/>
      <c r="AA40" s="218"/>
      <c r="AB40" s="232"/>
      <c r="AC40" s="232"/>
      <c r="AD40" s="232"/>
      <c r="AE40" s="232"/>
      <c r="AF40" s="232"/>
      <c r="AG40" s="232"/>
      <c r="AH40" s="232"/>
      <c r="AI40" s="232"/>
    </row>
    <row r="41" spans="1:35" ht="15" x14ac:dyDescent="0.25">
      <c r="A41" s="219">
        <v>45016</v>
      </c>
      <c r="B41" s="224">
        <v>0</v>
      </c>
      <c r="C41" s="221">
        <f t="shared" si="1"/>
        <v>0</v>
      </c>
      <c r="D41" s="221">
        <f t="shared" si="0"/>
        <v>0</v>
      </c>
      <c r="E41" s="221">
        <f t="shared" si="9"/>
        <v>2430.2776666666668</v>
      </c>
      <c r="F41" s="222">
        <f t="shared" ref="F41:F74" si="10">+(D40*$F$10/12)+(((D41-D40)*$F$10/12)*0.5)</f>
        <v>0</v>
      </c>
      <c r="G41" s="221">
        <f t="shared" si="2"/>
        <v>-7290.8330000000005</v>
      </c>
      <c r="H41" s="222">
        <f t="shared" si="2"/>
        <v>0</v>
      </c>
      <c r="I41" s="221">
        <f t="shared" si="3"/>
        <v>-7290.8330000000005</v>
      </c>
      <c r="J41" s="221">
        <f t="shared" si="3"/>
        <v>0</v>
      </c>
      <c r="K41" s="221">
        <f t="shared" si="4"/>
        <v>7290.8330000000005</v>
      </c>
      <c r="L41" s="221">
        <f t="shared" si="5"/>
        <v>-1531.07493</v>
      </c>
      <c r="M41" s="221">
        <f t="shared" si="6"/>
        <v>510.35830999999996</v>
      </c>
      <c r="N41" s="223"/>
      <c r="O41"/>
      <c r="P41"/>
      <c r="Q41"/>
      <c r="R41"/>
      <c r="S41"/>
      <c r="T41"/>
      <c r="U41"/>
      <c r="V41"/>
      <c r="W41"/>
      <c r="X41"/>
      <c r="Y41" s="218"/>
      <c r="Z41" s="218"/>
      <c r="AA41" s="218"/>
      <c r="AB41" s="232"/>
      <c r="AC41" s="232"/>
      <c r="AD41" s="232"/>
      <c r="AE41" s="232"/>
      <c r="AF41" s="232"/>
      <c r="AG41" s="232"/>
      <c r="AH41" s="232"/>
      <c r="AI41" s="232"/>
    </row>
    <row r="42" spans="1:35" ht="15" x14ac:dyDescent="0.25">
      <c r="A42" s="219">
        <v>45046</v>
      </c>
      <c r="B42" s="224">
        <v>0</v>
      </c>
      <c r="C42" s="221">
        <f t="shared" si="1"/>
        <v>0</v>
      </c>
      <c r="D42" s="221">
        <f t="shared" si="0"/>
        <v>0</v>
      </c>
      <c r="E42" s="221">
        <f t="shared" si="9"/>
        <v>2430.2776666666668</v>
      </c>
      <c r="F42" s="222">
        <f t="shared" si="10"/>
        <v>0</v>
      </c>
      <c r="G42" s="221">
        <f t="shared" si="2"/>
        <v>-9721.1106666666674</v>
      </c>
      <c r="H42" s="222">
        <f t="shared" si="2"/>
        <v>0</v>
      </c>
      <c r="I42" s="221">
        <f t="shared" si="3"/>
        <v>-9721.1106666666674</v>
      </c>
      <c r="J42" s="221">
        <f t="shared" si="3"/>
        <v>0</v>
      </c>
      <c r="K42" s="221">
        <f t="shared" si="4"/>
        <v>9721.1106666666674</v>
      </c>
      <c r="L42" s="221">
        <f t="shared" si="5"/>
        <v>-2041.4332400000001</v>
      </c>
      <c r="M42" s="221">
        <f t="shared" si="6"/>
        <v>510.35831000000007</v>
      </c>
      <c r="N42" s="223"/>
      <c r="O42"/>
      <c r="P42"/>
      <c r="Q42"/>
      <c r="R42"/>
      <c r="S42"/>
      <c r="T42"/>
      <c r="U42"/>
      <c r="V42"/>
      <c r="W42"/>
      <c r="X42"/>
      <c r="Y42" s="218"/>
      <c r="Z42" s="218"/>
      <c r="AA42" s="218"/>
      <c r="AB42" s="232"/>
      <c r="AC42" s="232"/>
      <c r="AD42" s="232"/>
      <c r="AE42" s="232"/>
      <c r="AF42" s="232"/>
      <c r="AG42" s="232"/>
      <c r="AH42" s="232"/>
      <c r="AI42" s="232"/>
    </row>
    <row r="43" spans="1:35" ht="15" x14ac:dyDescent="0.25">
      <c r="A43" s="219">
        <v>45077</v>
      </c>
      <c r="B43" s="224">
        <v>0</v>
      </c>
      <c r="C43" s="221">
        <f t="shared" si="1"/>
        <v>0</v>
      </c>
      <c r="D43" s="221">
        <f t="shared" si="0"/>
        <v>0</v>
      </c>
      <c r="E43" s="221">
        <f t="shared" si="9"/>
        <v>2430.2776666666668</v>
      </c>
      <c r="F43" s="222">
        <f t="shared" si="10"/>
        <v>0</v>
      </c>
      <c r="G43" s="221">
        <f t="shared" ref="G43:H58" si="11">-E43+G42</f>
        <v>-12151.388333333334</v>
      </c>
      <c r="H43" s="222">
        <f t="shared" si="11"/>
        <v>0</v>
      </c>
      <c r="I43" s="221">
        <f t="shared" ref="I43:J58" si="12">C43+G43</f>
        <v>-12151.388333333334</v>
      </c>
      <c r="J43" s="221">
        <f t="shared" si="12"/>
        <v>0</v>
      </c>
      <c r="K43" s="221">
        <f t="shared" si="4"/>
        <v>12151.388333333334</v>
      </c>
      <c r="L43" s="221">
        <f t="shared" si="5"/>
        <v>-2551.7915499999999</v>
      </c>
      <c r="M43" s="221">
        <f t="shared" si="6"/>
        <v>510.35830999999985</v>
      </c>
      <c r="N43" s="223"/>
      <c r="O43" s="233"/>
      <c r="P43" s="233"/>
      <c r="Q43" s="234"/>
      <c r="R43" s="234"/>
      <c r="S43"/>
      <c r="T43"/>
      <c r="U43"/>
      <c r="V43"/>
      <c r="W43"/>
      <c r="X43"/>
      <c r="Y43" s="218"/>
      <c r="Z43" s="218"/>
      <c r="AA43" s="218"/>
      <c r="AB43" s="232"/>
      <c r="AC43" s="232"/>
      <c r="AD43" s="232"/>
      <c r="AE43" s="232"/>
      <c r="AF43" s="232"/>
      <c r="AG43" s="232"/>
      <c r="AH43" s="232"/>
      <c r="AI43" s="232"/>
    </row>
    <row r="44" spans="1:35" ht="15" x14ac:dyDescent="0.25">
      <c r="A44" s="219">
        <v>45107</v>
      </c>
      <c r="B44" s="224">
        <v>0</v>
      </c>
      <c r="C44" s="221">
        <f t="shared" si="1"/>
        <v>0</v>
      </c>
      <c r="D44" s="221">
        <f t="shared" si="0"/>
        <v>0</v>
      </c>
      <c r="E44" s="221">
        <f t="shared" si="9"/>
        <v>2430.2776666666668</v>
      </c>
      <c r="F44" s="222">
        <f t="shared" si="10"/>
        <v>0</v>
      </c>
      <c r="G44" s="221">
        <f t="shared" si="11"/>
        <v>-14581.666000000001</v>
      </c>
      <c r="H44" s="222">
        <f t="shared" si="11"/>
        <v>0</v>
      </c>
      <c r="I44" s="221">
        <f t="shared" si="12"/>
        <v>-14581.666000000001</v>
      </c>
      <c r="J44" s="221">
        <f t="shared" si="12"/>
        <v>0</v>
      </c>
      <c r="K44" s="221">
        <f t="shared" si="4"/>
        <v>14581.666000000001</v>
      </c>
      <c r="L44" s="221">
        <f t="shared" si="5"/>
        <v>-3062.14986</v>
      </c>
      <c r="M44" s="221">
        <f t="shared" si="6"/>
        <v>510.35831000000007</v>
      </c>
      <c r="N44" s="223"/>
      <c r="O44" s="233"/>
      <c r="P44" s="233"/>
      <c r="Q44" s="234"/>
      <c r="R44" s="234"/>
      <c r="S44"/>
      <c r="T44"/>
      <c r="U44"/>
      <c r="V44"/>
      <c r="W44"/>
      <c r="X44"/>
      <c r="Y44" s="218"/>
      <c r="Z44" s="218"/>
      <c r="AA44" s="218"/>
      <c r="AB44" s="232"/>
      <c r="AC44" s="232"/>
      <c r="AD44" s="232"/>
      <c r="AE44" s="232"/>
      <c r="AF44" s="232"/>
      <c r="AG44" s="232"/>
      <c r="AH44" s="232"/>
      <c r="AI44" s="232"/>
    </row>
    <row r="45" spans="1:35" ht="15" x14ac:dyDescent="0.25">
      <c r="A45" s="219">
        <v>45138</v>
      </c>
      <c r="B45" s="224">
        <v>0</v>
      </c>
      <c r="C45" s="221">
        <f t="shared" si="1"/>
        <v>0</v>
      </c>
      <c r="D45" s="221">
        <f t="shared" si="0"/>
        <v>0</v>
      </c>
      <c r="E45" s="221">
        <f t="shared" si="9"/>
        <v>2430.2776666666668</v>
      </c>
      <c r="F45" s="222">
        <f t="shared" si="10"/>
        <v>0</v>
      </c>
      <c r="G45" s="221">
        <f t="shared" si="11"/>
        <v>-17011.943666666666</v>
      </c>
      <c r="H45" s="222">
        <f t="shared" si="11"/>
        <v>0</v>
      </c>
      <c r="I45" s="221">
        <f t="shared" si="12"/>
        <v>-17011.943666666666</v>
      </c>
      <c r="J45" s="221">
        <f t="shared" si="12"/>
        <v>0</v>
      </c>
      <c r="K45" s="221">
        <f t="shared" si="4"/>
        <v>17011.943666666666</v>
      </c>
      <c r="L45" s="221">
        <f t="shared" si="5"/>
        <v>-3572.5081699999996</v>
      </c>
      <c r="M45" s="221">
        <f t="shared" si="6"/>
        <v>510.35830999999962</v>
      </c>
      <c r="N45" s="223"/>
      <c r="O45" s="233"/>
      <c r="P45" s="233"/>
      <c r="Q45" s="234"/>
      <c r="R45" s="234"/>
      <c r="S45"/>
      <c r="T45"/>
      <c r="U45"/>
      <c r="V45"/>
      <c r="W45"/>
      <c r="X45"/>
      <c r="Y45" s="218"/>
      <c r="Z45" s="218"/>
      <c r="AA45" s="218"/>
      <c r="AB45" s="232"/>
      <c r="AC45" s="232"/>
      <c r="AD45" s="232"/>
      <c r="AE45" s="232"/>
      <c r="AF45" s="232"/>
      <c r="AG45" s="232"/>
      <c r="AH45" s="232"/>
      <c r="AI45" s="232"/>
    </row>
    <row r="46" spans="1:35" ht="15" x14ac:dyDescent="0.25">
      <c r="A46" s="219">
        <v>45169</v>
      </c>
      <c r="B46" s="224">
        <v>0</v>
      </c>
      <c r="C46" s="221">
        <f t="shared" si="1"/>
        <v>0</v>
      </c>
      <c r="D46" s="221">
        <f t="shared" si="0"/>
        <v>0</v>
      </c>
      <c r="E46" s="221">
        <f t="shared" si="9"/>
        <v>2430.2776666666668</v>
      </c>
      <c r="F46" s="222">
        <f t="shared" si="10"/>
        <v>0</v>
      </c>
      <c r="G46" s="221">
        <f t="shared" si="11"/>
        <v>-19442.221333333335</v>
      </c>
      <c r="H46" s="222">
        <f t="shared" si="11"/>
        <v>0</v>
      </c>
      <c r="I46" s="221">
        <f t="shared" si="12"/>
        <v>-19442.221333333335</v>
      </c>
      <c r="J46" s="221">
        <f t="shared" si="12"/>
        <v>0</v>
      </c>
      <c r="K46" s="221">
        <f t="shared" si="4"/>
        <v>19442.221333333335</v>
      </c>
      <c r="L46" s="221">
        <f t="shared" si="5"/>
        <v>-4082.8664800000001</v>
      </c>
      <c r="M46" s="221">
        <f t="shared" si="6"/>
        <v>510.35831000000053</v>
      </c>
      <c r="N46" s="223"/>
      <c r="O46" s="233"/>
      <c r="Q46" s="234"/>
      <c r="R46" s="235"/>
      <c r="S46"/>
      <c r="T46"/>
      <c r="U46"/>
      <c r="V46"/>
      <c r="W46"/>
      <c r="X46"/>
      <c r="Y46" s="218"/>
      <c r="Z46" s="218"/>
      <c r="AA46" s="218"/>
      <c r="AB46" s="232"/>
      <c r="AC46" s="232"/>
      <c r="AD46" s="232"/>
      <c r="AE46" s="232"/>
      <c r="AF46" s="232"/>
      <c r="AG46" s="232"/>
      <c r="AH46" s="232"/>
      <c r="AI46" s="232"/>
    </row>
    <row r="47" spans="1:35" ht="15" x14ac:dyDescent="0.25">
      <c r="A47" s="219">
        <v>45199</v>
      </c>
      <c r="B47" s="224">
        <v>0</v>
      </c>
      <c r="C47" s="221">
        <f t="shared" si="1"/>
        <v>0</v>
      </c>
      <c r="D47" s="221">
        <f t="shared" si="0"/>
        <v>0</v>
      </c>
      <c r="E47" s="221">
        <f t="shared" si="9"/>
        <v>2430.2776666666668</v>
      </c>
      <c r="F47" s="222">
        <f t="shared" si="10"/>
        <v>0</v>
      </c>
      <c r="G47" s="221">
        <f t="shared" si="11"/>
        <v>-21872.499000000003</v>
      </c>
      <c r="H47" s="222">
        <f t="shared" si="11"/>
        <v>0</v>
      </c>
      <c r="I47" s="221">
        <f t="shared" si="12"/>
        <v>-21872.499000000003</v>
      </c>
      <c r="J47" s="221">
        <f t="shared" si="12"/>
        <v>0</v>
      </c>
      <c r="K47" s="221">
        <f t="shared" si="4"/>
        <v>21872.499000000003</v>
      </c>
      <c r="L47" s="221">
        <f t="shared" si="5"/>
        <v>-4593.2247900000002</v>
      </c>
      <c r="M47" s="221">
        <f t="shared" si="6"/>
        <v>510.35831000000007</v>
      </c>
      <c r="N47" s="223"/>
      <c r="O47" s="234"/>
      <c r="P47"/>
      <c r="Q47"/>
      <c r="R47"/>
      <c r="S47"/>
      <c r="T47"/>
      <c r="U47"/>
      <c r="V47"/>
      <c r="W47"/>
      <c r="X47"/>
      <c r="Y47" s="218"/>
      <c r="Z47" s="218"/>
      <c r="AA47" s="218"/>
      <c r="AB47" s="232"/>
      <c r="AC47" s="232"/>
      <c r="AD47" s="232"/>
      <c r="AE47" s="232"/>
      <c r="AF47" s="232"/>
      <c r="AG47" s="232"/>
      <c r="AH47" s="232"/>
      <c r="AI47" s="232"/>
    </row>
    <row r="48" spans="1:35" ht="15" x14ac:dyDescent="0.25">
      <c r="A48" s="219">
        <v>45230</v>
      </c>
      <c r="B48" s="224">
        <v>144724.29</v>
      </c>
      <c r="C48" s="221">
        <f t="shared" si="1"/>
        <v>144724.29</v>
      </c>
      <c r="D48" s="221">
        <f t="shared" si="0"/>
        <v>144724.29</v>
      </c>
      <c r="E48" s="221">
        <f t="shared" si="9"/>
        <v>2430.2776666666668</v>
      </c>
      <c r="F48" s="222">
        <f t="shared" si="10"/>
        <v>865.93366850000018</v>
      </c>
      <c r="G48" s="221">
        <f t="shared" si="11"/>
        <v>-24302.776666666672</v>
      </c>
      <c r="H48" s="222">
        <f t="shared" si="11"/>
        <v>-865.93366850000018</v>
      </c>
      <c r="I48" s="221">
        <f t="shared" si="12"/>
        <v>120421.51333333334</v>
      </c>
      <c r="J48" s="221">
        <f t="shared" si="12"/>
        <v>143858.35633150002</v>
      </c>
      <c r="K48" s="221">
        <f t="shared" si="4"/>
        <v>23436.842998166685</v>
      </c>
      <c r="L48" s="221">
        <f t="shared" si="5"/>
        <v>-4921.7370296150038</v>
      </c>
      <c r="M48" s="221">
        <f t="shared" si="6"/>
        <v>328.51223961500364</v>
      </c>
      <c r="N48" s="223"/>
      <c r="O48" s="234"/>
      <c r="P48"/>
      <c r="Q48"/>
      <c r="R48"/>
      <c r="S48"/>
      <c r="T48"/>
      <c r="U48"/>
      <c r="V48"/>
      <c r="W48"/>
      <c r="X48"/>
      <c r="Y48" s="218"/>
      <c r="Z48" s="218"/>
      <c r="AA48" s="218"/>
      <c r="AB48" s="232"/>
      <c r="AC48" s="232"/>
      <c r="AD48" s="232"/>
      <c r="AE48" s="232"/>
      <c r="AF48" s="232"/>
      <c r="AG48" s="232"/>
      <c r="AH48" s="232"/>
      <c r="AI48" s="232"/>
    </row>
    <row r="49" spans="1:35" ht="15" x14ac:dyDescent="0.25">
      <c r="A49" s="219">
        <v>45260</v>
      </c>
      <c r="B49" s="224">
        <v>0</v>
      </c>
      <c r="C49" s="221">
        <f t="shared" si="1"/>
        <v>144724.29</v>
      </c>
      <c r="D49" s="221">
        <f t="shared" si="0"/>
        <v>144724.29</v>
      </c>
      <c r="E49" s="221">
        <f t="shared" si="9"/>
        <v>2430.2776666666668</v>
      </c>
      <c r="F49" s="222">
        <f t="shared" si="10"/>
        <v>1731.8673370000004</v>
      </c>
      <c r="G49" s="221">
        <f t="shared" si="11"/>
        <v>-26733.054333333341</v>
      </c>
      <c r="H49" s="222">
        <f t="shared" si="11"/>
        <v>-2597.8010055000004</v>
      </c>
      <c r="I49" s="221">
        <f t="shared" si="12"/>
        <v>117991.23566666667</v>
      </c>
      <c r="J49" s="221">
        <f t="shared" si="12"/>
        <v>142126.48899450002</v>
      </c>
      <c r="K49" s="221">
        <f t="shared" si="4"/>
        <v>24135.253327833343</v>
      </c>
      <c r="L49" s="221">
        <f t="shared" si="5"/>
        <v>-5068.4031988450015</v>
      </c>
      <c r="M49" s="221">
        <f t="shared" si="6"/>
        <v>146.66616922999765</v>
      </c>
      <c r="N49" s="236"/>
      <c r="O49" s="43"/>
      <c r="P49" s="28"/>
      <c r="Q49" s="28"/>
      <c r="R49" s="28"/>
      <c r="S49" s="28"/>
      <c r="T49" s="28"/>
      <c r="U49" s="28"/>
      <c r="V49" s="28"/>
      <c r="W49" s="28"/>
      <c r="X49" s="28"/>
      <c r="Y49" s="237"/>
      <c r="Z49" s="237"/>
      <c r="AA49" s="237"/>
      <c r="AB49" s="232"/>
      <c r="AC49" s="232"/>
      <c r="AD49" s="232"/>
      <c r="AE49" s="232"/>
      <c r="AF49" s="232"/>
      <c r="AG49" s="232"/>
      <c r="AH49" s="232"/>
      <c r="AI49" s="232"/>
    </row>
    <row r="50" spans="1:35" s="245" customFormat="1" ht="15" x14ac:dyDescent="0.25">
      <c r="A50" s="219">
        <v>45291</v>
      </c>
      <c r="B50" s="224">
        <v>1092.3700000000001</v>
      </c>
      <c r="C50" s="221">
        <f t="shared" si="1"/>
        <v>145816.66</v>
      </c>
      <c r="D50" s="225">
        <f t="shared" si="0"/>
        <v>145816.66</v>
      </c>
      <c r="E50" s="221">
        <f t="shared" si="9"/>
        <v>2430.2776666666668</v>
      </c>
      <c r="F50" s="222">
        <f t="shared" si="10"/>
        <v>1738.4033508333337</v>
      </c>
      <c r="G50" s="221">
        <f t="shared" si="11"/>
        <v>-29163.332000000009</v>
      </c>
      <c r="H50" s="222">
        <f t="shared" si="11"/>
        <v>-4336.2043563333336</v>
      </c>
      <c r="I50" s="221">
        <f t="shared" si="12"/>
        <v>116653.32799999999</v>
      </c>
      <c r="J50" s="221">
        <f t="shared" si="12"/>
        <v>141480.45564366668</v>
      </c>
      <c r="K50" s="221">
        <f t="shared" si="4"/>
        <v>24827.127643666681</v>
      </c>
      <c r="L50" s="221">
        <f t="shared" si="5"/>
        <v>-5213.6968051700032</v>
      </c>
      <c r="M50" s="221">
        <f t="shared" si="6"/>
        <v>145.29360632500175</v>
      </c>
      <c r="N50" s="242"/>
      <c r="O50" s="235"/>
      <c r="P50" s="4"/>
      <c r="Q50" s="4"/>
      <c r="R50" s="4"/>
      <c r="S50" s="4"/>
      <c r="T50" s="4"/>
      <c r="U50" s="4"/>
      <c r="V50" s="4"/>
      <c r="W50" s="4"/>
      <c r="X50" s="4"/>
      <c r="Y50" s="243"/>
      <c r="Z50" s="243"/>
      <c r="AA50" s="243"/>
      <c r="AB50" s="244"/>
      <c r="AC50" s="244"/>
      <c r="AD50" s="244"/>
      <c r="AE50" s="244"/>
      <c r="AF50" s="244"/>
      <c r="AG50" s="244"/>
      <c r="AH50" s="244"/>
      <c r="AI50" s="244"/>
    </row>
    <row r="51" spans="1:35" ht="15" x14ac:dyDescent="0.25">
      <c r="A51" s="227">
        <v>45322</v>
      </c>
      <c r="B51" s="228">
        <v>6924</v>
      </c>
      <c r="C51" s="229">
        <f t="shared" si="1"/>
        <v>152740.66</v>
      </c>
      <c r="D51" s="221">
        <f t="shared" si="0"/>
        <v>152740.66</v>
      </c>
      <c r="E51" s="229">
        <f t="shared" ref="E51:E61" si="13">($C$26*$F$6+($C$38-$C$26)*$E$6+($C$50-$C$38)*$D$6+($C$62-$C$50)*$C$6)/12</f>
        <v>45831.327599999997</v>
      </c>
      <c r="F51" s="230">
        <f t="shared" si="10"/>
        <v>1786.3679646666667</v>
      </c>
      <c r="G51" s="229">
        <f t="shared" si="11"/>
        <v>-74994.659600000014</v>
      </c>
      <c r="H51" s="230">
        <f t="shared" si="11"/>
        <v>-6122.5723210000006</v>
      </c>
      <c r="I51" s="229">
        <f t="shared" si="12"/>
        <v>77746.00039999999</v>
      </c>
      <c r="J51" s="229">
        <f t="shared" si="12"/>
        <v>146618.08767899999</v>
      </c>
      <c r="K51" s="229">
        <f t="shared" si="4"/>
        <v>68872.087278999999</v>
      </c>
      <c r="L51" s="229">
        <f t="shared" si="5"/>
        <v>-14463.138328589999</v>
      </c>
      <c r="M51" s="229">
        <f t="shared" si="6"/>
        <v>9249.4415234199951</v>
      </c>
      <c r="N51" s="223"/>
      <c r="O51"/>
      <c r="P51"/>
      <c r="Q51"/>
      <c r="R51"/>
      <c r="S51"/>
      <c r="T51"/>
      <c r="U51"/>
      <c r="V51"/>
      <c r="W51"/>
      <c r="X51"/>
      <c r="Y51" s="218"/>
      <c r="Z51" s="218"/>
      <c r="AA51" s="218"/>
      <c r="AB51" s="232"/>
      <c r="AC51" s="232"/>
      <c r="AD51" s="232"/>
      <c r="AE51" s="232"/>
      <c r="AF51" s="232"/>
      <c r="AG51" s="232"/>
      <c r="AH51" s="232"/>
      <c r="AI51" s="232"/>
    </row>
    <row r="52" spans="1:35" ht="15" x14ac:dyDescent="0.25">
      <c r="A52" s="219">
        <v>45351</v>
      </c>
      <c r="B52" s="224">
        <v>122481</v>
      </c>
      <c r="C52" s="221">
        <f t="shared" si="1"/>
        <v>275221.66000000003</v>
      </c>
      <c r="D52" s="221">
        <f t="shared" si="0"/>
        <v>275221.66000000003</v>
      </c>
      <c r="E52" s="221">
        <f t="shared" si="13"/>
        <v>45831.327599999997</v>
      </c>
      <c r="F52" s="222">
        <f t="shared" si="10"/>
        <v>2560.6412146666671</v>
      </c>
      <c r="G52" s="221">
        <f t="shared" si="11"/>
        <v>-120825.9872</v>
      </c>
      <c r="H52" s="222">
        <f t="shared" si="11"/>
        <v>-8683.2135356666677</v>
      </c>
      <c r="I52" s="221">
        <f t="shared" si="12"/>
        <v>154395.67280000003</v>
      </c>
      <c r="J52" s="221">
        <f t="shared" si="12"/>
        <v>266538.44646433339</v>
      </c>
      <c r="K52" s="221">
        <f t="shared" si="4"/>
        <v>112142.77366433336</v>
      </c>
      <c r="L52" s="221">
        <f t="shared" si="5"/>
        <v>-23549.982469510007</v>
      </c>
      <c r="M52" s="221">
        <f t="shared" si="6"/>
        <v>9086.8441409200077</v>
      </c>
      <c r="N52" s="223"/>
      <c r="O52"/>
      <c r="P52"/>
      <c r="Q52"/>
      <c r="R52"/>
      <c r="S52"/>
      <c r="T52"/>
      <c r="U52"/>
      <c r="V52"/>
      <c r="W52"/>
      <c r="X52"/>
      <c r="Y52" s="218"/>
      <c r="Z52" s="218"/>
      <c r="AA52" s="218"/>
      <c r="AB52" s="232"/>
      <c r="AC52" s="232"/>
      <c r="AD52" s="232"/>
      <c r="AE52" s="232"/>
      <c r="AF52" s="232"/>
      <c r="AG52" s="232"/>
      <c r="AH52" s="232"/>
      <c r="AI52" s="232"/>
    </row>
    <row r="53" spans="1:35" ht="15" x14ac:dyDescent="0.25">
      <c r="A53" s="219">
        <v>45382</v>
      </c>
      <c r="B53" s="224">
        <v>147772</v>
      </c>
      <c r="C53" s="221">
        <f t="shared" si="1"/>
        <v>422993.66000000003</v>
      </c>
      <c r="D53" s="221">
        <f t="shared" si="0"/>
        <v>422993.66000000003</v>
      </c>
      <c r="E53" s="221">
        <f t="shared" si="13"/>
        <v>45831.327599999997</v>
      </c>
      <c r="F53" s="222">
        <f t="shared" si="10"/>
        <v>4177.654998</v>
      </c>
      <c r="G53" s="221">
        <f t="shared" si="11"/>
        <v>-166657.31479999999</v>
      </c>
      <c r="H53" s="222">
        <f t="shared" si="11"/>
        <v>-12860.868533666668</v>
      </c>
      <c r="I53" s="221">
        <f t="shared" si="12"/>
        <v>256336.34520000004</v>
      </c>
      <c r="J53" s="221">
        <f t="shared" si="12"/>
        <v>410132.79146633338</v>
      </c>
      <c r="K53" s="221">
        <f t="shared" si="4"/>
        <v>153796.44626633334</v>
      </c>
      <c r="L53" s="221">
        <f t="shared" si="5"/>
        <v>-32297.253715930001</v>
      </c>
      <c r="M53" s="221">
        <f t="shared" si="6"/>
        <v>8747.271246419994</v>
      </c>
      <c r="N53" s="223"/>
      <c r="O53"/>
      <c r="P53"/>
      <c r="Q53"/>
      <c r="R53"/>
      <c r="S53"/>
      <c r="T53"/>
      <c r="U53"/>
      <c r="V53"/>
      <c r="W53"/>
      <c r="X53"/>
      <c r="Y53" s="218"/>
      <c r="Z53" s="218"/>
      <c r="AA53" s="218"/>
      <c r="AB53" s="232"/>
      <c r="AC53" s="232"/>
      <c r="AD53" s="232"/>
      <c r="AE53" s="232"/>
      <c r="AF53" s="232"/>
      <c r="AG53" s="232"/>
      <c r="AH53" s="232"/>
      <c r="AI53" s="232"/>
    </row>
    <row r="54" spans="1:35" ht="15" x14ac:dyDescent="0.25">
      <c r="A54" s="219">
        <v>45412</v>
      </c>
      <c r="B54" s="224">
        <v>185980</v>
      </c>
      <c r="C54" s="221">
        <f t="shared" si="1"/>
        <v>608973.66</v>
      </c>
      <c r="D54" s="221">
        <f t="shared" si="0"/>
        <v>608973.66</v>
      </c>
      <c r="E54" s="221">
        <f t="shared" si="13"/>
        <v>45831.327599999997</v>
      </c>
      <c r="F54" s="222">
        <f t="shared" si="10"/>
        <v>6174.6044646666669</v>
      </c>
      <c r="G54" s="221">
        <f t="shared" si="11"/>
        <v>-212488.64239999998</v>
      </c>
      <c r="H54" s="222">
        <f t="shared" si="11"/>
        <v>-19035.472998333335</v>
      </c>
      <c r="I54" s="221">
        <f t="shared" si="12"/>
        <v>396485.01760000002</v>
      </c>
      <c r="J54" s="221">
        <f t="shared" si="12"/>
        <v>589938.18700166675</v>
      </c>
      <c r="K54" s="221">
        <f t="shared" si="4"/>
        <v>193453.16940166673</v>
      </c>
      <c r="L54" s="221">
        <f t="shared" si="5"/>
        <v>-40625.165574350009</v>
      </c>
      <c r="M54" s="221">
        <f t="shared" si="6"/>
        <v>8327.9118584200078</v>
      </c>
      <c r="N54" s="223"/>
      <c r="O54"/>
      <c r="P54"/>
      <c r="Q54"/>
      <c r="R54"/>
      <c r="S54"/>
      <c r="T54"/>
      <c r="U54"/>
      <c r="V54"/>
      <c r="W54"/>
      <c r="X54"/>
      <c r="Y54" s="218"/>
      <c r="Z54" s="218"/>
      <c r="AA54" s="218"/>
      <c r="AB54" s="232"/>
      <c r="AC54" s="232"/>
      <c r="AD54" s="232"/>
      <c r="AE54" s="232"/>
      <c r="AF54" s="232"/>
      <c r="AG54" s="232"/>
      <c r="AH54" s="232"/>
      <c r="AI54" s="232"/>
    </row>
    <row r="55" spans="1:35" ht="15" x14ac:dyDescent="0.25">
      <c r="A55" s="219">
        <v>45443</v>
      </c>
      <c r="B55" s="224">
        <v>233004</v>
      </c>
      <c r="C55" s="221">
        <f t="shared" si="1"/>
        <v>841977.66</v>
      </c>
      <c r="D55" s="221">
        <f t="shared" si="0"/>
        <v>841977.66</v>
      </c>
      <c r="E55" s="221">
        <f t="shared" si="13"/>
        <v>45831.327599999997</v>
      </c>
      <c r="F55" s="222">
        <f t="shared" si="10"/>
        <v>8681.5253979999998</v>
      </c>
      <c r="G55" s="221">
        <f t="shared" si="11"/>
        <v>-258319.96999999997</v>
      </c>
      <c r="H55" s="222">
        <f t="shared" si="11"/>
        <v>-27716.998396333336</v>
      </c>
      <c r="I55" s="221">
        <f t="shared" si="12"/>
        <v>583657.69000000006</v>
      </c>
      <c r="J55" s="221">
        <f t="shared" si="12"/>
        <v>814260.66160366673</v>
      </c>
      <c r="K55" s="221">
        <f t="shared" si="4"/>
        <v>230602.97160366667</v>
      </c>
      <c r="L55" s="221">
        <f t="shared" si="5"/>
        <v>-48426.624036770001</v>
      </c>
      <c r="M55" s="221">
        <f t="shared" si="6"/>
        <v>7801.4584624199924</v>
      </c>
      <c r="N55" s="223"/>
      <c r="O55"/>
      <c r="P55"/>
      <c r="Q55"/>
      <c r="R55"/>
      <c r="S55"/>
      <c r="T55"/>
      <c r="U55"/>
      <c r="V55"/>
      <c r="W55"/>
      <c r="X55"/>
      <c r="Y55" s="218"/>
      <c r="Z55" s="218"/>
      <c r="AA55" s="218"/>
      <c r="AB55" s="232"/>
      <c r="AC55" s="232"/>
      <c r="AD55" s="232"/>
      <c r="AE55" s="232"/>
      <c r="AF55" s="232"/>
      <c r="AG55" s="232"/>
      <c r="AH55" s="232"/>
      <c r="AI55" s="232"/>
    </row>
    <row r="56" spans="1:35" ht="15" x14ac:dyDescent="0.25">
      <c r="A56" s="219">
        <v>45473</v>
      </c>
      <c r="B56" s="224">
        <v>226080</v>
      </c>
      <c r="C56" s="221">
        <f t="shared" si="1"/>
        <v>1068057.6600000001</v>
      </c>
      <c r="D56" s="221">
        <f t="shared" si="0"/>
        <v>1068057.6600000001</v>
      </c>
      <c r="E56" s="221">
        <f t="shared" si="13"/>
        <v>45831.327599999997</v>
      </c>
      <c r="F56" s="222">
        <f t="shared" si="10"/>
        <v>11428.377998000002</v>
      </c>
      <c r="G56" s="221">
        <f t="shared" si="11"/>
        <v>-304151.29759999999</v>
      </c>
      <c r="H56" s="222">
        <f t="shared" si="11"/>
        <v>-39145.37639433334</v>
      </c>
      <c r="I56" s="221">
        <f t="shared" si="12"/>
        <v>763906.36240000022</v>
      </c>
      <c r="J56" s="221">
        <f t="shared" si="12"/>
        <v>1028912.2836056668</v>
      </c>
      <c r="K56" s="221">
        <f t="shared" si="4"/>
        <v>265005.92120566661</v>
      </c>
      <c r="L56" s="221">
        <f t="shared" si="5"/>
        <v>-55651.243453189985</v>
      </c>
      <c r="M56" s="221">
        <f t="shared" si="6"/>
        <v>7224.6194164199842</v>
      </c>
      <c r="N56" s="223"/>
      <c r="O56"/>
      <c r="P56"/>
      <c r="Q56"/>
      <c r="R56"/>
      <c r="S56"/>
      <c r="T56"/>
      <c r="U56"/>
      <c r="V56"/>
      <c r="W56"/>
      <c r="X56"/>
      <c r="Y56" s="218"/>
      <c r="Z56" s="218"/>
      <c r="AA56" s="218"/>
      <c r="AB56" s="232"/>
      <c r="AC56" s="232"/>
      <c r="AD56" s="232"/>
      <c r="AE56" s="232"/>
      <c r="AF56" s="232"/>
      <c r="AG56" s="232"/>
      <c r="AH56" s="232"/>
      <c r="AI56" s="232"/>
    </row>
    <row r="57" spans="1:35" ht="15" x14ac:dyDescent="0.25">
      <c r="A57" s="219">
        <v>45504</v>
      </c>
      <c r="B57" s="224">
        <v>245184</v>
      </c>
      <c r="C57" s="221">
        <f t="shared" si="1"/>
        <v>1313241.6600000001</v>
      </c>
      <c r="D57" s="221">
        <f t="shared" si="0"/>
        <v>1313241.6600000001</v>
      </c>
      <c r="E57" s="221">
        <f t="shared" si="13"/>
        <v>45831.327599999997</v>
      </c>
      <c r="F57" s="222">
        <f t="shared" si="10"/>
        <v>14248.107598000002</v>
      </c>
      <c r="G57" s="221">
        <f t="shared" si="11"/>
        <v>-349982.62520000001</v>
      </c>
      <c r="H57" s="222">
        <f t="shared" si="11"/>
        <v>-53393.483992333342</v>
      </c>
      <c r="I57" s="221">
        <f t="shared" si="12"/>
        <v>963259.03480000014</v>
      </c>
      <c r="J57" s="221">
        <f t="shared" si="12"/>
        <v>1259848.1760076669</v>
      </c>
      <c r="K57" s="221">
        <f t="shared" si="4"/>
        <v>296589.14120766672</v>
      </c>
      <c r="L57" s="221">
        <f t="shared" si="5"/>
        <v>-62283.719653610009</v>
      </c>
      <c r="M57" s="221">
        <f t="shared" si="6"/>
        <v>6632.4762004200238</v>
      </c>
      <c r="N57" s="223"/>
      <c r="O57"/>
      <c r="P57"/>
      <c r="Q57"/>
      <c r="R57"/>
      <c r="S57"/>
      <c r="T57"/>
      <c r="U57"/>
      <c r="V57"/>
      <c r="W57"/>
      <c r="X57"/>
      <c r="Y57" s="218"/>
      <c r="Z57" s="218"/>
      <c r="AA57" s="218"/>
      <c r="AB57" s="232"/>
      <c r="AC57" s="232"/>
      <c r="AD57" s="232"/>
      <c r="AE57" s="232"/>
      <c r="AF57" s="232"/>
      <c r="AG57" s="232"/>
      <c r="AH57" s="232"/>
      <c r="AI57" s="232"/>
    </row>
    <row r="58" spans="1:35" ht="15" x14ac:dyDescent="0.25">
      <c r="A58" s="219">
        <v>45535</v>
      </c>
      <c r="B58" s="224">
        <v>185980</v>
      </c>
      <c r="C58" s="221">
        <f t="shared" si="1"/>
        <v>1499221.6600000001</v>
      </c>
      <c r="D58" s="221">
        <f t="shared" si="0"/>
        <v>1499221.6600000001</v>
      </c>
      <c r="E58" s="221">
        <f t="shared" si="13"/>
        <v>45831.327599999997</v>
      </c>
      <c r="F58" s="222">
        <f t="shared" si="10"/>
        <v>16827.905531333334</v>
      </c>
      <c r="G58" s="221">
        <f t="shared" si="11"/>
        <v>-395813.95280000003</v>
      </c>
      <c r="H58" s="222">
        <f t="shared" si="11"/>
        <v>-70221.389523666672</v>
      </c>
      <c r="I58" s="221">
        <f t="shared" si="12"/>
        <v>1103407.7072000001</v>
      </c>
      <c r="J58" s="221">
        <f t="shared" si="12"/>
        <v>1429000.2704763336</v>
      </c>
      <c r="K58" s="221">
        <f t="shared" si="4"/>
        <v>325592.5632763335</v>
      </c>
      <c r="L58" s="221">
        <f t="shared" si="5"/>
        <v>-68374.43828803004</v>
      </c>
      <c r="M58" s="221">
        <f t="shared" si="6"/>
        <v>6090.7186344200309</v>
      </c>
      <c r="N58" s="223"/>
      <c r="O58"/>
      <c r="P58"/>
      <c r="Q58"/>
      <c r="R58"/>
      <c r="S58"/>
      <c r="T58"/>
      <c r="U58"/>
      <c r="V58"/>
      <c r="W58"/>
      <c r="X58"/>
      <c r="Y58" s="218"/>
      <c r="Z58" s="218"/>
      <c r="AA58" s="218"/>
      <c r="AB58" s="232"/>
      <c r="AC58" s="232"/>
      <c r="AD58" s="232"/>
      <c r="AE58" s="232"/>
      <c r="AF58" s="232"/>
      <c r="AG58" s="232"/>
      <c r="AH58" s="232"/>
      <c r="AI58" s="232"/>
    </row>
    <row r="59" spans="1:35" ht="15" x14ac:dyDescent="0.25">
      <c r="A59" s="219">
        <v>45565</v>
      </c>
      <c r="B59" s="224">
        <v>169504</v>
      </c>
      <c r="C59" s="221">
        <f t="shared" si="1"/>
        <v>1668725.6600000001</v>
      </c>
      <c r="D59" s="221">
        <f t="shared" si="0"/>
        <v>1668725.6600000001</v>
      </c>
      <c r="E59" s="221">
        <f t="shared" si="13"/>
        <v>45831.327599999997</v>
      </c>
      <c r="F59" s="222">
        <f t="shared" si="10"/>
        <v>18954.884798000003</v>
      </c>
      <c r="G59" s="221">
        <f t="shared" ref="G59:H74" si="14">-E59+G58</f>
        <v>-441645.28040000005</v>
      </c>
      <c r="H59" s="222">
        <f t="shared" si="14"/>
        <v>-89176.274321666671</v>
      </c>
      <c r="I59" s="221">
        <f t="shared" ref="I59:J74" si="15">C59+G59</f>
        <v>1227080.3796000001</v>
      </c>
      <c r="J59" s="221">
        <f t="shared" si="15"/>
        <v>1579549.3856783335</v>
      </c>
      <c r="K59" s="221">
        <f t="shared" si="4"/>
        <v>352469.00607833336</v>
      </c>
      <c r="L59" s="221">
        <f t="shared" si="5"/>
        <v>-74018.491276450004</v>
      </c>
      <c r="M59" s="221">
        <f t="shared" si="6"/>
        <v>5644.0529884199641</v>
      </c>
      <c r="N59" s="223"/>
      <c r="O59"/>
      <c r="P59"/>
      <c r="Q59"/>
      <c r="R59"/>
      <c r="S59"/>
      <c r="T59"/>
      <c r="U59"/>
      <c r="V59"/>
      <c r="W59"/>
      <c r="X59"/>
      <c r="Y59" s="218"/>
      <c r="Z59" s="218"/>
      <c r="AA59" s="218"/>
      <c r="AB59" s="232"/>
      <c r="AC59" s="232"/>
      <c r="AD59" s="232"/>
      <c r="AE59" s="232"/>
      <c r="AF59" s="232"/>
      <c r="AG59" s="232"/>
      <c r="AH59" s="232"/>
      <c r="AI59" s="232"/>
    </row>
    <row r="60" spans="1:35" ht="15" x14ac:dyDescent="0.25">
      <c r="A60" s="219">
        <v>45596</v>
      </c>
      <c r="B60" s="224">
        <v>106004</v>
      </c>
      <c r="C60" s="221">
        <f t="shared" si="1"/>
        <v>1774729.6600000001</v>
      </c>
      <c r="D60" s="221">
        <f t="shared" si="0"/>
        <v>1774729.6600000001</v>
      </c>
      <c r="E60" s="221">
        <f t="shared" si="13"/>
        <v>45831.327599999997</v>
      </c>
      <c r="F60" s="222">
        <f t="shared" si="10"/>
        <v>20603.340998000003</v>
      </c>
      <c r="G60" s="221">
        <f t="shared" si="14"/>
        <v>-487476.60800000007</v>
      </c>
      <c r="H60" s="222">
        <f t="shared" si="14"/>
        <v>-109779.61531966667</v>
      </c>
      <c r="I60" s="221">
        <f t="shared" si="15"/>
        <v>1287253.0520000001</v>
      </c>
      <c r="J60" s="221">
        <f t="shared" si="15"/>
        <v>1664950.0446803335</v>
      </c>
      <c r="K60" s="221">
        <f t="shared" si="4"/>
        <v>377696.99268033332</v>
      </c>
      <c r="L60" s="221">
        <f t="shared" si="5"/>
        <v>-79316.368462869999</v>
      </c>
      <c r="M60" s="221">
        <f t="shared" si="6"/>
        <v>5297.8771864199953</v>
      </c>
      <c r="N60" s="223"/>
      <c r="O60"/>
      <c r="P60"/>
      <c r="Q60"/>
      <c r="R60"/>
      <c r="S60"/>
      <c r="T60"/>
      <c r="U60"/>
      <c r="V60"/>
      <c r="W60"/>
      <c r="X60"/>
      <c r="Y60" s="218"/>
      <c r="Z60" s="218"/>
      <c r="AA60" s="218"/>
      <c r="AB60" s="232"/>
      <c r="AC60" s="232"/>
      <c r="AD60" s="232"/>
      <c r="AE60" s="232"/>
      <c r="AF60" s="232"/>
      <c r="AG60" s="232"/>
      <c r="AH60" s="232"/>
      <c r="AI60" s="232"/>
    </row>
    <row r="61" spans="1:35" ht="15" x14ac:dyDescent="0.25">
      <c r="A61" s="219">
        <v>45626</v>
      </c>
      <c r="B61" s="224">
        <v>458094</v>
      </c>
      <c r="C61" s="221">
        <f t="shared" si="1"/>
        <v>2232823.66</v>
      </c>
      <c r="D61" s="221">
        <f t="shared" si="0"/>
        <v>2232823.66</v>
      </c>
      <c r="E61" s="221">
        <f t="shared" si="13"/>
        <v>45831.327599999997</v>
      </c>
      <c r="F61" s="222">
        <f t="shared" si="10"/>
        <v>23978.527364666672</v>
      </c>
      <c r="G61" s="221">
        <f t="shared" si="14"/>
        <v>-533307.93560000008</v>
      </c>
      <c r="H61" s="222">
        <f t="shared" si="14"/>
        <v>-133758.14268433335</v>
      </c>
      <c r="I61" s="221">
        <f t="shared" si="15"/>
        <v>1699515.7244000002</v>
      </c>
      <c r="J61" s="221">
        <f t="shared" si="15"/>
        <v>2099065.5173156667</v>
      </c>
      <c r="K61" s="221">
        <f t="shared" si="4"/>
        <v>399549.79291566648</v>
      </c>
      <c r="L61" s="221">
        <f t="shared" si="5"/>
        <v>-83905.456512289951</v>
      </c>
      <c r="M61" s="221">
        <f t="shared" si="6"/>
        <v>4589.0880494199519</v>
      </c>
      <c r="N61" s="223"/>
      <c r="O61"/>
      <c r="P61"/>
      <c r="Q61"/>
      <c r="R61"/>
      <c r="S61"/>
      <c r="T61"/>
      <c r="U61"/>
      <c r="V61"/>
      <c r="W61"/>
      <c r="X61"/>
      <c r="Y61" s="218"/>
      <c r="Z61" s="218"/>
      <c r="AA61" s="218"/>
      <c r="AB61" s="232"/>
      <c r="AC61" s="232"/>
      <c r="AD61" s="232"/>
      <c r="AE61" s="232"/>
      <c r="AF61" s="232"/>
      <c r="AG61" s="232"/>
      <c r="AH61" s="232"/>
      <c r="AI61" s="232"/>
    </row>
    <row r="62" spans="1:35" ht="15" x14ac:dyDescent="0.25">
      <c r="A62" s="219">
        <v>45657</v>
      </c>
      <c r="B62" s="224">
        <v>429566</v>
      </c>
      <c r="C62" s="221">
        <f t="shared" si="1"/>
        <v>2662389.66</v>
      </c>
      <c r="D62" s="225">
        <f t="shared" si="0"/>
        <v>2662389.66</v>
      </c>
      <c r="E62" s="221">
        <f>($C$26*$F$6+($C$38-$C$26)*$E$6+($C$50-$C$38)*$D$6+($C$62-$C$50)*$C$6)/12</f>
        <v>45831.327599999997</v>
      </c>
      <c r="F62" s="222">
        <f t="shared" si="10"/>
        <v>29289.693031333336</v>
      </c>
      <c r="G62" s="221">
        <f t="shared" si="14"/>
        <v>-579139.26320000004</v>
      </c>
      <c r="H62" s="222">
        <f t="shared" si="14"/>
        <v>-163047.83571566668</v>
      </c>
      <c r="I62" s="221">
        <f t="shared" si="15"/>
        <v>2083250.3968000002</v>
      </c>
      <c r="J62" s="221">
        <f t="shared" si="15"/>
        <v>2499341.8242843333</v>
      </c>
      <c r="K62" s="221">
        <f t="shared" si="4"/>
        <v>416091.42748433305</v>
      </c>
      <c r="L62" s="221">
        <f t="shared" si="5"/>
        <v>-87379.199771709944</v>
      </c>
      <c r="M62" s="221">
        <f t="shared" si="6"/>
        <v>3473.7432594199927</v>
      </c>
      <c r="N62" s="223"/>
      <c r="O62"/>
      <c r="P62"/>
      <c r="Q62"/>
      <c r="R62"/>
      <c r="S62"/>
      <c r="T62"/>
      <c r="U62"/>
      <c r="V62"/>
      <c r="W62"/>
      <c r="X62"/>
      <c r="Y62" s="218"/>
      <c r="Z62" s="218"/>
      <c r="AA62" s="218"/>
      <c r="AB62" s="232"/>
      <c r="AC62" s="232"/>
      <c r="AD62" s="232"/>
      <c r="AE62" s="232"/>
      <c r="AF62" s="232"/>
      <c r="AG62" s="232"/>
      <c r="AH62" s="232"/>
      <c r="AI62" s="232"/>
    </row>
    <row r="63" spans="1:35" ht="15" x14ac:dyDescent="0.25">
      <c r="A63" s="227">
        <v>45688</v>
      </c>
      <c r="B63" s="228">
        <v>0</v>
      </c>
      <c r="C63" s="229">
        <f t="shared" si="1"/>
        <v>2662389.66</v>
      </c>
      <c r="D63" s="221">
        <f t="shared" si="0"/>
        <v>2662389.66</v>
      </c>
      <c r="E63" s="229">
        <f t="shared" ref="E63:E73" si="16">($C$26*$G$6+($C$38-$C$26)*$F$6+($C$50-$C$38)*$E$6+($C$62-$C$50)*$D$6+($C$74-$C$62)*$C$6)/12</f>
        <v>69441.679893333334</v>
      </c>
      <c r="F63" s="230">
        <f t="shared" si="10"/>
        <v>31859.929598000002</v>
      </c>
      <c r="G63" s="229">
        <f t="shared" si="14"/>
        <v>-648580.94309333339</v>
      </c>
      <c r="H63" s="230">
        <f t="shared" si="14"/>
        <v>-194907.76531366666</v>
      </c>
      <c r="I63" s="229">
        <f t="shared" si="15"/>
        <v>2013808.7169066668</v>
      </c>
      <c r="J63" s="229">
        <f t="shared" si="15"/>
        <v>2467481.8946863334</v>
      </c>
      <c r="K63" s="229">
        <f t="shared" si="4"/>
        <v>453673.17777966661</v>
      </c>
      <c r="L63" s="229">
        <f t="shared" si="5"/>
        <v>-95271.367333729984</v>
      </c>
      <c r="M63" s="229">
        <f t="shared" si="6"/>
        <v>7892.1675620200404</v>
      </c>
      <c r="N63" s="223"/>
      <c r="O63"/>
      <c r="P63"/>
      <c r="Q63"/>
      <c r="R63"/>
      <c r="S63"/>
      <c r="T63"/>
      <c r="U63"/>
      <c r="V63"/>
      <c r="W63"/>
      <c r="X63"/>
      <c r="Y63" s="218"/>
      <c r="Z63" s="218"/>
      <c r="AA63" s="218"/>
      <c r="AB63" s="232"/>
      <c r="AC63" s="232"/>
      <c r="AD63" s="232"/>
      <c r="AE63" s="232"/>
      <c r="AF63" s="232"/>
      <c r="AG63" s="232"/>
      <c r="AH63" s="232"/>
      <c r="AI63" s="232"/>
    </row>
    <row r="64" spans="1:35" ht="15" x14ac:dyDescent="0.25">
      <c r="A64" s="219">
        <v>45716</v>
      </c>
      <c r="B64" s="224">
        <v>0</v>
      </c>
      <c r="C64" s="221">
        <f t="shared" si="1"/>
        <v>2662389.66</v>
      </c>
      <c r="D64" s="221">
        <f t="shared" si="0"/>
        <v>2662389.66</v>
      </c>
      <c r="E64" s="221">
        <f t="shared" si="16"/>
        <v>69441.679893333334</v>
      </c>
      <c r="F64" s="222">
        <f t="shared" si="10"/>
        <v>31859.929598000002</v>
      </c>
      <c r="G64" s="221">
        <f t="shared" si="14"/>
        <v>-718022.62298666674</v>
      </c>
      <c r="H64" s="222">
        <f t="shared" si="14"/>
        <v>-226767.69491166668</v>
      </c>
      <c r="I64" s="221">
        <f t="shared" si="15"/>
        <v>1944367.0370133333</v>
      </c>
      <c r="J64" s="221">
        <f t="shared" si="15"/>
        <v>2435621.9650883335</v>
      </c>
      <c r="K64" s="221">
        <f t="shared" si="4"/>
        <v>491254.92807500018</v>
      </c>
      <c r="L64" s="221">
        <f t="shared" si="5"/>
        <v>-103163.53489575004</v>
      </c>
      <c r="M64" s="221">
        <f t="shared" si="6"/>
        <v>7892.1675620200549</v>
      </c>
      <c r="N64" s="223"/>
      <c r="O64"/>
      <c r="P64"/>
      <c r="Q64"/>
      <c r="R64"/>
      <c r="S64"/>
      <c r="T64"/>
      <c r="U64"/>
      <c r="V64"/>
      <c r="W64"/>
      <c r="X64"/>
      <c r="Y64" s="218"/>
      <c r="Z64" s="218"/>
      <c r="AA64" s="218"/>
      <c r="AB64" s="232"/>
      <c r="AC64" s="232"/>
      <c r="AD64" s="232"/>
      <c r="AE64" s="232"/>
      <c r="AF64" s="232"/>
      <c r="AG64" s="232"/>
      <c r="AH64" s="232"/>
      <c r="AI64" s="232"/>
    </row>
    <row r="65" spans="1:35" ht="15" x14ac:dyDescent="0.25">
      <c r="A65" s="219">
        <v>45747</v>
      </c>
      <c r="B65" s="224">
        <v>0</v>
      </c>
      <c r="C65" s="221">
        <f t="shared" si="1"/>
        <v>2662389.66</v>
      </c>
      <c r="D65" s="221">
        <f t="shared" si="0"/>
        <v>2662389.66</v>
      </c>
      <c r="E65" s="221">
        <f t="shared" si="16"/>
        <v>69441.679893333334</v>
      </c>
      <c r="F65" s="222">
        <f t="shared" si="10"/>
        <v>31859.929598000002</v>
      </c>
      <c r="G65" s="221">
        <f t="shared" si="14"/>
        <v>-787464.30288000009</v>
      </c>
      <c r="H65" s="222">
        <f t="shared" si="14"/>
        <v>-258627.6245096667</v>
      </c>
      <c r="I65" s="221">
        <f t="shared" si="15"/>
        <v>1874925.3571200001</v>
      </c>
      <c r="J65" s="221">
        <f t="shared" si="15"/>
        <v>2403762.0354903336</v>
      </c>
      <c r="K65" s="221">
        <f t="shared" si="4"/>
        <v>528836.67837033351</v>
      </c>
      <c r="L65" s="221">
        <f t="shared" si="5"/>
        <v>-111055.70245777004</v>
      </c>
      <c r="M65" s="221">
        <f t="shared" si="6"/>
        <v>7892.1675620199967</v>
      </c>
      <c r="N65" s="223"/>
      <c r="O65"/>
      <c r="P65"/>
      <c r="Q65"/>
      <c r="R65"/>
      <c r="S65"/>
      <c r="T65"/>
      <c r="U65"/>
      <c r="V65"/>
      <c r="W65"/>
      <c r="X65"/>
      <c r="Y65" s="218"/>
      <c r="Z65" s="218"/>
      <c r="AA65" s="218"/>
      <c r="AB65" s="232"/>
      <c r="AC65" s="232"/>
      <c r="AD65" s="232"/>
      <c r="AE65" s="232"/>
      <c r="AF65" s="232"/>
      <c r="AG65" s="232"/>
      <c r="AH65" s="232"/>
      <c r="AI65" s="232"/>
    </row>
    <row r="66" spans="1:35" ht="15" x14ac:dyDescent="0.25">
      <c r="A66" s="219">
        <v>45777</v>
      </c>
      <c r="B66" s="224">
        <v>0</v>
      </c>
      <c r="C66" s="221">
        <f t="shared" si="1"/>
        <v>2662389.66</v>
      </c>
      <c r="D66" s="221">
        <f t="shared" si="0"/>
        <v>2662389.66</v>
      </c>
      <c r="E66" s="221">
        <f t="shared" si="16"/>
        <v>69441.679893333334</v>
      </c>
      <c r="F66" s="222">
        <f t="shared" si="10"/>
        <v>31859.929598000002</v>
      </c>
      <c r="G66" s="221">
        <f t="shared" si="14"/>
        <v>-856905.98277333344</v>
      </c>
      <c r="H66" s="222">
        <f t="shared" si="14"/>
        <v>-290487.55410766671</v>
      </c>
      <c r="I66" s="221">
        <f t="shared" si="15"/>
        <v>1805483.6772266668</v>
      </c>
      <c r="J66" s="221">
        <f t="shared" si="15"/>
        <v>2371902.1058923332</v>
      </c>
      <c r="K66" s="221">
        <f t="shared" si="4"/>
        <v>566418.42866566638</v>
      </c>
      <c r="L66" s="221">
        <f t="shared" si="5"/>
        <v>-118947.87001978993</v>
      </c>
      <c r="M66" s="221">
        <f t="shared" si="6"/>
        <v>7892.1675620198948</v>
      </c>
      <c r="N66" s="223"/>
      <c r="O66"/>
      <c r="P66"/>
      <c r="Q66"/>
      <c r="R66"/>
      <c r="S66"/>
      <c r="T66"/>
      <c r="U66"/>
      <c r="V66"/>
      <c r="W66"/>
      <c r="X66"/>
      <c r="Y66" s="218"/>
      <c r="Z66" s="218"/>
      <c r="AA66" s="218"/>
    </row>
    <row r="67" spans="1:35" ht="15" x14ac:dyDescent="0.25">
      <c r="A67" s="219">
        <v>45808</v>
      </c>
      <c r="B67" s="224">
        <v>0</v>
      </c>
      <c r="C67" s="221">
        <f t="shared" si="1"/>
        <v>2662389.66</v>
      </c>
      <c r="D67" s="221">
        <f t="shared" si="0"/>
        <v>2662389.66</v>
      </c>
      <c r="E67" s="221">
        <f t="shared" si="16"/>
        <v>69441.679893333334</v>
      </c>
      <c r="F67" s="222">
        <f t="shared" si="10"/>
        <v>31859.929598000002</v>
      </c>
      <c r="G67" s="221">
        <f t="shared" si="14"/>
        <v>-926347.66266666679</v>
      </c>
      <c r="H67" s="222">
        <f t="shared" si="14"/>
        <v>-322347.48370566673</v>
      </c>
      <c r="I67" s="221">
        <f t="shared" si="15"/>
        <v>1736041.9973333334</v>
      </c>
      <c r="J67" s="221">
        <f t="shared" si="15"/>
        <v>2340042.1762943333</v>
      </c>
      <c r="K67" s="221">
        <f t="shared" si="4"/>
        <v>604000.17896099994</v>
      </c>
      <c r="L67" s="221">
        <f t="shared" si="5"/>
        <v>-126840.03758180999</v>
      </c>
      <c r="M67" s="221">
        <f t="shared" si="6"/>
        <v>7892.1675620200549</v>
      </c>
      <c r="N67" s="223"/>
      <c r="O67"/>
      <c r="P67"/>
      <c r="Q67"/>
      <c r="R67"/>
      <c r="S67"/>
      <c r="T67"/>
      <c r="U67"/>
      <c r="V67"/>
      <c r="W67"/>
      <c r="X67"/>
      <c r="Y67" s="218"/>
      <c r="Z67" s="218"/>
      <c r="AA67" s="218"/>
    </row>
    <row r="68" spans="1:35" ht="15" x14ac:dyDescent="0.25">
      <c r="A68" s="219">
        <v>45838</v>
      </c>
      <c r="B68" s="224">
        <v>0</v>
      </c>
      <c r="C68" s="221">
        <f t="shared" si="1"/>
        <v>2662389.66</v>
      </c>
      <c r="D68" s="221">
        <f t="shared" si="0"/>
        <v>2662389.66</v>
      </c>
      <c r="E68" s="221">
        <f t="shared" si="16"/>
        <v>69441.679893333334</v>
      </c>
      <c r="F68" s="222">
        <f t="shared" si="10"/>
        <v>31859.929598000002</v>
      </c>
      <c r="G68" s="221">
        <f t="shared" si="14"/>
        <v>-995789.34256000014</v>
      </c>
      <c r="H68" s="222">
        <f t="shared" si="14"/>
        <v>-354207.41330366675</v>
      </c>
      <c r="I68" s="221">
        <f t="shared" si="15"/>
        <v>1666600.3174399999</v>
      </c>
      <c r="J68" s="221">
        <f t="shared" si="15"/>
        <v>2308182.2466963334</v>
      </c>
      <c r="K68" s="221">
        <f t="shared" si="4"/>
        <v>641581.9292563335</v>
      </c>
      <c r="L68" s="221">
        <f t="shared" si="5"/>
        <v>-134732.20514383004</v>
      </c>
      <c r="M68" s="221">
        <f t="shared" si="6"/>
        <v>7892.1675620200549</v>
      </c>
      <c r="N68" s="223"/>
      <c r="O68"/>
      <c r="P68"/>
      <c r="Q68"/>
      <c r="R68"/>
      <c r="S68"/>
      <c r="T68"/>
      <c r="U68"/>
      <c r="V68"/>
      <c r="W68"/>
      <c r="X68"/>
      <c r="Y68" s="218"/>
      <c r="Z68" s="218"/>
      <c r="AA68" s="218"/>
    </row>
    <row r="69" spans="1:35" ht="15" x14ac:dyDescent="0.25">
      <c r="A69" s="219">
        <v>45869</v>
      </c>
      <c r="B69" s="224">
        <v>0</v>
      </c>
      <c r="C69" s="221">
        <f t="shared" si="1"/>
        <v>2662389.66</v>
      </c>
      <c r="D69" s="221">
        <f t="shared" si="0"/>
        <v>2662389.66</v>
      </c>
      <c r="E69" s="221">
        <f t="shared" si="16"/>
        <v>69441.679893333334</v>
      </c>
      <c r="F69" s="222">
        <f t="shared" si="10"/>
        <v>31859.929598000002</v>
      </c>
      <c r="G69" s="221">
        <f t="shared" si="14"/>
        <v>-1065231.0224533335</v>
      </c>
      <c r="H69" s="222">
        <f t="shared" si="14"/>
        <v>-386067.34290166677</v>
      </c>
      <c r="I69" s="221">
        <f t="shared" si="15"/>
        <v>1597158.6375466667</v>
      </c>
      <c r="J69" s="221">
        <f t="shared" si="15"/>
        <v>2276322.3170983335</v>
      </c>
      <c r="K69" s="221">
        <f t="shared" si="4"/>
        <v>679163.67955166684</v>
      </c>
      <c r="L69" s="221">
        <f t="shared" si="5"/>
        <v>-142624.37270585002</v>
      </c>
      <c r="M69" s="221">
        <f t="shared" si="6"/>
        <v>7892.1675620199821</v>
      </c>
      <c r="N69" s="223"/>
      <c r="O69"/>
      <c r="P69"/>
      <c r="Q69"/>
      <c r="R69"/>
      <c r="S69"/>
      <c r="T69"/>
      <c r="U69"/>
      <c r="V69"/>
      <c r="W69"/>
      <c r="X69"/>
      <c r="Y69" s="218"/>
      <c r="Z69" s="218"/>
      <c r="AA69" s="218"/>
    </row>
    <row r="70" spans="1:35" ht="15" x14ac:dyDescent="0.25">
      <c r="A70" s="219">
        <v>45900</v>
      </c>
      <c r="B70" s="224">
        <v>0</v>
      </c>
      <c r="C70" s="221">
        <f t="shared" si="1"/>
        <v>2662389.66</v>
      </c>
      <c r="D70" s="221">
        <f t="shared" si="0"/>
        <v>2662389.66</v>
      </c>
      <c r="E70" s="221">
        <f t="shared" si="16"/>
        <v>69441.679893333334</v>
      </c>
      <c r="F70" s="222">
        <f t="shared" si="10"/>
        <v>31859.929598000002</v>
      </c>
      <c r="G70" s="221">
        <f t="shared" si="14"/>
        <v>-1134672.7023466667</v>
      </c>
      <c r="H70" s="222">
        <f t="shared" si="14"/>
        <v>-417927.27249966678</v>
      </c>
      <c r="I70" s="221">
        <f t="shared" si="15"/>
        <v>1527716.9576533334</v>
      </c>
      <c r="J70" s="221">
        <f t="shared" si="15"/>
        <v>2244462.3875003336</v>
      </c>
      <c r="K70" s="221">
        <f>J70-I70</f>
        <v>716745.42984700017</v>
      </c>
      <c r="L70" s="221">
        <f t="shared" si="5"/>
        <v>-150516.54026787003</v>
      </c>
      <c r="M70" s="221">
        <f t="shared" si="6"/>
        <v>7892.1675620200112</v>
      </c>
      <c r="N70" s="223"/>
      <c r="O70"/>
      <c r="P70"/>
      <c r="Q70"/>
      <c r="R70"/>
      <c r="S70"/>
      <c r="T70"/>
      <c r="U70"/>
      <c r="V70"/>
      <c r="W70"/>
      <c r="X70"/>
      <c r="Y70" s="218"/>
      <c r="Z70" s="218"/>
      <c r="AA70" s="218"/>
    </row>
    <row r="71" spans="1:35" ht="15" customHeight="1" x14ac:dyDescent="0.25">
      <c r="A71" s="219">
        <v>45930</v>
      </c>
      <c r="B71" s="224">
        <v>0</v>
      </c>
      <c r="C71" s="221">
        <f t="shared" si="1"/>
        <v>2662389.66</v>
      </c>
      <c r="D71" s="221">
        <f t="shared" si="0"/>
        <v>2662389.66</v>
      </c>
      <c r="E71" s="221">
        <f t="shared" si="16"/>
        <v>69441.679893333334</v>
      </c>
      <c r="F71" s="222">
        <f t="shared" si="10"/>
        <v>31859.929598000002</v>
      </c>
      <c r="G71" s="221">
        <f t="shared" si="14"/>
        <v>-1204114.3822399999</v>
      </c>
      <c r="H71" s="222">
        <f t="shared" si="14"/>
        <v>-449787.2020976668</v>
      </c>
      <c r="I71" s="221">
        <f t="shared" si="15"/>
        <v>1458275.2777600002</v>
      </c>
      <c r="J71" s="221">
        <f t="shared" si="15"/>
        <v>2212602.4579023332</v>
      </c>
      <c r="K71" s="221">
        <f>J71-I71</f>
        <v>754327.18014233303</v>
      </c>
      <c r="L71" s="221">
        <f t="shared" si="5"/>
        <v>-158408.70782988993</v>
      </c>
      <c r="M71" s="221">
        <f t="shared" si="6"/>
        <v>7892.1675620198948</v>
      </c>
      <c r="N71" s="223"/>
      <c r="O71"/>
      <c r="P71"/>
      <c r="Q71"/>
      <c r="R71"/>
      <c r="S71"/>
      <c r="T71"/>
      <c r="U71"/>
      <c r="V71"/>
      <c r="W71"/>
      <c r="X71"/>
      <c r="Y71" s="218"/>
      <c r="Z71" s="218"/>
      <c r="AA71" s="218"/>
    </row>
    <row r="72" spans="1:35" ht="15" customHeight="1" x14ac:dyDescent="0.25">
      <c r="A72" s="219">
        <v>45961</v>
      </c>
      <c r="B72" s="224">
        <v>0</v>
      </c>
      <c r="C72" s="221">
        <f t="shared" si="1"/>
        <v>2662389.66</v>
      </c>
      <c r="D72" s="221">
        <f t="shared" si="0"/>
        <v>2662389.66</v>
      </c>
      <c r="E72" s="221">
        <f t="shared" si="16"/>
        <v>69441.679893333334</v>
      </c>
      <c r="F72" s="222">
        <f t="shared" si="10"/>
        <v>31859.929598000002</v>
      </c>
      <c r="G72" s="221">
        <f t="shared" si="14"/>
        <v>-1273556.0621333332</v>
      </c>
      <c r="H72" s="222">
        <f t="shared" si="14"/>
        <v>-481647.13169566682</v>
      </c>
      <c r="I72" s="221">
        <f t="shared" si="15"/>
        <v>1388833.597866667</v>
      </c>
      <c r="J72" s="221">
        <f t="shared" si="15"/>
        <v>2180742.5283043333</v>
      </c>
      <c r="K72" s="221">
        <f t="shared" ref="K72:K74" si="17">J72-I72</f>
        <v>791908.93043766636</v>
      </c>
      <c r="L72" s="221">
        <f t="shared" si="5"/>
        <v>-166300.87539190994</v>
      </c>
      <c r="M72" s="221">
        <f t="shared" si="6"/>
        <v>7892.1675620200112</v>
      </c>
      <c r="N72" s="223"/>
      <c r="O72"/>
      <c r="P72"/>
      <c r="Q72"/>
      <c r="R72"/>
      <c r="S72"/>
      <c r="T72"/>
      <c r="U72"/>
      <c r="V72"/>
      <c r="W72"/>
      <c r="X72"/>
      <c r="Y72" s="218"/>
      <c r="Z72" s="218"/>
      <c r="AA72" s="218"/>
    </row>
    <row r="73" spans="1:35" ht="15" customHeight="1" x14ac:dyDescent="0.25">
      <c r="A73" s="219">
        <v>45991</v>
      </c>
      <c r="B73" s="224">
        <v>0</v>
      </c>
      <c r="C73" s="221">
        <f t="shared" si="1"/>
        <v>2662389.66</v>
      </c>
      <c r="D73" s="221">
        <f t="shared" si="0"/>
        <v>2662389.66</v>
      </c>
      <c r="E73" s="221">
        <f t="shared" si="16"/>
        <v>69441.679893333334</v>
      </c>
      <c r="F73" s="222">
        <f t="shared" si="10"/>
        <v>31859.929598000002</v>
      </c>
      <c r="G73" s="221">
        <f t="shared" si="14"/>
        <v>-1342997.7420266664</v>
      </c>
      <c r="H73" s="222">
        <f t="shared" si="14"/>
        <v>-513507.06129366683</v>
      </c>
      <c r="I73" s="221">
        <f t="shared" si="15"/>
        <v>1319391.9179733337</v>
      </c>
      <c r="J73" s="221">
        <f t="shared" si="15"/>
        <v>2148882.5987063334</v>
      </c>
      <c r="K73" s="221">
        <f t="shared" si="17"/>
        <v>829490.6807329997</v>
      </c>
      <c r="L73" s="221">
        <f t="shared" si="5"/>
        <v>-174193.04295392992</v>
      </c>
      <c r="M73" s="221">
        <f t="shared" si="6"/>
        <v>7892.1675620199821</v>
      </c>
      <c r="N73" s="223"/>
      <c r="O73"/>
      <c r="P73"/>
      <c r="Q73"/>
      <c r="R73"/>
      <c r="S73"/>
      <c r="T73"/>
      <c r="U73"/>
      <c r="V73"/>
      <c r="W73"/>
      <c r="X73"/>
      <c r="Y73" s="218"/>
      <c r="Z73" s="218"/>
      <c r="AA73" s="218"/>
    </row>
    <row r="74" spans="1:35" ht="15" x14ac:dyDescent="0.25">
      <c r="A74" s="219">
        <v>46022</v>
      </c>
      <c r="B74" s="224">
        <v>0</v>
      </c>
      <c r="C74" s="221">
        <f t="shared" si="1"/>
        <v>2662389.66</v>
      </c>
      <c r="D74" s="221">
        <f t="shared" si="0"/>
        <v>2662389.66</v>
      </c>
      <c r="E74" s="221">
        <f>($C$26*$G$6+($C$38-$C$26)*$F$6+($C$50-$C$38)*$E$6+($C$62-$C$50)*$D$6+($C$74-$C$62)*$C$6)/12</f>
        <v>69441.679893333334</v>
      </c>
      <c r="F74" s="222">
        <f t="shared" si="10"/>
        <v>31859.929598000002</v>
      </c>
      <c r="G74" s="221">
        <f t="shared" si="14"/>
        <v>-1412439.4219199996</v>
      </c>
      <c r="H74" s="222">
        <f t="shared" si="14"/>
        <v>-545366.99089166685</v>
      </c>
      <c r="I74" s="221">
        <f t="shared" si="15"/>
        <v>1249950.2380800005</v>
      </c>
      <c r="J74" s="221">
        <f t="shared" si="15"/>
        <v>2117022.6691083331</v>
      </c>
      <c r="K74" s="221">
        <f t="shared" si="17"/>
        <v>867072.43102833256</v>
      </c>
      <c r="L74" s="221">
        <f t="shared" si="5"/>
        <v>-182085.21051594982</v>
      </c>
      <c r="M74" s="221">
        <f t="shared" si="6"/>
        <v>7892.1675620198948</v>
      </c>
      <c r="N74" s="223"/>
      <c r="O74"/>
      <c r="P74"/>
      <c r="Q74"/>
      <c r="R74"/>
      <c r="S74"/>
      <c r="T74"/>
      <c r="U74"/>
      <c r="V74"/>
      <c r="W74"/>
      <c r="X74"/>
      <c r="Y74" s="218"/>
      <c r="Z74" s="218"/>
      <c r="AA74" s="218"/>
    </row>
    <row r="75" spans="1:35" ht="15" x14ac:dyDescent="0.25">
      <c r="A75" s="246" t="s">
        <v>24</v>
      </c>
      <c r="B75" s="247"/>
      <c r="C75" s="248"/>
      <c r="D75" s="249">
        <f>D74-'TEP By Depr Grp'!AL4</f>
        <v>0</v>
      </c>
      <c r="E75" s="250">
        <f>G74+SUM(E15:E74)</f>
        <v>0</v>
      </c>
      <c r="F75" s="251">
        <f>H74+SUM(F21:F74)</f>
        <v>0</v>
      </c>
      <c r="G75" s="248"/>
      <c r="H75" s="252"/>
      <c r="I75" s="248"/>
      <c r="J75" s="248"/>
      <c r="K75" s="248"/>
      <c r="L75" s="248"/>
      <c r="M75" s="253"/>
      <c r="N75" s="223"/>
      <c r="O75"/>
      <c r="P75"/>
      <c r="Q75"/>
      <c r="R75"/>
      <c r="S75"/>
      <c r="T75"/>
      <c r="U75"/>
      <c r="V75"/>
      <c r="W75"/>
      <c r="X75"/>
      <c r="Y75" s="218"/>
      <c r="Z75" s="218"/>
      <c r="AA75" s="218"/>
    </row>
    <row r="76" spans="1:35" ht="15" x14ac:dyDescent="0.25">
      <c r="A76" s="158"/>
      <c r="B76" s="158"/>
      <c r="C76" s="158"/>
      <c r="D76" s="158"/>
      <c r="E76" s="158"/>
      <c r="F76" s="158"/>
      <c r="G76" s="158"/>
      <c r="H76" s="158"/>
      <c r="I76" s="158"/>
      <c r="J76" s="158"/>
      <c r="K76" s="158"/>
      <c r="L76" s="158"/>
      <c r="M76" s="158"/>
      <c r="N76" s="177"/>
      <c r="O76"/>
      <c r="P76"/>
      <c r="Q76"/>
      <c r="R76"/>
      <c r="S76"/>
      <c r="T76"/>
      <c r="U76"/>
      <c r="V76"/>
      <c r="W76"/>
      <c r="X76"/>
      <c r="Y76" s="218"/>
      <c r="Z76" s="218"/>
      <c r="AA76" s="218"/>
    </row>
    <row r="77" spans="1:35" ht="15" x14ac:dyDescent="0.25">
      <c r="A77" s="158"/>
      <c r="B77" s="158"/>
      <c r="C77" s="158"/>
      <c r="D77" s="158"/>
      <c r="E77" s="158"/>
      <c r="F77" s="158"/>
      <c r="G77" s="158"/>
      <c r="H77" s="158"/>
      <c r="I77" s="158"/>
      <c r="J77" s="158"/>
      <c r="K77" s="158"/>
      <c r="L77" s="158"/>
      <c r="M77" s="158"/>
      <c r="N77" s="177"/>
      <c r="O77"/>
      <c r="P77"/>
      <c r="Q77"/>
      <c r="R77"/>
      <c r="S77"/>
      <c r="T77"/>
      <c r="U77"/>
      <c r="V77"/>
      <c r="W77"/>
      <c r="X77"/>
      <c r="Y77" s="218"/>
      <c r="Z77" s="218"/>
      <c r="AA77" s="218"/>
    </row>
    <row r="78" spans="1:35" ht="15" x14ac:dyDescent="0.25">
      <c r="A78" s="158"/>
      <c r="B78" s="158"/>
      <c r="C78" s="158"/>
      <c r="D78" s="158"/>
      <c r="E78" s="158"/>
      <c r="F78" s="158"/>
      <c r="G78" s="158"/>
      <c r="H78" s="158"/>
      <c r="I78" s="158"/>
      <c r="J78" s="158"/>
      <c r="K78" s="158"/>
      <c r="L78" s="158"/>
      <c r="M78" s="158"/>
      <c r="N78" s="177"/>
      <c r="O78"/>
      <c r="P78"/>
      <c r="Q78"/>
      <c r="R78"/>
      <c r="S78"/>
      <c r="T78"/>
      <c r="U78"/>
      <c r="V78"/>
      <c r="W78"/>
      <c r="X78"/>
      <c r="Y78" s="218"/>
      <c r="Z78" s="218"/>
      <c r="AA78" s="218"/>
    </row>
    <row r="79" spans="1:35" ht="15" x14ac:dyDescent="0.25">
      <c r="A79" s="158"/>
      <c r="B79" s="158"/>
      <c r="C79" s="158"/>
      <c r="D79" s="158"/>
      <c r="E79" s="158"/>
      <c r="F79" s="158"/>
      <c r="G79" s="158"/>
      <c r="H79" s="158"/>
      <c r="I79" s="158"/>
      <c r="J79" s="158"/>
      <c r="K79" s="158"/>
      <c r="L79" s="158"/>
      <c r="M79" s="158"/>
      <c r="N79" s="177"/>
      <c r="O79"/>
      <c r="P79"/>
      <c r="Q79"/>
      <c r="R79"/>
      <c r="S79"/>
      <c r="T79"/>
      <c r="U79"/>
      <c r="V79"/>
      <c r="W79"/>
      <c r="X79"/>
      <c r="Y79" s="218"/>
      <c r="Z79" s="218"/>
      <c r="AA79" s="218"/>
    </row>
    <row r="80" spans="1:35" ht="15" x14ac:dyDescent="0.25">
      <c r="A80" s="158"/>
      <c r="B80" s="158"/>
      <c r="C80" s="158"/>
      <c r="D80" s="158"/>
      <c r="E80" s="158"/>
      <c r="F80" s="158"/>
      <c r="G80" s="158"/>
      <c r="H80" s="158"/>
      <c r="I80" s="158"/>
      <c r="J80" s="158"/>
      <c r="K80" s="158"/>
      <c r="L80" s="158"/>
      <c r="M80" s="158"/>
      <c r="N80" s="177"/>
      <c r="O80"/>
      <c r="P80"/>
      <c r="Q80"/>
      <c r="R80"/>
      <c r="S80"/>
      <c r="T80"/>
      <c r="U80"/>
      <c r="V80"/>
      <c r="W80"/>
      <c r="X80"/>
      <c r="Y80" s="218"/>
      <c r="Z80" s="218"/>
      <c r="AA80" s="218"/>
    </row>
    <row r="81" spans="1:43" ht="15" x14ac:dyDescent="0.25">
      <c r="A81" s="158"/>
      <c r="B81" s="158"/>
      <c r="C81" s="158"/>
      <c r="D81" s="158"/>
      <c r="E81" s="158"/>
      <c r="F81" s="158"/>
      <c r="G81" s="158"/>
      <c r="H81" s="158"/>
      <c r="I81" s="158"/>
      <c r="J81" s="158"/>
      <c r="K81" s="158"/>
      <c r="L81" s="158"/>
      <c r="M81" s="158"/>
      <c r="N81" s="177"/>
      <c r="O81"/>
      <c r="P81"/>
      <c r="Q81"/>
      <c r="R81"/>
      <c r="S81"/>
      <c r="T81"/>
      <c r="U81"/>
      <c r="V81"/>
      <c r="W81"/>
      <c r="X81"/>
      <c r="Y81" s="218"/>
      <c r="Z81" s="218"/>
      <c r="AA81" s="218"/>
    </row>
    <row r="82" spans="1:43" ht="15" x14ac:dyDescent="0.25">
      <c r="A82" s="158"/>
      <c r="B82" s="158"/>
      <c r="C82" s="158"/>
      <c r="D82" s="158"/>
      <c r="E82" s="158"/>
      <c r="F82" s="158"/>
      <c r="G82" s="158"/>
      <c r="H82" s="158"/>
      <c r="I82" s="158"/>
      <c r="J82" s="158"/>
      <c r="K82" s="158"/>
      <c r="L82" s="158"/>
      <c r="M82" s="158"/>
      <c r="N82" s="177"/>
      <c r="O82"/>
      <c r="P82"/>
      <c r="Q82"/>
      <c r="R82"/>
      <c r="S82"/>
      <c r="T82"/>
      <c r="U82"/>
      <c r="V82"/>
      <c r="W82"/>
      <c r="X82"/>
      <c r="Y82" s="218"/>
      <c r="Z82" s="218"/>
      <c r="AA82" s="218"/>
    </row>
    <row r="83" spans="1:43" ht="15" x14ac:dyDescent="0.25">
      <c r="A83" s="158"/>
      <c r="B83" s="158"/>
      <c r="C83" s="158"/>
      <c r="D83" s="158"/>
      <c r="E83" s="158"/>
      <c r="F83" s="158"/>
      <c r="G83" s="158"/>
      <c r="H83" s="158"/>
      <c r="I83" s="158"/>
      <c r="J83" s="158"/>
      <c r="K83" s="158"/>
      <c r="L83" s="158"/>
      <c r="M83" s="158"/>
      <c r="N83" s="177"/>
      <c r="O83"/>
      <c r="P83"/>
      <c r="Q83"/>
      <c r="R83"/>
      <c r="S83"/>
      <c r="T83"/>
      <c r="U83"/>
      <c r="V83"/>
      <c r="W83"/>
      <c r="X83"/>
      <c r="Y83" s="218"/>
      <c r="Z83" s="218"/>
      <c r="AA83" s="218"/>
    </row>
    <row r="84" spans="1:43" ht="15" x14ac:dyDescent="0.25">
      <c r="A84" s="158"/>
      <c r="B84" s="158"/>
      <c r="C84" s="158"/>
      <c r="D84" s="158"/>
      <c r="E84" s="158"/>
      <c r="F84" s="158"/>
      <c r="G84" s="158"/>
      <c r="H84" s="158"/>
      <c r="I84" s="158"/>
      <c r="J84" s="158"/>
      <c r="K84" s="158"/>
      <c r="L84" s="158"/>
      <c r="M84" s="158"/>
      <c r="N84" s="177"/>
      <c r="O84"/>
      <c r="P84"/>
      <c r="Q84"/>
      <c r="R84"/>
      <c r="S84"/>
      <c r="T84"/>
      <c r="U84"/>
      <c r="V84"/>
      <c r="W84"/>
      <c r="X84"/>
      <c r="Y84" s="218"/>
      <c r="Z84" s="218"/>
      <c r="AA84" s="218"/>
    </row>
    <row r="85" spans="1:43" ht="15" x14ac:dyDescent="0.25">
      <c r="A85" s="158"/>
      <c r="B85" s="158"/>
      <c r="C85" s="158"/>
      <c r="D85" s="158"/>
      <c r="E85" s="158"/>
      <c r="F85" s="158"/>
      <c r="G85" s="158"/>
      <c r="H85" s="158"/>
      <c r="I85" s="158"/>
      <c r="J85" s="158"/>
      <c r="K85" s="158"/>
      <c r="L85" s="158"/>
      <c r="M85" s="158"/>
      <c r="N85" s="177"/>
      <c r="O85"/>
      <c r="P85"/>
      <c r="Q85"/>
      <c r="R85"/>
      <c r="S85"/>
      <c r="T85"/>
      <c r="U85"/>
      <c r="V85"/>
      <c r="W85"/>
      <c r="X85"/>
      <c r="Y85" s="218"/>
      <c r="Z85" s="218"/>
      <c r="AA85" s="218"/>
    </row>
    <row r="86" spans="1:43" ht="15" x14ac:dyDescent="0.25">
      <c r="A86" s="158"/>
      <c r="B86" s="158"/>
      <c r="C86" s="158"/>
      <c r="D86" s="158"/>
      <c r="E86" s="158"/>
      <c r="F86" s="158"/>
      <c r="G86" s="158"/>
      <c r="H86" s="158"/>
      <c r="I86" s="158"/>
      <c r="J86" s="158"/>
      <c r="K86" s="158"/>
      <c r="L86" s="158"/>
      <c r="M86" s="158"/>
      <c r="N86" s="177"/>
      <c r="O86"/>
      <c r="P86"/>
      <c r="Q86"/>
      <c r="R86"/>
      <c r="S86"/>
      <c r="T86"/>
      <c r="U86"/>
      <c r="V86"/>
      <c r="W86"/>
      <c r="X86"/>
      <c r="Y86" s="218"/>
      <c r="Z86" s="218"/>
      <c r="AA86" s="218"/>
    </row>
    <row r="87" spans="1:43" ht="15" x14ac:dyDescent="0.25">
      <c r="A87" s="158"/>
      <c r="B87" s="158"/>
      <c r="C87" s="158"/>
      <c r="D87" s="158"/>
      <c r="E87" s="158"/>
      <c r="F87" s="158"/>
      <c r="G87" s="158"/>
      <c r="H87" s="158"/>
      <c r="I87" s="158"/>
      <c r="J87" s="158"/>
      <c r="K87" s="158"/>
      <c r="L87" s="158"/>
      <c r="M87" s="158"/>
      <c r="O87"/>
      <c r="P87"/>
      <c r="Q87"/>
      <c r="R87"/>
      <c r="S87"/>
      <c r="T87"/>
      <c r="U87"/>
      <c r="V87"/>
      <c r="W87"/>
      <c r="X87"/>
      <c r="Y87" s="218"/>
      <c r="Z87" s="218"/>
      <c r="AA87" s="218"/>
    </row>
    <row r="88" spans="1:43" ht="15" x14ac:dyDescent="0.25">
      <c r="A88" s="158"/>
      <c r="B88" s="158"/>
      <c r="C88" s="158"/>
      <c r="D88" s="158"/>
      <c r="E88" s="158"/>
      <c r="F88" s="158"/>
      <c r="G88" s="158"/>
      <c r="H88" s="158"/>
      <c r="I88" s="158"/>
      <c r="J88" s="158"/>
      <c r="K88" s="158"/>
      <c r="L88" s="158"/>
      <c r="M88" s="158"/>
      <c r="O88"/>
      <c r="P88"/>
      <c r="Q88"/>
      <c r="R88"/>
      <c r="S88"/>
      <c r="T88"/>
      <c r="U88"/>
      <c r="V88"/>
      <c r="W88"/>
      <c r="X88"/>
      <c r="Y88" s="218"/>
      <c r="Z88" s="218"/>
      <c r="AA88" s="218"/>
    </row>
    <row r="89" spans="1:43" s="205" customFormat="1" ht="15" x14ac:dyDescent="0.25">
      <c r="A89" s="158"/>
      <c r="B89" s="158"/>
      <c r="C89" s="158"/>
      <c r="D89" s="158"/>
      <c r="E89" s="158"/>
      <c r="F89" s="158"/>
      <c r="G89" s="158"/>
      <c r="H89" s="158"/>
      <c r="I89" s="158"/>
      <c r="J89" s="158"/>
      <c r="K89" s="158"/>
      <c r="L89" s="158"/>
      <c r="M89" s="158"/>
      <c r="O89"/>
      <c r="P89"/>
      <c r="Q89"/>
      <c r="R89"/>
      <c r="S89"/>
      <c r="T89"/>
      <c r="U89"/>
      <c r="V89"/>
      <c r="W89"/>
      <c r="X89"/>
      <c r="Y89" s="218"/>
      <c r="Z89" s="218"/>
      <c r="AA89" s="218"/>
      <c r="AB89" s="178"/>
      <c r="AC89" s="178"/>
      <c r="AD89" s="178"/>
      <c r="AE89" s="178"/>
      <c r="AF89" s="178"/>
      <c r="AG89" s="178"/>
      <c r="AH89" s="178"/>
      <c r="AI89" s="178"/>
      <c r="AJ89" s="178"/>
      <c r="AK89" s="178"/>
      <c r="AL89" s="178"/>
      <c r="AM89" s="178"/>
    </row>
    <row r="90" spans="1:43" s="205" customFormat="1" ht="15" x14ac:dyDescent="0.25">
      <c r="A90" s="158"/>
      <c r="B90" s="158"/>
      <c r="C90" s="158"/>
      <c r="D90" s="158"/>
      <c r="E90" s="158"/>
      <c r="F90" s="158"/>
      <c r="G90" s="158"/>
      <c r="H90" s="158"/>
      <c r="I90" s="158"/>
      <c r="J90" s="158"/>
      <c r="K90" s="158"/>
      <c r="L90" s="158"/>
      <c r="M90" s="158"/>
      <c r="O90"/>
      <c r="P90"/>
      <c r="Q90"/>
      <c r="R90"/>
      <c r="S90"/>
      <c r="T90"/>
      <c r="U90"/>
      <c r="V90"/>
      <c r="W90"/>
      <c r="X90"/>
      <c r="Y90" s="218"/>
      <c r="Z90" s="218"/>
      <c r="AA90" s="218"/>
      <c r="AB90" s="178"/>
      <c r="AC90" s="178"/>
      <c r="AD90" s="178"/>
      <c r="AE90" s="178"/>
      <c r="AF90" s="178"/>
      <c r="AG90" s="178"/>
      <c r="AH90" s="178"/>
      <c r="AI90" s="178"/>
      <c r="AJ90" s="178"/>
      <c r="AK90" s="178"/>
      <c r="AL90" s="178"/>
      <c r="AM90" s="178"/>
    </row>
    <row r="91" spans="1:43" s="205" customFormat="1" ht="15" x14ac:dyDescent="0.25">
      <c r="A91" s="158"/>
      <c r="B91" s="158"/>
      <c r="C91" s="158"/>
      <c r="D91" s="158"/>
      <c r="E91" s="158"/>
      <c r="F91" s="158"/>
      <c r="G91" s="158"/>
      <c r="H91" s="158"/>
      <c r="I91" s="158"/>
      <c r="J91" s="158"/>
      <c r="K91" s="158"/>
      <c r="L91" s="158"/>
      <c r="M91" s="158"/>
      <c r="O91"/>
      <c r="P91"/>
      <c r="Q91"/>
      <c r="R91"/>
      <c r="S91"/>
      <c r="T91"/>
      <c r="U91"/>
      <c r="V91"/>
      <c r="W91"/>
      <c r="X91"/>
      <c r="Y91" s="218"/>
      <c r="Z91" s="218"/>
      <c r="AA91" s="218"/>
      <c r="AB91" s="178"/>
      <c r="AC91" s="178"/>
      <c r="AD91" s="178"/>
      <c r="AE91" s="178"/>
      <c r="AF91" s="178"/>
      <c r="AG91" s="178"/>
      <c r="AH91" s="178"/>
      <c r="AI91" s="178"/>
      <c r="AJ91" s="178"/>
      <c r="AK91" s="178"/>
      <c r="AL91" s="178"/>
      <c r="AM91" s="178"/>
    </row>
    <row r="92" spans="1:43" s="205" customFormat="1" ht="15" x14ac:dyDescent="0.25">
      <c r="A92" s="158"/>
      <c r="B92" s="158"/>
      <c r="C92" s="158"/>
      <c r="D92" s="158"/>
      <c r="E92" s="158"/>
      <c r="F92" s="158"/>
      <c r="G92" s="158"/>
      <c r="H92" s="158"/>
      <c r="I92" s="158"/>
      <c r="J92" s="158"/>
      <c r="K92" s="158"/>
      <c r="L92" s="158"/>
      <c r="M92" s="158"/>
      <c r="O92"/>
      <c r="P92"/>
      <c r="Q92"/>
      <c r="R92"/>
      <c r="S92"/>
      <c r="T92"/>
      <c r="U92"/>
      <c r="V92"/>
      <c r="W92"/>
      <c r="X92"/>
      <c r="Y92" s="218"/>
      <c r="Z92" s="218"/>
      <c r="AA92" s="218"/>
      <c r="AB92" s="178"/>
      <c r="AC92" s="178"/>
      <c r="AD92" s="178"/>
      <c r="AE92" s="178"/>
      <c r="AF92" s="178"/>
      <c r="AG92" s="178"/>
      <c r="AH92" s="178"/>
      <c r="AI92" s="178"/>
      <c r="AJ92" s="178"/>
      <c r="AK92" s="178"/>
      <c r="AL92" s="178"/>
      <c r="AM92" s="178"/>
      <c r="AN92" s="178"/>
      <c r="AO92" s="178"/>
      <c r="AP92" s="178"/>
      <c r="AQ92" s="178"/>
    </row>
    <row r="93" spans="1:43" s="205" customFormat="1" ht="15" x14ac:dyDescent="0.25">
      <c r="A93" s="158"/>
      <c r="B93" s="158"/>
      <c r="C93" s="158"/>
      <c r="D93" s="158"/>
      <c r="E93" s="158"/>
      <c r="F93" s="158"/>
      <c r="G93" s="158"/>
      <c r="H93" s="158"/>
      <c r="I93" s="158"/>
      <c r="J93" s="158"/>
      <c r="K93" s="158"/>
      <c r="L93" s="158"/>
      <c r="M93" s="158"/>
      <c r="O93"/>
      <c r="P93"/>
      <c r="Q93"/>
      <c r="R93"/>
      <c r="S93"/>
      <c r="T93"/>
      <c r="U93"/>
      <c r="V93"/>
      <c r="W93"/>
      <c r="X93"/>
      <c r="Y93" s="218"/>
      <c r="Z93" s="218"/>
      <c r="AA93" s="218"/>
      <c r="AB93" s="178"/>
      <c r="AC93" s="178"/>
      <c r="AD93" s="178"/>
      <c r="AE93" s="178"/>
      <c r="AF93" s="178"/>
      <c r="AG93" s="178"/>
      <c r="AH93" s="178"/>
      <c r="AI93" s="178"/>
      <c r="AJ93" s="178"/>
      <c r="AK93" s="178"/>
      <c r="AL93" s="178"/>
      <c r="AM93" s="178"/>
      <c r="AN93" s="178"/>
      <c r="AO93" s="178"/>
      <c r="AP93" s="178"/>
      <c r="AQ93" s="178"/>
    </row>
    <row r="94" spans="1:43" ht="15" x14ac:dyDescent="0.25">
      <c r="A94" s="158"/>
      <c r="B94" s="158"/>
      <c r="C94" s="158"/>
      <c r="D94" s="158"/>
      <c r="E94" s="158"/>
      <c r="F94" s="158"/>
      <c r="G94" s="158"/>
      <c r="H94" s="158"/>
      <c r="I94" s="158"/>
      <c r="J94" s="158"/>
      <c r="K94" s="158"/>
      <c r="L94" s="158"/>
      <c r="M94" s="158"/>
      <c r="O94"/>
      <c r="P94"/>
      <c r="Q94"/>
      <c r="R94"/>
      <c r="S94"/>
      <c r="T94"/>
      <c r="U94"/>
      <c r="V94"/>
      <c r="W94"/>
      <c r="X94"/>
      <c r="Y94" s="218"/>
      <c r="Z94" s="218"/>
      <c r="AA94" s="218"/>
    </row>
    <row r="95" spans="1:43" ht="15" x14ac:dyDescent="0.25">
      <c r="A95" s="158"/>
      <c r="B95" s="158"/>
      <c r="C95" s="158"/>
      <c r="D95" s="158"/>
      <c r="E95" s="158"/>
      <c r="F95" s="158"/>
      <c r="G95" s="158"/>
      <c r="H95" s="158"/>
      <c r="I95" s="158"/>
      <c r="J95" s="158"/>
      <c r="K95" s="158"/>
      <c r="L95" s="158"/>
      <c r="M95" s="158"/>
      <c r="O95"/>
      <c r="P95"/>
      <c r="Q95"/>
      <c r="R95"/>
      <c r="S95"/>
      <c r="T95"/>
      <c r="U95"/>
      <c r="V95"/>
      <c r="W95"/>
      <c r="X95"/>
      <c r="Y95" s="218"/>
      <c r="Z95" s="218"/>
      <c r="AA95" s="218"/>
    </row>
    <row r="96" spans="1:43" ht="15" x14ac:dyDescent="0.25">
      <c r="A96" s="158"/>
      <c r="B96" s="158"/>
      <c r="C96" s="158"/>
      <c r="D96" s="158"/>
      <c r="E96" s="158"/>
      <c r="F96" s="158"/>
      <c r="G96" s="158"/>
      <c r="H96" s="158"/>
      <c r="I96" s="158"/>
      <c r="J96" s="158"/>
      <c r="K96" s="158"/>
      <c r="L96" s="158"/>
      <c r="M96" s="158"/>
      <c r="O96"/>
      <c r="P96"/>
      <c r="Q96"/>
      <c r="R96"/>
      <c r="S96"/>
      <c r="T96"/>
      <c r="U96"/>
      <c r="V96"/>
      <c r="W96"/>
      <c r="X96"/>
      <c r="Y96" s="218"/>
      <c r="Z96" s="218"/>
      <c r="AA96" s="218"/>
    </row>
    <row r="97" spans="1:27" ht="15" x14ac:dyDescent="0.25">
      <c r="A97" s="158"/>
      <c r="B97" s="158"/>
      <c r="C97" s="158"/>
      <c r="D97" s="158"/>
      <c r="E97" s="158"/>
      <c r="F97" s="158"/>
      <c r="G97" s="158"/>
      <c r="H97" s="158"/>
      <c r="I97" s="158"/>
      <c r="J97" s="158"/>
      <c r="K97" s="158"/>
      <c r="L97" s="158"/>
      <c r="M97" s="158"/>
      <c r="O97"/>
      <c r="P97"/>
      <c r="Q97"/>
      <c r="R97"/>
      <c r="S97"/>
      <c r="T97"/>
      <c r="U97"/>
      <c r="V97"/>
      <c r="W97"/>
      <c r="X97"/>
      <c r="Y97" s="218"/>
      <c r="Z97" s="218"/>
      <c r="AA97" s="218"/>
    </row>
    <row r="98" spans="1:27" ht="15" x14ac:dyDescent="0.25">
      <c r="A98" s="218"/>
      <c r="B98" s="218"/>
      <c r="C98" s="218"/>
      <c r="D98" s="218"/>
      <c r="E98" s="218"/>
      <c r="F98" s="218"/>
      <c r="G98" s="218"/>
      <c r="H98" s="218"/>
      <c r="I98" s="218"/>
      <c r="J98" s="218"/>
      <c r="K98" s="218"/>
      <c r="L98" s="218"/>
      <c r="M98" s="218"/>
      <c r="O98"/>
      <c r="P98"/>
      <c r="Q98"/>
      <c r="R98"/>
      <c r="S98"/>
      <c r="T98"/>
      <c r="U98"/>
      <c r="V98"/>
      <c r="W98"/>
      <c r="X98"/>
      <c r="Y98" s="218"/>
      <c r="Z98" s="218"/>
      <c r="AA98" s="218"/>
    </row>
    <row r="99" spans="1:27" ht="15" x14ac:dyDescent="0.25">
      <c r="A99" s="218"/>
      <c r="B99" s="218"/>
      <c r="C99" s="218"/>
      <c r="D99" s="218"/>
      <c r="E99" s="218"/>
      <c r="F99" s="218"/>
      <c r="G99" s="218"/>
      <c r="H99" s="218"/>
      <c r="I99" s="218"/>
      <c r="J99" s="218"/>
      <c r="K99" s="218"/>
      <c r="L99" s="218"/>
      <c r="M99" s="218"/>
      <c r="O99"/>
      <c r="P99"/>
      <c r="Q99"/>
      <c r="R99"/>
      <c r="S99"/>
      <c r="T99"/>
      <c r="U99"/>
      <c r="V99"/>
      <c r="W99"/>
      <c r="X99"/>
      <c r="Y99" s="218"/>
      <c r="Z99" s="218"/>
      <c r="AA99" s="218"/>
    </row>
    <row r="100" spans="1:27" ht="15" x14ac:dyDescent="0.25">
      <c r="A100" s="218"/>
      <c r="B100" s="218"/>
      <c r="C100" s="218"/>
      <c r="D100" s="218"/>
      <c r="E100" s="218"/>
      <c r="F100" s="218"/>
      <c r="G100" s="218"/>
      <c r="H100" s="218"/>
      <c r="I100" s="218"/>
      <c r="J100" s="218"/>
      <c r="K100" s="218"/>
      <c r="L100" s="218"/>
      <c r="M100" s="218"/>
      <c r="O100"/>
      <c r="P100"/>
      <c r="Q100"/>
      <c r="R100"/>
      <c r="S100"/>
      <c r="T100"/>
      <c r="U100"/>
      <c r="V100"/>
      <c r="W100"/>
      <c r="X100"/>
      <c r="Y100" s="218"/>
      <c r="Z100" s="218"/>
      <c r="AA100" s="218"/>
    </row>
    <row r="101" spans="1:27" ht="15" x14ac:dyDescent="0.25">
      <c r="A101" s="218"/>
      <c r="B101" s="218"/>
      <c r="C101" s="218"/>
      <c r="D101" s="218"/>
      <c r="E101" s="218"/>
      <c r="F101" s="218"/>
      <c r="G101" s="218"/>
      <c r="H101" s="218"/>
      <c r="I101" s="218"/>
      <c r="J101" s="218"/>
      <c r="K101" s="218"/>
      <c r="L101" s="218"/>
      <c r="M101" s="218"/>
      <c r="O101"/>
      <c r="P101"/>
      <c r="Q101"/>
      <c r="R101"/>
      <c r="S101"/>
      <c r="T101"/>
      <c r="U101"/>
      <c r="V101"/>
      <c r="W101"/>
      <c r="X101"/>
      <c r="Y101" s="218"/>
      <c r="Z101" s="218"/>
      <c r="AA101" s="218"/>
    </row>
    <row r="102" spans="1:27" ht="15" x14ac:dyDescent="0.25">
      <c r="A102" s="218"/>
      <c r="B102" s="218"/>
      <c r="C102" s="218"/>
      <c r="D102" s="218"/>
      <c r="E102" s="218"/>
      <c r="F102" s="218"/>
      <c r="G102" s="218"/>
      <c r="H102" s="218"/>
      <c r="I102" s="218"/>
      <c r="J102" s="218"/>
      <c r="K102" s="218"/>
      <c r="L102" s="218"/>
      <c r="M102" s="218"/>
      <c r="O102"/>
      <c r="P102"/>
      <c r="Q102"/>
      <c r="R102"/>
      <c r="S102"/>
      <c r="T102"/>
      <c r="U102"/>
      <c r="V102"/>
      <c r="W102"/>
      <c r="X102"/>
      <c r="Y102" s="218"/>
      <c r="Z102" s="218"/>
      <c r="AA102" s="218"/>
    </row>
    <row r="103" spans="1:27" ht="15" x14ac:dyDescent="0.25">
      <c r="A103" s="218"/>
      <c r="B103" s="218"/>
      <c r="C103" s="218"/>
      <c r="D103" s="218"/>
      <c r="E103" s="218"/>
      <c r="F103" s="218"/>
      <c r="G103" s="218"/>
      <c r="H103" s="218"/>
      <c r="I103" s="218"/>
      <c r="J103" s="218"/>
      <c r="K103" s="218"/>
      <c r="L103" s="218"/>
      <c r="M103" s="218"/>
      <c r="O103"/>
      <c r="P103"/>
      <c r="Q103"/>
      <c r="R103"/>
      <c r="S103"/>
      <c r="T103"/>
      <c r="U103"/>
      <c r="V103"/>
      <c r="W103"/>
      <c r="X103"/>
      <c r="Y103" s="218"/>
      <c r="Z103" s="218"/>
      <c r="AA103" s="218"/>
    </row>
    <row r="104" spans="1:27" ht="15" x14ac:dyDescent="0.25">
      <c r="A104" s="218"/>
      <c r="B104" s="218"/>
      <c r="C104" s="218"/>
      <c r="D104" s="218"/>
      <c r="E104" s="218"/>
      <c r="F104" s="218"/>
      <c r="G104" s="218"/>
      <c r="H104" s="218"/>
      <c r="I104" s="218"/>
      <c r="J104" s="218"/>
      <c r="K104" s="218"/>
      <c r="L104" s="218"/>
      <c r="M104" s="218"/>
      <c r="O104"/>
      <c r="P104"/>
      <c r="Q104"/>
      <c r="R104"/>
      <c r="S104"/>
      <c r="T104"/>
      <c r="U104"/>
      <c r="V104"/>
      <c r="W104"/>
      <c r="X104"/>
      <c r="Y104" s="218"/>
      <c r="Z104" s="218"/>
      <c r="AA104" s="218"/>
    </row>
    <row r="105" spans="1:27" ht="15" x14ac:dyDescent="0.25">
      <c r="A105" s="218"/>
      <c r="B105" s="218"/>
      <c r="C105" s="218"/>
      <c r="D105" s="218"/>
      <c r="E105" s="218"/>
      <c r="F105" s="218"/>
      <c r="G105" s="218"/>
      <c r="H105" s="218"/>
      <c r="I105" s="218"/>
      <c r="J105" s="218"/>
      <c r="K105" s="218"/>
      <c r="L105" s="218"/>
      <c r="M105" s="218"/>
      <c r="O105"/>
      <c r="P105"/>
      <c r="Q105"/>
      <c r="R105"/>
      <c r="S105"/>
      <c r="T105"/>
      <c r="U105"/>
      <c r="V105"/>
      <c r="W105"/>
      <c r="X105"/>
      <c r="Y105" s="218"/>
      <c r="Z105" s="218"/>
      <c r="AA105" s="218"/>
    </row>
    <row r="106" spans="1:27" ht="15" x14ac:dyDescent="0.25">
      <c r="A106" s="218"/>
      <c r="B106" s="218"/>
      <c r="C106" s="218"/>
      <c r="D106" s="218"/>
      <c r="E106" s="218"/>
      <c r="F106" s="218"/>
      <c r="G106" s="218"/>
      <c r="H106" s="218"/>
      <c r="I106" s="218"/>
      <c r="J106" s="218"/>
      <c r="K106" s="218"/>
      <c r="L106" s="218"/>
      <c r="M106" s="218"/>
      <c r="O106"/>
      <c r="P106"/>
      <c r="Q106"/>
      <c r="R106"/>
      <c r="S106"/>
      <c r="T106"/>
      <c r="U106"/>
      <c r="V106"/>
      <c r="W106"/>
      <c r="X106"/>
      <c r="Y106" s="218"/>
      <c r="Z106" s="218"/>
      <c r="AA106" s="218"/>
    </row>
    <row r="107" spans="1:27" ht="15" x14ac:dyDescent="0.25">
      <c r="A107" s="218"/>
      <c r="B107" s="218"/>
      <c r="C107" s="218"/>
      <c r="D107" s="218"/>
      <c r="E107" s="218"/>
      <c r="F107" s="218"/>
      <c r="G107" s="218"/>
      <c r="H107" s="218"/>
      <c r="I107" s="218"/>
      <c r="J107" s="218"/>
      <c r="K107" s="218"/>
      <c r="L107" s="218"/>
      <c r="M107" s="218"/>
      <c r="O107"/>
      <c r="P107"/>
      <c r="Q107"/>
      <c r="R107"/>
      <c r="S107"/>
      <c r="T107"/>
      <c r="U107"/>
      <c r="V107"/>
      <c r="W107"/>
      <c r="X107"/>
      <c r="Y107" s="218"/>
      <c r="Z107" s="218"/>
      <c r="AA107" s="218"/>
    </row>
    <row r="108" spans="1:27" ht="15" x14ac:dyDescent="0.25">
      <c r="A108" s="218"/>
      <c r="B108" s="218"/>
      <c r="C108" s="218"/>
      <c r="D108" s="218"/>
      <c r="E108" s="218"/>
      <c r="F108" s="218"/>
      <c r="G108" s="218"/>
      <c r="H108" s="218"/>
      <c r="I108" s="218"/>
      <c r="J108" s="218"/>
      <c r="K108" s="218"/>
      <c r="L108" s="218"/>
      <c r="M108" s="218"/>
      <c r="O108"/>
      <c r="P108"/>
      <c r="Q108"/>
      <c r="R108"/>
      <c r="S108"/>
      <c r="T108"/>
      <c r="U108"/>
      <c r="V108"/>
      <c r="W108"/>
      <c r="X108"/>
      <c r="Y108" s="218"/>
      <c r="Z108" s="218"/>
      <c r="AA108" s="218"/>
    </row>
    <row r="109" spans="1:27" ht="15" x14ac:dyDescent="0.25">
      <c r="A109" s="218"/>
      <c r="B109" s="218"/>
      <c r="C109" s="218"/>
      <c r="D109" s="218"/>
      <c r="E109" s="218"/>
      <c r="F109" s="218"/>
      <c r="G109" s="218"/>
      <c r="H109" s="218"/>
      <c r="I109" s="218"/>
      <c r="J109" s="218"/>
      <c r="K109" s="218"/>
      <c r="L109" s="218"/>
      <c r="M109" s="218"/>
      <c r="O109"/>
      <c r="P109"/>
      <c r="Q109"/>
      <c r="R109"/>
      <c r="S109"/>
      <c r="T109"/>
      <c r="U109"/>
      <c r="V109"/>
      <c r="W109"/>
      <c r="X109"/>
      <c r="Y109" s="218"/>
      <c r="Z109" s="218"/>
      <c r="AA109" s="218"/>
    </row>
    <row r="110" spans="1:27" ht="15" x14ac:dyDescent="0.25">
      <c r="A110" s="218"/>
      <c r="B110" s="218"/>
      <c r="C110" s="218"/>
      <c r="D110" s="218"/>
      <c r="E110" s="218"/>
      <c r="F110" s="218"/>
      <c r="G110" s="218"/>
      <c r="H110" s="218"/>
      <c r="I110" s="218"/>
      <c r="J110" s="218"/>
      <c r="K110" s="218"/>
      <c r="L110" s="218"/>
      <c r="M110" s="218"/>
      <c r="O110"/>
      <c r="P110"/>
      <c r="Q110"/>
      <c r="R110"/>
      <c r="S110"/>
      <c r="T110"/>
      <c r="U110"/>
      <c r="V110"/>
      <c r="W110"/>
      <c r="X110"/>
      <c r="Y110" s="218"/>
      <c r="Z110" s="218"/>
      <c r="AA110" s="218"/>
    </row>
    <row r="111" spans="1:27" ht="15" x14ac:dyDescent="0.25">
      <c r="A111" s="218"/>
      <c r="B111" s="218"/>
      <c r="C111" s="218"/>
      <c r="D111" s="218"/>
      <c r="E111" s="218"/>
      <c r="F111" s="218"/>
      <c r="G111" s="218"/>
      <c r="H111" s="218"/>
      <c r="I111" s="218"/>
      <c r="J111" s="218"/>
      <c r="K111" s="218"/>
      <c r="L111" s="218"/>
      <c r="M111" s="218"/>
      <c r="O111"/>
      <c r="P111"/>
      <c r="Q111"/>
      <c r="R111"/>
      <c r="S111"/>
      <c r="T111"/>
      <c r="U111"/>
      <c r="V111"/>
      <c r="W111"/>
      <c r="X111"/>
      <c r="Y111" s="218"/>
      <c r="Z111" s="218"/>
      <c r="AA111" s="218"/>
    </row>
    <row r="112" spans="1:27" ht="15" x14ac:dyDescent="0.25">
      <c r="A112" s="218"/>
      <c r="B112" s="218"/>
      <c r="C112" s="218"/>
      <c r="D112" s="218"/>
      <c r="E112" s="218"/>
      <c r="F112" s="218"/>
      <c r="G112" s="218"/>
      <c r="H112" s="218"/>
      <c r="I112" s="218"/>
      <c r="J112" s="218"/>
      <c r="K112" s="218"/>
      <c r="L112" s="218"/>
      <c r="M112" s="218"/>
      <c r="O112"/>
      <c r="P112"/>
      <c r="Q112"/>
      <c r="R112"/>
      <c r="S112"/>
      <c r="T112"/>
      <c r="U112"/>
      <c r="V112"/>
      <c r="W112"/>
      <c r="X112"/>
      <c r="Y112" s="218"/>
      <c r="Z112" s="218"/>
      <c r="AA112" s="218"/>
    </row>
    <row r="113" spans="1:27" ht="15" x14ac:dyDescent="0.25">
      <c r="A113" s="218"/>
      <c r="B113" s="218"/>
      <c r="C113" s="218"/>
      <c r="D113" s="218"/>
      <c r="E113" s="218"/>
      <c r="F113" s="218"/>
      <c r="G113" s="218"/>
      <c r="H113" s="218"/>
      <c r="I113" s="218"/>
      <c r="J113" s="218"/>
      <c r="K113" s="218"/>
      <c r="L113" s="218"/>
      <c r="M113" s="218"/>
      <c r="O113"/>
      <c r="P113"/>
      <c r="Q113"/>
      <c r="R113"/>
      <c r="S113"/>
      <c r="T113"/>
      <c r="U113"/>
      <c r="V113"/>
      <c r="W113"/>
      <c r="X113"/>
      <c r="Y113" s="218"/>
      <c r="Z113" s="218"/>
      <c r="AA113" s="218"/>
    </row>
    <row r="114" spans="1:27" ht="15" x14ac:dyDescent="0.25">
      <c r="A114" s="218"/>
      <c r="B114" s="218"/>
      <c r="C114" s="218"/>
      <c r="D114" s="218"/>
      <c r="E114" s="218"/>
      <c r="F114" s="218"/>
      <c r="G114" s="218"/>
      <c r="H114" s="218"/>
      <c r="I114" s="218"/>
      <c r="J114" s="218"/>
      <c r="K114" s="218"/>
      <c r="L114" s="218"/>
      <c r="M114" s="218"/>
      <c r="O114"/>
      <c r="P114"/>
      <c r="Q114"/>
      <c r="R114"/>
      <c r="S114"/>
      <c r="T114"/>
      <c r="U114"/>
      <c r="V114"/>
      <c r="W114"/>
      <c r="X114"/>
      <c r="Y114" s="218"/>
      <c r="Z114" s="218"/>
      <c r="AA114" s="218"/>
    </row>
    <row r="115" spans="1:27" ht="15" x14ac:dyDescent="0.25">
      <c r="A115" s="218"/>
      <c r="B115" s="218"/>
      <c r="C115" s="218"/>
      <c r="D115" s="218"/>
      <c r="E115" s="218"/>
      <c r="F115" s="218"/>
      <c r="G115" s="218"/>
      <c r="H115" s="218"/>
      <c r="I115" s="218"/>
      <c r="J115" s="218"/>
      <c r="K115" s="218"/>
      <c r="L115" s="218"/>
      <c r="M115" s="218"/>
      <c r="O115"/>
      <c r="P115"/>
      <c r="Q115"/>
      <c r="R115"/>
      <c r="S115"/>
      <c r="T115"/>
      <c r="U115"/>
      <c r="V115"/>
      <c r="W115"/>
      <c r="X115"/>
      <c r="Y115" s="218"/>
      <c r="Z115" s="218"/>
      <c r="AA115" s="218"/>
    </row>
    <row r="116" spans="1:27" ht="15" x14ac:dyDescent="0.25">
      <c r="A116" s="218"/>
      <c r="B116" s="218"/>
      <c r="C116" s="218"/>
      <c r="D116" s="218"/>
      <c r="E116" s="218"/>
      <c r="F116" s="218"/>
      <c r="G116" s="218"/>
      <c r="H116" s="218"/>
      <c r="I116" s="218"/>
      <c r="J116" s="218"/>
      <c r="K116" s="218"/>
      <c r="L116" s="218"/>
      <c r="M116" s="218"/>
      <c r="O116"/>
      <c r="P116"/>
      <c r="Q116"/>
      <c r="R116"/>
      <c r="S116"/>
      <c r="T116"/>
      <c r="U116"/>
      <c r="V116"/>
      <c r="W116"/>
      <c r="X116"/>
      <c r="Y116" s="218"/>
      <c r="Z116" s="218"/>
      <c r="AA116" s="218"/>
    </row>
    <row r="117" spans="1:27" ht="15" x14ac:dyDescent="0.25">
      <c r="A117" s="218"/>
      <c r="B117" s="218"/>
      <c r="C117" s="218"/>
      <c r="D117" s="218"/>
      <c r="E117" s="218"/>
      <c r="F117" s="218"/>
      <c r="G117" s="218"/>
      <c r="H117" s="218"/>
      <c r="I117" s="218"/>
      <c r="J117" s="218"/>
      <c r="K117" s="218"/>
      <c r="L117" s="218"/>
      <c r="M117" s="218"/>
      <c r="Y117" s="218"/>
      <c r="Z117" s="218"/>
      <c r="AA117" s="218"/>
    </row>
    <row r="118" spans="1:27" ht="15" x14ac:dyDescent="0.25">
      <c r="A118" s="218"/>
      <c r="B118" s="218"/>
      <c r="C118" s="218"/>
      <c r="D118" s="218"/>
      <c r="E118" s="218"/>
      <c r="F118" s="218"/>
      <c r="G118" s="218"/>
      <c r="H118" s="218"/>
      <c r="I118" s="218"/>
      <c r="J118" s="218"/>
      <c r="K118" s="218"/>
      <c r="L118" s="218"/>
      <c r="M118" s="218"/>
      <c r="Y118" s="218"/>
      <c r="Z118" s="218"/>
      <c r="AA118" s="218"/>
    </row>
    <row r="119" spans="1:27" ht="15" x14ac:dyDescent="0.25">
      <c r="A119" s="218"/>
      <c r="B119" s="218"/>
      <c r="C119" s="218"/>
      <c r="D119" s="218"/>
      <c r="E119" s="218"/>
      <c r="F119" s="218"/>
      <c r="G119" s="218"/>
      <c r="H119" s="218"/>
      <c r="I119" s="218"/>
      <c r="J119" s="218"/>
      <c r="K119" s="218"/>
      <c r="L119" s="218"/>
      <c r="M119" s="218"/>
      <c r="Y119" s="218"/>
      <c r="Z119" s="218"/>
      <c r="AA119" s="218"/>
    </row>
    <row r="120" spans="1:27" ht="15" x14ac:dyDescent="0.25">
      <c r="A120" s="218"/>
      <c r="B120" s="218"/>
      <c r="C120" s="218"/>
      <c r="D120" s="218"/>
      <c r="E120" s="218"/>
      <c r="F120" s="218"/>
      <c r="G120" s="218"/>
      <c r="H120" s="218"/>
      <c r="I120" s="218"/>
      <c r="J120" s="218"/>
      <c r="K120" s="218"/>
      <c r="L120" s="218"/>
      <c r="M120" s="218"/>
      <c r="Y120" s="218"/>
      <c r="Z120" s="218"/>
      <c r="AA120" s="218"/>
    </row>
    <row r="121" spans="1:27" ht="15" x14ac:dyDescent="0.25">
      <c r="A121" s="218"/>
      <c r="B121" s="218"/>
      <c r="C121" s="218"/>
      <c r="D121" s="218"/>
      <c r="E121" s="218"/>
      <c r="F121" s="218"/>
      <c r="G121" s="218"/>
      <c r="H121" s="218"/>
      <c r="I121" s="218"/>
      <c r="J121" s="218"/>
      <c r="K121" s="218"/>
      <c r="L121" s="218"/>
      <c r="M121" s="218"/>
      <c r="Y121" s="218"/>
      <c r="Z121" s="218"/>
      <c r="AA121" s="218"/>
    </row>
    <row r="122" spans="1:27" ht="15" x14ac:dyDescent="0.25">
      <c r="A122" s="218"/>
      <c r="B122" s="218"/>
      <c r="C122" s="218"/>
      <c r="D122" s="218"/>
      <c r="E122" s="218"/>
      <c r="F122" s="218"/>
      <c r="G122" s="218"/>
      <c r="H122" s="218"/>
      <c r="I122" s="218"/>
      <c r="J122" s="218"/>
      <c r="K122" s="218"/>
      <c r="L122" s="218"/>
      <c r="M122" s="218"/>
      <c r="Y122" s="218"/>
      <c r="Z122" s="218"/>
      <c r="AA122" s="218"/>
    </row>
    <row r="123" spans="1:27" ht="15" x14ac:dyDescent="0.25">
      <c r="Y123" s="218"/>
      <c r="Z123" s="218"/>
      <c r="AA123" s="218"/>
    </row>
    <row r="124" spans="1:27" ht="15" x14ac:dyDescent="0.25">
      <c r="Y124" s="218"/>
      <c r="Z124" s="218"/>
      <c r="AA124" s="218"/>
    </row>
    <row r="125" spans="1:27" ht="15" x14ac:dyDescent="0.25">
      <c r="Y125" s="218"/>
      <c r="Z125" s="218"/>
      <c r="AA125" s="218"/>
    </row>
    <row r="126" spans="1:27" ht="15" x14ac:dyDescent="0.25">
      <c r="Y126" s="218"/>
      <c r="Z126" s="218"/>
      <c r="AA126" s="218"/>
    </row>
    <row r="127" spans="1:27" ht="15" x14ac:dyDescent="0.25">
      <c r="Y127" s="218"/>
      <c r="Z127" s="218"/>
      <c r="AA127" s="218"/>
    </row>
    <row r="128" spans="1:27" ht="15" x14ac:dyDescent="0.25">
      <c r="Y128" s="218"/>
      <c r="Z128" s="218"/>
      <c r="AA128" s="218"/>
    </row>
    <row r="129" spans="25:27" ht="15" x14ac:dyDescent="0.25">
      <c r="Y129" s="218"/>
      <c r="Z129" s="218"/>
      <c r="AA129" s="218"/>
    </row>
    <row r="130" spans="25:27" ht="15" x14ac:dyDescent="0.25">
      <c r="Y130" s="218"/>
      <c r="Z130" s="218"/>
      <c r="AA130" s="218"/>
    </row>
    <row r="131" spans="25:27" ht="15" x14ac:dyDescent="0.25">
      <c r="Y131" s="218"/>
      <c r="Z131" s="218"/>
      <c r="AA131" s="218"/>
    </row>
    <row r="132" spans="25:27" ht="15" x14ac:dyDescent="0.25">
      <c r="Y132" s="218"/>
      <c r="Z132" s="218"/>
      <c r="AA132" s="218"/>
    </row>
    <row r="133" spans="25:27" ht="15" x14ac:dyDescent="0.25">
      <c r="Y133" s="218"/>
      <c r="Z133" s="218"/>
      <c r="AA133" s="218"/>
    </row>
    <row r="134" spans="25:27" ht="15" x14ac:dyDescent="0.25">
      <c r="Y134" s="218"/>
      <c r="Z134" s="218"/>
      <c r="AA134" s="218"/>
    </row>
    <row r="135" spans="25:27" ht="15" x14ac:dyDescent="0.25">
      <c r="Y135" s="218"/>
      <c r="Z135" s="218"/>
      <c r="AA135" s="218"/>
    </row>
    <row r="136" spans="25:27" ht="15" x14ac:dyDescent="0.25">
      <c r="Y136" s="218"/>
      <c r="Z136" s="218"/>
      <c r="AA136" s="218"/>
    </row>
    <row r="137" spans="25:27" ht="15" x14ac:dyDescent="0.25">
      <c r="Y137" s="218"/>
      <c r="Z137" s="218"/>
      <c r="AA137" s="218"/>
    </row>
    <row r="138" spans="25:27" ht="15" x14ac:dyDescent="0.25">
      <c r="Y138" s="218"/>
      <c r="Z138" s="218"/>
      <c r="AA138" s="218"/>
    </row>
    <row r="139" spans="25:27" ht="15" x14ac:dyDescent="0.25">
      <c r="Y139" s="218"/>
      <c r="Z139" s="218"/>
      <c r="AA139" s="218"/>
    </row>
    <row r="140" spans="25:27" ht="15" x14ac:dyDescent="0.25">
      <c r="Y140" s="218"/>
      <c r="Z140" s="218"/>
      <c r="AA140" s="218"/>
    </row>
    <row r="141" spans="25:27" ht="15" x14ac:dyDescent="0.25">
      <c r="Y141" s="218"/>
      <c r="Z141" s="218"/>
      <c r="AA141" s="218"/>
    </row>
    <row r="142" spans="25:27" ht="15" x14ac:dyDescent="0.25">
      <c r="Y142" s="218"/>
      <c r="Z142" s="218"/>
      <c r="AA142" s="218"/>
    </row>
    <row r="143" spans="25:27" ht="15" x14ac:dyDescent="0.25">
      <c r="Y143" s="218"/>
      <c r="Z143" s="218"/>
      <c r="AA143" s="218"/>
    </row>
    <row r="144" spans="25:27" ht="15" x14ac:dyDescent="0.25">
      <c r="Y144" s="218"/>
      <c r="Z144" s="218"/>
      <c r="AA144" s="218"/>
    </row>
    <row r="145" spans="25:27" ht="15" x14ac:dyDescent="0.25">
      <c r="Y145" s="218"/>
      <c r="Z145" s="218"/>
      <c r="AA145" s="218"/>
    </row>
    <row r="146" spans="25:27" ht="15" x14ac:dyDescent="0.25">
      <c r="Y146" s="218"/>
      <c r="Z146" s="218"/>
      <c r="AA146" s="218"/>
    </row>
    <row r="147" spans="25:27" ht="15" x14ac:dyDescent="0.25">
      <c r="Y147" s="218"/>
      <c r="Z147" s="218"/>
      <c r="AA147" s="218"/>
    </row>
    <row r="148" spans="25:27" ht="15" x14ac:dyDescent="0.25">
      <c r="Y148" s="218"/>
      <c r="Z148" s="218"/>
      <c r="AA148" s="218"/>
    </row>
    <row r="149" spans="25:27" ht="15" x14ac:dyDescent="0.25">
      <c r="Y149" s="218"/>
      <c r="Z149" s="218"/>
      <c r="AA149" s="218"/>
    </row>
    <row r="150" spans="25:27" ht="15" x14ac:dyDescent="0.25">
      <c r="Y150" s="218"/>
      <c r="Z150" s="218"/>
      <c r="AA150" s="218"/>
    </row>
    <row r="151" spans="25:27" ht="15" x14ac:dyDescent="0.25">
      <c r="Y151" s="218"/>
      <c r="Z151" s="218"/>
      <c r="AA151" s="218"/>
    </row>
    <row r="152" spans="25:27" ht="15" x14ac:dyDescent="0.25">
      <c r="Y152" s="218"/>
      <c r="Z152" s="218"/>
      <c r="AA152" s="218"/>
    </row>
    <row r="153" spans="25:27" ht="15" x14ac:dyDescent="0.25">
      <c r="Y153" s="218"/>
      <c r="Z153" s="218"/>
      <c r="AA153" s="218"/>
    </row>
    <row r="154" spans="25:27" ht="15" x14ac:dyDescent="0.25">
      <c r="Y154" s="218"/>
      <c r="Z154" s="218"/>
      <c r="AA154" s="218"/>
    </row>
    <row r="155" spans="25:27" ht="15" x14ac:dyDescent="0.25">
      <c r="Y155" s="218"/>
      <c r="Z155" s="218"/>
      <c r="AA155" s="218"/>
    </row>
    <row r="156" spans="25:27" ht="15" x14ac:dyDescent="0.25">
      <c r="Y156" s="218"/>
      <c r="Z156" s="218"/>
      <c r="AA156" s="218"/>
    </row>
    <row r="157" spans="25:27" ht="15" x14ac:dyDescent="0.25">
      <c r="Y157" s="218"/>
      <c r="Z157" s="218"/>
      <c r="AA157" s="218"/>
    </row>
    <row r="158" spans="25:27" ht="15" x14ac:dyDescent="0.25">
      <c r="Y158" s="218"/>
      <c r="Z158" s="218"/>
      <c r="AA158" s="218"/>
    </row>
    <row r="159" spans="25:27" ht="15" x14ac:dyDescent="0.25">
      <c r="Y159" s="218"/>
      <c r="Z159" s="218"/>
      <c r="AA159" s="218"/>
    </row>
    <row r="160" spans="25:27" ht="15" x14ac:dyDescent="0.25">
      <c r="Y160" s="218"/>
      <c r="Z160" s="218"/>
      <c r="AA160" s="218"/>
    </row>
    <row r="161" spans="25:27" ht="15" x14ac:dyDescent="0.25">
      <c r="Y161" s="218"/>
      <c r="Z161" s="218"/>
      <c r="AA161" s="218"/>
    </row>
    <row r="162" spans="25:27" ht="15" x14ac:dyDescent="0.25">
      <c r="Y162" s="218"/>
      <c r="Z162" s="218"/>
      <c r="AA162" s="218"/>
    </row>
    <row r="163" spans="25:27" ht="15" x14ac:dyDescent="0.25">
      <c r="Y163" s="218"/>
      <c r="Z163" s="218"/>
      <c r="AA163" s="218"/>
    </row>
    <row r="164" spans="25:27" ht="15" x14ac:dyDescent="0.25">
      <c r="Y164" s="218"/>
      <c r="Z164" s="218"/>
      <c r="AA164" s="218"/>
    </row>
    <row r="165" spans="25:27" ht="15" x14ac:dyDescent="0.25">
      <c r="Y165" s="218"/>
      <c r="Z165" s="218"/>
      <c r="AA165" s="218"/>
    </row>
    <row r="166" spans="25:27" ht="15" x14ac:dyDescent="0.25">
      <c r="Y166" s="218"/>
      <c r="Z166" s="218"/>
      <c r="AA166" s="218"/>
    </row>
    <row r="167" spans="25:27" ht="15" x14ac:dyDescent="0.25">
      <c r="Y167" s="218"/>
      <c r="Z167" s="218"/>
      <c r="AA167" s="218"/>
    </row>
    <row r="168" spans="25:27" ht="15" x14ac:dyDescent="0.25">
      <c r="Y168" s="218"/>
      <c r="Z168" s="218"/>
      <c r="AA168" s="218"/>
    </row>
    <row r="169" spans="25:27" ht="15" x14ac:dyDescent="0.25">
      <c r="Y169" s="218"/>
      <c r="Z169" s="218"/>
      <c r="AA169" s="218"/>
    </row>
    <row r="170" spans="25:27" ht="15" x14ac:dyDescent="0.25">
      <c r="Y170" s="218"/>
      <c r="Z170" s="218"/>
      <c r="AA170" s="218"/>
    </row>
    <row r="171" spans="25:27" ht="15" x14ac:dyDescent="0.25">
      <c r="Y171" s="218"/>
      <c r="Z171" s="218"/>
      <c r="AA171" s="218"/>
    </row>
    <row r="172" spans="25:27" ht="15" x14ac:dyDescent="0.25">
      <c r="Y172" s="218"/>
      <c r="Z172" s="218"/>
      <c r="AA172" s="218"/>
    </row>
    <row r="173" spans="25:27" ht="15" x14ac:dyDescent="0.25">
      <c r="Y173" s="218"/>
      <c r="Z173" s="218"/>
      <c r="AA173" s="218"/>
    </row>
    <row r="174" spans="25:27" ht="15" x14ac:dyDescent="0.25">
      <c r="Y174" s="218"/>
      <c r="Z174" s="218"/>
      <c r="AA174" s="218"/>
    </row>
    <row r="175" spans="25:27" ht="15" x14ac:dyDescent="0.25">
      <c r="Y175" s="218"/>
      <c r="Z175" s="218"/>
      <c r="AA175" s="218"/>
    </row>
    <row r="176" spans="25:27" ht="15" x14ac:dyDescent="0.25">
      <c r="Y176" s="218"/>
      <c r="Z176" s="218"/>
      <c r="AA176" s="218"/>
    </row>
    <row r="177" spans="25:27" ht="15" x14ac:dyDescent="0.25">
      <c r="Y177" s="218"/>
      <c r="Z177" s="218"/>
      <c r="AA177" s="218"/>
    </row>
    <row r="178" spans="25:27" ht="15" x14ac:dyDescent="0.25">
      <c r="Y178" s="218"/>
      <c r="Z178" s="218"/>
      <c r="AA178" s="218"/>
    </row>
    <row r="179" spans="25:27" ht="15" x14ac:dyDescent="0.25">
      <c r="Y179" s="218"/>
      <c r="Z179" s="218"/>
      <c r="AA179" s="218"/>
    </row>
    <row r="180" spans="25:27" ht="15" x14ac:dyDescent="0.25">
      <c r="Y180" s="218"/>
      <c r="Z180" s="218"/>
      <c r="AA180" s="218"/>
    </row>
    <row r="181" spans="25:27" ht="15" x14ac:dyDescent="0.25">
      <c r="Y181" s="218"/>
      <c r="Z181" s="218"/>
      <c r="AA181" s="218"/>
    </row>
    <row r="182" spans="25:27" ht="15" x14ac:dyDescent="0.25">
      <c r="Y182" s="218"/>
      <c r="Z182" s="218"/>
      <c r="AA182" s="218"/>
    </row>
    <row r="183" spans="25:27" ht="15" x14ac:dyDescent="0.25">
      <c r="Y183" s="218"/>
      <c r="Z183" s="218"/>
      <c r="AA183" s="218"/>
    </row>
    <row r="184" spans="25:27" ht="15" x14ac:dyDescent="0.25">
      <c r="Y184" s="218"/>
      <c r="Z184" s="218"/>
      <c r="AA184" s="218"/>
    </row>
    <row r="185" spans="25:27" ht="15" x14ac:dyDescent="0.25">
      <c r="Y185" s="218"/>
      <c r="Z185" s="218"/>
      <c r="AA185" s="218"/>
    </row>
  </sheetData>
  <dataConsolidate/>
  <pageMargins left="0.25" right="0.25" top="0.25" bottom="0.25" header="0.3" footer="0.3"/>
  <pageSetup scale="65" orientation="landscape" r:id="rId1"/>
  <colBreaks count="1" manualBreakCount="1">
    <brk id="13" max="1048575" man="1"/>
  </col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85"/>
  <sheetViews>
    <sheetView zoomScale="70" zoomScaleNormal="70" workbookViewId="0">
      <pane ySplit="13" topLeftCell="A55" activePane="bottomLeft" state="frozen"/>
      <selection activeCell="I43" sqref="I43"/>
      <selection pane="bottomLeft" activeCell="I43" sqref="I43"/>
    </sheetView>
  </sheetViews>
  <sheetFormatPr defaultColWidth="8.7109375" defaultRowHeight="12.75" x14ac:dyDescent="0.2"/>
  <cols>
    <col min="1" max="1" width="24.42578125" style="178" customWidth="1"/>
    <col min="2" max="2" width="14.28515625" style="178" customWidth="1"/>
    <col min="3" max="3" width="14.42578125" style="178" customWidth="1"/>
    <col min="4" max="4" width="14.42578125" style="178" bestFit="1" customWidth="1"/>
    <col min="5" max="5" width="14.28515625" style="178" bestFit="1" customWidth="1"/>
    <col min="6" max="6" width="16.42578125" style="178" bestFit="1" customWidth="1"/>
    <col min="7" max="7" width="12" style="178" bestFit="1" customWidth="1"/>
    <col min="8" max="8" width="12.140625" style="178" bestFit="1" customWidth="1"/>
    <col min="9" max="9" width="15" style="178" bestFit="1" customWidth="1"/>
    <col min="10" max="10" width="14.5703125" style="178" bestFit="1" customWidth="1"/>
    <col min="11" max="11" width="14.28515625" style="178" bestFit="1" customWidth="1"/>
    <col min="12" max="12" width="11.5703125" style="178" bestFit="1" customWidth="1"/>
    <col min="13" max="13" width="14.28515625" style="178" bestFit="1" customWidth="1"/>
    <col min="14" max="14" width="9.5703125" style="205" bestFit="1" customWidth="1"/>
    <col min="15" max="16" width="11.5703125" style="178" bestFit="1" customWidth="1"/>
    <col min="17" max="18" width="9" style="178" bestFit="1" customWidth="1"/>
    <col min="19" max="19" width="11.7109375" style="178" bestFit="1" customWidth="1"/>
    <col min="20" max="20" width="13.28515625" style="178" bestFit="1" customWidth="1"/>
    <col min="21" max="21" width="11" style="178" bestFit="1" customWidth="1"/>
    <col min="22" max="22" width="14.5703125" style="178" bestFit="1" customWidth="1"/>
    <col min="23" max="23" width="12" style="178" bestFit="1" customWidth="1"/>
    <col min="24" max="24" width="13.28515625" style="178" bestFit="1" customWidth="1"/>
    <col min="25" max="29" width="10.28515625" style="178" customWidth="1"/>
    <col min="30" max="42" width="8.7109375" style="178"/>
    <col min="43" max="43" width="9.42578125" style="178" bestFit="1" customWidth="1"/>
    <col min="44" max="16384" width="8.7109375" style="178"/>
  </cols>
  <sheetData>
    <row r="1" spans="1:43" s="163" customFormat="1" x14ac:dyDescent="0.2">
      <c r="A1" s="161" t="s">
        <v>543</v>
      </c>
      <c r="B1" s="161"/>
      <c r="C1" s="161"/>
      <c r="D1" s="162"/>
      <c r="E1" s="162"/>
      <c r="F1" s="162"/>
      <c r="K1" s="162"/>
      <c r="L1" s="162"/>
      <c r="M1" s="164"/>
      <c r="N1" s="165"/>
      <c r="O1" s="164"/>
    </row>
    <row r="2" spans="1:43" s="163" customFormat="1" x14ac:dyDescent="0.2">
      <c r="A2" s="161"/>
      <c r="B2" s="161"/>
      <c r="C2" s="166"/>
      <c r="D2" s="167"/>
      <c r="E2" s="166"/>
      <c r="G2" s="162"/>
      <c r="H2" s="168"/>
      <c r="I2" s="169"/>
      <c r="J2" s="162"/>
      <c r="K2" s="162"/>
      <c r="L2" s="162"/>
      <c r="M2" s="170"/>
      <c r="N2" s="165"/>
      <c r="O2" s="164"/>
    </row>
    <row r="3" spans="1:43" s="163" customFormat="1" x14ac:dyDescent="0.2">
      <c r="A3" s="171"/>
      <c r="B3" s="172"/>
      <c r="C3" s="173"/>
      <c r="D3" s="174"/>
      <c r="E3" s="173"/>
      <c r="F3" s="175"/>
      <c r="G3" s="162"/>
      <c r="H3" s="176"/>
      <c r="K3" s="177"/>
      <c r="L3" s="177"/>
      <c r="M3" s="170"/>
      <c r="N3" s="165"/>
      <c r="O3" s="168"/>
    </row>
    <row r="4" spans="1:43" s="163" customFormat="1" x14ac:dyDescent="0.2">
      <c r="A4" s="178"/>
      <c r="B4" s="178"/>
      <c r="C4" s="179"/>
      <c r="D4" s="179"/>
      <c r="E4" s="179"/>
      <c r="F4" s="179"/>
      <c r="G4" s="179"/>
      <c r="H4" s="179"/>
      <c r="I4" s="179"/>
      <c r="J4" s="179"/>
      <c r="K4" s="179"/>
      <c r="L4" s="179"/>
      <c r="M4" s="179"/>
      <c r="N4" s="179"/>
      <c r="O4" s="179"/>
    </row>
    <row r="5" spans="1:43" s="163" customFormat="1" x14ac:dyDescent="0.2">
      <c r="A5" s="180" t="s">
        <v>482</v>
      </c>
      <c r="B5" s="180"/>
      <c r="C5" s="181">
        <v>1</v>
      </c>
      <c r="D5" s="181">
        <v>2</v>
      </c>
      <c r="E5" s="181">
        <v>3</v>
      </c>
      <c r="F5" s="181">
        <v>4</v>
      </c>
      <c r="G5" s="181">
        <v>5</v>
      </c>
      <c r="H5" s="181">
        <v>6</v>
      </c>
      <c r="I5" s="181">
        <v>7</v>
      </c>
      <c r="J5" s="181">
        <v>8</v>
      </c>
      <c r="K5" s="181">
        <v>9</v>
      </c>
      <c r="L5" s="181">
        <v>10</v>
      </c>
      <c r="M5" s="181">
        <v>11</v>
      </c>
      <c r="N5" s="181">
        <v>12</v>
      </c>
      <c r="O5" s="181">
        <v>13</v>
      </c>
      <c r="P5" s="181">
        <v>14</v>
      </c>
      <c r="Q5" s="181">
        <v>15</v>
      </c>
      <c r="R5" s="181">
        <v>16</v>
      </c>
      <c r="S5" s="181">
        <v>17</v>
      </c>
      <c r="T5" s="181">
        <v>18</v>
      </c>
      <c r="U5" s="181">
        <v>19</v>
      </c>
      <c r="V5" s="181">
        <v>20</v>
      </c>
      <c r="W5" s="181">
        <v>21</v>
      </c>
      <c r="X5" s="181">
        <v>22</v>
      </c>
      <c r="Y5" s="181">
        <v>23</v>
      </c>
      <c r="Z5" s="181">
        <v>24</v>
      </c>
      <c r="AA5" s="181">
        <v>25</v>
      </c>
      <c r="AB5" s="181">
        <v>26</v>
      </c>
      <c r="AC5" s="181">
        <v>27</v>
      </c>
      <c r="AD5" s="181">
        <v>28</v>
      </c>
      <c r="AE5" s="181">
        <v>29</v>
      </c>
      <c r="AF5" s="181">
        <v>30</v>
      </c>
      <c r="AG5" s="181">
        <v>31</v>
      </c>
      <c r="AH5" s="181">
        <v>32</v>
      </c>
      <c r="AI5" s="181">
        <v>33</v>
      </c>
      <c r="AJ5" s="181">
        <v>34</v>
      </c>
      <c r="AK5" s="181">
        <v>35</v>
      </c>
      <c r="AL5" s="181">
        <v>36</v>
      </c>
      <c r="AM5" s="181">
        <v>37</v>
      </c>
      <c r="AN5" s="181">
        <v>38</v>
      </c>
      <c r="AO5" s="181">
        <v>39</v>
      </c>
      <c r="AP5" s="181">
        <v>40</v>
      </c>
      <c r="AQ5" s="181" t="s">
        <v>25</v>
      </c>
    </row>
    <row r="6" spans="1:43" s="163" customFormat="1" x14ac:dyDescent="0.2">
      <c r="A6" s="182" t="s">
        <v>483</v>
      </c>
      <c r="B6" s="182"/>
      <c r="C6" s="183">
        <v>0.2</v>
      </c>
      <c r="D6" s="183">
        <v>0.32</v>
      </c>
      <c r="E6" s="183">
        <v>0.192</v>
      </c>
      <c r="F6" s="183">
        <v>0.1152</v>
      </c>
      <c r="G6" s="183">
        <v>0.1152</v>
      </c>
      <c r="H6" s="183">
        <v>5.7599999999999998E-2</v>
      </c>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f>SUM(C6:AP6)</f>
        <v>0.99999999999999989</v>
      </c>
    </row>
    <row r="7" spans="1:43" s="163" customFormat="1" x14ac:dyDescent="0.2">
      <c r="A7" s="184"/>
      <c r="B7" s="184"/>
      <c r="C7" s="179"/>
      <c r="D7" s="179"/>
      <c r="E7" s="179"/>
      <c r="F7" s="179"/>
      <c r="G7" s="179"/>
      <c r="H7" s="179"/>
      <c r="I7" s="185"/>
      <c r="J7" s="185"/>
      <c r="K7" s="185"/>
    </row>
    <row r="8" spans="1:43" ht="13.5" thickBot="1" x14ac:dyDescent="0.25">
      <c r="A8" s="186" t="s">
        <v>7</v>
      </c>
      <c r="B8" s="187" t="s">
        <v>484</v>
      </c>
      <c r="C8" s="188" t="s">
        <v>19</v>
      </c>
      <c r="D8" s="189"/>
      <c r="E8" s="188" t="s">
        <v>485</v>
      </c>
      <c r="F8" s="190"/>
      <c r="G8" s="188" t="s">
        <v>20</v>
      </c>
      <c r="H8" s="189"/>
      <c r="I8" s="188" t="s">
        <v>8</v>
      </c>
      <c r="J8" s="189"/>
      <c r="K8" s="191" t="s">
        <v>9</v>
      </c>
      <c r="L8" s="191" t="s">
        <v>10</v>
      </c>
      <c r="M8" s="192" t="s">
        <v>11</v>
      </c>
      <c r="N8" s="178"/>
    </row>
    <row r="9" spans="1:43" ht="15.75" thickBot="1" x14ac:dyDescent="0.3">
      <c r="A9" s="193"/>
      <c r="B9" s="194" t="s">
        <v>486</v>
      </c>
      <c r="C9" s="195"/>
      <c r="D9" s="196"/>
      <c r="E9" s="195" t="s">
        <v>487</v>
      </c>
      <c r="F9" s="197"/>
      <c r="G9" s="198"/>
      <c r="H9" s="196"/>
      <c r="I9" s="199"/>
      <c r="J9" s="200"/>
      <c r="K9" s="201"/>
      <c r="L9" s="201"/>
      <c r="M9" s="202" t="s">
        <v>488</v>
      </c>
      <c r="N9" s="178"/>
      <c r="O9"/>
      <c r="P9"/>
      <c r="Q9"/>
      <c r="R9"/>
      <c r="S9"/>
      <c r="T9"/>
      <c r="U9"/>
      <c r="V9"/>
      <c r="W9"/>
      <c r="X9"/>
    </row>
    <row r="10" spans="1:43" ht="15.75" thickBot="1" x14ac:dyDescent="0.3">
      <c r="A10" s="193"/>
      <c r="B10" s="194" t="s">
        <v>489</v>
      </c>
      <c r="C10" s="195"/>
      <c r="D10" s="196"/>
      <c r="E10" s="195" t="s">
        <v>490</v>
      </c>
      <c r="F10" s="269">
        <f>'Exh. NWA-4'!S336/100</f>
        <v>0.2</v>
      </c>
      <c r="G10" s="198"/>
      <c r="H10" s="196"/>
      <c r="I10" s="199"/>
      <c r="J10" s="200"/>
      <c r="K10" s="201"/>
      <c r="L10" s="203" t="s">
        <v>168</v>
      </c>
      <c r="M10" s="202"/>
      <c r="N10" s="178"/>
      <c r="O10"/>
      <c r="P10"/>
      <c r="Q10"/>
      <c r="R10"/>
      <c r="S10"/>
      <c r="T10"/>
      <c r="U10"/>
      <c r="V10"/>
      <c r="W10"/>
      <c r="X10"/>
    </row>
    <row r="11" spans="1:43" ht="15" x14ac:dyDescent="0.25">
      <c r="A11" s="204"/>
      <c r="B11" s="205"/>
      <c r="C11" s="199" t="s">
        <v>12</v>
      </c>
      <c r="D11" s="200" t="s">
        <v>13</v>
      </c>
      <c r="E11" s="199" t="s">
        <v>27</v>
      </c>
      <c r="F11" s="200" t="s">
        <v>28</v>
      </c>
      <c r="G11" s="199" t="s">
        <v>12</v>
      </c>
      <c r="H11" s="200" t="s">
        <v>13</v>
      </c>
      <c r="I11" s="199" t="s">
        <v>12</v>
      </c>
      <c r="J11" s="200" t="s">
        <v>29</v>
      </c>
      <c r="K11" s="201" t="s">
        <v>14</v>
      </c>
      <c r="L11" s="203">
        <v>0.21</v>
      </c>
      <c r="M11" s="202" t="s">
        <v>21</v>
      </c>
      <c r="N11" s="178"/>
      <c r="O11"/>
      <c r="P11"/>
      <c r="Q11"/>
      <c r="R11"/>
      <c r="S11"/>
      <c r="T11"/>
      <c r="U11"/>
      <c r="V11"/>
      <c r="W11"/>
      <c r="X11"/>
    </row>
    <row r="12" spans="1:43" ht="15" x14ac:dyDescent="0.25">
      <c r="A12" s="204"/>
      <c r="B12" s="205"/>
      <c r="C12" s="199"/>
      <c r="D12" s="200"/>
      <c r="E12" s="199" t="s">
        <v>22</v>
      </c>
      <c r="F12" s="200" t="s">
        <v>26</v>
      </c>
      <c r="G12" s="199" t="s">
        <v>30</v>
      </c>
      <c r="H12" s="200" t="s">
        <v>31</v>
      </c>
      <c r="I12" s="199"/>
      <c r="J12" s="200"/>
      <c r="K12" s="201"/>
      <c r="L12" s="203" t="s">
        <v>32</v>
      </c>
      <c r="M12" s="202" t="s">
        <v>33</v>
      </c>
      <c r="N12" s="178"/>
      <c r="O12"/>
      <c r="P12"/>
      <c r="Q12"/>
      <c r="R12"/>
      <c r="S12"/>
      <c r="T12"/>
      <c r="U12"/>
      <c r="V12"/>
      <c r="W12"/>
      <c r="X12"/>
    </row>
    <row r="13" spans="1:43" ht="15" x14ac:dyDescent="0.25">
      <c r="A13" s="206"/>
      <c r="B13" s="207"/>
      <c r="C13" s="208" t="s">
        <v>15</v>
      </c>
      <c r="D13" s="209" t="s">
        <v>16</v>
      </c>
      <c r="E13" s="208"/>
      <c r="F13" s="209" t="s">
        <v>23</v>
      </c>
      <c r="G13" s="208" t="s">
        <v>34</v>
      </c>
      <c r="H13" s="209" t="s">
        <v>35</v>
      </c>
      <c r="I13" s="208" t="s">
        <v>36</v>
      </c>
      <c r="J13" s="209" t="s">
        <v>37</v>
      </c>
      <c r="K13" s="210" t="s">
        <v>38</v>
      </c>
      <c r="L13" s="211">
        <v>0.21</v>
      </c>
      <c r="M13" s="212" t="s">
        <v>39</v>
      </c>
      <c r="N13" s="213"/>
      <c r="O13"/>
      <c r="P13"/>
      <c r="Q13"/>
      <c r="R13"/>
      <c r="S13"/>
      <c r="T13"/>
      <c r="U13"/>
      <c r="V13"/>
      <c r="W13"/>
      <c r="X13"/>
    </row>
    <row r="14" spans="1:43" ht="15" x14ac:dyDescent="0.25">
      <c r="A14" s="214"/>
      <c r="B14" s="194"/>
      <c r="C14" s="194"/>
      <c r="D14" s="194"/>
      <c r="E14" s="194"/>
      <c r="F14" s="194"/>
      <c r="G14" s="194"/>
      <c r="H14" s="194"/>
      <c r="I14" s="194"/>
      <c r="J14" s="194"/>
      <c r="K14" s="215"/>
      <c r="L14" s="216"/>
      <c r="M14" s="217"/>
      <c r="N14" s="213"/>
      <c r="O14"/>
      <c r="P14"/>
      <c r="Q14"/>
      <c r="R14"/>
      <c r="S14"/>
      <c r="T14"/>
      <c r="U14"/>
      <c r="V14"/>
      <c r="W14"/>
      <c r="X14"/>
      <c r="Y14" s="218"/>
      <c r="Z14" s="218"/>
      <c r="AA14" s="218"/>
    </row>
    <row r="15" spans="1:43" ht="15" x14ac:dyDescent="0.25">
      <c r="A15" s="219">
        <v>44227</v>
      </c>
      <c r="B15" s="220"/>
      <c r="C15" s="221"/>
      <c r="D15" s="221">
        <f>B15</f>
        <v>0</v>
      </c>
      <c r="E15" s="221"/>
      <c r="F15" s="221"/>
      <c r="G15" s="221"/>
      <c r="H15" s="221"/>
      <c r="I15" s="221"/>
      <c r="J15" s="221"/>
      <c r="K15" s="221"/>
      <c r="L15" s="221"/>
      <c r="M15" s="221"/>
      <c r="N15" s="221"/>
      <c r="O15"/>
      <c r="P15"/>
      <c r="Q15"/>
      <c r="R15"/>
      <c r="S15"/>
      <c r="T15"/>
      <c r="U15"/>
      <c r="V15"/>
      <c r="W15"/>
      <c r="X15"/>
      <c r="Y15" s="218"/>
      <c r="Z15" s="218"/>
      <c r="AA15" s="218"/>
    </row>
    <row r="16" spans="1:43" ht="15" x14ac:dyDescent="0.25">
      <c r="A16" s="219">
        <v>44255</v>
      </c>
      <c r="B16" s="220"/>
      <c r="C16" s="221"/>
      <c r="D16" s="221">
        <f>D15+B16</f>
        <v>0</v>
      </c>
      <c r="E16" s="221"/>
      <c r="F16" s="221"/>
      <c r="G16" s="221"/>
      <c r="H16" s="221"/>
      <c r="I16" s="221"/>
      <c r="J16" s="221"/>
      <c r="K16" s="221"/>
      <c r="L16" s="221"/>
      <c r="M16" s="221"/>
      <c r="N16" s="221"/>
      <c r="O16"/>
      <c r="P16"/>
      <c r="Q16"/>
      <c r="R16"/>
      <c r="S16"/>
      <c r="T16"/>
      <c r="U16"/>
      <c r="V16"/>
      <c r="W16"/>
      <c r="X16"/>
      <c r="Y16" s="218"/>
      <c r="Z16" s="218"/>
      <c r="AA16" s="218"/>
    </row>
    <row r="17" spans="1:27" ht="15" x14ac:dyDescent="0.25">
      <c r="A17" s="219">
        <v>44286</v>
      </c>
      <c r="B17" s="220"/>
      <c r="C17" s="221"/>
      <c r="D17" s="221">
        <f t="shared" ref="D17:D74" si="0">D16+B17</f>
        <v>0</v>
      </c>
      <c r="E17" s="221"/>
      <c r="F17" s="221"/>
      <c r="G17" s="221"/>
      <c r="H17" s="221"/>
      <c r="I17" s="221"/>
      <c r="J17" s="221"/>
      <c r="K17" s="221"/>
      <c r="L17" s="221"/>
      <c r="M17" s="221"/>
      <c r="N17" s="221"/>
      <c r="O17"/>
      <c r="P17"/>
      <c r="Q17"/>
      <c r="R17"/>
      <c r="S17"/>
      <c r="T17"/>
      <c r="U17"/>
      <c r="V17"/>
      <c r="W17"/>
      <c r="X17"/>
      <c r="Y17" s="218"/>
      <c r="Z17" s="218"/>
      <c r="AA17" s="218"/>
    </row>
    <row r="18" spans="1:27" ht="15" x14ac:dyDescent="0.25">
      <c r="A18" s="219">
        <v>44316</v>
      </c>
      <c r="B18" s="220"/>
      <c r="C18" s="221"/>
      <c r="D18" s="221">
        <f t="shared" si="0"/>
        <v>0</v>
      </c>
      <c r="E18" s="221"/>
      <c r="F18" s="221"/>
      <c r="G18" s="221"/>
      <c r="H18" s="221"/>
      <c r="I18" s="221"/>
      <c r="J18" s="221"/>
      <c r="K18" s="221"/>
      <c r="L18" s="221"/>
      <c r="M18" s="221"/>
      <c r="N18" s="221"/>
      <c r="O18"/>
      <c r="P18"/>
      <c r="Q18"/>
      <c r="R18"/>
      <c r="S18"/>
      <c r="T18"/>
      <c r="U18"/>
      <c r="V18"/>
      <c r="W18"/>
      <c r="X18"/>
      <c r="Y18" s="218"/>
      <c r="Z18" s="218"/>
      <c r="AA18" s="218"/>
    </row>
    <row r="19" spans="1:27" ht="15" x14ac:dyDescent="0.25">
      <c r="A19" s="219">
        <v>44347</v>
      </c>
      <c r="B19" s="220"/>
      <c r="C19" s="221"/>
      <c r="D19" s="221">
        <f t="shared" si="0"/>
        <v>0</v>
      </c>
      <c r="E19" s="221"/>
      <c r="F19" s="221"/>
      <c r="G19" s="221"/>
      <c r="H19" s="221"/>
      <c r="I19" s="221"/>
      <c r="J19" s="221"/>
      <c r="K19" s="221"/>
      <c r="L19" s="221"/>
      <c r="M19" s="221"/>
      <c r="N19" s="221"/>
      <c r="O19"/>
      <c r="P19"/>
      <c r="Q19"/>
      <c r="R19"/>
      <c r="S19"/>
      <c r="T19"/>
      <c r="U19"/>
      <c r="V19"/>
      <c r="W19"/>
      <c r="X19"/>
      <c r="Y19" s="218"/>
      <c r="Z19" s="218"/>
      <c r="AA19" s="218"/>
    </row>
    <row r="20" spans="1:27" ht="15" x14ac:dyDescent="0.25">
      <c r="A20" s="219">
        <v>44377</v>
      </c>
      <c r="B20" s="220"/>
      <c r="C20" s="221"/>
      <c r="D20" s="221">
        <f t="shared" si="0"/>
        <v>0</v>
      </c>
      <c r="E20" s="221"/>
      <c r="F20" s="221"/>
      <c r="G20" s="221"/>
      <c r="H20" s="221"/>
      <c r="I20" s="221"/>
      <c r="J20" s="221"/>
      <c r="K20" s="221"/>
      <c r="L20" s="221"/>
      <c r="M20" s="221"/>
      <c r="N20" s="221"/>
      <c r="O20"/>
      <c r="P20"/>
      <c r="Q20"/>
      <c r="R20"/>
      <c r="S20"/>
      <c r="T20"/>
      <c r="U20"/>
      <c r="V20"/>
      <c r="W20"/>
      <c r="X20"/>
      <c r="Y20" s="218"/>
      <c r="Z20" s="218"/>
      <c r="AA20" s="218"/>
    </row>
    <row r="21" spans="1:27" ht="15" x14ac:dyDescent="0.25">
      <c r="A21" s="219">
        <v>44408</v>
      </c>
      <c r="B21" s="220"/>
      <c r="C21" s="221"/>
      <c r="D21" s="221">
        <f t="shared" si="0"/>
        <v>0</v>
      </c>
      <c r="E21" s="221"/>
      <c r="F21" s="222"/>
      <c r="G21" s="255"/>
      <c r="H21" s="221"/>
      <c r="I21" s="255"/>
      <c r="J21" s="221"/>
      <c r="K21" s="255"/>
      <c r="L21" s="255"/>
      <c r="M21" s="221"/>
      <c r="N21" s="221"/>
      <c r="O21"/>
      <c r="P21"/>
      <c r="Q21"/>
      <c r="R21"/>
      <c r="S21"/>
      <c r="T21"/>
      <c r="U21"/>
      <c r="V21"/>
      <c r="W21"/>
      <c r="X21"/>
      <c r="Y21" s="218"/>
      <c r="Z21" s="218"/>
      <c r="AA21" s="218"/>
    </row>
    <row r="22" spans="1:27" ht="15" x14ac:dyDescent="0.25">
      <c r="A22" s="219">
        <v>44439</v>
      </c>
      <c r="B22" s="220"/>
      <c r="C22" s="221"/>
      <c r="D22" s="221">
        <f t="shared" si="0"/>
        <v>0</v>
      </c>
      <c r="E22" s="221"/>
      <c r="F22" s="221"/>
      <c r="G22" s="255"/>
      <c r="H22" s="222"/>
      <c r="I22" s="255"/>
      <c r="J22" s="221"/>
      <c r="K22" s="255"/>
      <c r="L22" s="255"/>
      <c r="M22" s="221"/>
      <c r="N22" s="223"/>
      <c r="O22"/>
      <c r="P22"/>
      <c r="Q22"/>
      <c r="R22"/>
      <c r="S22"/>
      <c r="T22"/>
      <c r="U22"/>
      <c r="V22"/>
      <c r="W22"/>
      <c r="X22"/>
      <c r="Y22" s="218"/>
      <c r="Z22" s="218"/>
      <c r="AA22" s="218"/>
    </row>
    <row r="23" spans="1:27" ht="15" x14ac:dyDescent="0.25">
      <c r="A23" s="219">
        <v>44469</v>
      </c>
      <c r="B23" s="220"/>
      <c r="C23" s="221"/>
      <c r="D23" s="221">
        <f t="shared" si="0"/>
        <v>0</v>
      </c>
      <c r="E23" s="221"/>
      <c r="F23" s="221"/>
      <c r="G23" s="221"/>
      <c r="H23" s="221"/>
      <c r="I23" s="221"/>
      <c r="J23" s="221"/>
      <c r="K23" s="221"/>
      <c r="L23" s="221"/>
      <c r="M23" s="221"/>
      <c r="N23" s="223"/>
      <c r="O23"/>
      <c r="P23"/>
      <c r="Q23"/>
      <c r="R23"/>
      <c r="S23"/>
      <c r="T23"/>
      <c r="U23"/>
      <c r="V23"/>
      <c r="W23"/>
      <c r="X23"/>
      <c r="Y23" s="218"/>
      <c r="Z23" s="218"/>
      <c r="AA23" s="218"/>
    </row>
    <row r="24" spans="1:27" ht="15" x14ac:dyDescent="0.25">
      <c r="A24" s="219">
        <v>44500</v>
      </c>
      <c r="B24" s="220"/>
      <c r="C24" s="221"/>
      <c r="D24" s="221">
        <f t="shared" si="0"/>
        <v>0</v>
      </c>
      <c r="E24" s="221"/>
      <c r="F24" s="221"/>
      <c r="G24" s="221"/>
      <c r="H24" s="221"/>
      <c r="I24" s="221"/>
      <c r="J24" s="221"/>
      <c r="K24" s="221"/>
      <c r="L24" s="221"/>
      <c r="M24" s="221"/>
      <c r="N24" s="223"/>
      <c r="O24"/>
      <c r="P24"/>
      <c r="Q24"/>
      <c r="R24"/>
      <c r="S24"/>
      <c r="T24"/>
      <c r="U24"/>
      <c r="V24"/>
      <c r="W24"/>
      <c r="X24"/>
      <c r="Y24" s="218"/>
      <c r="Z24" s="218"/>
      <c r="AA24" s="218"/>
    </row>
    <row r="25" spans="1:27" ht="15" x14ac:dyDescent="0.25">
      <c r="A25" s="219">
        <v>44530</v>
      </c>
      <c r="B25" s="220"/>
      <c r="C25" s="221"/>
      <c r="D25" s="221">
        <f t="shared" si="0"/>
        <v>0</v>
      </c>
      <c r="E25" s="221"/>
      <c r="F25" s="221"/>
      <c r="G25" s="221"/>
      <c r="H25" s="221"/>
      <c r="I25" s="221"/>
      <c r="J25" s="221"/>
      <c r="K25" s="221"/>
      <c r="L25" s="221"/>
      <c r="M25" s="221"/>
      <c r="N25" s="223"/>
      <c r="O25"/>
      <c r="P25"/>
      <c r="Q25"/>
      <c r="R25"/>
      <c r="S25"/>
      <c r="T25"/>
      <c r="U25"/>
      <c r="V25"/>
      <c r="W25"/>
      <c r="X25"/>
      <c r="Y25" s="218"/>
      <c r="Z25" s="218"/>
      <c r="AA25" s="218"/>
    </row>
    <row r="26" spans="1:27" ht="15" x14ac:dyDescent="0.25">
      <c r="A26" s="219">
        <v>44561</v>
      </c>
      <c r="B26" s="220"/>
      <c r="C26" s="255"/>
      <c r="D26" s="225">
        <f t="shared" si="0"/>
        <v>0</v>
      </c>
      <c r="E26" s="221"/>
      <c r="F26" s="255"/>
      <c r="G26" s="222"/>
      <c r="H26" s="255"/>
      <c r="I26" s="222"/>
      <c r="J26" s="255"/>
      <c r="K26" s="222"/>
      <c r="L26" s="221"/>
      <c r="M26" s="221"/>
      <c r="N26" s="226"/>
      <c r="O26"/>
      <c r="P26"/>
      <c r="Q26"/>
      <c r="R26"/>
      <c r="S26"/>
      <c r="T26"/>
      <c r="U26"/>
      <c r="V26"/>
      <c r="W26"/>
      <c r="X26"/>
      <c r="Y26" s="218"/>
      <c r="Z26" s="218"/>
      <c r="AA26" s="218"/>
    </row>
    <row r="27" spans="1:27" ht="15" x14ac:dyDescent="0.25">
      <c r="A27" s="227">
        <v>44592</v>
      </c>
      <c r="B27" s="228"/>
      <c r="C27" s="229">
        <f t="shared" ref="C27:C74" si="1">D27</f>
        <v>0</v>
      </c>
      <c r="D27" s="221">
        <f t="shared" si="0"/>
        <v>0</v>
      </c>
      <c r="E27" s="229">
        <f>(($C$26*$D$6/12)+(($C$38-$C$26)*$C$6/12))</f>
        <v>0</v>
      </c>
      <c r="F27" s="230">
        <f>+(D26*$F$9/12)+(((D27-D26)*$F$9/12)*0.5)</f>
        <v>0</v>
      </c>
      <c r="G27" s="229">
        <f t="shared" ref="G27:H42" si="2">-E27+G26</f>
        <v>0</v>
      </c>
      <c r="H27" s="230">
        <f t="shared" si="2"/>
        <v>0</v>
      </c>
      <c r="I27" s="229">
        <f t="shared" ref="I27:J42" si="3">C27+G27</f>
        <v>0</v>
      </c>
      <c r="J27" s="230">
        <f t="shared" si="3"/>
        <v>0</v>
      </c>
      <c r="K27" s="229">
        <f t="shared" ref="K27:K69" si="4">J27-I27</f>
        <v>0</v>
      </c>
      <c r="L27" s="229">
        <f t="shared" ref="L27:L74" si="5">-K27*$L$11</f>
        <v>0</v>
      </c>
      <c r="M27" s="229">
        <f t="shared" ref="M27:M74" si="6">-L27+L26</f>
        <v>0</v>
      </c>
      <c r="N27" s="223"/>
      <c r="O27"/>
      <c r="P27"/>
      <c r="Q27"/>
      <c r="R27"/>
      <c r="S27"/>
      <c r="T27"/>
      <c r="U27"/>
      <c r="V27"/>
      <c r="W27"/>
      <c r="X27"/>
      <c r="Y27" s="218"/>
      <c r="Z27" s="218"/>
      <c r="AA27" s="218"/>
    </row>
    <row r="28" spans="1:27" ht="15" x14ac:dyDescent="0.25">
      <c r="A28" s="219">
        <v>44620</v>
      </c>
      <c r="B28" s="224"/>
      <c r="C28" s="221">
        <f t="shared" si="1"/>
        <v>0</v>
      </c>
      <c r="D28" s="221">
        <f t="shared" si="0"/>
        <v>0</v>
      </c>
      <c r="E28" s="221">
        <f t="shared" ref="E28:E38" si="7">(($C$26*$D$6/12)+(($C$38-$C$26)*$C$6/12))</f>
        <v>0</v>
      </c>
      <c r="F28" s="222">
        <f>+(D27*$F$9/12)+(((D28-D27)*$F$9/12)*0.5)</f>
        <v>0</v>
      </c>
      <c r="G28" s="221">
        <f t="shared" si="2"/>
        <v>0</v>
      </c>
      <c r="H28" s="222">
        <f t="shared" si="2"/>
        <v>0</v>
      </c>
      <c r="I28" s="221">
        <f t="shared" si="3"/>
        <v>0</v>
      </c>
      <c r="J28" s="221">
        <f t="shared" si="3"/>
        <v>0</v>
      </c>
      <c r="K28" s="221">
        <f t="shared" si="4"/>
        <v>0</v>
      </c>
      <c r="L28" s="221">
        <f t="shared" si="5"/>
        <v>0</v>
      </c>
      <c r="M28" s="221">
        <f t="shared" si="6"/>
        <v>0</v>
      </c>
      <c r="N28" s="223"/>
      <c r="O28"/>
      <c r="P28"/>
      <c r="Q28"/>
      <c r="R28"/>
      <c r="S28"/>
      <c r="T28"/>
      <c r="U28"/>
      <c r="V28"/>
      <c r="W28"/>
      <c r="X28"/>
      <c r="Y28" s="218"/>
      <c r="Z28" s="218"/>
      <c r="AA28" s="218"/>
    </row>
    <row r="29" spans="1:27" ht="15" x14ac:dyDescent="0.25">
      <c r="A29" s="219">
        <v>44651</v>
      </c>
      <c r="B29" s="224"/>
      <c r="C29" s="221">
        <f t="shared" si="1"/>
        <v>0</v>
      </c>
      <c r="D29" s="221">
        <f t="shared" si="0"/>
        <v>0</v>
      </c>
      <c r="E29" s="221">
        <f t="shared" si="7"/>
        <v>0</v>
      </c>
      <c r="F29" s="222">
        <f>+(D28*$F$9/12)+(((D29-D28)*$F$9/12)*0.5)</f>
        <v>0</v>
      </c>
      <c r="G29" s="221">
        <f t="shared" si="2"/>
        <v>0</v>
      </c>
      <c r="H29" s="222">
        <f t="shared" si="2"/>
        <v>0</v>
      </c>
      <c r="I29" s="221">
        <f t="shared" si="3"/>
        <v>0</v>
      </c>
      <c r="J29" s="221">
        <f t="shared" si="3"/>
        <v>0</v>
      </c>
      <c r="K29" s="221">
        <f t="shared" si="4"/>
        <v>0</v>
      </c>
      <c r="L29" s="221">
        <f t="shared" si="5"/>
        <v>0</v>
      </c>
      <c r="M29" s="221">
        <f t="shared" si="6"/>
        <v>0</v>
      </c>
      <c r="N29" s="223"/>
      <c r="O29"/>
      <c r="P29"/>
      <c r="Q29"/>
      <c r="R29"/>
      <c r="S29"/>
      <c r="T29"/>
      <c r="U29"/>
      <c r="V29"/>
      <c r="W29"/>
      <c r="X29"/>
      <c r="Y29" s="218"/>
      <c r="Z29" s="218"/>
      <c r="AA29" s="218"/>
    </row>
    <row r="30" spans="1:27" ht="15" x14ac:dyDescent="0.25">
      <c r="A30" s="219">
        <v>44681</v>
      </c>
      <c r="B30" s="224"/>
      <c r="C30" s="221">
        <f t="shared" si="1"/>
        <v>0</v>
      </c>
      <c r="D30" s="221">
        <f t="shared" si="0"/>
        <v>0</v>
      </c>
      <c r="E30" s="221">
        <f t="shared" si="7"/>
        <v>0</v>
      </c>
      <c r="F30" s="222">
        <f t="shared" ref="F30:F38" si="8">+(D29*$F$9/12)+(((D30-D29)*$F$9/12)*0.5)</f>
        <v>0</v>
      </c>
      <c r="G30" s="221">
        <f t="shared" si="2"/>
        <v>0</v>
      </c>
      <c r="H30" s="222">
        <f t="shared" si="2"/>
        <v>0</v>
      </c>
      <c r="I30" s="221">
        <f t="shared" si="3"/>
        <v>0</v>
      </c>
      <c r="J30" s="221">
        <f t="shared" si="3"/>
        <v>0</v>
      </c>
      <c r="K30" s="221">
        <f t="shared" si="4"/>
        <v>0</v>
      </c>
      <c r="L30" s="221">
        <f t="shared" si="5"/>
        <v>0</v>
      </c>
      <c r="M30" s="221">
        <f t="shared" si="6"/>
        <v>0</v>
      </c>
      <c r="N30" s="223"/>
      <c r="O30"/>
      <c r="P30"/>
      <c r="Q30"/>
      <c r="R30"/>
      <c r="S30"/>
      <c r="T30"/>
      <c r="U30"/>
      <c r="V30"/>
      <c r="W30"/>
      <c r="X30"/>
      <c r="Y30" s="218"/>
      <c r="Z30" s="218"/>
      <c r="AA30" s="218"/>
    </row>
    <row r="31" spans="1:27" ht="15" x14ac:dyDescent="0.25">
      <c r="A31" s="219">
        <v>44712</v>
      </c>
      <c r="B31" s="224"/>
      <c r="C31" s="221">
        <f t="shared" si="1"/>
        <v>0</v>
      </c>
      <c r="D31" s="221">
        <f t="shared" si="0"/>
        <v>0</v>
      </c>
      <c r="E31" s="221">
        <f t="shared" si="7"/>
        <v>0</v>
      </c>
      <c r="F31" s="222">
        <f t="shared" si="8"/>
        <v>0</v>
      </c>
      <c r="G31" s="221">
        <f t="shared" si="2"/>
        <v>0</v>
      </c>
      <c r="H31" s="222">
        <f t="shared" si="2"/>
        <v>0</v>
      </c>
      <c r="I31" s="221">
        <f t="shared" si="3"/>
        <v>0</v>
      </c>
      <c r="J31" s="221">
        <f t="shared" si="3"/>
        <v>0</v>
      </c>
      <c r="K31" s="221">
        <f t="shared" si="4"/>
        <v>0</v>
      </c>
      <c r="L31" s="221">
        <f t="shared" si="5"/>
        <v>0</v>
      </c>
      <c r="M31" s="221">
        <f t="shared" si="6"/>
        <v>0</v>
      </c>
      <c r="N31" s="223"/>
      <c r="O31"/>
      <c r="P31"/>
      <c r="Q31"/>
      <c r="R31"/>
      <c r="S31"/>
      <c r="T31"/>
      <c r="U31"/>
      <c r="V31"/>
      <c r="W31"/>
      <c r="X31"/>
      <c r="Y31" s="218"/>
      <c r="Z31" s="218"/>
      <c r="AA31" s="218"/>
    </row>
    <row r="32" spans="1:27" ht="15" x14ac:dyDescent="0.25">
      <c r="A32" s="219">
        <v>44742</v>
      </c>
      <c r="B32" s="224"/>
      <c r="C32" s="221">
        <f t="shared" si="1"/>
        <v>0</v>
      </c>
      <c r="D32" s="221">
        <f t="shared" si="0"/>
        <v>0</v>
      </c>
      <c r="E32" s="221">
        <f t="shared" si="7"/>
        <v>0</v>
      </c>
      <c r="F32" s="222">
        <f t="shared" si="8"/>
        <v>0</v>
      </c>
      <c r="G32" s="221">
        <f t="shared" si="2"/>
        <v>0</v>
      </c>
      <c r="H32" s="222">
        <f t="shared" si="2"/>
        <v>0</v>
      </c>
      <c r="I32" s="221">
        <f t="shared" si="3"/>
        <v>0</v>
      </c>
      <c r="J32" s="221">
        <f t="shared" si="3"/>
        <v>0</v>
      </c>
      <c r="K32" s="221">
        <f t="shared" si="4"/>
        <v>0</v>
      </c>
      <c r="L32" s="221">
        <f t="shared" si="5"/>
        <v>0</v>
      </c>
      <c r="M32" s="221">
        <f t="shared" si="6"/>
        <v>0</v>
      </c>
      <c r="N32" s="223"/>
      <c r="O32"/>
      <c r="P32"/>
      <c r="Q32"/>
      <c r="R32"/>
      <c r="S32"/>
      <c r="T32"/>
      <c r="U32"/>
      <c r="V32"/>
      <c r="W32"/>
      <c r="X32"/>
      <c r="Y32" s="218"/>
      <c r="Z32" s="218"/>
      <c r="AA32" s="218"/>
    </row>
    <row r="33" spans="1:35" ht="15" x14ac:dyDescent="0.25">
      <c r="A33" s="219">
        <v>44773</v>
      </c>
      <c r="B33" s="224"/>
      <c r="C33" s="221">
        <f t="shared" si="1"/>
        <v>0</v>
      </c>
      <c r="D33" s="221">
        <f t="shared" si="0"/>
        <v>0</v>
      </c>
      <c r="E33" s="221">
        <f t="shared" si="7"/>
        <v>0</v>
      </c>
      <c r="F33" s="222">
        <f t="shared" si="8"/>
        <v>0</v>
      </c>
      <c r="G33" s="221">
        <f t="shared" si="2"/>
        <v>0</v>
      </c>
      <c r="H33" s="222">
        <f t="shared" si="2"/>
        <v>0</v>
      </c>
      <c r="I33" s="221">
        <f t="shared" si="3"/>
        <v>0</v>
      </c>
      <c r="J33" s="221">
        <f t="shared" si="3"/>
        <v>0</v>
      </c>
      <c r="K33" s="221">
        <f t="shared" si="4"/>
        <v>0</v>
      </c>
      <c r="L33" s="221">
        <f t="shared" si="5"/>
        <v>0</v>
      </c>
      <c r="M33" s="221">
        <f t="shared" si="6"/>
        <v>0</v>
      </c>
      <c r="N33" s="223"/>
      <c r="O33"/>
      <c r="P33"/>
      <c r="Q33"/>
      <c r="R33"/>
      <c r="S33"/>
      <c r="T33"/>
      <c r="U33"/>
      <c r="V33"/>
      <c r="W33"/>
      <c r="X33"/>
      <c r="Y33" s="218"/>
      <c r="Z33" s="218"/>
      <c r="AA33" s="218"/>
    </row>
    <row r="34" spans="1:35" ht="15" x14ac:dyDescent="0.25">
      <c r="A34" s="219">
        <v>44804</v>
      </c>
      <c r="B34" s="224"/>
      <c r="C34" s="221">
        <f t="shared" si="1"/>
        <v>0</v>
      </c>
      <c r="D34" s="221">
        <f t="shared" si="0"/>
        <v>0</v>
      </c>
      <c r="E34" s="221">
        <f t="shared" si="7"/>
        <v>0</v>
      </c>
      <c r="F34" s="222">
        <f t="shared" si="8"/>
        <v>0</v>
      </c>
      <c r="G34" s="221">
        <f t="shared" si="2"/>
        <v>0</v>
      </c>
      <c r="H34" s="222">
        <f t="shared" si="2"/>
        <v>0</v>
      </c>
      <c r="I34" s="221">
        <f t="shared" si="3"/>
        <v>0</v>
      </c>
      <c r="J34" s="221">
        <f t="shared" si="3"/>
        <v>0</v>
      </c>
      <c r="K34" s="221">
        <f t="shared" si="4"/>
        <v>0</v>
      </c>
      <c r="L34" s="221">
        <f t="shared" si="5"/>
        <v>0</v>
      </c>
      <c r="M34" s="221">
        <f t="shared" si="6"/>
        <v>0</v>
      </c>
      <c r="N34" s="223"/>
      <c r="O34"/>
      <c r="P34"/>
      <c r="Q34"/>
      <c r="R34"/>
      <c r="S34"/>
      <c r="T34"/>
      <c r="U34"/>
      <c r="V34"/>
      <c r="W34"/>
      <c r="X34"/>
      <c r="Y34" s="218"/>
      <c r="Z34" s="218"/>
      <c r="AA34" s="218"/>
    </row>
    <row r="35" spans="1:35" ht="15" x14ac:dyDescent="0.25">
      <c r="A35" s="219">
        <v>44834</v>
      </c>
      <c r="B35" s="224"/>
      <c r="C35" s="221">
        <f t="shared" si="1"/>
        <v>0</v>
      </c>
      <c r="D35" s="221">
        <f t="shared" si="0"/>
        <v>0</v>
      </c>
      <c r="E35" s="221">
        <f t="shared" si="7"/>
        <v>0</v>
      </c>
      <c r="F35" s="222">
        <f t="shared" si="8"/>
        <v>0</v>
      </c>
      <c r="G35" s="221">
        <f t="shared" si="2"/>
        <v>0</v>
      </c>
      <c r="H35" s="222">
        <f t="shared" si="2"/>
        <v>0</v>
      </c>
      <c r="I35" s="221">
        <f t="shared" si="3"/>
        <v>0</v>
      </c>
      <c r="J35" s="221">
        <f t="shared" si="3"/>
        <v>0</v>
      </c>
      <c r="K35" s="221">
        <f t="shared" si="4"/>
        <v>0</v>
      </c>
      <c r="L35" s="221">
        <f t="shared" si="5"/>
        <v>0</v>
      </c>
      <c r="M35" s="221">
        <f t="shared" si="6"/>
        <v>0</v>
      </c>
      <c r="N35" s="223"/>
      <c r="O35"/>
      <c r="P35"/>
      <c r="Q35"/>
      <c r="R35"/>
      <c r="S35"/>
      <c r="T35"/>
      <c r="U35"/>
      <c r="V35"/>
      <c r="W35"/>
      <c r="X35"/>
      <c r="Y35" s="218"/>
      <c r="Z35" s="218"/>
      <c r="AA35" s="218"/>
    </row>
    <row r="36" spans="1:35" ht="15" x14ac:dyDescent="0.25">
      <c r="A36" s="219">
        <v>44865</v>
      </c>
      <c r="B36" s="224"/>
      <c r="C36" s="221">
        <f t="shared" si="1"/>
        <v>0</v>
      </c>
      <c r="D36" s="221">
        <f t="shared" si="0"/>
        <v>0</v>
      </c>
      <c r="E36" s="221">
        <f t="shared" si="7"/>
        <v>0</v>
      </c>
      <c r="F36" s="222">
        <f t="shared" si="8"/>
        <v>0</v>
      </c>
      <c r="G36" s="221">
        <f t="shared" si="2"/>
        <v>0</v>
      </c>
      <c r="H36" s="222">
        <f t="shared" si="2"/>
        <v>0</v>
      </c>
      <c r="I36" s="221">
        <f t="shared" si="3"/>
        <v>0</v>
      </c>
      <c r="J36" s="221">
        <f t="shared" si="3"/>
        <v>0</v>
      </c>
      <c r="K36" s="221">
        <f t="shared" si="4"/>
        <v>0</v>
      </c>
      <c r="L36" s="221">
        <f t="shared" si="5"/>
        <v>0</v>
      </c>
      <c r="M36" s="221">
        <f t="shared" si="6"/>
        <v>0</v>
      </c>
      <c r="N36" s="223"/>
      <c r="O36"/>
      <c r="P36"/>
      <c r="Q36"/>
      <c r="R36"/>
      <c r="S36"/>
      <c r="T36"/>
      <c r="U36"/>
      <c r="V36"/>
      <c r="W36"/>
      <c r="X36"/>
      <c r="Y36" s="218"/>
      <c r="Z36" s="218"/>
      <c r="AA36" s="218"/>
    </row>
    <row r="37" spans="1:35" ht="15" x14ac:dyDescent="0.25">
      <c r="A37" s="219">
        <v>44895</v>
      </c>
      <c r="B37" s="224"/>
      <c r="C37" s="221">
        <f t="shared" si="1"/>
        <v>0</v>
      </c>
      <c r="D37" s="221">
        <f t="shared" si="0"/>
        <v>0</v>
      </c>
      <c r="E37" s="221">
        <f t="shared" si="7"/>
        <v>0</v>
      </c>
      <c r="F37" s="222">
        <f t="shared" si="8"/>
        <v>0</v>
      </c>
      <c r="G37" s="221">
        <f t="shared" si="2"/>
        <v>0</v>
      </c>
      <c r="H37" s="222">
        <f t="shared" si="2"/>
        <v>0</v>
      </c>
      <c r="I37" s="221">
        <f t="shared" si="3"/>
        <v>0</v>
      </c>
      <c r="J37" s="221">
        <f t="shared" si="3"/>
        <v>0</v>
      </c>
      <c r="K37" s="221">
        <f t="shared" si="4"/>
        <v>0</v>
      </c>
      <c r="L37" s="221">
        <f t="shared" si="5"/>
        <v>0</v>
      </c>
      <c r="M37" s="221">
        <f t="shared" si="6"/>
        <v>0</v>
      </c>
      <c r="N37" s="223"/>
      <c r="O37"/>
      <c r="P37"/>
      <c r="Q37"/>
      <c r="R37"/>
      <c r="S37"/>
      <c r="T37"/>
      <c r="U37"/>
      <c r="V37"/>
      <c r="W37"/>
      <c r="X37"/>
      <c r="Y37" s="218"/>
      <c r="Z37" s="218"/>
      <c r="AA37" s="218"/>
    </row>
    <row r="38" spans="1:35" ht="15" x14ac:dyDescent="0.25">
      <c r="A38" s="219">
        <v>44926</v>
      </c>
      <c r="B38" s="224"/>
      <c r="C38" s="221">
        <f t="shared" si="1"/>
        <v>0</v>
      </c>
      <c r="D38" s="225">
        <f t="shared" si="0"/>
        <v>0</v>
      </c>
      <c r="E38" s="221">
        <f t="shared" si="7"/>
        <v>0</v>
      </c>
      <c r="F38" s="222">
        <f t="shared" si="8"/>
        <v>0</v>
      </c>
      <c r="G38" s="221">
        <f t="shared" si="2"/>
        <v>0</v>
      </c>
      <c r="H38" s="222">
        <f t="shared" si="2"/>
        <v>0</v>
      </c>
      <c r="I38" s="221">
        <f t="shared" si="3"/>
        <v>0</v>
      </c>
      <c r="J38" s="221">
        <f t="shared" si="3"/>
        <v>0</v>
      </c>
      <c r="K38" s="221">
        <f t="shared" si="4"/>
        <v>0</v>
      </c>
      <c r="L38" s="221">
        <f t="shared" si="5"/>
        <v>0</v>
      </c>
      <c r="M38" s="221">
        <f t="shared" si="6"/>
        <v>0</v>
      </c>
      <c r="N38" s="226"/>
      <c r="O38"/>
      <c r="P38"/>
      <c r="Q38"/>
      <c r="R38"/>
      <c r="S38"/>
      <c r="T38"/>
      <c r="U38"/>
      <c r="V38"/>
      <c r="W38"/>
      <c r="X38"/>
      <c r="Y38" s="218"/>
      <c r="Z38" s="218"/>
      <c r="AA38" s="218"/>
    </row>
    <row r="39" spans="1:35" ht="15" x14ac:dyDescent="0.25">
      <c r="A39" s="227">
        <v>44957</v>
      </c>
      <c r="B39" s="228">
        <f t="array" ref="B39:B74">TRANSPOSE('TEP By Depr Grp'!B6:AK6)</f>
        <v>0</v>
      </c>
      <c r="C39" s="229">
        <f t="shared" si="1"/>
        <v>0</v>
      </c>
      <c r="D39" s="221">
        <f t="shared" si="0"/>
        <v>0</v>
      </c>
      <c r="E39" s="229">
        <f>(($C$26*$E$6/12)+(($C$38-$C$26)*$D$6/12)+(($C$50-$C$38)*$C$6/12))</f>
        <v>0</v>
      </c>
      <c r="F39" s="230">
        <f>+(D38*$F$10/12)+(((D39-D38)*$F$10/12)*0.5)</f>
        <v>0</v>
      </c>
      <c r="G39" s="229">
        <f t="shared" si="2"/>
        <v>0</v>
      </c>
      <c r="H39" s="230">
        <f t="shared" si="2"/>
        <v>0</v>
      </c>
      <c r="I39" s="229">
        <f t="shared" si="3"/>
        <v>0</v>
      </c>
      <c r="J39" s="229">
        <f t="shared" si="3"/>
        <v>0</v>
      </c>
      <c r="K39" s="229">
        <f t="shared" si="4"/>
        <v>0</v>
      </c>
      <c r="L39" s="229">
        <f t="shared" si="5"/>
        <v>0</v>
      </c>
      <c r="M39" s="229">
        <f t="shared" si="6"/>
        <v>0</v>
      </c>
      <c r="N39" s="223"/>
      <c r="O39"/>
      <c r="P39"/>
      <c r="Q39"/>
      <c r="R39"/>
      <c r="S39"/>
      <c r="T39"/>
      <c r="U39"/>
      <c r="V39"/>
      <c r="W39"/>
      <c r="X39"/>
      <c r="Y39" s="218"/>
      <c r="Z39" s="218"/>
      <c r="AA39" s="218"/>
    </row>
    <row r="40" spans="1:35" ht="15" x14ac:dyDescent="0.25">
      <c r="A40" s="219">
        <v>44985</v>
      </c>
      <c r="B40" s="224">
        <v>0</v>
      </c>
      <c r="C40" s="221">
        <f t="shared" si="1"/>
        <v>0</v>
      </c>
      <c r="D40" s="221">
        <f t="shared" si="0"/>
        <v>0</v>
      </c>
      <c r="E40" s="221">
        <f t="shared" ref="E40:E50" si="9">(($C$26*$E$6/12)+(($C$38-$C$26)*$D$6/12)+(($C$50-$C$38)*$C$6/12))</f>
        <v>0</v>
      </c>
      <c r="F40" s="222">
        <f>+(D39*$F$10/12)+(((D40-D39)*$F$10/12)*0.5)</f>
        <v>0</v>
      </c>
      <c r="G40" s="221">
        <f t="shared" si="2"/>
        <v>0</v>
      </c>
      <c r="H40" s="222">
        <f t="shared" si="2"/>
        <v>0</v>
      </c>
      <c r="I40" s="221">
        <f t="shared" si="3"/>
        <v>0</v>
      </c>
      <c r="J40" s="221">
        <f t="shared" si="3"/>
        <v>0</v>
      </c>
      <c r="K40" s="221">
        <f t="shared" si="4"/>
        <v>0</v>
      </c>
      <c r="L40" s="221">
        <f t="shared" si="5"/>
        <v>0</v>
      </c>
      <c r="M40" s="221">
        <f t="shared" si="6"/>
        <v>0</v>
      </c>
      <c r="N40" s="223"/>
      <c r="O40"/>
      <c r="P40"/>
      <c r="Q40"/>
      <c r="R40"/>
      <c r="S40"/>
      <c r="T40"/>
      <c r="U40"/>
      <c r="V40"/>
      <c r="W40"/>
      <c r="X40"/>
      <c r="Y40" s="218"/>
      <c r="Z40" s="218"/>
      <c r="AA40" s="218"/>
      <c r="AB40" s="232"/>
      <c r="AC40" s="232"/>
      <c r="AD40" s="232"/>
      <c r="AE40" s="232"/>
      <c r="AF40" s="232"/>
      <c r="AG40" s="232"/>
      <c r="AH40" s="232"/>
      <c r="AI40" s="232"/>
    </row>
    <row r="41" spans="1:35" ht="15" x14ac:dyDescent="0.25">
      <c r="A41" s="219">
        <v>45016</v>
      </c>
      <c r="B41" s="224">
        <v>0</v>
      </c>
      <c r="C41" s="221">
        <f t="shared" si="1"/>
        <v>0</v>
      </c>
      <c r="D41" s="221">
        <f t="shared" si="0"/>
        <v>0</v>
      </c>
      <c r="E41" s="221">
        <f t="shared" si="9"/>
        <v>0</v>
      </c>
      <c r="F41" s="222">
        <f t="shared" ref="F41:F74" si="10">+(D40*$F$10/12)+(((D41-D40)*$F$10/12)*0.5)</f>
        <v>0</v>
      </c>
      <c r="G41" s="221">
        <f t="shared" si="2"/>
        <v>0</v>
      </c>
      <c r="H41" s="222">
        <f t="shared" si="2"/>
        <v>0</v>
      </c>
      <c r="I41" s="221">
        <f t="shared" si="3"/>
        <v>0</v>
      </c>
      <c r="J41" s="221">
        <f t="shared" si="3"/>
        <v>0</v>
      </c>
      <c r="K41" s="221">
        <f t="shared" si="4"/>
        <v>0</v>
      </c>
      <c r="L41" s="221">
        <f t="shared" si="5"/>
        <v>0</v>
      </c>
      <c r="M41" s="221">
        <f t="shared" si="6"/>
        <v>0</v>
      </c>
      <c r="N41" s="223"/>
      <c r="O41"/>
      <c r="P41"/>
      <c r="Q41"/>
      <c r="R41"/>
      <c r="S41"/>
      <c r="T41"/>
      <c r="U41"/>
      <c r="V41"/>
      <c r="W41"/>
      <c r="X41"/>
      <c r="Y41" s="218"/>
      <c r="Z41" s="218"/>
      <c r="AA41" s="218"/>
      <c r="AB41" s="232"/>
      <c r="AC41" s="232"/>
      <c r="AD41" s="232"/>
      <c r="AE41" s="232"/>
      <c r="AF41" s="232"/>
      <c r="AG41" s="232"/>
      <c r="AH41" s="232"/>
      <c r="AI41" s="232"/>
    </row>
    <row r="42" spans="1:35" ht="15" x14ac:dyDescent="0.25">
      <c r="A42" s="219">
        <v>45046</v>
      </c>
      <c r="B42" s="224">
        <v>0</v>
      </c>
      <c r="C42" s="221">
        <f t="shared" si="1"/>
        <v>0</v>
      </c>
      <c r="D42" s="221">
        <f t="shared" si="0"/>
        <v>0</v>
      </c>
      <c r="E42" s="221">
        <f t="shared" si="9"/>
        <v>0</v>
      </c>
      <c r="F42" s="222">
        <f t="shared" si="10"/>
        <v>0</v>
      </c>
      <c r="G42" s="221">
        <f t="shared" si="2"/>
        <v>0</v>
      </c>
      <c r="H42" s="222">
        <f t="shared" si="2"/>
        <v>0</v>
      </c>
      <c r="I42" s="221">
        <f t="shared" si="3"/>
        <v>0</v>
      </c>
      <c r="J42" s="221">
        <f t="shared" si="3"/>
        <v>0</v>
      </c>
      <c r="K42" s="221">
        <f t="shared" si="4"/>
        <v>0</v>
      </c>
      <c r="L42" s="221">
        <f t="shared" si="5"/>
        <v>0</v>
      </c>
      <c r="M42" s="221">
        <f t="shared" si="6"/>
        <v>0</v>
      </c>
      <c r="N42" s="223"/>
      <c r="O42"/>
      <c r="P42"/>
      <c r="Q42"/>
      <c r="R42"/>
      <c r="S42"/>
      <c r="T42"/>
      <c r="U42"/>
      <c r="V42"/>
      <c r="W42"/>
      <c r="X42"/>
      <c r="Y42" s="218"/>
      <c r="Z42" s="218"/>
      <c r="AA42" s="218"/>
      <c r="AB42" s="232"/>
      <c r="AC42" s="232"/>
      <c r="AD42" s="232"/>
      <c r="AE42" s="232"/>
      <c r="AF42" s="232"/>
      <c r="AG42" s="232"/>
      <c r="AH42" s="232"/>
      <c r="AI42" s="232"/>
    </row>
    <row r="43" spans="1:35" ht="15" x14ac:dyDescent="0.25">
      <c r="A43" s="219">
        <v>45077</v>
      </c>
      <c r="B43" s="224">
        <v>0</v>
      </c>
      <c r="C43" s="221">
        <f t="shared" si="1"/>
        <v>0</v>
      </c>
      <c r="D43" s="221">
        <f t="shared" si="0"/>
        <v>0</v>
      </c>
      <c r="E43" s="221">
        <f t="shared" si="9"/>
        <v>0</v>
      </c>
      <c r="F43" s="222">
        <f t="shared" si="10"/>
        <v>0</v>
      </c>
      <c r="G43" s="221">
        <f t="shared" ref="G43:H58" si="11">-E43+G42</f>
        <v>0</v>
      </c>
      <c r="H43" s="222">
        <f t="shared" si="11"/>
        <v>0</v>
      </c>
      <c r="I43" s="221">
        <f t="shared" ref="I43:J58" si="12">C43+G43</f>
        <v>0</v>
      </c>
      <c r="J43" s="221">
        <f t="shared" si="12"/>
        <v>0</v>
      </c>
      <c r="K43" s="221">
        <f t="shared" si="4"/>
        <v>0</v>
      </c>
      <c r="L43" s="221">
        <f t="shared" si="5"/>
        <v>0</v>
      </c>
      <c r="M43" s="221">
        <f t="shared" si="6"/>
        <v>0</v>
      </c>
      <c r="N43" s="223"/>
      <c r="O43" s="233"/>
      <c r="P43" s="233"/>
      <c r="Q43" s="234"/>
      <c r="R43" s="234"/>
      <c r="S43"/>
      <c r="T43"/>
      <c r="U43"/>
      <c r="V43"/>
      <c r="W43"/>
      <c r="X43"/>
      <c r="Y43" s="218"/>
      <c r="Z43" s="218"/>
      <c r="AA43" s="218"/>
      <c r="AB43" s="232"/>
      <c r="AC43" s="232"/>
      <c r="AD43" s="232"/>
      <c r="AE43" s="232"/>
      <c r="AF43" s="232"/>
      <c r="AG43" s="232"/>
      <c r="AH43" s="232"/>
      <c r="AI43" s="232"/>
    </row>
    <row r="44" spans="1:35" ht="15" x14ac:dyDescent="0.25">
      <c r="A44" s="219">
        <v>45107</v>
      </c>
      <c r="B44" s="224">
        <v>0</v>
      </c>
      <c r="C44" s="221">
        <f t="shared" si="1"/>
        <v>0</v>
      </c>
      <c r="D44" s="221">
        <f t="shared" si="0"/>
        <v>0</v>
      </c>
      <c r="E44" s="221">
        <f t="shared" si="9"/>
        <v>0</v>
      </c>
      <c r="F44" s="222">
        <f t="shared" si="10"/>
        <v>0</v>
      </c>
      <c r="G44" s="221">
        <f t="shared" si="11"/>
        <v>0</v>
      </c>
      <c r="H44" s="222">
        <f t="shared" si="11"/>
        <v>0</v>
      </c>
      <c r="I44" s="221">
        <f t="shared" si="12"/>
        <v>0</v>
      </c>
      <c r="J44" s="221">
        <f t="shared" si="12"/>
        <v>0</v>
      </c>
      <c r="K44" s="221">
        <f t="shared" si="4"/>
        <v>0</v>
      </c>
      <c r="L44" s="221">
        <f t="shared" si="5"/>
        <v>0</v>
      </c>
      <c r="M44" s="221">
        <f t="shared" si="6"/>
        <v>0</v>
      </c>
      <c r="N44" s="223"/>
      <c r="O44" s="233"/>
      <c r="P44" s="233"/>
      <c r="Q44" s="234"/>
      <c r="R44" s="234"/>
      <c r="S44"/>
      <c r="T44"/>
      <c r="U44"/>
      <c r="V44"/>
      <c r="W44"/>
      <c r="X44"/>
      <c r="Y44" s="218"/>
      <c r="Z44" s="218"/>
      <c r="AA44" s="218"/>
      <c r="AB44" s="232"/>
      <c r="AC44" s="232"/>
      <c r="AD44" s="232"/>
      <c r="AE44" s="232"/>
      <c r="AF44" s="232"/>
      <c r="AG44" s="232"/>
      <c r="AH44" s="232"/>
      <c r="AI44" s="232"/>
    </row>
    <row r="45" spans="1:35" ht="15" x14ac:dyDescent="0.25">
      <c r="A45" s="219">
        <v>45138</v>
      </c>
      <c r="B45" s="224">
        <v>0</v>
      </c>
      <c r="C45" s="221">
        <f t="shared" si="1"/>
        <v>0</v>
      </c>
      <c r="D45" s="221">
        <f t="shared" si="0"/>
        <v>0</v>
      </c>
      <c r="E45" s="221">
        <f t="shared" si="9"/>
        <v>0</v>
      </c>
      <c r="F45" s="222">
        <f t="shared" si="10"/>
        <v>0</v>
      </c>
      <c r="G45" s="221">
        <f t="shared" si="11"/>
        <v>0</v>
      </c>
      <c r="H45" s="222">
        <f t="shared" si="11"/>
        <v>0</v>
      </c>
      <c r="I45" s="221">
        <f t="shared" si="12"/>
        <v>0</v>
      </c>
      <c r="J45" s="221">
        <f t="shared" si="12"/>
        <v>0</v>
      </c>
      <c r="K45" s="221">
        <f t="shared" si="4"/>
        <v>0</v>
      </c>
      <c r="L45" s="221">
        <f t="shared" si="5"/>
        <v>0</v>
      </c>
      <c r="M45" s="221">
        <f t="shared" si="6"/>
        <v>0</v>
      </c>
      <c r="N45" s="223"/>
      <c r="O45" s="233"/>
      <c r="P45" s="233"/>
      <c r="Q45" s="234"/>
      <c r="R45" s="234"/>
      <c r="S45"/>
      <c r="T45"/>
      <c r="U45"/>
      <c r="V45"/>
      <c r="W45"/>
      <c r="X45"/>
      <c r="Y45" s="218"/>
      <c r="Z45" s="218"/>
      <c r="AA45" s="218"/>
      <c r="AB45" s="232"/>
      <c r="AC45" s="232"/>
      <c r="AD45" s="232"/>
      <c r="AE45" s="232"/>
      <c r="AF45" s="232"/>
      <c r="AG45" s="232"/>
      <c r="AH45" s="232"/>
      <c r="AI45" s="232"/>
    </row>
    <row r="46" spans="1:35" ht="15" x14ac:dyDescent="0.25">
      <c r="A46" s="219">
        <v>45169</v>
      </c>
      <c r="B46" s="224">
        <v>0</v>
      </c>
      <c r="C46" s="221">
        <f t="shared" si="1"/>
        <v>0</v>
      </c>
      <c r="D46" s="221">
        <f t="shared" si="0"/>
        <v>0</v>
      </c>
      <c r="E46" s="221">
        <f t="shared" si="9"/>
        <v>0</v>
      </c>
      <c r="F46" s="222">
        <f t="shared" si="10"/>
        <v>0</v>
      </c>
      <c r="G46" s="221">
        <f t="shared" si="11"/>
        <v>0</v>
      </c>
      <c r="H46" s="222">
        <f t="shared" si="11"/>
        <v>0</v>
      </c>
      <c r="I46" s="221">
        <f t="shared" si="12"/>
        <v>0</v>
      </c>
      <c r="J46" s="221">
        <f t="shared" si="12"/>
        <v>0</v>
      </c>
      <c r="K46" s="221">
        <f t="shared" si="4"/>
        <v>0</v>
      </c>
      <c r="L46" s="221">
        <f t="shared" si="5"/>
        <v>0</v>
      </c>
      <c r="M46" s="221">
        <f t="shared" si="6"/>
        <v>0</v>
      </c>
      <c r="N46" s="223"/>
      <c r="O46" s="233"/>
      <c r="Q46" s="234"/>
      <c r="R46" s="235"/>
      <c r="S46"/>
      <c r="T46"/>
      <c r="U46"/>
      <c r="V46"/>
      <c r="W46"/>
      <c r="X46"/>
      <c r="Y46" s="218"/>
      <c r="Z46" s="218"/>
      <c r="AA46" s="218"/>
      <c r="AB46" s="232"/>
      <c r="AC46" s="232"/>
      <c r="AD46" s="232"/>
      <c r="AE46" s="232"/>
      <c r="AF46" s="232"/>
      <c r="AG46" s="232"/>
      <c r="AH46" s="232"/>
      <c r="AI46" s="232"/>
    </row>
    <row r="47" spans="1:35" ht="15" x14ac:dyDescent="0.25">
      <c r="A47" s="219">
        <v>45199</v>
      </c>
      <c r="B47" s="224">
        <v>0</v>
      </c>
      <c r="C47" s="221">
        <f t="shared" si="1"/>
        <v>0</v>
      </c>
      <c r="D47" s="221">
        <f t="shared" si="0"/>
        <v>0</v>
      </c>
      <c r="E47" s="221">
        <f t="shared" si="9"/>
        <v>0</v>
      </c>
      <c r="F47" s="222">
        <f t="shared" si="10"/>
        <v>0</v>
      </c>
      <c r="G47" s="221">
        <f t="shared" si="11"/>
        <v>0</v>
      </c>
      <c r="H47" s="222">
        <f t="shared" si="11"/>
        <v>0</v>
      </c>
      <c r="I47" s="221">
        <f t="shared" si="12"/>
        <v>0</v>
      </c>
      <c r="J47" s="221">
        <f t="shared" si="12"/>
        <v>0</v>
      </c>
      <c r="K47" s="221">
        <f t="shared" si="4"/>
        <v>0</v>
      </c>
      <c r="L47" s="221">
        <f t="shared" si="5"/>
        <v>0</v>
      </c>
      <c r="M47" s="221">
        <f t="shared" si="6"/>
        <v>0</v>
      </c>
      <c r="N47" s="223"/>
      <c r="O47" s="234"/>
      <c r="P47"/>
      <c r="Q47"/>
      <c r="R47"/>
      <c r="S47"/>
      <c r="T47"/>
      <c r="U47"/>
      <c r="V47"/>
      <c r="W47"/>
      <c r="X47"/>
      <c r="Y47" s="218"/>
      <c r="Z47" s="218"/>
      <c r="AA47" s="218"/>
      <c r="AB47" s="232"/>
      <c r="AC47" s="232"/>
      <c r="AD47" s="232"/>
      <c r="AE47" s="232"/>
      <c r="AF47" s="232"/>
      <c r="AG47" s="232"/>
      <c r="AH47" s="232"/>
      <c r="AI47" s="232"/>
    </row>
    <row r="48" spans="1:35" ht="15" x14ac:dyDescent="0.25">
      <c r="A48" s="219">
        <v>45230</v>
      </c>
      <c r="B48" s="224">
        <v>0</v>
      </c>
      <c r="C48" s="221">
        <f t="shared" si="1"/>
        <v>0</v>
      </c>
      <c r="D48" s="221">
        <f t="shared" si="0"/>
        <v>0</v>
      </c>
      <c r="E48" s="221">
        <f t="shared" si="9"/>
        <v>0</v>
      </c>
      <c r="F48" s="222">
        <f t="shared" si="10"/>
        <v>0</v>
      </c>
      <c r="G48" s="221">
        <f t="shared" si="11"/>
        <v>0</v>
      </c>
      <c r="H48" s="222">
        <f t="shared" si="11"/>
        <v>0</v>
      </c>
      <c r="I48" s="221">
        <f t="shared" si="12"/>
        <v>0</v>
      </c>
      <c r="J48" s="221">
        <f t="shared" si="12"/>
        <v>0</v>
      </c>
      <c r="K48" s="221">
        <f t="shared" si="4"/>
        <v>0</v>
      </c>
      <c r="L48" s="221">
        <f t="shared" si="5"/>
        <v>0</v>
      </c>
      <c r="M48" s="221">
        <f t="shared" si="6"/>
        <v>0</v>
      </c>
      <c r="N48" s="223"/>
      <c r="O48" s="234"/>
      <c r="P48"/>
      <c r="Q48"/>
      <c r="R48"/>
      <c r="S48"/>
      <c r="T48"/>
      <c r="U48"/>
      <c r="V48"/>
      <c r="W48"/>
      <c r="X48"/>
      <c r="Y48" s="218"/>
      <c r="Z48" s="218"/>
      <c r="AA48" s="218"/>
      <c r="AB48" s="232"/>
      <c r="AC48" s="232"/>
      <c r="AD48" s="232"/>
      <c r="AE48" s="232"/>
      <c r="AF48" s="232"/>
      <c r="AG48" s="232"/>
      <c r="AH48" s="232"/>
      <c r="AI48" s="232"/>
    </row>
    <row r="49" spans="1:35" ht="15" x14ac:dyDescent="0.25">
      <c r="A49" s="219">
        <v>45260</v>
      </c>
      <c r="B49" s="224">
        <v>0</v>
      </c>
      <c r="C49" s="221">
        <f t="shared" si="1"/>
        <v>0</v>
      </c>
      <c r="D49" s="221">
        <f t="shared" si="0"/>
        <v>0</v>
      </c>
      <c r="E49" s="221">
        <f t="shared" si="9"/>
        <v>0</v>
      </c>
      <c r="F49" s="222">
        <f t="shared" si="10"/>
        <v>0</v>
      </c>
      <c r="G49" s="221">
        <f t="shared" si="11"/>
        <v>0</v>
      </c>
      <c r="H49" s="222">
        <f t="shared" si="11"/>
        <v>0</v>
      </c>
      <c r="I49" s="221">
        <f t="shared" si="12"/>
        <v>0</v>
      </c>
      <c r="J49" s="221">
        <f t="shared" si="12"/>
        <v>0</v>
      </c>
      <c r="K49" s="221">
        <f t="shared" si="4"/>
        <v>0</v>
      </c>
      <c r="L49" s="221">
        <f t="shared" si="5"/>
        <v>0</v>
      </c>
      <c r="M49" s="221">
        <f t="shared" si="6"/>
        <v>0</v>
      </c>
      <c r="N49" s="236"/>
      <c r="O49" s="43"/>
      <c r="P49" s="28"/>
      <c r="Q49" s="28"/>
      <c r="R49" s="28"/>
      <c r="S49" s="28"/>
      <c r="T49" s="28"/>
      <c r="U49" s="28"/>
      <c r="V49" s="28"/>
      <c r="W49" s="28"/>
      <c r="X49" s="28"/>
      <c r="Y49" s="237"/>
      <c r="Z49" s="237"/>
      <c r="AA49" s="237"/>
      <c r="AB49" s="232"/>
      <c r="AC49" s="232"/>
      <c r="AD49" s="232"/>
      <c r="AE49" s="232"/>
      <c r="AF49" s="232"/>
      <c r="AG49" s="232"/>
      <c r="AH49" s="232"/>
      <c r="AI49" s="232"/>
    </row>
    <row r="50" spans="1:35" s="245" customFormat="1" ht="15" x14ac:dyDescent="0.25">
      <c r="A50" s="238">
        <v>45291</v>
      </c>
      <c r="B50" s="231">
        <v>0</v>
      </c>
      <c r="C50" s="239">
        <f t="shared" si="1"/>
        <v>0</v>
      </c>
      <c r="D50" s="240">
        <f t="shared" si="0"/>
        <v>0</v>
      </c>
      <c r="E50" s="239">
        <f t="shared" si="9"/>
        <v>0</v>
      </c>
      <c r="F50" s="241">
        <f t="shared" si="10"/>
        <v>0</v>
      </c>
      <c r="G50" s="239">
        <f t="shared" si="11"/>
        <v>0</v>
      </c>
      <c r="H50" s="241">
        <f t="shared" si="11"/>
        <v>0</v>
      </c>
      <c r="I50" s="239">
        <f t="shared" si="12"/>
        <v>0</v>
      </c>
      <c r="J50" s="239">
        <f t="shared" si="12"/>
        <v>0</v>
      </c>
      <c r="K50" s="239">
        <f t="shared" si="4"/>
        <v>0</v>
      </c>
      <c r="L50" s="239">
        <f t="shared" si="5"/>
        <v>0</v>
      </c>
      <c r="M50" s="239">
        <f t="shared" si="6"/>
        <v>0</v>
      </c>
      <c r="N50" s="242"/>
      <c r="O50" s="235"/>
      <c r="P50" s="4"/>
      <c r="Q50" s="4"/>
      <c r="R50" s="4"/>
      <c r="S50" s="4"/>
      <c r="T50" s="4"/>
      <c r="U50" s="4"/>
      <c r="V50" s="4"/>
      <c r="W50" s="4"/>
      <c r="X50" s="4"/>
      <c r="Y50" s="243"/>
      <c r="Z50" s="243"/>
      <c r="AA50" s="243"/>
      <c r="AB50" s="244"/>
      <c r="AC50" s="244"/>
      <c r="AD50" s="244"/>
      <c r="AE50" s="244"/>
      <c r="AF50" s="244"/>
      <c r="AG50" s="244"/>
      <c r="AH50" s="244"/>
      <c r="AI50" s="244"/>
    </row>
    <row r="51" spans="1:35" ht="15" x14ac:dyDescent="0.25">
      <c r="A51" s="227">
        <v>45322</v>
      </c>
      <c r="B51" s="228">
        <v>0</v>
      </c>
      <c r="C51" s="229">
        <f t="shared" si="1"/>
        <v>0</v>
      </c>
      <c r="D51" s="221">
        <f t="shared" si="0"/>
        <v>0</v>
      </c>
      <c r="E51" s="229">
        <f t="shared" ref="E51:E61" si="13">($C$26*$F$6+($C$38-$C$26)*$E$6+($C$50-$C$38)*$D$6+($C$62-$C$50)*$C$6)/12</f>
        <v>15000</v>
      </c>
      <c r="F51" s="230">
        <f t="shared" si="10"/>
        <v>0</v>
      </c>
      <c r="G51" s="229">
        <f t="shared" si="11"/>
        <v>-15000</v>
      </c>
      <c r="H51" s="230">
        <f t="shared" si="11"/>
        <v>0</v>
      </c>
      <c r="I51" s="229">
        <f t="shared" si="12"/>
        <v>-15000</v>
      </c>
      <c r="J51" s="229">
        <f t="shared" si="12"/>
        <v>0</v>
      </c>
      <c r="K51" s="229">
        <f t="shared" si="4"/>
        <v>15000</v>
      </c>
      <c r="L51" s="229">
        <f t="shared" si="5"/>
        <v>-3150</v>
      </c>
      <c r="M51" s="229">
        <f t="shared" si="6"/>
        <v>3150</v>
      </c>
      <c r="N51" s="223"/>
      <c r="O51"/>
      <c r="P51"/>
      <c r="Q51"/>
      <c r="R51"/>
      <c r="S51"/>
      <c r="T51"/>
      <c r="U51"/>
      <c r="V51"/>
      <c r="W51"/>
      <c r="X51"/>
      <c r="Y51" s="218"/>
      <c r="Z51" s="218"/>
      <c r="AA51" s="218"/>
      <c r="AB51" s="232"/>
      <c r="AC51" s="232"/>
      <c r="AD51" s="232"/>
      <c r="AE51" s="232"/>
      <c r="AF51" s="232"/>
      <c r="AG51" s="232"/>
      <c r="AH51" s="232"/>
      <c r="AI51" s="232"/>
    </row>
    <row r="52" spans="1:35" ht="15" x14ac:dyDescent="0.25">
      <c r="A52" s="219">
        <v>45351</v>
      </c>
      <c r="B52" s="224">
        <v>0</v>
      </c>
      <c r="C52" s="221">
        <f t="shared" si="1"/>
        <v>0</v>
      </c>
      <c r="D52" s="221">
        <f t="shared" si="0"/>
        <v>0</v>
      </c>
      <c r="E52" s="221">
        <f t="shared" si="13"/>
        <v>15000</v>
      </c>
      <c r="F52" s="222">
        <f t="shared" si="10"/>
        <v>0</v>
      </c>
      <c r="G52" s="221">
        <f t="shared" si="11"/>
        <v>-30000</v>
      </c>
      <c r="H52" s="222">
        <f t="shared" si="11"/>
        <v>0</v>
      </c>
      <c r="I52" s="221">
        <f t="shared" si="12"/>
        <v>-30000</v>
      </c>
      <c r="J52" s="221">
        <f t="shared" si="12"/>
        <v>0</v>
      </c>
      <c r="K52" s="221">
        <f t="shared" si="4"/>
        <v>30000</v>
      </c>
      <c r="L52" s="221">
        <f t="shared" si="5"/>
        <v>-6300</v>
      </c>
      <c r="M52" s="221">
        <f t="shared" si="6"/>
        <v>3150</v>
      </c>
      <c r="N52" s="223"/>
      <c r="O52"/>
      <c r="P52"/>
      <c r="Q52"/>
      <c r="R52"/>
      <c r="S52"/>
      <c r="T52"/>
      <c r="U52"/>
      <c r="V52"/>
      <c r="W52"/>
      <c r="X52"/>
      <c r="Y52" s="218"/>
      <c r="Z52" s="218"/>
      <c r="AA52" s="218"/>
      <c r="AB52" s="232"/>
      <c r="AC52" s="232"/>
      <c r="AD52" s="232"/>
      <c r="AE52" s="232"/>
      <c r="AF52" s="232"/>
      <c r="AG52" s="232"/>
      <c r="AH52" s="232"/>
      <c r="AI52" s="232"/>
    </row>
    <row r="53" spans="1:35" ht="15" x14ac:dyDescent="0.25">
      <c r="A53" s="219">
        <v>45382</v>
      </c>
      <c r="B53" s="224">
        <v>50000</v>
      </c>
      <c r="C53" s="221">
        <f t="shared" si="1"/>
        <v>50000</v>
      </c>
      <c r="D53" s="221">
        <f t="shared" si="0"/>
        <v>50000</v>
      </c>
      <c r="E53" s="221">
        <f t="shared" si="13"/>
        <v>15000</v>
      </c>
      <c r="F53" s="222">
        <f t="shared" si="10"/>
        <v>416.66666666666669</v>
      </c>
      <c r="G53" s="221">
        <f t="shared" si="11"/>
        <v>-45000</v>
      </c>
      <c r="H53" s="222">
        <f t="shared" si="11"/>
        <v>-416.66666666666669</v>
      </c>
      <c r="I53" s="221">
        <f t="shared" si="12"/>
        <v>5000</v>
      </c>
      <c r="J53" s="221">
        <f t="shared" si="12"/>
        <v>49583.333333333336</v>
      </c>
      <c r="K53" s="221">
        <f t="shared" si="4"/>
        <v>44583.333333333336</v>
      </c>
      <c r="L53" s="221">
        <f t="shared" si="5"/>
        <v>-9362.5</v>
      </c>
      <c r="M53" s="221">
        <f t="shared" si="6"/>
        <v>3062.5</v>
      </c>
      <c r="N53" s="223"/>
      <c r="O53"/>
      <c r="P53"/>
      <c r="Q53"/>
      <c r="R53"/>
      <c r="S53"/>
      <c r="T53"/>
      <c r="U53"/>
      <c r="V53"/>
      <c r="W53"/>
      <c r="X53"/>
      <c r="Y53" s="218"/>
      <c r="Z53" s="218"/>
      <c r="AA53" s="218"/>
      <c r="AB53" s="232"/>
      <c r="AC53" s="232"/>
      <c r="AD53" s="232"/>
      <c r="AE53" s="232"/>
      <c r="AF53" s="232"/>
      <c r="AG53" s="232"/>
      <c r="AH53" s="232"/>
      <c r="AI53" s="232"/>
    </row>
    <row r="54" spans="1:35" ht="15" x14ac:dyDescent="0.25">
      <c r="A54" s="219">
        <v>45412</v>
      </c>
      <c r="B54" s="224">
        <v>50000</v>
      </c>
      <c r="C54" s="221">
        <f t="shared" si="1"/>
        <v>100000</v>
      </c>
      <c r="D54" s="221">
        <f t="shared" si="0"/>
        <v>100000</v>
      </c>
      <c r="E54" s="221">
        <f t="shared" si="13"/>
        <v>15000</v>
      </c>
      <c r="F54" s="222">
        <f t="shared" si="10"/>
        <v>1250</v>
      </c>
      <c r="G54" s="221">
        <f t="shared" si="11"/>
        <v>-60000</v>
      </c>
      <c r="H54" s="222">
        <f t="shared" si="11"/>
        <v>-1666.6666666666667</v>
      </c>
      <c r="I54" s="221">
        <f t="shared" si="12"/>
        <v>40000</v>
      </c>
      <c r="J54" s="221">
        <f t="shared" si="12"/>
        <v>98333.333333333328</v>
      </c>
      <c r="K54" s="221">
        <f t="shared" si="4"/>
        <v>58333.333333333328</v>
      </c>
      <c r="L54" s="221">
        <f t="shared" si="5"/>
        <v>-12249.999999999998</v>
      </c>
      <c r="M54" s="221">
        <f t="shared" si="6"/>
        <v>2887.4999999999982</v>
      </c>
      <c r="N54" s="223"/>
      <c r="O54"/>
      <c r="P54"/>
      <c r="Q54"/>
      <c r="R54"/>
      <c r="S54"/>
      <c r="T54"/>
      <c r="U54"/>
      <c r="V54"/>
      <c r="W54"/>
      <c r="X54"/>
      <c r="Y54" s="218"/>
      <c r="Z54" s="218"/>
      <c r="AA54" s="218"/>
      <c r="AB54" s="232"/>
      <c r="AC54" s="232"/>
      <c r="AD54" s="232"/>
      <c r="AE54" s="232"/>
      <c r="AF54" s="232"/>
      <c r="AG54" s="232"/>
      <c r="AH54" s="232"/>
      <c r="AI54" s="232"/>
    </row>
    <row r="55" spans="1:35" ht="15" x14ac:dyDescent="0.25">
      <c r="A55" s="219">
        <v>45443</v>
      </c>
      <c r="B55" s="224">
        <v>75000</v>
      </c>
      <c r="C55" s="221">
        <f t="shared" si="1"/>
        <v>175000</v>
      </c>
      <c r="D55" s="221">
        <f t="shared" si="0"/>
        <v>175000</v>
      </c>
      <c r="E55" s="221">
        <f t="shared" si="13"/>
        <v>15000</v>
      </c>
      <c r="F55" s="222">
        <f t="shared" si="10"/>
        <v>2291.666666666667</v>
      </c>
      <c r="G55" s="221">
        <f t="shared" si="11"/>
        <v>-75000</v>
      </c>
      <c r="H55" s="222">
        <f t="shared" si="11"/>
        <v>-3958.3333333333339</v>
      </c>
      <c r="I55" s="221">
        <f t="shared" si="12"/>
        <v>100000</v>
      </c>
      <c r="J55" s="221">
        <f t="shared" si="12"/>
        <v>171041.66666666666</v>
      </c>
      <c r="K55" s="221">
        <f t="shared" si="4"/>
        <v>71041.666666666657</v>
      </c>
      <c r="L55" s="221">
        <f t="shared" si="5"/>
        <v>-14918.749999999998</v>
      </c>
      <c r="M55" s="221">
        <f t="shared" si="6"/>
        <v>2668.75</v>
      </c>
      <c r="N55" s="223"/>
      <c r="O55"/>
      <c r="P55"/>
      <c r="Q55"/>
      <c r="R55"/>
      <c r="S55"/>
      <c r="T55"/>
      <c r="U55"/>
      <c r="V55"/>
      <c r="W55"/>
      <c r="X55"/>
      <c r="Y55" s="218"/>
      <c r="Z55" s="218"/>
      <c r="AA55" s="218"/>
      <c r="AB55" s="232"/>
      <c r="AC55" s="232"/>
      <c r="AD55" s="232"/>
      <c r="AE55" s="232"/>
      <c r="AF55" s="232"/>
      <c r="AG55" s="232"/>
      <c r="AH55" s="232"/>
      <c r="AI55" s="232"/>
    </row>
    <row r="56" spans="1:35" ht="15" x14ac:dyDescent="0.25">
      <c r="A56" s="219">
        <v>45473</v>
      </c>
      <c r="B56" s="224">
        <v>50000</v>
      </c>
      <c r="C56" s="221">
        <f t="shared" si="1"/>
        <v>225000</v>
      </c>
      <c r="D56" s="221">
        <f t="shared" si="0"/>
        <v>225000</v>
      </c>
      <c r="E56" s="221">
        <f t="shared" si="13"/>
        <v>15000</v>
      </c>
      <c r="F56" s="222">
        <f t="shared" si="10"/>
        <v>3333.333333333333</v>
      </c>
      <c r="G56" s="221">
        <f t="shared" si="11"/>
        <v>-90000</v>
      </c>
      <c r="H56" s="222">
        <f t="shared" si="11"/>
        <v>-7291.666666666667</v>
      </c>
      <c r="I56" s="221">
        <f t="shared" si="12"/>
        <v>135000</v>
      </c>
      <c r="J56" s="221">
        <f t="shared" si="12"/>
        <v>217708.33333333334</v>
      </c>
      <c r="K56" s="221">
        <f t="shared" si="4"/>
        <v>82708.333333333343</v>
      </c>
      <c r="L56" s="221">
        <f t="shared" si="5"/>
        <v>-17368.75</v>
      </c>
      <c r="M56" s="221">
        <f t="shared" si="6"/>
        <v>2450.0000000000018</v>
      </c>
      <c r="N56" s="223"/>
      <c r="O56"/>
      <c r="P56"/>
      <c r="Q56"/>
      <c r="R56"/>
      <c r="S56"/>
      <c r="T56"/>
      <c r="U56"/>
      <c r="V56"/>
      <c r="W56"/>
      <c r="X56"/>
      <c r="Y56" s="218"/>
      <c r="Z56" s="218"/>
      <c r="AA56" s="218"/>
      <c r="AB56" s="232"/>
      <c r="AC56" s="232"/>
      <c r="AD56" s="232"/>
      <c r="AE56" s="232"/>
      <c r="AF56" s="232"/>
      <c r="AG56" s="232"/>
      <c r="AH56" s="232"/>
      <c r="AI56" s="232"/>
    </row>
    <row r="57" spans="1:35" ht="15" x14ac:dyDescent="0.25">
      <c r="A57" s="219">
        <v>45504</v>
      </c>
      <c r="B57" s="224">
        <v>50000</v>
      </c>
      <c r="C57" s="221">
        <f t="shared" si="1"/>
        <v>275000</v>
      </c>
      <c r="D57" s="221">
        <f t="shared" si="0"/>
        <v>275000</v>
      </c>
      <c r="E57" s="221">
        <f t="shared" si="13"/>
        <v>15000</v>
      </c>
      <c r="F57" s="222">
        <f t="shared" si="10"/>
        <v>4166.666666666667</v>
      </c>
      <c r="G57" s="221">
        <f t="shared" si="11"/>
        <v>-105000</v>
      </c>
      <c r="H57" s="222">
        <f t="shared" si="11"/>
        <v>-11458.333333333334</v>
      </c>
      <c r="I57" s="221">
        <f t="shared" si="12"/>
        <v>170000</v>
      </c>
      <c r="J57" s="221">
        <f t="shared" si="12"/>
        <v>263541.66666666669</v>
      </c>
      <c r="K57" s="221">
        <f t="shared" si="4"/>
        <v>93541.666666666686</v>
      </c>
      <c r="L57" s="221">
        <f t="shared" si="5"/>
        <v>-19643.750000000004</v>
      </c>
      <c r="M57" s="221">
        <f t="shared" si="6"/>
        <v>2275.0000000000036</v>
      </c>
      <c r="N57" s="223"/>
      <c r="O57"/>
      <c r="P57"/>
      <c r="Q57"/>
      <c r="R57"/>
      <c r="S57"/>
      <c r="T57"/>
      <c r="U57"/>
      <c r="V57"/>
      <c r="W57"/>
      <c r="X57"/>
      <c r="Y57" s="218"/>
      <c r="Z57" s="218"/>
      <c r="AA57" s="218"/>
      <c r="AB57" s="232"/>
      <c r="AC57" s="232"/>
      <c r="AD57" s="232"/>
      <c r="AE57" s="232"/>
      <c r="AF57" s="232"/>
      <c r="AG57" s="232"/>
      <c r="AH57" s="232"/>
      <c r="AI57" s="232"/>
    </row>
    <row r="58" spans="1:35" ht="15" x14ac:dyDescent="0.25">
      <c r="A58" s="219">
        <v>45535</v>
      </c>
      <c r="B58" s="224">
        <v>25000</v>
      </c>
      <c r="C58" s="221">
        <f t="shared" si="1"/>
        <v>300000</v>
      </c>
      <c r="D58" s="221">
        <f t="shared" si="0"/>
        <v>300000</v>
      </c>
      <c r="E58" s="221">
        <f t="shared" si="13"/>
        <v>15000</v>
      </c>
      <c r="F58" s="222">
        <f t="shared" si="10"/>
        <v>4791.6666666666661</v>
      </c>
      <c r="G58" s="221">
        <f t="shared" si="11"/>
        <v>-120000</v>
      </c>
      <c r="H58" s="222">
        <f t="shared" si="11"/>
        <v>-16250</v>
      </c>
      <c r="I58" s="221">
        <f t="shared" si="12"/>
        <v>180000</v>
      </c>
      <c r="J58" s="221">
        <f t="shared" si="12"/>
        <v>283750</v>
      </c>
      <c r="K58" s="221">
        <f t="shared" si="4"/>
        <v>103750</v>
      </c>
      <c r="L58" s="221">
        <f t="shared" si="5"/>
        <v>-21787.5</v>
      </c>
      <c r="M58" s="221">
        <f t="shared" si="6"/>
        <v>2143.7499999999964</v>
      </c>
      <c r="N58" s="223"/>
      <c r="O58"/>
      <c r="P58"/>
      <c r="Q58"/>
      <c r="R58"/>
      <c r="S58"/>
      <c r="T58"/>
      <c r="U58"/>
      <c r="V58"/>
      <c r="W58"/>
      <c r="X58"/>
      <c r="Y58" s="218"/>
      <c r="Z58" s="218"/>
      <c r="AA58" s="218"/>
      <c r="AB58" s="232"/>
      <c r="AC58" s="232"/>
      <c r="AD58" s="232"/>
      <c r="AE58" s="232"/>
      <c r="AF58" s="232"/>
      <c r="AG58" s="232"/>
      <c r="AH58" s="232"/>
      <c r="AI58" s="232"/>
    </row>
    <row r="59" spans="1:35" ht="15" x14ac:dyDescent="0.25">
      <c r="A59" s="219">
        <v>45565</v>
      </c>
      <c r="B59" s="224">
        <v>150000</v>
      </c>
      <c r="C59" s="221">
        <f t="shared" si="1"/>
        <v>450000</v>
      </c>
      <c r="D59" s="221">
        <f t="shared" si="0"/>
        <v>450000</v>
      </c>
      <c r="E59" s="221">
        <f t="shared" si="13"/>
        <v>15000</v>
      </c>
      <c r="F59" s="222">
        <f t="shared" si="10"/>
        <v>6250</v>
      </c>
      <c r="G59" s="221">
        <f t="shared" ref="G59:H74" si="14">-E59+G58</f>
        <v>-135000</v>
      </c>
      <c r="H59" s="222">
        <f t="shared" si="14"/>
        <v>-22500</v>
      </c>
      <c r="I59" s="221">
        <f t="shared" ref="I59:J74" si="15">C59+G59</f>
        <v>315000</v>
      </c>
      <c r="J59" s="221">
        <f t="shared" si="15"/>
        <v>427500</v>
      </c>
      <c r="K59" s="221">
        <f t="shared" si="4"/>
        <v>112500</v>
      </c>
      <c r="L59" s="221">
        <f t="shared" si="5"/>
        <v>-23625</v>
      </c>
      <c r="M59" s="221">
        <f t="shared" si="6"/>
        <v>1837.5</v>
      </c>
      <c r="N59" s="223"/>
      <c r="O59"/>
      <c r="P59"/>
      <c r="Q59"/>
      <c r="R59"/>
      <c r="S59"/>
      <c r="T59"/>
      <c r="U59"/>
      <c r="V59"/>
      <c r="W59"/>
      <c r="X59"/>
      <c r="Y59" s="218"/>
      <c r="Z59" s="218"/>
      <c r="AA59" s="218"/>
      <c r="AB59" s="232"/>
      <c r="AC59" s="232"/>
      <c r="AD59" s="232"/>
      <c r="AE59" s="232"/>
      <c r="AF59" s="232"/>
      <c r="AG59" s="232"/>
      <c r="AH59" s="232"/>
      <c r="AI59" s="232"/>
    </row>
    <row r="60" spans="1:35" ht="15" x14ac:dyDescent="0.25">
      <c r="A60" s="219">
        <v>45596</v>
      </c>
      <c r="B60" s="224">
        <v>150000</v>
      </c>
      <c r="C60" s="221">
        <f t="shared" si="1"/>
        <v>600000</v>
      </c>
      <c r="D60" s="221">
        <f t="shared" si="0"/>
        <v>600000</v>
      </c>
      <c r="E60" s="221">
        <f t="shared" si="13"/>
        <v>15000</v>
      </c>
      <c r="F60" s="222">
        <f t="shared" si="10"/>
        <v>8750</v>
      </c>
      <c r="G60" s="221">
        <f t="shared" si="14"/>
        <v>-150000</v>
      </c>
      <c r="H60" s="222">
        <f t="shared" si="14"/>
        <v>-31250</v>
      </c>
      <c r="I60" s="221">
        <f t="shared" si="15"/>
        <v>450000</v>
      </c>
      <c r="J60" s="221">
        <f t="shared" si="15"/>
        <v>568750</v>
      </c>
      <c r="K60" s="221">
        <f t="shared" si="4"/>
        <v>118750</v>
      </c>
      <c r="L60" s="221">
        <f t="shared" si="5"/>
        <v>-24937.5</v>
      </c>
      <c r="M60" s="221">
        <f t="shared" si="6"/>
        <v>1312.5</v>
      </c>
      <c r="N60" s="223"/>
      <c r="O60"/>
      <c r="P60"/>
      <c r="Q60"/>
      <c r="R60"/>
      <c r="S60"/>
      <c r="T60"/>
      <c r="U60"/>
      <c r="V60"/>
      <c r="W60"/>
      <c r="X60"/>
      <c r="Y60" s="218"/>
      <c r="Z60" s="218"/>
      <c r="AA60" s="218"/>
      <c r="AB60" s="232"/>
      <c r="AC60" s="232"/>
      <c r="AD60" s="232"/>
      <c r="AE60" s="232"/>
      <c r="AF60" s="232"/>
      <c r="AG60" s="232"/>
      <c r="AH60" s="232"/>
      <c r="AI60" s="232"/>
    </row>
    <row r="61" spans="1:35" ht="15" x14ac:dyDescent="0.25">
      <c r="A61" s="219">
        <v>45626</v>
      </c>
      <c r="B61" s="224">
        <v>150000</v>
      </c>
      <c r="C61" s="221">
        <f t="shared" si="1"/>
        <v>750000</v>
      </c>
      <c r="D61" s="221">
        <f t="shared" si="0"/>
        <v>750000</v>
      </c>
      <c r="E61" s="221">
        <f t="shared" si="13"/>
        <v>15000</v>
      </c>
      <c r="F61" s="222">
        <f t="shared" si="10"/>
        <v>11250</v>
      </c>
      <c r="G61" s="221">
        <f t="shared" si="14"/>
        <v>-165000</v>
      </c>
      <c r="H61" s="222">
        <f t="shared" si="14"/>
        <v>-42500</v>
      </c>
      <c r="I61" s="221">
        <f t="shared" si="15"/>
        <v>585000</v>
      </c>
      <c r="J61" s="221">
        <f t="shared" si="15"/>
        <v>707500</v>
      </c>
      <c r="K61" s="221">
        <f t="shared" si="4"/>
        <v>122500</v>
      </c>
      <c r="L61" s="221">
        <f t="shared" si="5"/>
        <v>-25725</v>
      </c>
      <c r="M61" s="221">
        <f t="shared" si="6"/>
        <v>787.5</v>
      </c>
      <c r="N61" s="223"/>
      <c r="O61"/>
      <c r="P61"/>
      <c r="Q61"/>
      <c r="R61"/>
      <c r="S61"/>
      <c r="T61"/>
      <c r="U61"/>
      <c r="V61"/>
      <c r="W61"/>
      <c r="X61"/>
      <c r="Y61" s="218"/>
      <c r="Z61" s="218"/>
      <c r="AA61" s="218"/>
      <c r="AB61" s="232"/>
      <c r="AC61" s="232"/>
      <c r="AD61" s="232"/>
      <c r="AE61" s="232"/>
      <c r="AF61" s="232"/>
      <c r="AG61" s="232"/>
      <c r="AH61" s="232"/>
      <c r="AI61" s="232"/>
    </row>
    <row r="62" spans="1:35" ht="15" x14ac:dyDescent="0.25">
      <c r="A62" s="219">
        <v>45657</v>
      </c>
      <c r="B62" s="224">
        <v>150000</v>
      </c>
      <c r="C62" s="221">
        <f t="shared" si="1"/>
        <v>900000</v>
      </c>
      <c r="D62" s="225">
        <f t="shared" si="0"/>
        <v>900000</v>
      </c>
      <c r="E62" s="221">
        <f>($C$26*$F$6+($C$38-$C$26)*$E$6+($C$50-$C$38)*$D$6+($C$62-$C$50)*$C$6)/12</f>
        <v>15000</v>
      </c>
      <c r="F62" s="222">
        <f t="shared" si="10"/>
        <v>13750</v>
      </c>
      <c r="G62" s="221">
        <f t="shared" si="14"/>
        <v>-180000</v>
      </c>
      <c r="H62" s="222">
        <f t="shared" si="14"/>
        <v>-56250</v>
      </c>
      <c r="I62" s="221">
        <f t="shared" si="15"/>
        <v>720000</v>
      </c>
      <c r="J62" s="221">
        <f t="shared" si="15"/>
        <v>843750</v>
      </c>
      <c r="K62" s="221">
        <f t="shared" si="4"/>
        <v>123750</v>
      </c>
      <c r="L62" s="221">
        <f t="shared" si="5"/>
        <v>-25987.5</v>
      </c>
      <c r="M62" s="221">
        <f t="shared" si="6"/>
        <v>262.5</v>
      </c>
      <c r="N62" s="223"/>
      <c r="O62"/>
      <c r="P62"/>
      <c r="Q62"/>
      <c r="R62"/>
      <c r="S62"/>
      <c r="T62"/>
      <c r="U62"/>
      <c r="V62"/>
      <c r="W62"/>
      <c r="X62"/>
      <c r="Y62" s="218"/>
      <c r="Z62" s="218"/>
      <c r="AA62" s="218"/>
      <c r="AB62" s="232"/>
      <c r="AC62" s="232"/>
      <c r="AD62" s="232"/>
      <c r="AE62" s="232"/>
      <c r="AF62" s="232"/>
      <c r="AG62" s="232"/>
      <c r="AH62" s="232"/>
      <c r="AI62" s="232"/>
    </row>
    <row r="63" spans="1:35" ht="15" x14ac:dyDescent="0.25">
      <c r="A63" s="227">
        <v>45688</v>
      </c>
      <c r="B63" s="228">
        <v>0</v>
      </c>
      <c r="C63" s="229">
        <f t="shared" si="1"/>
        <v>900000</v>
      </c>
      <c r="D63" s="221">
        <f t="shared" si="0"/>
        <v>900000</v>
      </c>
      <c r="E63" s="229">
        <f t="shared" ref="E63:E73" si="16">($C$26*$G$6+($C$38-$C$26)*$F$6+($C$50-$C$38)*$E$6+($C$62-$C$50)*$D$6+($C$74-$C$62)*$C$6)/12</f>
        <v>24000</v>
      </c>
      <c r="F63" s="230">
        <f t="shared" si="10"/>
        <v>15000</v>
      </c>
      <c r="G63" s="229">
        <f t="shared" si="14"/>
        <v>-204000</v>
      </c>
      <c r="H63" s="230">
        <f t="shared" si="14"/>
        <v>-71250</v>
      </c>
      <c r="I63" s="229">
        <f t="shared" si="15"/>
        <v>696000</v>
      </c>
      <c r="J63" s="229">
        <f t="shared" si="15"/>
        <v>828750</v>
      </c>
      <c r="K63" s="229">
        <f t="shared" si="4"/>
        <v>132750</v>
      </c>
      <c r="L63" s="229">
        <f t="shared" si="5"/>
        <v>-27877.5</v>
      </c>
      <c r="M63" s="229">
        <f t="shared" si="6"/>
        <v>1890</v>
      </c>
      <c r="N63" s="223"/>
      <c r="O63"/>
      <c r="P63"/>
      <c r="Q63"/>
      <c r="R63"/>
      <c r="S63"/>
      <c r="T63"/>
      <c r="U63"/>
      <c r="V63"/>
      <c r="W63"/>
      <c r="X63"/>
      <c r="Y63" s="218"/>
      <c r="Z63" s="218"/>
      <c r="AA63" s="218"/>
      <c r="AB63" s="232"/>
      <c r="AC63" s="232"/>
      <c r="AD63" s="232"/>
      <c r="AE63" s="232"/>
      <c r="AF63" s="232"/>
      <c r="AG63" s="232"/>
      <c r="AH63" s="232"/>
      <c r="AI63" s="232"/>
    </row>
    <row r="64" spans="1:35" ht="15" x14ac:dyDescent="0.25">
      <c r="A64" s="219">
        <v>45716</v>
      </c>
      <c r="B64" s="224">
        <v>0</v>
      </c>
      <c r="C64" s="221">
        <f t="shared" si="1"/>
        <v>900000</v>
      </c>
      <c r="D64" s="221">
        <f t="shared" si="0"/>
        <v>900000</v>
      </c>
      <c r="E64" s="221">
        <f t="shared" si="16"/>
        <v>24000</v>
      </c>
      <c r="F64" s="222">
        <f t="shared" si="10"/>
        <v>15000</v>
      </c>
      <c r="G64" s="221">
        <f t="shared" si="14"/>
        <v>-228000</v>
      </c>
      <c r="H64" s="222">
        <f t="shared" si="14"/>
        <v>-86250</v>
      </c>
      <c r="I64" s="221">
        <f t="shared" si="15"/>
        <v>672000</v>
      </c>
      <c r="J64" s="221">
        <f t="shared" si="15"/>
        <v>813750</v>
      </c>
      <c r="K64" s="221">
        <f t="shared" si="4"/>
        <v>141750</v>
      </c>
      <c r="L64" s="221">
        <f t="shared" si="5"/>
        <v>-29767.5</v>
      </c>
      <c r="M64" s="221">
        <f t="shared" si="6"/>
        <v>1890</v>
      </c>
      <c r="N64" s="223"/>
      <c r="O64"/>
      <c r="P64"/>
      <c r="Q64"/>
      <c r="R64"/>
      <c r="S64"/>
      <c r="T64"/>
      <c r="U64"/>
      <c r="V64"/>
      <c r="W64"/>
      <c r="X64"/>
      <c r="Y64" s="218"/>
      <c r="Z64" s="218"/>
      <c r="AA64" s="218"/>
      <c r="AB64" s="232"/>
      <c r="AC64" s="232"/>
      <c r="AD64" s="232"/>
      <c r="AE64" s="232"/>
      <c r="AF64" s="232"/>
      <c r="AG64" s="232"/>
      <c r="AH64" s="232"/>
      <c r="AI64" s="232"/>
    </row>
    <row r="65" spans="1:35" ht="15" x14ac:dyDescent="0.25">
      <c r="A65" s="219">
        <v>45747</v>
      </c>
      <c r="B65" s="224">
        <v>0</v>
      </c>
      <c r="C65" s="221">
        <f t="shared" si="1"/>
        <v>900000</v>
      </c>
      <c r="D65" s="221">
        <f t="shared" si="0"/>
        <v>900000</v>
      </c>
      <c r="E65" s="221">
        <f t="shared" si="16"/>
        <v>24000</v>
      </c>
      <c r="F65" s="222">
        <f t="shared" si="10"/>
        <v>15000</v>
      </c>
      <c r="G65" s="221">
        <f t="shared" si="14"/>
        <v>-252000</v>
      </c>
      <c r="H65" s="222">
        <f t="shared" si="14"/>
        <v>-101250</v>
      </c>
      <c r="I65" s="221">
        <f t="shared" si="15"/>
        <v>648000</v>
      </c>
      <c r="J65" s="221">
        <f t="shared" si="15"/>
        <v>798750</v>
      </c>
      <c r="K65" s="221">
        <f t="shared" si="4"/>
        <v>150750</v>
      </c>
      <c r="L65" s="221">
        <f t="shared" si="5"/>
        <v>-31657.5</v>
      </c>
      <c r="M65" s="221">
        <f t="shared" si="6"/>
        <v>1890</v>
      </c>
      <c r="N65" s="223"/>
      <c r="O65"/>
      <c r="P65"/>
      <c r="Q65"/>
      <c r="R65"/>
      <c r="S65"/>
      <c r="T65"/>
      <c r="U65"/>
      <c r="V65"/>
      <c r="W65"/>
      <c r="X65"/>
      <c r="Y65" s="218"/>
      <c r="Z65" s="218"/>
      <c r="AA65" s="218"/>
      <c r="AB65" s="232"/>
      <c r="AC65" s="232"/>
      <c r="AD65" s="232"/>
      <c r="AE65" s="232"/>
      <c r="AF65" s="232"/>
      <c r="AG65" s="232"/>
      <c r="AH65" s="232"/>
      <c r="AI65" s="232"/>
    </row>
    <row r="66" spans="1:35" ht="15" x14ac:dyDescent="0.25">
      <c r="A66" s="219">
        <v>45777</v>
      </c>
      <c r="B66" s="224">
        <v>0</v>
      </c>
      <c r="C66" s="221">
        <f t="shared" si="1"/>
        <v>900000</v>
      </c>
      <c r="D66" s="221">
        <f t="shared" si="0"/>
        <v>900000</v>
      </c>
      <c r="E66" s="221">
        <f t="shared" si="16"/>
        <v>24000</v>
      </c>
      <c r="F66" s="222">
        <f t="shared" si="10"/>
        <v>15000</v>
      </c>
      <c r="G66" s="221">
        <f t="shared" si="14"/>
        <v>-276000</v>
      </c>
      <c r="H66" s="222">
        <f t="shared" si="14"/>
        <v>-116250</v>
      </c>
      <c r="I66" s="221">
        <f t="shared" si="15"/>
        <v>624000</v>
      </c>
      <c r="J66" s="221">
        <f t="shared" si="15"/>
        <v>783750</v>
      </c>
      <c r="K66" s="221">
        <f t="shared" si="4"/>
        <v>159750</v>
      </c>
      <c r="L66" s="221">
        <f t="shared" si="5"/>
        <v>-33547.5</v>
      </c>
      <c r="M66" s="221">
        <f t="shared" si="6"/>
        <v>1890</v>
      </c>
      <c r="N66" s="223"/>
      <c r="O66"/>
      <c r="P66"/>
      <c r="Q66"/>
      <c r="R66"/>
      <c r="S66"/>
      <c r="T66"/>
      <c r="U66"/>
      <c r="V66"/>
      <c r="W66"/>
      <c r="X66"/>
      <c r="Y66" s="218"/>
      <c r="Z66" s="218"/>
      <c r="AA66" s="218"/>
    </row>
    <row r="67" spans="1:35" ht="15" x14ac:dyDescent="0.25">
      <c r="A67" s="219">
        <v>45808</v>
      </c>
      <c r="B67" s="224">
        <v>0</v>
      </c>
      <c r="C67" s="221">
        <f t="shared" si="1"/>
        <v>900000</v>
      </c>
      <c r="D67" s="221">
        <f t="shared" si="0"/>
        <v>900000</v>
      </c>
      <c r="E67" s="221">
        <f t="shared" si="16"/>
        <v>24000</v>
      </c>
      <c r="F67" s="222">
        <f t="shared" si="10"/>
        <v>15000</v>
      </c>
      <c r="G67" s="221">
        <f t="shared" si="14"/>
        <v>-300000</v>
      </c>
      <c r="H67" s="222">
        <f t="shared" si="14"/>
        <v>-131250</v>
      </c>
      <c r="I67" s="221">
        <f t="shared" si="15"/>
        <v>600000</v>
      </c>
      <c r="J67" s="221">
        <f t="shared" si="15"/>
        <v>768750</v>
      </c>
      <c r="K67" s="221">
        <f t="shared" si="4"/>
        <v>168750</v>
      </c>
      <c r="L67" s="221">
        <f t="shared" si="5"/>
        <v>-35437.5</v>
      </c>
      <c r="M67" s="221">
        <f t="shared" si="6"/>
        <v>1890</v>
      </c>
      <c r="N67" s="223"/>
      <c r="O67"/>
      <c r="P67"/>
      <c r="Q67"/>
      <c r="R67"/>
      <c r="S67"/>
      <c r="T67"/>
      <c r="U67"/>
      <c r="V67"/>
      <c r="W67"/>
      <c r="X67"/>
      <c r="Y67" s="218"/>
      <c r="Z67" s="218"/>
      <c r="AA67" s="218"/>
    </row>
    <row r="68" spans="1:35" ht="15" x14ac:dyDescent="0.25">
      <c r="A68" s="219">
        <v>45838</v>
      </c>
      <c r="B68" s="224">
        <v>0</v>
      </c>
      <c r="C68" s="221">
        <f t="shared" si="1"/>
        <v>900000</v>
      </c>
      <c r="D68" s="221">
        <f t="shared" si="0"/>
        <v>900000</v>
      </c>
      <c r="E68" s="221">
        <f t="shared" si="16"/>
        <v>24000</v>
      </c>
      <c r="F68" s="222">
        <f t="shared" si="10"/>
        <v>15000</v>
      </c>
      <c r="G68" s="221">
        <f t="shared" si="14"/>
        <v>-324000</v>
      </c>
      <c r="H68" s="222">
        <f t="shared" si="14"/>
        <v>-146250</v>
      </c>
      <c r="I68" s="221">
        <f t="shared" si="15"/>
        <v>576000</v>
      </c>
      <c r="J68" s="221">
        <f t="shared" si="15"/>
        <v>753750</v>
      </c>
      <c r="K68" s="221">
        <f t="shared" si="4"/>
        <v>177750</v>
      </c>
      <c r="L68" s="221">
        <f t="shared" si="5"/>
        <v>-37327.5</v>
      </c>
      <c r="M68" s="221">
        <f t="shared" si="6"/>
        <v>1890</v>
      </c>
      <c r="N68" s="223"/>
      <c r="O68"/>
      <c r="P68"/>
      <c r="Q68"/>
      <c r="R68"/>
      <c r="S68"/>
      <c r="T68"/>
      <c r="U68"/>
      <c r="V68"/>
      <c r="W68"/>
      <c r="X68"/>
      <c r="Y68" s="218"/>
      <c r="Z68" s="218"/>
      <c r="AA68" s="218"/>
    </row>
    <row r="69" spans="1:35" ht="15" x14ac:dyDescent="0.25">
      <c r="A69" s="219">
        <v>45869</v>
      </c>
      <c r="B69" s="224">
        <v>0</v>
      </c>
      <c r="C69" s="221">
        <f t="shared" si="1"/>
        <v>900000</v>
      </c>
      <c r="D69" s="221">
        <f t="shared" si="0"/>
        <v>900000</v>
      </c>
      <c r="E69" s="221">
        <f t="shared" si="16"/>
        <v>24000</v>
      </c>
      <c r="F69" s="222">
        <f t="shared" si="10"/>
        <v>15000</v>
      </c>
      <c r="G69" s="221">
        <f t="shared" si="14"/>
        <v>-348000</v>
      </c>
      <c r="H69" s="222">
        <f t="shared" si="14"/>
        <v>-161250</v>
      </c>
      <c r="I69" s="221">
        <f t="shared" si="15"/>
        <v>552000</v>
      </c>
      <c r="J69" s="221">
        <f t="shared" si="15"/>
        <v>738750</v>
      </c>
      <c r="K69" s="221">
        <f t="shared" si="4"/>
        <v>186750</v>
      </c>
      <c r="L69" s="221">
        <f t="shared" si="5"/>
        <v>-39217.5</v>
      </c>
      <c r="M69" s="221">
        <f t="shared" si="6"/>
        <v>1890</v>
      </c>
      <c r="N69" s="223"/>
      <c r="O69"/>
      <c r="P69"/>
      <c r="Q69"/>
      <c r="R69"/>
      <c r="S69"/>
      <c r="T69"/>
      <c r="U69"/>
      <c r="V69"/>
      <c r="W69"/>
      <c r="X69"/>
      <c r="Y69" s="218"/>
      <c r="Z69" s="218"/>
      <c r="AA69" s="218"/>
    </row>
    <row r="70" spans="1:35" ht="15" x14ac:dyDescent="0.25">
      <c r="A70" s="219">
        <v>45900</v>
      </c>
      <c r="B70" s="224">
        <v>0</v>
      </c>
      <c r="C70" s="221">
        <f t="shared" si="1"/>
        <v>900000</v>
      </c>
      <c r="D70" s="221">
        <f t="shared" si="0"/>
        <v>900000</v>
      </c>
      <c r="E70" s="221">
        <f t="shared" si="16"/>
        <v>24000</v>
      </c>
      <c r="F70" s="222">
        <f t="shared" si="10"/>
        <v>15000</v>
      </c>
      <c r="G70" s="221">
        <f t="shared" si="14"/>
        <v>-372000</v>
      </c>
      <c r="H70" s="222">
        <f t="shared" si="14"/>
        <v>-176250</v>
      </c>
      <c r="I70" s="221">
        <f t="shared" si="15"/>
        <v>528000</v>
      </c>
      <c r="J70" s="221">
        <f t="shared" si="15"/>
        <v>723750</v>
      </c>
      <c r="K70" s="221">
        <f>J70-I70</f>
        <v>195750</v>
      </c>
      <c r="L70" s="221">
        <f t="shared" si="5"/>
        <v>-41107.5</v>
      </c>
      <c r="M70" s="221">
        <f t="shared" si="6"/>
        <v>1890</v>
      </c>
      <c r="N70" s="223"/>
      <c r="O70"/>
      <c r="P70"/>
      <c r="Q70"/>
      <c r="R70"/>
      <c r="S70"/>
      <c r="T70"/>
      <c r="U70"/>
      <c r="V70"/>
      <c r="W70"/>
      <c r="X70"/>
      <c r="Y70" s="218"/>
      <c r="Z70" s="218"/>
      <c r="AA70" s="218"/>
    </row>
    <row r="71" spans="1:35" ht="15" x14ac:dyDescent="0.25">
      <c r="A71" s="219">
        <v>45930</v>
      </c>
      <c r="B71" s="224">
        <v>0</v>
      </c>
      <c r="C71" s="221">
        <f t="shared" si="1"/>
        <v>900000</v>
      </c>
      <c r="D71" s="221">
        <f t="shared" si="0"/>
        <v>900000</v>
      </c>
      <c r="E71" s="221">
        <f t="shared" si="16"/>
        <v>24000</v>
      </c>
      <c r="F71" s="222">
        <f t="shared" si="10"/>
        <v>15000</v>
      </c>
      <c r="G71" s="221">
        <f t="shared" si="14"/>
        <v>-396000</v>
      </c>
      <c r="H71" s="222">
        <f t="shared" si="14"/>
        <v>-191250</v>
      </c>
      <c r="I71" s="221">
        <f t="shared" si="15"/>
        <v>504000</v>
      </c>
      <c r="J71" s="221">
        <f t="shared" si="15"/>
        <v>708750</v>
      </c>
      <c r="K71" s="221">
        <f>J71-I71</f>
        <v>204750</v>
      </c>
      <c r="L71" s="221">
        <f t="shared" si="5"/>
        <v>-42997.5</v>
      </c>
      <c r="M71" s="221">
        <f t="shared" si="6"/>
        <v>1890</v>
      </c>
      <c r="N71" s="223"/>
      <c r="O71"/>
      <c r="P71"/>
      <c r="Q71"/>
      <c r="R71"/>
      <c r="S71"/>
      <c r="T71"/>
      <c r="U71"/>
      <c r="V71"/>
      <c r="W71"/>
      <c r="X71"/>
      <c r="Y71" s="218"/>
      <c r="Z71" s="218"/>
      <c r="AA71" s="218"/>
    </row>
    <row r="72" spans="1:35" ht="15" x14ac:dyDescent="0.25">
      <c r="A72" s="219">
        <v>45961</v>
      </c>
      <c r="B72" s="224">
        <v>0</v>
      </c>
      <c r="C72" s="221">
        <f t="shared" si="1"/>
        <v>900000</v>
      </c>
      <c r="D72" s="221">
        <f t="shared" si="0"/>
        <v>900000</v>
      </c>
      <c r="E72" s="221">
        <f t="shared" si="16"/>
        <v>24000</v>
      </c>
      <c r="F72" s="222">
        <f t="shared" si="10"/>
        <v>15000</v>
      </c>
      <c r="G72" s="221">
        <f t="shared" si="14"/>
        <v>-420000</v>
      </c>
      <c r="H72" s="222">
        <f t="shared" si="14"/>
        <v>-206250</v>
      </c>
      <c r="I72" s="221">
        <f t="shared" si="15"/>
        <v>480000</v>
      </c>
      <c r="J72" s="221">
        <f t="shared" si="15"/>
        <v>693750</v>
      </c>
      <c r="K72" s="221">
        <f t="shared" ref="K72:K74" si="17">J72-I72</f>
        <v>213750</v>
      </c>
      <c r="L72" s="221">
        <f t="shared" si="5"/>
        <v>-44887.5</v>
      </c>
      <c r="M72" s="221">
        <f t="shared" si="6"/>
        <v>1890</v>
      </c>
      <c r="N72" s="223"/>
      <c r="O72"/>
      <c r="P72"/>
      <c r="Q72"/>
      <c r="R72"/>
      <c r="S72"/>
      <c r="T72"/>
      <c r="U72"/>
      <c r="V72"/>
      <c r="W72"/>
      <c r="X72"/>
      <c r="Y72" s="218"/>
      <c r="Z72" s="218"/>
      <c r="AA72" s="218"/>
    </row>
    <row r="73" spans="1:35" ht="15" x14ac:dyDescent="0.25">
      <c r="A73" s="219">
        <v>45991</v>
      </c>
      <c r="B73" s="224">
        <v>0</v>
      </c>
      <c r="C73" s="221">
        <f t="shared" si="1"/>
        <v>900000</v>
      </c>
      <c r="D73" s="221">
        <f t="shared" si="0"/>
        <v>900000</v>
      </c>
      <c r="E73" s="221">
        <f t="shared" si="16"/>
        <v>24000</v>
      </c>
      <c r="F73" s="222">
        <f t="shared" si="10"/>
        <v>15000</v>
      </c>
      <c r="G73" s="221">
        <f t="shared" si="14"/>
        <v>-444000</v>
      </c>
      <c r="H73" s="222">
        <f t="shared" si="14"/>
        <v>-221250</v>
      </c>
      <c r="I73" s="221">
        <f t="shared" si="15"/>
        <v>456000</v>
      </c>
      <c r="J73" s="221">
        <f t="shared" si="15"/>
        <v>678750</v>
      </c>
      <c r="K73" s="221">
        <f t="shared" si="17"/>
        <v>222750</v>
      </c>
      <c r="L73" s="221">
        <f t="shared" si="5"/>
        <v>-46777.5</v>
      </c>
      <c r="M73" s="221">
        <f t="shared" si="6"/>
        <v>1890</v>
      </c>
      <c r="N73" s="223"/>
      <c r="O73"/>
      <c r="P73"/>
      <c r="Q73"/>
      <c r="R73"/>
      <c r="S73"/>
      <c r="T73"/>
      <c r="U73"/>
      <c r="V73"/>
      <c r="W73"/>
      <c r="X73"/>
      <c r="Y73" s="218"/>
      <c r="Z73" s="218"/>
      <c r="AA73" s="218"/>
    </row>
    <row r="74" spans="1:35" ht="15" x14ac:dyDescent="0.25">
      <c r="A74" s="219">
        <v>46022</v>
      </c>
      <c r="B74" s="224">
        <v>0</v>
      </c>
      <c r="C74" s="221">
        <f t="shared" si="1"/>
        <v>900000</v>
      </c>
      <c r="D74" s="221">
        <f t="shared" si="0"/>
        <v>900000</v>
      </c>
      <c r="E74" s="221">
        <f>($C$26*$G$6+($C$38-$C$26)*$F$6+($C$50-$C$38)*$E$6+($C$62-$C$50)*$D$6+($C$74-$C$62)*$C$6)/12</f>
        <v>24000</v>
      </c>
      <c r="F74" s="222">
        <f t="shared" si="10"/>
        <v>15000</v>
      </c>
      <c r="G74" s="221">
        <f t="shared" si="14"/>
        <v>-468000</v>
      </c>
      <c r="H74" s="222">
        <f t="shared" si="14"/>
        <v>-236250</v>
      </c>
      <c r="I74" s="221">
        <f t="shared" si="15"/>
        <v>432000</v>
      </c>
      <c r="J74" s="221">
        <f t="shared" si="15"/>
        <v>663750</v>
      </c>
      <c r="K74" s="221">
        <f t="shared" si="17"/>
        <v>231750</v>
      </c>
      <c r="L74" s="221">
        <f t="shared" si="5"/>
        <v>-48667.5</v>
      </c>
      <c r="M74" s="221">
        <f t="shared" si="6"/>
        <v>1890</v>
      </c>
      <c r="N74" s="223"/>
      <c r="O74"/>
      <c r="P74"/>
      <c r="Q74"/>
      <c r="R74"/>
      <c r="S74"/>
      <c r="T74"/>
      <c r="U74"/>
      <c r="V74"/>
      <c r="W74"/>
      <c r="X74"/>
      <c r="Y74" s="218"/>
      <c r="Z74" s="218"/>
      <c r="AA74" s="218"/>
    </row>
    <row r="75" spans="1:35" ht="15" x14ac:dyDescent="0.25">
      <c r="A75" s="246" t="s">
        <v>24</v>
      </c>
      <c r="B75" s="247"/>
      <c r="C75" s="248"/>
      <c r="D75" s="249">
        <f>D74-'TEP By Depr Grp'!AL6</f>
        <v>0</v>
      </c>
      <c r="E75" s="250">
        <f>G74+SUM(E15:E74)</f>
        <v>0</v>
      </c>
      <c r="F75" s="251">
        <f>H74+SUM(F21:F74)</f>
        <v>0</v>
      </c>
      <c r="G75" s="248"/>
      <c r="H75" s="252"/>
      <c r="I75" s="248"/>
      <c r="J75" s="248"/>
      <c r="K75" s="248"/>
      <c r="L75" s="248"/>
      <c r="M75" s="253"/>
      <c r="N75" s="223"/>
      <c r="O75"/>
      <c r="P75"/>
      <c r="Q75"/>
      <c r="R75"/>
      <c r="S75"/>
      <c r="T75"/>
      <c r="U75"/>
      <c r="V75"/>
      <c r="W75"/>
      <c r="X75"/>
      <c r="Y75" s="218"/>
      <c r="Z75" s="218"/>
      <c r="AA75" s="218"/>
    </row>
    <row r="76" spans="1:35" ht="15" x14ac:dyDescent="0.25">
      <c r="A76" s="158"/>
      <c r="B76" s="158"/>
      <c r="C76" s="158"/>
      <c r="D76" s="158"/>
      <c r="E76" s="158"/>
      <c r="F76" s="158"/>
      <c r="G76" s="158"/>
      <c r="H76" s="158"/>
      <c r="I76" s="158"/>
      <c r="J76" s="158"/>
      <c r="K76" s="158"/>
      <c r="L76" s="158"/>
      <c r="M76" s="158"/>
      <c r="N76" s="177"/>
      <c r="O76"/>
      <c r="P76"/>
      <c r="Q76"/>
      <c r="R76"/>
      <c r="S76"/>
      <c r="T76"/>
      <c r="U76"/>
      <c r="V76"/>
      <c r="W76"/>
      <c r="X76"/>
      <c r="Y76" s="218"/>
      <c r="Z76" s="218"/>
      <c r="AA76" s="218"/>
    </row>
    <row r="77" spans="1:35" ht="15" x14ac:dyDescent="0.25">
      <c r="A77" s="158"/>
      <c r="B77" s="158"/>
      <c r="C77" s="158"/>
      <c r="D77" s="158"/>
      <c r="E77" s="158"/>
      <c r="F77" s="158"/>
      <c r="G77" s="158"/>
      <c r="H77" s="158"/>
      <c r="I77" s="158"/>
      <c r="J77" s="158"/>
      <c r="K77" s="158"/>
      <c r="L77" s="158"/>
      <c r="M77" s="158"/>
      <c r="N77" s="177"/>
      <c r="O77"/>
      <c r="P77"/>
      <c r="Q77"/>
      <c r="R77"/>
      <c r="S77"/>
      <c r="T77"/>
      <c r="U77"/>
      <c r="V77"/>
      <c r="W77"/>
      <c r="X77"/>
      <c r="Y77" s="218"/>
      <c r="Z77" s="218"/>
      <c r="AA77" s="218"/>
    </row>
    <row r="78" spans="1:35" ht="15" x14ac:dyDescent="0.25">
      <c r="A78" s="158"/>
      <c r="B78" s="158"/>
      <c r="C78" s="158"/>
      <c r="D78" s="158"/>
      <c r="E78" s="158"/>
      <c r="F78" s="158"/>
      <c r="G78" s="158"/>
      <c r="H78" s="158"/>
      <c r="I78" s="158"/>
      <c r="J78" s="158"/>
      <c r="K78" s="158"/>
      <c r="L78" s="158"/>
      <c r="M78" s="158"/>
      <c r="N78" s="177"/>
      <c r="O78"/>
      <c r="P78"/>
      <c r="Q78"/>
      <c r="R78"/>
      <c r="S78"/>
      <c r="T78"/>
      <c r="U78"/>
      <c r="V78"/>
      <c r="W78"/>
      <c r="X78"/>
      <c r="Y78" s="218"/>
      <c r="Z78" s="218"/>
      <c r="AA78" s="218"/>
    </row>
    <row r="79" spans="1:35" ht="15" x14ac:dyDescent="0.25">
      <c r="A79" s="158"/>
      <c r="B79" s="158"/>
      <c r="C79" s="158"/>
      <c r="D79" s="158"/>
      <c r="E79" s="158"/>
      <c r="F79" s="158"/>
      <c r="G79" s="158"/>
      <c r="H79" s="158"/>
      <c r="I79" s="158"/>
      <c r="J79" s="158"/>
      <c r="K79" s="158"/>
      <c r="L79" s="158"/>
      <c r="M79" s="158"/>
      <c r="N79" s="177"/>
      <c r="O79"/>
      <c r="P79"/>
      <c r="Q79"/>
      <c r="R79"/>
      <c r="S79"/>
      <c r="T79"/>
      <c r="U79"/>
      <c r="V79"/>
      <c r="W79"/>
      <c r="X79"/>
      <c r="Y79" s="218"/>
      <c r="Z79" s="218"/>
      <c r="AA79" s="218"/>
    </row>
    <row r="80" spans="1:35" ht="15" x14ac:dyDescent="0.25">
      <c r="A80" s="158"/>
      <c r="B80" s="158"/>
      <c r="C80" s="158"/>
      <c r="D80" s="158"/>
      <c r="E80" s="158"/>
      <c r="F80" s="158"/>
      <c r="G80" s="158"/>
      <c r="H80" s="158"/>
      <c r="I80" s="158"/>
      <c r="J80" s="158"/>
      <c r="K80" s="158"/>
      <c r="L80" s="158"/>
      <c r="M80" s="158"/>
      <c r="N80" s="177"/>
      <c r="O80"/>
      <c r="P80"/>
      <c r="Q80"/>
      <c r="R80"/>
      <c r="S80"/>
      <c r="T80"/>
      <c r="U80"/>
      <c r="V80"/>
      <c r="W80"/>
      <c r="X80"/>
      <c r="Y80" s="218"/>
      <c r="Z80" s="218"/>
      <c r="AA80" s="218"/>
    </row>
    <row r="81" spans="1:43" ht="15" x14ac:dyDescent="0.25">
      <c r="A81" s="158"/>
      <c r="B81" s="158"/>
      <c r="C81" s="158"/>
      <c r="D81" s="158"/>
      <c r="E81" s="158"/>
      <c r="F81" s="158"/>
      <c r="G81" s="158"/>
      <c r="H81" s="158"/>
      <c r="I81" s="158"/>
      <c r="J81" s="158"/>
      <c r="K81" s="158"/>
      <c r="L81" s="158"/>
      <c r="M81" s="158"/>
      <c r="N81" s="177"/>
      <c r="O81"/>
      <c r="P81"/>
      <c r="Q81"/>
      <c r="R81"/>
      <c r="S81"/>
      <c r="T81"/>
      <c r="U81"/>
      <c r="V81"/>
      <c r="W81"/>
      <c r="X81"/>
      <c r="Y81" s="218"/>
      <c r="Z81" s="218"/>
      <c r="AA81" s="218"/>
    </row>
    <row r="82" spans="1:43" ht="15" x14ac:dyDescent="0.25">
      <c r="A82" s="158"/>
      <c r="B82" s="158"/>
      <c r="C82" s="158"/>
      <c r="D82" s="158"/>
      <c r="E82" s="158"/>
      <c r="F82" s="158"/>
      <c r="G82" s="158"/>
      <c r="H82" s="158"/>
      <c r="I82" s="158"/>
      <c r="J82" s="158"/>
      <c r="K82" s="158"/>
      <c r="L82" s="158"/>
      <c r="M82" s="158"/>
      <c r="N82" s="177"/>
      <c r="O82"/>
      <c r="P82"/>
      <c r="Q82"/>
      <c r="R82"/>
      <c r="S82"/>
      <c r="T82"/>
      <c r="U82"/>
      <c r="V82"/>
      <c r="W82"/>
      <c r="X82"/>
      <c r="Y82" s="218"/>
      <c r="Z82" s="218"/>
      <c r="AA82" s="218"/>
    </row>
    <row r="83" spans="1:43" ht="15" x14ac:dyDescent="0.25">
      <c r="A83" s="158"/>
      <c r="B83" s="158"/>
      <c r="C83" s="158"/>
      <c r="D83" s="158"/>
      <c r="E83" s="158"/>
      <c r="F83" s="158"/>
      <c r="G83" s="158"/>
      <c r="H83" s="158"/>
      <c r="I83" s="158"/>
      <c r="J83" s="158"/>
      <c r="K83" s="158"/>
      <c r="L83" s="158"/>
      <c r="M83" s="158"/>
      <c r="N83" s="177"/>
      <c r="O83"/>
      <c r="P83"/>
      <c r="Q83"/>
      <c r="R83"/>
      <c r="S83"/>
      <c r="T83"/>
      <c r="U83"/>
      <c r="V83"/>
      <c r="W83"/>
      <c r="X83"/>
      <c r="Y83" s="218"/>
      <c r="Z83" s="218"/>
      <c r="AA83" s="218"/>
    </row>
    <row r="84" spans="1:43" ht="15" x14ac:dyDescent="0.25">
      <c r="A84" s="158"/>
      <c r="B84" s="158"/>
      <c r="C84" s="158"/>
      <c r="D84" s="158"/>
      <c r="E84" s="158"/>
      <c r="F84" s="158"/>
      <c r="G84" s="158"/>
      <c r="H84" s="158"/>
      <c r="I84" s="158"/>
      <c r="J84" s="158"/>
      <c r="K84" s="158"/>
      <c r="L84" s="158"/>
      <c r="M84" s="158"/>
      <c r="N84" s="177"/>
      <c r="O84"/>
      <c r="P84"/>
      <c r="Q84"/>
      <c r="R84"/>
      <c r="S84"/>
      <c r="T84"/>
      <c r="U84"/>
      <c r="V84"/>
      <c r="W84"/>
      <c r="X84"/>
      <c r="Y84" s="218"/>
      <c r="Z84" s="218"/>
      <c r="AA84" s="218"/>
    </row>
    <row r="85" spans="1:43" ht="15" x14ac:dyDescent="0.25">
      <c r="A85" s="158"/>
      <c r="B85" s="158"/>
      <c r="C85" s="158"/>
      <c r="D85" s="158"/>
      <c r="E85" s="158"/>
      <c r="F85" s="158"/>
      <c r="G85" s="158"/>
      <c r="H85" s="158"/>
      <c r="I85" s="158"/>
      <c r="J85" s="158"/>
      <c r="K85" s="158"/>
      <c r="L85" s="158"/>
      <c r="M85" s="158"/>
      <c r="N85" s="177"/>
      <c r="O85"/>
      <c r="P85"/>
      <c r="Q85"/>
      <c r="R85"/>
      <c r="S85"/>
      <c r="T85"/>
      <c r="U85"/>
      <c r="V85"/>
      <c r="W85"/>
      <c r="X85"/>
      <c r="Y85" s="218"/>
      <c r="Z85" s="218"/>
      <c r="AA85" s="218"/>
    </row>
    <row r="86" spans="1:43" ht="15" x14ac:dyDescent="0.25">
      <c r="A86" s="158"/>
      <c r="B86" s="158"/>
      <c r="C86" s="158"/>
      <c r="D86" s="158"/>
      <c r="E86" s="158"/>
      <c r="F86" s="158"/>
      <c r="G86" s="158"/>
      <c r="H86" s="158"/>
      <c r="I86" s="158"/>
      <c r="J86" s="158"/>
      <c r="K86" s="158"/>
      <c r="L86" s="158"/>
      <c r="M86" s="158"/>
      <c r="N86" s="177"/>
      <c r="O86"/>
      <c r="P86"/>
      <c r="Q86"/>
      <c r="R86"/>
      <c r="S86"/>
      <c r="T86"/>
      <c r="U86"/>
      <c r="V86"/>
      <c r="W86"/>
      <c r="X86"/>
      <c r="Y86" s="218"/>
      <c r="Z86" s="218"/>
      <c r="AA86" s="218"/>
    </row>
    <row r="87" spans="1:43" ht="15" x14ac:dyDescent="0.25">
      <c r="A87" s="158"/>
      <c r="B87" s="158"/>
      <c r="C87" s="158"/>
      <c r="D87" s="158"/>
      <c r="E87" s="158"/>
      <c r="F87" s="158"/>
      <c r="G87" s="158"/>
      <c r="H87" s="158"/>
      <c r="I87" s="158"/>
      <c r="J87" s="158"/>
      <c r="K87" s="158"/>
      <c r="L87" s="158"/>
      <c r="M87" s="158"/>
      <c r="O87"/>
      <c r="P87"/>
      <c r="Q87"/>
      <c r="R87"/>
      <c r="S87"/>
      <c r="T87"/>
      <c r="U87"/>
      <c r="V87"/>
      <c r="W87"/>
      <c r="X87"/>
      <c r="Y87" s="218"/>
      <c r="Z87" s="218"/>
      <c r="AA87" s="218"/>
    </row>
    <row r="88" spans="1:43" ht="15" x14ac:dyDescent="0.25">
      <c r="A88" s="158"/>
      <c r="B88" s="158"/>
      <c r="C88" s="158"/>
      <c r="D88" s="158"/>
      <c r="E88" s="158"/>
      <c r="F88" s="158"/>
      <c r="G88" s="158"/>
      <c r="H88" s="158"/>
      <c r="I88" s="158"/>
      <c r="J88" s="158"/>
      <c r="K88" s="158"/>
      <c r="L88" s="158"/>
      <c r="M88" s="158"/>
      <c r="O88"/>
      <c r="P88"/>
      <c r="Q88"/>
      <c r="R88"/>
      <c r="S88"/>
      <c r="T88"/>
      <c r="U88"/>
      <c r="V88"/>
      <c r="W88"/>
      <c r="X88"/>
      <c r="Y88" s="218"/>
      <c r="Z88" s="218"/>
      <c r="AA88" s="218"/>
    </row>
    <row r="89" spans="1:43" s="205" customFormat="1" ht="15" x14ac:dyDescent="0.25">
      <c r="A89" s="158"/>
      <c r="B89" s="158"/>
      <c r="C89" s="158"/>
      <c r="D89" s="158"/>
      <c r="E89" s="158"/>
      <c r="F89" s="158"/>
      <c r="G89" s="158"/>
      <c r="H89" s="158"/>
      <c r="I89" s="158"/>
      <c r="J89" s="158"/>
      <c r="K89" s="158"/>
      <c r="L89" s="158"/>
      <c r="M89" s="158"/>
      <c r="O89"/>
      <c r="P89"/>
      <c r="Q89"/>
      <c r="R89"/>
      <c r="S89"/>
      <c r="T89"/>
      <c r="U89"/>
      <c r="V89"/>
      <c r="W89"/>
      <c r="X89"/>
      <c r="Y89" s="218"/>
      <c r="Z89" s="218"/>
      <c r="AA89" s="218"/>
      <c r="AB89" s="178"/>
      <c r="AC89" s="178"/>
      <c r="AD89" s="178"/>
      <c r="AE89" s="178"/>
      <c r="AF89" s="178"/>
      <c r="AG89" s="178"/>
      <c r="AH89" s="178"/>
      <c r="AI89" s="178"/>
      <c r="AJ89" s="178"/>
      <c r="AK89" s="178"/>
      <c r="AL89" s="178"/>
      <c r="AM89" s="178"/>
    </row>
    <row r="90" spans="1:43" s="205" customFormat="1" ht="15" x14ac:dyDescent="0.25">
      <c r="A90" s="158"/>
      <c r="B90" s="158"/>
      <c r="C90" s="158"/>
      <c r="D90" s="158"/>
      <c r="E90" s="158"/>
      <c r="F90" s="158"/>
      <c r="G90" s="158"/>
      <c r="H90" s="158"/>
      <c r="I90" s="158"/>
      <c r="J90" s="158"/>
      <c r="K90" s="158"/>
      <c r="L90" s="158"/>
      <c r="M90" s="158"/>
      <c r="O90"/>
      <c r="P90"/>
      <c r="Q90"/>
      <c r="R90"/>
      <c r="S90"/>
      <c r="T90"/>
      <c r="U90"/>
      <c r="V90"/>
      <c r="W90"/>
      <c r="X90"/>
      <c r="Y90" s="218"/>
      <c r="Z90" s="218"/>
      <c r="AA90" s="218"/>
      <c r="AB90" s="178"/>
      <c r="AC90" s="178"/>
      <c r="AD90" s="178"/>
      <c r="AE90" s="178"/>
      <c r="AF90" s="178"/>
      <c r="AG90" s="178"/>
      <c r="AH90" s="178"/>
      <c r="AI90" s="178"/>
      <c r="AJ90" s="178"/>
      <c r="AK90" s="178"/>
      <c r="AL90" s="178"/>
      <c r="AM90" s="178"/>
    </row>
    <row r="91" spans="1:43" s="205" customFormat="1" ht="15" x14ac:dyDescent="0.25">
      <c r="A91" s="158"/>
      <c r="B91" s="158"/>
      <c r="C91" s="158"/>
      <c r="D91" s="158"/>
      <c r="E91" s="158"/>
      <c r="F91" s="158"/>
      <c r="G91" s="158"/>
      <c r="H91" s="158"/>
      <c r="I91" s="158"/>
      <c r="J91" s="158"/>
      <c r="K91" s="158"/>
      <c r="L91" s="158"/>
      <c r="M91" s="158"/>
      <c r="O91"/>
      <c r="P91"/>
      <c r="Q91"/>
      <c r="R91"/>
      <c r="S91"/>
      <c r="T91"/>
      <c r="U91"/>
      <c r="V91"/>
      <c r="W91"/>
      <c r="X91"/>
      <c r="Y91" s="218"/>
      <c r="Z91" s="218"/>
      <c r="AA91" s="218"/>
      <c r="AB91" s="178"/>
      <c r="AC91" s="178"/>
      <c r="AD91" s="178"/>
      <c r="AE91" s="178"/>
      <c r="AF91" s="178"/>
      <c r="AG91" s="178"/>
      <c r="AH91" s="178"/>
      <c r="AI91" s="178"/>
      <c r="AJ91" s="178"/>
      <c r="AK91" s="178"/>
      <c r="AL91" s="178"/>
      <c r="AM91" s="178"/>
    </row>
    <row r="92" spans="1:43" s="205" customFormat="1" ht="15" x14ac:dyDescent="0.25">
      <c r="A92" s="158"/>
      <c r="B92" s="158"/>
      <c r="C92" s="158"/>
      <c r="D92" s="158"/>
      <c r="E92" s="158"/>
      <c r="F92" s="158"/>
      <c r="G92" s="158"/>
      <c r="H92" s="158"/>
      <c r="I92" s="158"/>
      <c r="J92" s="158"/>
      <c r="K92" s="158"/>
      <c r="L92" s="158"/>
      <c r="M92" s="158"/>
      <c r="O92"/>
      <c r="P92"/>
      <c r="Q92"/>
      <c r="R92"/>
      <c r="S92"/>
      <c r="T92"/>
      <c r="U92"/>
      <c r="V92"/>
      <c r="W92"/>
      <c r="X92"/>
      <c r="Y92" s="218"/>
      <c r="Z92" s="218"/>
      <c r="AA92" s="218"/>
      <c r="AB92" s="178"/>
      <c r="AC92" s="178"/>
      <c r="AD92" s="178"/>
      <c r="AE92" s="178"/>
      <c r="AF92" s="178"/>
      <c r="AG92" s="178"/>
      <c r="AH92" s="178"/>
      <c r="AI92" s="178"/>
      <c r="AJ92" s="178"/>
      <c r="AK92" s="178"/>
      <c r="AL92" s="178"/>
      <c r="AM92" s="178"/>
      <c r="AN92" s="178"/>
      <c r="AO92" s="178"/>
      <c r="AP92" s="178"/>
      <c r="AQ92" s="178"/>
    </row>
    <row r="93" spans="1:43" s="205" customFormat="1" ht="15" x14ac:dyDescent="0.25">
      <c r="A93" s="158"/>
      <c r="B93" s="158"/>
      <c r="C93" s="158"/>
      <c r="D93" s="158"/>
      <c r="E93" s="158"/>
      <c r="F93" s="158"/>
      <c r="G93" s="158"/>
      <c r="H93" s="158"/>
      <c r="I93" s="158"/>
      <c r="J93" s="158"/>
      <c r="K93" s="158"/>
      <c r="L93" s="158"/>
      <c r="M93" s="158"/>
      <c r="O93"/>
      <c r="P93"/>
      <c r="Q93"/>
      <c r="R93"/>
      <c r="S93"/>
      <c r="T93"/>
      <c r="U93"/>
      <c r="V93"/>
      <c r="W93"/>
      <c r="X93"/>
      <c r="Y93" s="218"/>
      <c r="Z93" s="218"/>
      <c r="AA93" s="218"/>
      <c r="AB93" s="178"/>
      <c r="AC93" s="178"/>
      <c r="AD93" s="178"/>
      <c r="AE93" s="178"/>
      <c r="AF93" s="178"/>
      <c r="AG93" s="178"/>
      <c r="AH93" s="178"/>
      <c r="AI93" s="178"/>
      <c r="AJ93" s="178"/>
      <c r="AK93" s="178"/>
      <c r="AL93" s="178"/>
      <c r="AM93" s="178"/>
      <c r="AN93" s="178"/>
      <c r="AO93" s="178"/>
      <c r="AP93" s="178"/>
      <c r="AQ93" s="178"/>
    </row>
    <row r="94" spans="1:43" ht="15" x14ac:dyDescent="0.25">
      <c r="A94" s="158"/>
      <c r="B94" s="158"/>
      <c r="C94" s="158"/>
      <c r="D94" s="158"/>
      <c r="E94" s="158"/>
      <c r="F94" s="158"/>
      <c r="G94" s="158"/>
      <c r="H94" s="158"/>
      <c r="I94" s="158"/>
      <c r="J94" s="158"/>
      <c r="K94" s="158"/>
      <c r="L94" s="158"/>
      <c r="M94" s="158"/>
      <c r="O94"/>
      <c r="P94"/>
      <c r="Q94"/>
      <c r="R94"/>
      <c r="S94"/>
      <c r="T94"/>
      <c r="U94"/>
      <c r="V94"/>
      <c r="W94"/>
      <c r="X94"/>
      <c r="Y94" s="218"/>
      <c r="Z94" s="218"/>
      <c r="AA94" s="218"/>
    </row>
    <row r="95" spans="1:43" ht="15" x14ac:dyDescent="0.25">
      <c r="A95" s="158"/>
      <c r="B95" s="158"/>
      <c r="C95" s="158"/>
      <c r="D95" s="158"/>
      <c r="E95" s="158"/>
      <c r="F95" s="158"/>
      <c r="G95" s="158"/>
      <c r="H95" s="158"/>
      <c r="I95" s="158"/>
      <c r="J95" s="158"/>
      <c r="K95" s="158"/>
      <c r="L95" s="158"/>
      <c r="M95" s="158"/>
      <c r="O95"/>
      <c r="P95"/>
      <c r="Q95"/>
      <c r="R95"/>
      <c r="S95"/>
      <c r="T95"/>
      <c r="U95"/>
      <c r="V95"/>
      <c r="W95"/>
      <c r="X95"/>
      <c r="Y95" s="218"/>
      <c r="Z95" s="218"/>
      <c r="AA95" s="218"/>
    </row>
    <row r="96" spans="1:43" ht="15" x14ac:dyDescent="0.25">
      <c r="A96" s="158"/>
      <c r="B96" s="158"/>
      <c r="C96" s="158"/>
      <c r="D96" s="158"/>
      <c r="E96" s="158"/>
      <c r="F96" s="158"/>
      <c r="G96" s="158"/>
      <c r="H96" s="158"/>
      <c r="I96" s="158"/>
      <c r="J96" s="158"/>
      <c r="K96" s="158"/>
      <c r="L96" s="158"/>
      <c r="M96" s="158"/>
      <c r="O96"/>
      <c r="P96"/>
      <c r="Q96"/>
      <c r="R96"/>
      <c r="S96"/>
      <c r="T96"/>
      <c r="U96"/>
      <c r="V96"/>
      <c r="W96"/>
      <c r="X96"/>
      <c r="Y96" s="218"/>
      <c r="Z96" s="218"/>
      <c r="AA96" s="218"/>
    </row>
    <row r="97" spans="1:27" ht="15" x14ac:dyDescent="0.25">
      <c r="A97" s="158"/>
      <c r="B97" s="158"/>
      <c r="C97" s="158"/>
      <c r="D97" s="158"/>
      <c r="E97" s="158"/>
      <c r="F97" s="158"/>
      <c r="G97" s="158"/>
      <c r="H97" s="158"/>
      <c r="I97" s="158"/>
      <c r="J97" s="158"/>
      <c r="K97" s="158"/>
      <c r="L97" s="158"/>
      <c r="M97" s="158"/>
      <c r="O97"/>
      <c r="P97"/>
      <c r="Q97"/>
      <c r="R97"/>
      <c r="S97"/>
      <c r="T97"/>
      <c r="U97"/>
      <c r="V97"/>
      <c r="W97"/>
      <c r="X97"/>
      <c r="Y97" s="218"/>
      <c r="Z97" s="218"/>
      <c r="AA97" s="218"/>
    </row>
    <row r="98" spans="1:27" ht="15" x14ac:dyDescent="0.25">
      <c r="A98" s="218"/>
      <c r="B98" s="218"/>
      <c r="C98" s="218"/>
      <c r="D98" s="218"/>
      <c r="E98" s="218"/>
      <c r="F98" s="218"/>
      <c r="G98" s="218"/>
      <c r="H98" s="218"/>
      <c r="I98" s="218"/>
      <c r="J98" s="218"/>
      <c r="K98" s="218"/>
      <c r="L98" s="218"/>
      <c r="M98" s="218"/>
      <c r="O98"/>
      <c r="P98"/>
      <c r="Q98"/>
      <c r="R98"/>
      <c r="S98"/>
      <c r="T98"/>
      <c r="U98"/>
      <c r="V98"/>
      <c r="W98"/>
      <c r="X98"/>
      <c r="Y98" s="218"/>
      <c r="Z98" s="218"/>
      <c r="AA98" s="218"/>
    </row>
    <row r="99" spans="1:27" ht="15" x14ac:dyDescent="0.25">
      <c r="A99" s="218"/>
      <c r="B99" s="218"/>
      <c r="C99" s="218"/>
      <c r="D99" s="218"/>
      <c r="E99" s="218"/>
      <c r="F99" s="218"/>
      <c r="G99" s="218"/>
      <c r="H99" s="218"/>
      <c r="I99" s="218"/>
      <c r="J99" s="218"/>
      <c r="K99" s="218"/>
      <c r="L99" s="218"/>
      <c r="M99" s="218"/>
      <c r="O99"/>
      <c r="P99"/>
      <c r="Q99"/>
      <c r="R99"/>
      <c r="S99"/>
      <c r="T99"/>
      <c r="U99"/>
      <c r="V99"/>
      <c r="W99"/>
      <c r="X99"/>
      <c r="Y99" s="218"/>
      <c r="Z99" s="218"/>
      <c r="AA99" s="218"/>
    </row>
    <row r="100" spans="1:27" ht="15" x14ac:dyDescent="0.25">
      <c r="A100" s="218"/>
      <c r="B100" s="218"/>
      <c r="C100" s="218"/>
      <c r="D100" s="218"/>
      <c r="E100" s="218"/>
      <c r="F100" s="218"/>
      <c r="G100" s="218"/>
      <c r="H100" s="218"/>
      <c r="I100" s="218"/>
      <c r="J100" s="218"/>
      <c r="K100" s="218"/>
      <c r="L100" s="218"/>
      <c r="M100" s="218"/>
      <c r="O100"/>
      <c r="P100"/>
      <c r="Q100"/>
      <c r="R100"/>
      <c r="S100"/>
      <c r="T100"/>
      <c r="U100"/>
      <c r="V100"/>
      <c r="W100"/>
      <c r="X100"/>
      <c r="Y100" s="218"/>
      <c r="Z100" s="218"/>
      <c r="AA100" s="218"/>
    </row>
    <row r="101" spans="1:27" ht="15" x14ac:dyDescent="0.25">
      <c r="A101" s="218"/>
      <c r="B101" s="218"/>
      <c r="C101" s="218"/>
      <c r="D101" s="218"/>
      <c r="E101" s="218"/>
      <c r="F101" s="218"/>
      <c r="G101" s="218"/>
      <c r="H101" s="218"/>
      <c r="I101" s="218"/>
      <c r="J101" s="218"/>
      <c r="K101" s="218"/>
      <c r="L101" s="218"/>
      <c r="M101" s="218"/>
      <c r="O101"/>
      <c r="P101"/>
      <c r="Q101"/>
      <c r="R101"/>
      <c r="S101"/>
      <c r="T101"/>
      <c r="U101"/>
      <c r="V101"/>
      <c r="W101"/>
      <c r="X101"/>
      <c r="Y101" s="218"/>
      <c r="Z101" s="218"/>
      <c r="AA101" s="218"/>
    </row>
    <row r="102" spans="1:27" ht="15" x14ac:dyDescent="0.25">
      <c r="A102" s="218"/>
      <c r="B102" s="218"/>
      <c r="C102" s="218"/>
      <c r="D102" s="218"/>
      <c r="E102" s="218"/>
      <c r="F102" s="218"/>
      <c r="G102" s="218"/>
      <c r="H102" s="218"/>
      <c r="I102" s="218"/>
      <c r="J102" s="218"/>
      <c r="K102" s="218"/>
      <c r="L102" s="218"/>
      <c r="M102" s="218"/>
      <c r="O102"/>
      <c r="P102"/>
      <c r="Q102"/>
      <c r="R102"/>
      <c r="S102"/>
      <c r="T102"/>
      <c r="U102"/>
      <c r="V102"/>
      <c r="W102"/>
      <c r="X102"/>
      <c r="Y102" s="218"/>
      <c r="Z102" s="218"/>
      <c r="AA102" s="218"/>
    </row>
    <row r="103" spans="1:27" ht="15" x14ac:dyDescent="0.25">
      <c r="A103" s="218"/>
      <c r="B103" s="218"/>
      <c r="C103" s="218"/>
      <c r="D103" s="218"/>
      <c r="E103" s="218"/>
      <c r="F103" s="218"/>
      <c r="G103" s="218"/>
      <c r="H103" s="218"/>
      <c r="I103" s="218"/>
      <c r="J103" s="218"/>
      <c r="K103" s="218"/>
      <c r="L103" s="218"/>
      <c r="M103" s="218"/>
      <c r="O103"/>
      <c r="P103"/>
      <c r="Q103"/>
      <c r="R103"/>
      <c r="S103"/>
      <c r="T103"/>
      <c r="U103"/>
      <c r="V103"/>
      <c r="W103"/>
      <c r="X103"/>
      <c r="Y103" s="218"/>
      <c r="Z103" s="218"/>
      <c r="AA103" s="218"/>
    </row>
    <row r="104" spans="1:27" ht="15" x14ac:dyDescent="0.25">
      <c r="A104" s="218"/>
      <c r="B104" s="218"/>
      <c r="C104" s="218"/>
      <c r="D104" s="218"/>
      <c r="E104" s="218"/>
      <c r="F104" s="218"/>
      <c r="G104" s="218"/>
      <c r="H104" s="218"/>
      <c r="I104" s="218"/>
      <c r="J104" s="218"/>
      <c r="K104" s="218"/>
      <c r="L104" s="218"/>
      <c r="M104" s="218"/>
      <c r="O104"/>
      <c r="P104"/>
      <c r="Q104"/>
      <c r="R104"/>
      <c r="S104"/>
      <c r="T104"/>
      <c r="U104"/>
      <c r="V104"/>
      <c r="W104"/>
      <c r="X104"/>
      <c r="Y104" s="218"/>
      <c r="Z104" s="218"/>
      <c r="AA104" s="218"/>
    </row>
    <row r="105" spans="1:27" ht="15" x14ac:dyDescent="0.25">
      <c r="A105" s="218"/>
      <c r="B105" s="218"/>
      <c r="C105" s="218"/>
      <c r="D105" s="218"/>
      <c r="E105" s="218"/>
      <c r="F105" s="218"/>
      <c r="G105" s="218"/>
      <c r="H105" s="218"/>
      <c r="I105" s="218"/>
      <c r="J105" s="218"/>
      <c r="K105" s="218"/>
      <c r="L105" s="218"/>
      <c r="M105" s="218"/>
      <c r="O105"/>
      <c r="P105"/>
      <c r="Q105"/>
      <c r="R105"/>
      <c r="S105"/>
      <c r="T105"/>
      <c r="U105"/>
      <c r="V105"/>
      <c r="W105"/>
      <c r="X105"/>
      <c r="Y105" s="218"/>
      <c r="Z105" s="218"/>
      <c r="AA105" s="218"/>
    </row>
    <row r="106" spans="1:27" ht="15" x14ac:dyDescent="0.25">
      <c r="A106" s="218"/>
      <c r="B106" s="218"/>
      <c r="C106" s="218"/>
      <c r="D106" s="218"/>
      <c r="E106" s="218"/>
      <c r="F106" s="218"/>
      <c r="G106" s="218"/>
      <c r="H106" s="218"/>
      <c r="I106" s="218"/>
      <c r="J106" s="218"/>
      <c r="K106" s="218"/>
      <c r="L106" s="218"/>
      <c r="M106" s="218"/>
      <c r="O106"/>
      <c r="P106"/>
      <c r="Q106"/>
      <c r="R106"/>
      <c r="S106"/>
      <c r="T106"/>
      <c r="U106"/>
      <c r="V106"/>
      <c r="W106"/>
      <c r="X106"/>
      <c r="Y106" s="218"/>
      <c r="Z106" s="218"/>
      <c r="AA106" s="218"/>
    </row>
    <row r="107" spans="1:27" ht="15" x14ac:dyDescent="0.25">
      <c r="A107" s="218"/>
      <c r="B107" s="218"/>
      <c r="C107" s="218"/>
      <c r="D107" s="218"/>
      <c r="E107" s="218"/>
      <c r="F107" s="218"/>
      <c r="G107" s="218"/>
      <c r="H107" s="218"/>
      <c r="I107" s="218"/>
      <c r="J107" s="218"/>
      <c r="K107" s="218"/>
      <c r="L107" s="218"/>
      <c r="M107" s="218"/>
      <c r="O107"/>
      <c r="P107"/>
      <c r="Q107"/>
      <c r="R107"/>
      <c r="S107"/>
      <c r="T107"/>
      <c r="U107"/>
      <c r="V107"/>
      <c r="W107"/>
      <c r="X107"/>
      <c r="Y107" s="218"/>
      <c r="Z107" s="218"/>
      <c r="AA107" s="218"/>
    </row>
    <row r="108" spans="1:27" ht="15" x14ac:dyDescent="0.25">
      <c r="A108" s="218"/>
      <c r="B108" s="218"/>
      <c r="C108" s="218"/>
      <c r="D108" s="218"/>
      <c r="E108" s="218"/>
      <c r="F108" s="218"/>
      <c r="G108" s="218"/>
      <c r="H108" s="218"/>
      <c r="I108" s="218"/>
      <c r="J108" s="218"/>
      <c r="K108" s="218"/>
      <c r="L108" s="218"/>
      <c r="M108" s="218"/>
      <c r="O108"/>
      <c r="P108"/>
      <c r="Q108"/>
      <c r="R108"/>
      <c r="S108"/>
      <c r="T108"/>
      <c r="U108"/>
      <c r="V108"/>
      <c r="W108"/>
      <c r="X108"/>
      <c r="Y108" s="218"/>
      <c r="Z108" s="218"/>
      <c r="AA108" s="218"/>
    </row>
    <row r="109" spans="1:27" ht="15" x14ac:dyDescent="0.25">
      <c r="A109" s="218"/>
      <c r="B109" s="218"/>
      <c r="C109" s="218"/>
      <c r="D109" s="218"/>
      <c r="E109" s="218"/>
      <c r="F109" s="218"/>
      <c r="G109" s="218"/>
      <c r="H109" s="218"/>
      <c r="I109" s="218"/>
      <c r="J109" s="218"/>
      <c r="K109" s="218"/>
      <c r="L109" s="218"/>
      <c r="M109" s="218"/>
      <c r="O109"/>
      <c r="P109"/>
      <c r="Q109"/>
      <c r="R109"/>
      <c r="S109"/>
      <c r="T109"/>
      <c r="U109"/>
      <c r="V109"/>
      <c r="W109"/>
      <c r="X109"/>
      <c r="Y109" s="218"/>
      <c r="Z109" s="218"/>
      <c r="AA109" s="218"/>
    </row>
    <row r="110" spans="1:27" ht="15" x14ac:dyDescent="0.25">
      <c r="A110" s="218"/>
      <c r="B110" s="218"/>
      <c r="C110" s="218"/>
      <c r="D110" s="218"/>
      <c r="E110" s="218"/>
      <c r="F110" s="218"/>
      <c r="G110" s="218"/>
      <c r="H110" s="218"/>
      <c r="I110" s="218"/>
      <c r="J110" s="218"/>
      <c r="K110" s="218"/>
      <c r="L110" s="218"/>
      <c r="M110" s="218"/>
      <c r="O110"/>
      <c r="P110"/>
      <c r="Q110"/>
      <c r="R110"/>
      <c r="S110"/>
      <c r="T110"/>
      <c r="U110"/>
      <c r="V110"/>
      <c r="W110"/>
      <c r="X110"/>
      <c r="Y110" s="218"/>
      <c r="Z110" s="218"/>
      <c r="AA110" s="218"/>
    </row>
    <row r="111" spans="1:27" ht="15" x14ac:dyDescent="0.25">
      <c r="A111" s="218"/>
      <c r="B111" s="218"/>
      <c r="C111" s="218"/>
      <c r="D111" s="218"/>
      <c r="E111" s="218"/>
      <c r="F111" s="218"/>
      <c r="G111" s="218"/>
      <c r="H111" s="218"/>
      <c r="I111" s="218"/>
      <c r="J111" s="218"/>
      <c r="K111" s="218"/>
      <c r="L111" s="218"/>
      <c r="M111" s="218"/>
      <c r="O111"/>
      <c r="P111"/>
      <c r="Q111"/>
      <c r="R111"/>
      <c r="S111"/>
      <c r="T111"/>
      <c r="U111"/>
      <c r="V111"/>
      <c r="W111"/>
      <c r="X111"/>
      <c r="Y111" s="218"/>
      <c r="Z111" s="218"/>
      <c r="AA111" s="218"/>
    </row>
    <row r="112" spans="1:27" ht="15" x14ac:dyDescent="0.25">
      <c r="A112" s="218"/>
      <c r="B112" s="218"/>
      <c r="C112" s="218"/>
      <c r="D112" s="218"/>
      <c r="E112" s="218"/>
      <c r="F112" s="218"/>
      <c r="G112" s="218"/>
      <c r="H112" s="218"/>
      <c r="I112" s="218"/>
      <c r="J112" s="218"/>
      <c r="K112" s="218"/>
      <c r="L112" s="218"/>
      <c r="M112" s="218"/>
      <c r="O112"/>
      <c r="P112"/>
      <c r="Q112"/>
      <c r="R112"/>
      <c r="S112"/>
      <c r="T112"/>
      <c r="U112"/>
      <c r="V112"/>
      <c r="W112"/>
      <c r="X112"/>
      <c r="Y112" s="218"/>
      <c r="Z112" s="218"/>
      <c r="AA112" s="218"/>
    </row>
    <row r="113" spans="1:27" ht="15" x14ac:dyDescent="0.25">
      <c r="A113" s="218"/>
      <c r="B113" s="218"/>
      <c r="C113" s="218"/>
      <c r="D113" s="218"/>
      <c r="E113" s="218"/>
      <c r="F113" s="218"/>
      <c r="G113" s="218"/>
      <c r="H113" s="218"/>
      <c r="I113" s="218"/>
      <c r="J113" s="218"/>
      <c r="K113" s="218"/>
      <c r="L113" s="218"/>
      <c r="M113" s="218"/>
      <c r="O113"/>
      <c r="P113"/>
      <c r="Q113"/>
      <c r="R113"/>
      <c r="S113"/>
      <c r="T113"/>
      <c r="U113"/>
      <c r="V113"/>
      <c r="W113"/>
      <c r="X113"/>
      <c r="Y113" s="218"/>
      <c r="Z113" s="218"/>
      <c r="AA113" s="218"/>
    </row>
    <row r="114" spans="1:27" ht="15" x14ac:dyDescent="0.25">
      <c r="A114" s="218"/>
      <c r="B114" s="218"/>
      <c r="C114" s="218"/>
      <c r="D114" s="218"/>
      <c r="E114" s="218"/>
      <c r="F114" s="218"/>
      <c r="G114" s="218"/>
      <c r="H114" s="218"/>
      <c r="I114" s="218"/>
      <c r="J114" s="218"/>
      <c r="K114" s="218"/>
      <c r="L114" s="218"/>
      <c r="M114" s="218"/>
      <c r="O114"/>
      <c r="P114"/>
      <c r="Q114"/>
      <c r="R114"/>
      <c r="S114"/>
      <c r="T114"/>
      <c r="U114"/>
      <c r="V114"/>
      <c r="W114"/>
      <c r="X114"/>
      <c r="Y114" s="218"/>
      <c r="Z114" s="218"/>
      <c r="AA114" s="218"/>
    </row>
    <row r="115" spans="1:27" ht="15" x14ac:dyDescent="0.25">
      <c r="A115" s="218"/>
      <c r="B115" s="218"/>
      <c r="C115" s="218"/>
      <c r="D115" s="218"/>
      <c r="E115" s="218"/>
      <c r="F115" s="218"/>
      <c r="G115" s="218"/>
      <c r="H115" s="218"/>
      <c r="I115" s="218"/>
      <c r="J115" s="218"/>
      <c r="K115" s="218"/>
      <c r="L115" s="218"/>
      <c r="M115" s="218"/>
      <c r="O115"/>
      <c r="P115"/>
      <c r="Q115"/>
      <c r="R115"/>
      <c r="S115"/>
      <c r="T115"/>
      <c r="U115"/>
      <c r="V115"/>
      <c r="W115"/>
      <c r="X115"/>
      <c r="Y115" s="218"/>
      <c r="Z115" s="218"/>
      <c r="AA115" s="218"/>
    </row>
    <row r="116" spans="1:27" ht="15" x14ac:dyDescent="0.25">
      <c r="A116" s="218"/>
      <c r="B116" s="218"/>
      <c r="C116" s="218"/>
      <c r="D116" s="218"/>
      <c r="E116" s="218"/>
      <c r="F116" s="218"/>
      <c r="G116" s="218"/>
      <c r="H116" s="218"/>
      <c r="I116" s="218"/>
      <c r="J116" s="218"/>
      <c r="K116" s="218"/>
      <c r="L116" s="218"/>
      <c r="M116" s="218"/>
      <c r="O116"/>
      <c r="P116"/>
      <c r="Q116"/>
      <c r="R116"/>
      <c r="S116"/>
      <c r="T116"/>
      <c r="U116"/>
      <c r="V116"/>
      <c r="W116"/>
      <c r="X116"/>
      <c r="Y116" s="218"/>
      <c r="Z116" s="218"/>
      <c r="AA116" s="218"/>
    </row>
    <row r="117" spans="1:27" ht="15" x14ac:dyDescent="0.25">
      <c r="A117" s="218"/>
      <c r="B117" s="218"/>
      <c r="C117" s="218"/>
      <c r="D117" s="218"/>
      <c r="E117" s="218"/>
      <c r="F117" s="218"/>
      <c r="G117" s="218"/>
      <c r="H117" s="218"/>
      <c r="I117" s="218"/>
      <c r="J117" s="218"/>
      <c r="K117" s="218"/>
      <c r="L117" s="218"/>
      <c r="M117" s="218"/>
      <c r="Y117" s="218"/>
      <c r="Z117" s="218"/>
      <c r="AA117" s="218"/>
    </row>
    <row r="118" spans="1:27" ht="15" x14ac:dyDescent="0.25">
      <c r="A118" s="218"/>
      <c r="B118" s="218"/>
      <c r="C118" s="218"/>
      <c r="D118" s="218"/>
      <c r="E118" s="218"/>
      <c r="F118" s="218"/>
      <c r="G118" s="218"/>
      <c r="H118" s="218"/>
      <c r="I118" s="218"/>
      <c r="J118" s="218"/>
      <c r="K118" s="218"/>
      <c r="L118" s="218"/>
      <c r="M118" s="218"/>
      <c r="Y118" s="218"/>
      <c r="Z118" s="218"/>
      <c r="AA118" s="218"/>
    </row>
    <row r="119" spans="1:27" ht="15" x14ac:dyDescent="0.25">
      <c r="A119" s="218"/>
      <c r="B119" s="218"/>
      <c r="C119" s="218"/>
      <c r="D119" s="218"/>
      <c r="E119" s="218"/>
      <c r="F119" s="218"/>
      <c r="G119" s="218"/>
      <c r="H119" s="218"/>
      <c r="I119" s="218"/>
      <c r="J119" s="218"/>
      <c r="K119" s="218"/>
      <c r="L119" s="218"/>
      <c r="M119" s="218"/>
      <c r="Y119" s="218"/>
      <c r="Z119" s="218"/>
      <c r="AA119" s="218"/>
    </row>
    <row r="120" spans="1:27" ht="15" x14ac:dyDescent="0.25">
      <c r="A120" s="218"/>
      <c r="B120" s="218"/>
      <c r="C120" s="218"/>
      <c r="D120" s="218"/>
      <c r="E120" s="218"/>
      <c r="F120" s="218"/>
      <c r="G120" s="218"/>
      <c r="H120" s="218"/>
      <c r="I120" s="218"/>
      <c r="J120" s="218"/>
      <c r="K120" s="218"/>
      <c r="L120" s="218"/>
      <c r="M120" s="218"/>
      <c r="Y120" s="218"/>
      <c r="Z120" s="218"/>
      <c r="AA120" s="218"/>
    </row>
    <row r="121" spans="1:27" ht="15" x14ac:dyDescent="0.25">
      <c r="A121" s="218"/>
      <c r="B121" s="218"/>
      <c r="C121" s="218"/>
      <c r="D121" s="218"/>
      <c r="E121" s="218"/>
      <c r="F121" s="218"/>
      <c r="G121" s="218"/>
      <c r="H121" s="218"/>
      <c r="I121" s="218"/>
      <c r="J121" s="218"/>
      <c r="K121" s="218"/>
      <c r="L121" s="218"/>
      <c r="M121" s="218"/>
      <c r="Y121" s="218"/>
      <c r="Z121" s="218"/>
      <c r="AA121" s="218"/>
    </row>
    <row r="122" spans="1:27" ht="15" x14ac:dyDescent="0.25">
      <c r="A122" s="218"/>
      <c r="B122" s="218"/>
      <c r="C122" s="218"/>
      <c r="D122" s="218"/>
      <c r="E122" s="218"/>
      <c r="F122" s="218"/>
      <c r="G122" s="218"/>
      <c r="H122" s="218"/>
      <c r="I122" s="218"/>
      <c r="J122" s="218"/>
      <c r="K122" s="218"/>
      <c r="L122" s="218"/>
      <c r="M122" s="218"/>
      <c r="Y122" s="218"/>
      <c r="Z122" s="218"/>
      <c r="AA122" s="218"/>
    </row>
    <row r="123" spans="1:27" ht="15" x14ac:dyDescent="0.25">
      <c r="Y123" s="218"/>
      <c r="Z123" s="218"/>
      <c r="AA123" s="218"/>
    </row>
    <row r="124" spans="1:27" ht="15" x14ac:dyDescent="0.25">
      <c r="Y124" s="218"/>
      <c r="Z124" s="218"/>
      <c r="AA124" s="218"/>
    </row>
    <row r="125" spans="1:27" ht="15" x14ac:dyDescent="0.25">
      <c r="Y125" s="218"/>
      <c r="Z125" s="218"/>
      <c r="AA125" s="218"/>
    </row>
    <row r="126" spans="1:27" ht="15" x14ac:dyDescent="0.25">
      <c r="Y126" s="218"/>
      <c r="Z126" s="218"/>
      <c r="AA126" s="218"/>
    </row>
    <row r="127" spans="1:27" ht="15" x14ac:dyDescent="0.25">
      <c r="Y127" s="218"/>
      <c r="Z127" s="218"/>
      <c r="AA127" s="218"/>
    </row>
    <row r="128" spans="1:27" ht="15" x14ac:dyDescent="0.25">
      <c r="Y128" s="218"/>
      <c r="Z128" s="218"/>
      <c r="AA128" s="218"/>
    </row>
    <row r="129" spans="25:27" ht="15" x14ac:dyDescent="0.25">
      <c r="Y129" s="218"/>
      <c r="Z129" s="218"/>
      <c r="AA129" s="218"/>
    </row>
    <row r="130" spans="25:27" ht="15" x14ac:dyDescent="0.25">
      <c r="Y130" s="218"/>
      <c r="Z130" s="218"/>
      <c r="AA130" s="218"/>
    </row>
    <row r="131" spans="25:27" ht="15" x14ac:dyDescent="0.25">
      <c r="Y131" s="218"/>
      <c r="Z131" s="218"/>
      <c r="AA131" s="218"/>
    </row>
    <row r="132" spans="25:27" ht="15" x14ac:dyDescent="0.25">
      <c r="Y132" s="218"/>
      <c r="Z132" s="218"/>
      <c r="AA132" s="218"/>
    </row>
    <row r="133" spans="25:27" ht="15" x14ac:dyDescent="0.25">
      <c r="Y133" s="218"/>
      <c r="Z133" s="218"/>
      <c r="AA133" s="218"/>
    </row>
    <row r="134" spans="25:27" ht="15" x14ac:dyDescent="0.25">
      <c r="Y134" s="218"/>
      <c r="Z134" s="218"/>
      <c r="AA134" s="218"/>
    </row>
    <row r="135" spans="25:27" ht="15" x14ac:dyDescent="0.25">
      <c r="Y135" s="218"/>
      <c r="Z135" s="218"/>
      <c r="AA135" s="218"/>
    </row>
    <row r="136" spans="25:27" ht="15" x14ac:dyDescent="0.25">
      <c r="Y136" s="218"/>
      <c r="Z136" s="218"/>
      <c r="AA136" s="218"/>
    </row>
    <row r="137" spans="25:27" ht="15" x14ac:dyDescent="0.25">
      <c r="Y137" s="218"/>
      <c r="Z137" s="218"/>
      <c r="AA137" s="218"/>
    </row>
    <row r="138" spans="25:27" ht="15" x14ac:dyDescent="0.25">
      <c r="Y138" s="218"/>
      <c r="Z138" s="218"/>
      <c r="AA138" s="218"/>
    </row>
    <row r="139" spans="25:27" ht="15" x14ac:dyDescent="0.25">
      <c r="Y139" s="218"/>
      <c r="Z139" s="218"/>
      <c r="AA139" s="218"/>
    </row>
    <row r="140" spans="25:27" ht="15" x14ac:dyDescent="0.25">
      <c r="Y140" s="218"/>
      <c r="Z140" s="218"/>
      <c r="AA140" s="218"/>
    </row>
    <row r="141" spans="25:27" ht="15" x14ac:dyDescent="0.25">
      <c r="Y141" s="218"/>
      <c r="Z141" s="218"/>
      <c r="AA141" s="218"/>
    </row>
    <row r="142" spans="25:27" ht="15" x14ac:dyDescent="0.25">
      <c r="Y142" s="218"/>
      <c r="Z142" s="218"/>
      <c r="AA142" s="218"/>
    </row>
    <row r="143" spans="25:27" ht="15" x14ac:dyDescent="0.25">
      <c r="Y143" s="218"/>
      <c r="Z143" s="218"/>
      <c r="AA143" s="218"/>
    </row>
    <row r="144" spans="25:27" ht="15" x14ac:dyDescent="0.25">
      <c r="Y144" s="218"/>
      <c r="Z144" s="218"/>
      <c r="AA144" s="218"/>
    </row>
    <row r="145" spans="25:27" ht="15" x14ac:dyDescent="0.25">
      <c r="Y145" s="218"/>
      <c r="Z145" s="218"/>
      <c r="AA145" s="218"/>
    </row>
    <row r="146" spans="25:27" ht="15" x14ac:dyDescent="0.25">
      <c r="Y146" s="218"/>
      <c r="Z146" s="218"/>
      <c r="AA146" s="218"/>
    </row>
    <row r="147" spans="25:27" ht="15" x14ac:dyDescent="0.25">
      <c r="Y147" s="218"/>
      <c r="Z147" s="218"/>
      <c r="AA147" s="218"/>
    </row>
    <row r="148" spans="25:27" ht="15" x14ac:dyDescent="0.25">
      <c r="Y148" s="218"/>
      <c r="Z148" s="218"/>
      <c r="AA148" s="218"/>
    </row>
    <row r="149" spans="25:27" ht="15" x14ac:dyDescent="0.25">
      <c r="Y149" s="218"/>
      <c r="Z149" s="218"/>
      <c r="AA149" s="218"/>
    </row>
    <row r="150" spans="25:27" ht="15" x14ac:dyDescent="0.25">
      <c r="Y150" s="218"/>
      <c r="Z150" s="218"/>
      <c r="AA150" s="218"/>
    </row>
    <row r="151" spans="25:27" ht="15" x14ac:dyDescent="0.25">
      <c r="Y151" s="218"/>
      <c r="Z151" s="218"/>
      <c r="AA151" s="218"/>
    </row>
    <row r="152" spans="25:27" ht="15" x14ac:dyDescent="0.25">
      <c r="Y152" s="218"/>
      <c r="Z152" s="218"/>
      <c r="AA152" s="218"/>
    </row>
    <row r="153" spans="25:27" ht="15" x14ac:dyDescent="0.25">
      <c r="Y153" s="218"/>
      <c r="Z153" s="218"/>
      <c r="AA153" s="218"/>
    </row>
    <row r="154" spans="25:27" ht="15" x14ac:dyDescent="0.25">
      <c r="Y154" s="218"/>
      <c r="Z154" s="218"/>
      <c r="AA154" s="218"/>
    </row>
    <row r="155" spans="25:27" ht="15" x14ac:dyDescent="0.25">
      <c r="Y155" s="218"/>
      <c r="Z155" s="218"/>
      <c r="AA155" s="218"/>
    </row>
    <row r="156" spans="25:27" ht="15" x14ac:dyDescent="0.25">
      <c r="Y156" s="218"/>
      <c r="Z156" s="218"/>
      <c r="AA156" s="218"/>
    </row>
    <row r="157" spans="25:27" ht="15" x14ac:dyDescent="0.25">
      <c r="Y157" s="218"/>
      <c r="Z157" s="218"/>
      <c r="AA157" s="218"/>
    </row>
    <row r="158" spans="25:27" ht="15" x14ac:dyDescent="0.25">
      <c r="Y158" s="218"/>
      <c r="Z158" s="218"/>
      <c r="AA158" s="218"/>
    </row>
    <row r="159" spans="25:27" ht="15" x14ac:dyDescent="0.25">
      <c r="Y159" s="218"/>
      <c r="Z159" s="218"/>
      <c r="AA159" s="218"/>
    </row>
    <row r="160" spans="25:27" ht="15" x14ac:dyDescent="0.25">
      <c r="Y160" s="218"/>
      <c r="Z160" s="218"/>
      <c r="AA160" s="218"/>
    </row>
    <row r="161" spans="25:27" ht="15" x14ac:dyDescent="0.25">
      <c r="Y161" s="218"/>
      <c r="Z161" s="218"/>
      <c r="AA161" s="218"/>
    </row>
    <row r="162" spans="25:27" ht="15" x14ac:dyDescent="0.25">
      <c r="Y162" s="218"/>
      <c r="Z162" s="218"/>
      <c r="AA162" s="218"/>
    </row>
    <row r="163" spans="25:27" ht="15" x14ac:dyDescent="0.25">
      <c r="Y163" s="218"/>
      <c r="Z163" s="218"/>
      <c r="AA163" s="218"/>
    </row>
    <row r="164" spans="25:27" ht="15" x14ac:dyDescent="0.25">
      <c r="Y164" s="218"/>
      <c r="Z164" s="218"/>
      <c r="AA164" s="218"/>
    </row>
    <row r="165" spans="25:27" ht="15" x14ac:dyDescent="0.25">
      <c r="Y165" s="218"/>
      <c r="Z165" s="218"/>
      <c r="AA165" s="218"/>
    </row>
    <row r="166" spans="25:27" ht="15" x14ac:dyDescent="0.25">
      <c r="Y166" s="218"/>
      <c r="Z166" s="218"/>
      <c r="AA166" s="218"/>
    </row>
    <row r="167" spans="25:27" ht="15" x14ac:dyDescent="0.25">
      <c r="Y167" s="218"/>
      <c r="Z167" s="218"/>
      <c r="AA167" s="218"/>
    </row>
    <row r="168" spans="25:27" ht="15" x14ac:dyDescent="0.25">
      <c r="Y168" s="218"/>
      <c r="Z168" s="218"/>
      <c r="AA168" s="218"/>
    </row>
    <row r="169" spans="25:27" ht="15" x14ac:dyDescent="0.25">
      <c r="Y169" s="218"/>
      <c r="Z169" s="218"/>
      <c r="AA169" s="218"/>
    </row>
    <row r="170" spans="25:27" ht="15" x14ac:dyDescent="0.25">
      <c r="Y170" s="218"/>
      <c r="Z170" s="218"/>
      <c r="AA170" s="218"/>
    </row>
    <row r="171" spans="25:27" ht="15" x14ac:dyDescent="0.25">
      <c r="Y171" s="218"/>
      <c r="Z171" s="218"/>
      <c r="AA171" s="218"/>
    </row>
    <row r="172" spans="25:27" ht="15" x14ac:dyDescent="0.25">
      <c r="Y172" s="218"/>
      <c r="Z172" s="218"/>
      <c r="AA172" s="218"/>
    </row>
    <row r="173" spans="25:27" ht="15" x14ac:dyDescent="0.25">
      <c r="Y173" s="218"/>
      <c r="Z173" s="218"/>
      <c r="AA173" s="218"/>
    </row>
    <row r="174" spans="25:27" ht="15" x14ac:dyDescent="0.25">
      <c r="Y174" s="218"/>
      <c r="Z174" s="218"/>
      <c r="AA174" s="218"/>
    </row>
    <row r="175" spans="25:27" ht="15" x14ac:dyDescent="0.25">
      <c r="Y175" s="218"/>
      <c r="Z175" s="218"/>
      <c r="AA175" s="218"/>
    </row>
    <row r="176" spans="25:27" ht="15" x14ac:dyDescent="0.25">
      <c r="Y176" s="218"/>
      <c r="Z176" s="218"/>
      <c r="AA176" s="218"/>
    </row>
    <row r="177" spans="25:27" ht="15" x14ac:dyDescent="0.25">
      <c r="Y177" s="218"/>
      <c r="Z177" s="218"/>
      <c r="AA177" s="218"/>
    </row>
    <row r="178" spans="25:27" ht="15" x14ac:dyDescent="0.25">
      <c r="Y178" s="218"/>
      <c r="Z178" s="218"/>
      <c r="AA178" s="218"/>
    </row>
    <row r="179" spans="25:27" ht="15" x14ac:dyDescent="0.25">
      <c r="Y179" s="218"/>
      <c r="Z179" s="218"/>
      <c r="AA179" s="218"/>
    </row>
    <row r="180" spans="25:27" ht="15" x14ac:dyDescent="0.25">
      <c r="Y180" s="218"/>
      <c r="Z180" s="218"/>
      <c r="AA180" s="218"/>
    </row>
    <row r="181" spans="25:27" ht="15" x14ac:dyDescent="0.25">
      <c r="Y181" s="218"/>
      <c r="Z181" s="218"/>
      <c r="AA181" s="218"/>
    </row>
    <row r="182" spans="25:27" ht="15" x14ac:dyDescent="0.25">
      <c r="Y182" s="218"/>
      <c r="Z182" s="218"/>
      <c r="AA182" s="218"/>
    </row>
    <row r="183" spans="25:27" ht="15" x14ac:dyDescent="0.25">
      <c r="Y183" s="218"/>
      <c r="Z183" s="218"/>
      <c r="AA183" s="218"/>
    </row>
    <row r="184" spans="25:27" ht="15" x14ac:dyDescent="0.25">
      <c r="Y184" s="218"/>
      <c r="Z184" s="218"/>
      <c r="AA184" s="218"/>
    </row>
    <row r="185" spans="25:27" ht="15" x14ac:dyDescent="0.25">
      <c r="Y185" s="218"/>
      <c r="Z185" s="218"/>
      <c r="AA185" s="218"/>
    </row>
  </sheetData>
  <pageMargins left="0.7" right="0.7" top="0.75" bottom="0.75" header="0.3" footer="0.3"/>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85"/>
  <sheetViews>
    <sheetView zoomScale="85" zoomScaleNormal="85" workbookViewId="0">
      <pane xSplit="1" ySplit="13" topLeftCell="B55" activePane="bottomRight" state="frozen"/>
      <selection activeCell="I43" sqref="I43"/>
      <selection pane="topRight" activeCell="I43" sqref="I43"/>
      <selection pane="bottomLeft" activeCell="I43" sqref="I43"/>
      <selection pane="bottomRight" activeCell="U73" sqref="U73"/>
    </sheetView>
  </sheetViews>
  <sheetFormatPr defaultColWidth="8.7109375" defaultRowHeight="12.75" x14ac:dyDescent="0.2"/>
  <cols>
    <col min="1" max="1" width="24.42578125" style="178" customWidth="1"/>
    <col min="2" max="2" width="14.28515625" style="178" customWidth="1"/>
    <col min="3" max="3" width="14.42578125" style="178" customWidth="1"/>
    <col min="4" max="4" width="14.42578125" style="178" bestFit="1" customWidth="1"/>
    <col min="5" max="5" width="11.7109375" style="178" bestFit="1" customWidth="1"/>
    <col min="6" max="6" width="13.42578125" style="178" bestFit="1" customWidth="1"/>
    <col min="7" max="7" width="12.28515625" style="178" bestFit="1" customWidth="1"/>
    <col min="8" max="8" width="11.7109375" style="178" bestFit="1" customWidth="1"/>
    <col min="9" max="10" width="12.42578125" style="178" bestFit="1" customWidth="1"/>
    <col min="11" max="11" width="11.42578125" style="178" bestFit="1" customWidth="1"/>
    <col min="12" max="12" width="11.28515625" style="178" bestFit="1" customWidth="1"/>
    <col min="13" max="13" width="11.5703125" style="178" bestFit="1" customWidth="1"/>
    <col min="14" max="14" width="9.5703125" style="205" bestFit="1" customWidth="1"/>
    <col min="15" max="15" width="9" style="178" bestFit="1" customWidth="1"/>
    <col min="16" max="18" width="7.42578125" style="178" bestFit="1" customWidth="1"/>
    <col min="19" max="19" width="11.7109375" style="178" bestFit="1" customWidth="1"/>
    <col min="20" max="20" width="13.28515625" style="178" bestFit="1" customWidth="1"/>
    <col min="21" max="21" width="11" style="178" bestFit="1" customWidth="1"/>
    <col min="22" max="22" width="14.5703125" style="178" bestFit="1" customWidth="1"/>
    <col min="23" max="23" width="12" style="178" bestFit="1" customWidth="1"/>
    <col min="24" max="24" width="13.28515625" style="178" bestFit="1" customWidth="1"/>
    <col min="25" max="29" width="10.28515625" style="178" customWidth="1"/>
    <col min="30" max="42" width="8.7109375" style="178"/>
    <col min="43" max="43" width="9.42578125" style="178" bestFit="1" customWidth="1"/>
    <col min="44" max="16384" width="8.7109375" style="178"/>
  </cols>
  <sheetData>
    <row r="1" spans="1:43" s="163" customFormat="1" ht="15" x14ac:dyDescent="0.25">
      <c r="A1" s="254" t="s">
        <v>491</v>
      </c>
      <c r="B1" s="161"/>
      <c r="C1" s="161"/>
      <c r="D1" s="162"/>
      <c r="E1" s="162"/>
      <c r="F1" s="162"/>
      <c r="K1" s="162"/>
      <c r="L1" s="162"/>
      <c r="M1" s="164"/>
      <c r="N1" s="165"/>
      <c r="O1" s="164"/>
    </row>
    <row r="2" spans="1:43" s="163" customFormat="1" ht="9" customHeight="1" x14ac:dyDescent="0.2">
      <c r="A2" s="161"/>
      <c r="B2" s="161"/>
      <c r="C2" s="166"/>
      <c r="D2" s="167"/>
      <c r="E2" s="166"/>
      <c r="G2" s="162"/>
      <c r="H2" s="168"/>
      <c r="I2" s="169"/>
      <c r="J2" s="162"/>
      <c r="K2" s="162"/>
      <c r="L2" s="162"/>
      <c r="M2" s="170"/>
      <c r="N2" s="165"/>
      <c r="O2" s="164"/>
    </row>
    <row r="3" spans="1:43" s="163" customFormat="1" x14ac:dyDescent="0.2">
      <c r="A3" s="171"/>
      <c r="B3" s="172"/>
      <c r="C3" s="173"/>
      <c r="D3" s="174"/>
      <c r="E3" s="173"/>
      <c r="F3" s="175"/>
      <c r="G3" s="162"/>
      <c r="H3" s="176"/>
      <c r="K3" s="177"/>
      <c r="L3" s="177"/>
      <c r="M3" s="170"/>
      <c r="N3" s="165"/>
      <c r="O3" s="168"/>
    </row>
    <row r="4" spans="1:43" s="163" customFormat="1" ht="6.6" customHeight="1" x14ac:dyDescent="0.2">
      <c r="A4" s="178"/>
      <c r="B4" s="178"/>
      <c r="C4" s="179"/>
      <c r="D4" s="179"/>
      <c r="E4" s="179"/>
      <c r="F4" s="179"/>
      <c r="G4" s="179"/>
      <c r="H4" s="179"/>
      <c r="I4" s="179"/>
      <c r="J4" s="179"/>
      <c r="K4" s="179"/>
      <c r="L4" s="179"/>
      <c r="M4" s="179"/>
      <c r="N4" s="179"/>
      <c r="O4" s="179"/>
    </row>
    <row r="5" spans="1:43" s="163" customFormat="1" x14ac:dyDescent="0.2">
      <c r="A5" s="180" t="s">
        <v>492</v>
      </c>
      <c r="B5" s="180"/>
      <c r="C5" s="181">
        <v>1</v>
      </c>
      <c r="D5" s="181">
        <v>2</v>
      </c>
      <c r="E5" s="181">
        <v>3</v>
      </c>
      <c r="F5" s="181">
        <v>4</v>
      </c>
      <c r="G5" s="181">
        <v>5</v>
      </c>
      <c r="H5" s="181">
        <v>6</v>
      </c>
      <c r="I5" s="181">
        <v>7</v>
      </c>
      <c r="J5" s="181">
        <v>8</v>
      </c>
      <c r="K5" s="181">
        <v>9</v>
      </c>
      <c r="L5" s="181">
        <v>10</v>
      </c>
      <c r="M5" s="181">
        <v>11</v>
      </c>
      <c r="N5" s="181">
        <v>12</v>
      </c>
      <c r="O5" s="181">
        <v>13</v>
      </c>
      <c r="P5" s="181">
        <v>14</v>
      </c>
      <c r="Q5" s="181">
        <v>15</v>
      </c>
      <c r="R5" s="181">
        <v>16</v>
      </c>
      <c r="S5" s="181">
        <v>17</v>
      </c>
      <c r="T5" s="181">
        <v>18</v>
      </c>
      <c r="U5" s="181">
        <v>19</v>
      </c>
      <c r="V5" s="181">
        <v>20</v>
      </c>
      <c r="W5" s="181">
        <v>21</v>
      </c>
      <c r="X5" s="181">
        <v>22</v>
      </c>
      <c r="Y5" s="181">
        <v>23</v>
      </c>
      <c r="Z5" s="181">
        <v>24</v>
      </c>
      <c r="AA5" s="181">
        <v>25</v>
      </c>
      <c r="AB5" s="181">
        <v>26</v>
      </c>
      <c r="AC5" s="181">
        <v>27</v>
      </c>
      <c r="AD5" s="181">
        <v>28</v>
      </c>
      <c r="AE5" s="181">
        <v>29</v>
      </c>
      <c r="AF5" s="181">
        <v>30</v>
      </c>
      <c r="AG5" s="181">
        <v>31</v>
      </c>
      <c r="AH5" s="181">
        <v>32</v>
      </c>
      <c r="AI5" s="181">
        <v>33</v>
      </c>
      <c r="AJ5" s="181">
        <v>34</v>
      </c>
      <c r="AK5" s="181">
        <v>35</v>
      </c>
      <c r="AL5" s="181">
        <v>36</v>
      </c>
      <c r="AM5" s="181">
        <v>37</v>
      </c>
      <c r="AN5" s="181">
        <v>38</v>
      </c>
      <c r="AO5" s="181">
        <v>39</v>
      </c>
      <c r="AP5" s="181">
        <v>40</v>
      </c>
      <c r="AQ5" s="181" t="s">
        <v>25</v>
      </c>
    </row>
    <row r="6" spans="1:43" s="163" customFormat="1" x14ac:dyDescent="0.2">
      <c r="A6" s="182" t="s">
        <v>483</v>
      </c>
      <c r="B6" s="182"/>
      <c r="C6" s="183">
        <v>0.16666666666666666</v>
      </c>
      <c r="D6" s="183">
        <v>0.33333333333333331</v>
      </c>
      <c r="E6" s="183">
        <v>0.33333333333333331</v>
      </c>
      <c r="F6" s="183">
        <v>0.16666666666666666</v>
      </c>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f>SUM(C6:AP6)</f>
        <v>0.99999999999999989</v>
      </c>
    </row>
    <row r="7" spans="1:43" s="163" customFormat="1" ht="7.35" customHeight="1" x14ac:dyDescent="0.2">
      <c r="A7" s="184"/>
      <c r="B7" s="184"/>
      <c r="C7" s="179"/>
      <c r="D7" s="179"/>
      <c r="E7" s="179"/>
      <c r="F7" s="179"/>
      <c r="G7" s="179"/>
      <c r="H7" s="179"/>
      <c r="I7" s="185"/>
      <c r="J7" s="185"/>
      <c r="K7" s="185"/>
    </row>
    <row r="8" spans="1:43" ht="13.5" thickBot="1" x14ac:dyDescent="0.25">
      <c r="A8" s="186" t="s">
        <v>7</v>
      </c>
      <c r="B8" s="187" t="s">
        <v>484</v>
      </c>
      <c r="C8" s="188" t="s">
        <v>19</v>
      </c>
      <c r="D8" s="189"/>
      <c r="E8" s="188" t="s">
        <v>485</v>
      </c>
      <c r="F8" s="190"/>
      <c r="G8" s="188" t="s">
        <v>20</v>
      </c>
      <c r="H8" s="189"/>
      <c r="I8" s="188" t="s">
        <v>8</v>
      </c>
      <c r="J8" s="189"/>
      <c r="K8" s="191" t="s">
        <v>9</v>
      </c>
      <c r="L8" s="191" t="s">
        <v>10</v>
      </c>
      <c r="M8" s="192" t="s">
        <v>11</v>
      </c>
      <c r="N8" s="178"/>
    </row>
    <row r="9" spans="1:43" ht="13.5" thickBot="1" x14ac:dyDescent="0.25">
      <c r="A9" s="193"/>
      <c r="B9" s="194" t="s">
        <v>486</v>
      </c>
      <c r="C9" s="195"/>
      <c r="D9" s="196"/>
      <c r="E9" s="195" t="s">
        <v>487</v>
      </c>
      <c r="F9" s="197"/>
      <c r="G9" s="198"/>
      <c r="H9" s="196"/>
      <c r="I9" s="199"/>
      <c r="J9" s="200"/>
      <c r="K9" s="201"/>
      <c r="L9" s="201"/>
      <c r="M9" s="202" t="s">
        <v>488</v>
      </c>
      <c r="N9" s="178"/>
    </row>
    <row r="10" spans="1:43" ht="13.5" thickBot="1" x14ac:dyDescent="0.25">
      <c r="A10" s="193"/>
      <c r="B10" s="194" t="s">
        <v>489</v>
      </c>
      <c r="C10" s="195"/>
      <c r="D10" s="196"/>
      <c r="E10" s="195" t="s">
        <v>490</v>
      </c>
      <c r="F10" s="197">
        <f>1/3</f>
        <v>0.33333333333333331</v>
      </c>
      <c r="G10" s="198"/>
      <c r="H10" s="196"/>
      <c r="I10" s="199"/>
      <c r="J10" s="200"/>
      <c r="K10" s="201"/>
      <c r="L10" s="203" t="s">
        <v>168</v>
      </c>
      <c r="M10" s="202"/>
      <c r="N10" s="178"/>
    </row>
    <row r="11" spans="1:43" x14ac:dyDescent="0.2">
      <c r="A11" s="204"/>
      <c r="B11" s="205"/>
      <c r="C11" s="199" t="s">
        <v>12</v>
      </c>
      <c r="D11" s="200" t="s">
        <v>13</v>
      </c>
      <c r="E11" s="199" t="s">
        <v>27</v>
      </c>
      <c r="F11" s="200" t="s">
        <v>28</v>
      </c>
      <c r="G11" s="199" t="s">
        <v>12</v>
      </c>
      <c r="H11" s="200" t="s">
        <v>13</v>
      </c>
      <c r="I11" s="199" t="s">
        <v>12</v>
      </c>
      <c r="J11" s="200" t="s">
        <v>29</v>
      </c>
      <c r="K11" s="201" t="s">
        <v>14</v>
      </c>
      <c r="L11" s="203">
        <v>0.21</v>
      </c>
      <c r="M11" s="202" t="s">
        <v>21</v>
      </c>
      <c r="N11" s="178"/>
    </row>
    <row r="12" spans="1:43" x14ac:dyDescent="0.2">
      <c r="A12" s="204"/>
      <c r="B12" s="205"/>
      <c r="C12" s="199"/>
      <c r="D12" s="200"/>
      <c r="E12" s="199" t="s">
        <v>22</v>
      </c>
      <c r="F12" s="200" t="s">
        <v>26</v>
      </c>
      <c r="G12" s="199" t="s">
        <v>30</v>
      </c>
      <c r="H12" s="200" t="s">
        <v>31</v>
      </c>
      <c r="I12" s="199"/>
      <c r="J12" s="200"/>
      <c r="K12" s="201"/>
      <c r="L12" s="203" t="s">
        <v>32</v>
      </c>
      <c r="M12" s="202" t="s">
        <v>33</v>
      </c>
      <c r="N12" s="178"/>
    </row>
    <row r="13" spans="1:43" ht="15" x14ac:dyDescent="0.25">
      <c r="A13" s="206"/>
      <c r="B13" s="207"/>
      <c r="C13" s="208" t="s">
        <v>15</v>
      </c>
      <c r="D13" s="209" t="s">
        <v>16</v>
      </c>
      <c r="E13" s="208"/>
      <c r="F13" s="209" t="s">
        <v>23</v>
      </c>
      <c r="G13" s="208" t="s">
        <v>34</v>
      </c>
      <c r="H13" s="209" t="s">
        <v>35</v>
      </c>
      <c r="I13" s="208" t="s">
        <v>36</v>
      </c>
      <c r="J13" s="209" t="s">
        <v>37</v>
      </c>
      <c r="K13" s="210" t="s">
        <v>38</v>
      </c>
      <c r="L13" s="211">
        <v>0.21</v>
      </c>
      <c r="M13" s="212" t="s">
        <v>39</v>
      </c>
      <c r="N13" s="213"/>
    </row>
    <row r="14" spans="1:43" ht="15" x14ac:dyDescent="0.25">
      <c r="A14" s="214"/>
      <c r="B14" s="194"/>
      <c r="C14" s="194"/>
      <c r="D14" s="194"/>
      <c r="E14" s="194"/>
      <c r="F14" s="194"/>
      <c r="G14" s="194"/>
      <c r="H14" s="194"/>
      <c r="I14" s="194"/>
      <c r="J14" s="194"/>
      <c r="K14" s="215"/>
      <c r="L14" s="216"/>
      <c r="M14" s="217"/>
      <c r="N14" s="213"/>
      <c r="P14" s="158"/>
      <c r="Q14" s="158"/>
      <c r="R14" s="158"/>
      <c r="S14" s="158"/>
      <c r="T14" s="158"/>
      <c r="U14" s="158"/>
      <c r="V14" s="158"/>
      <c r="W14" s="158"/>
      <c r="X14" s="158"/>
      <c r="Y14" s="158"/>
      <c r="Z14" s="158"/>
      <c r="AA14" s="158"/>
      <c r="AB14" s="158"/>
      <c r="AC14" s="158"/>
      <c r="AD14" s="158"/>
      <c r="AE14" s="158"/>
      <c r="AF14" s="158"/>
      <c r="AG14" s="158"/>
      <c r="AH14" s="158"/>
    </row>
    <row r="15" spans="1:43" ht="15" x14ac:dyDescent="0.25">
      <c r="A15" s="219">
        <v>44227</v>
      </c>
      <c r="B15" s="220"/>
      <c r="C15" s="221"/>
      <c r="D15" s="221">
        <f>B15</f>
        <v>0</v>
      </c>
      <c r="E15" s="221"/>
      <c r="F15" s="221"/>
      <c r="G15" s="221"/>
      <c r="H15" s="221"/>
      <c r="I15" s="221"/>
      <c r="J15" s="221"/>
      <c r="K15" s="221"/>
      <c r="L15" s="221"/>
      <c r="M15" s="221"/>
      <c r="N15" s="221"/>
      <c r="P15" s="158"/>
      <c r="Q15" s="158"/>
      <c r="R15" s="158"/>
      <c r="S15" s="158"/>
      <c r="T15" s="158"/>
      <c r="U15" s="158"/>
      <c r="V15" s="158"/>
      <c r="W15" s="158"/>
      <c r="X15" s="158"/>
      <c r="Y15" s="158"/>
      <c r="Z15" s="158"/>
      <c r="AA15" s="158"/>
      <c r="AB15" s="158"/>
      <c r="AC15" s="158"/>
      <c r="AD15" s="158"/>
      <c r="AE15" s="158"/>
      <c r="AF15" s="158"/>
      <c r="AG15" s="158"/>
      <c r="AH15" s="158"/>
    </row>
    <row r="16" spans="1:43" ht="15" x14ac:dyDescent="0.25">
      <c r="A16" s="219">
        <v>44255</v>
      </c>
      <c r="B16" s="220"/>
      <c r="C16" s="221"/>
      <c r="D16" s="221">
        <f>D15+B16</f>
        <v>0</v>
      </c>
      <c r="E16" s="221"/>
      <c r="F16" s="221"/>
      <c r="G16" s="221"/>
      <c r="H16" s="221"/>
      <c r="I16" s="221"/>
      <c r="J16" s="221"/>
      <c r="K16" s="221"/>
      <c r="L16" s="221"/>
      <c r="M16" s="221"/>
      <c r="N16" s="221"/>
      <c r="P16" s="158"/>
      <c r="Q16" s="158"/>
      <c r="R16" s="158"/>
      <c r="S16" s="158"/>
      <c r="T16" s="158"/>
      <c r="U16" s="158"/>
      <c r="V16" s="158"/>
      <c r="W16" s="158"/>
      <c r="X16" s="158"/>
      <c r="Y16" s="158"/>
      <c r="Z16" s="158"/>
      <c r="AA16" s="158"/>
      <c r="AB16" s="158"/>
      <c r="AC16" s="158"/>
      <c r="AD16" s="158"/>
      <c r="AE16" s="158"/>
      <c r="AF16" s="158"/>
      <c r="AG16" s="158"/>
      <c r="AH16" s="158"/>
    </row>
    <row r="17" spans="1:34" ht="15" x14ac:dyDescent="0.25">
      <c r="A17" s="219">
        <v>44286</v>
      </c>
      <c r="B17" s="220"/>
      <c r="C17" s="221"/>
      <c r="D17" s="221">
        <f t="shared" ref="D17:D74" si="0">D16+B17</f>
        <v>0</v>
      </c>
      <c r="E17" s="221"/>
      <c r="F17" s="221"/>
      <c r="G17" s="221"/>
      <c r="H17" s="221"/>
      <c r="I17" s="221"/>
      <c r="J17" s="221"/>
      <c r="K17" s="221"/>
      <c r="L17" s="221"/>
      <c r="M17" s="221"/>
      <c r="N17" s="221"/>
      <c r="P17" s="158"/>
      <c r="Q17" s="158"/>
      <c r="R17" s="158"/>
      <c r="S17" s="158"/>
      <c r="T17" s="158"/>
      <c r="U17" s="158"/>
      <c r="V17" s="158"/>
      <c r="W17" s="158"/>
      <c r="X17" s="158"/>
      <c r="Y17" s="158"/>
      <c r="Z17" s="158"/>
      <c r="AA17" s="158"/>
      <c r="AB17" s="158"/>
      <c r="AC17" s="158"/>
      <c r="AD17" s="158"/>
      <c r="AE17" s="158"/>
      <c r="AF17" s="158"/>
      <c r="AG17" s="158"/>
      <c r="AH17" s="158"/>
    </row>
    <row r="18" spans="1:34" ht="15" x14ac:dyDescent="0.25">
      <c r="A18" s="219">
        <v>44316</v>
      </c>
      <c r="B18" s="220"/>
      <c r="C18" s="221"/>
      <c r="D18" s="221">
        <f t="shared" si="0"/>
        <v>0</v>
      </c>
      <c r="E18" s="221"/>
      <c r="F18" s="221"/>
      <c r="G18" s="221"/>
      <c r="H18" s="221"/>
      <c r="I18" s="221"/>
      <c r="J18" s="221"/>
      <c r="K18" s="221"/>
      <c r="L18" s="221"/>
      <c r="M18" s="221"/>
      <c r="N18" s="221"/>
      <c r="P18" s="158"/>
      <c r="Q18" s="158"/>
      <c r="R18" s="158"/>
      <c r="S18" s="158"/>
      <c r="T18" s="158"/>
      <c r="U18" s="158"/>
      <c r="V18" s="158"/>
      <c r="W18" s="158"/>
      <c r="X18" s="158"/>
      <c r="Y18" s="158"/>
      <c r="Z18" s="158"/>
      <c r="AA18" s="158"/>
      <c r="AB18" s="158"/>
      <c r="AC18" s="158"/>
      <c r="AD18" s="158"/>
      <c r="AE18" s="158"/>
      <c r="AF18" s="158"/>
      <c r="AG18" s="158"/>
      <c r="AH18" s="158"/>
    </row>
    <row r="19" spans="1:34" ht="15" x14ac:dyDescent="0.25">
      <c r="A19" s="219">
        <v>44347</v>
      </c>
      <c r="B19" s="220"/>
      <c r="C19" s="221"/>
      <c r="D19" s="221">
        <f t="shared" si="0"/>
        <v>0</v>
      </c>
      <c r="E19" s="221"/>
      <c r="F19" s="221"/>
      <c r="G19" s="221"/>
      <c r="H19" s="221"/>
      <c r="I19" s="221"/>
      <c r="J19" s="221"/>
      <c r="K19" s="221"/>
      <c r="L19" s="221"/>
      <c r="M19" s="221"/>
      <c r="N19" s="221"/>
      <c r="P19" s="158"/>
      <c r="Q19" s="158"/>
      <c r="R19" s="158"/>
      <c r="S19" s="158"/>
      <c r="T19" s="158"/>
      <c r="U19" s="158"/>
      <c r="V19" s="158"/>
      <c r="W19" s="158"/>
      <c r="X19" s="158"/>
      <c r="Y19" s="158"/>
      <c r="Z19" s="158"/>
      <c r="AA19" s="158"/>
      <c r="AB19" s="158"/>
      <c r="AC19" s="158"/>
      <c r="AD19" s="158"/>
      <c r="AE19" s="158"/>
      <c r="AF19" s="158"/>
      <c r="AG19" s="158"/>
      <c r="AH19" s="158"/>
    </row>
    <row r="20" spans="1:34" ht="15" x14ac:dyDescent="0.25">
      <c r="A20" s="219">
        <v>44377</v>
      </c>
      <c r="B20" s="220"/>
      <c r="C20" s="221"/>
      <c r="D20" s="221">
        <f t="shared" si="0"/>
        <v>0</v>
      </c>
      <c r="E20" s="221"/>
      <c r="F20" s="221"/>
      <c r="G20" s="221"/>
      <c r="H20" s="221"/>
      <c r="I20" s="221"/>
      <c r="J20" s="221"/>
      <c r="K20" s="221"/>
      <c r="L20" s="221"/>
      <c r="M20" s="221"/>
      <c r="N20" s="221"/>
      <c r="P20" s="158"/>
      <c r="Q20" s="158"/>
      <c r="R20" s="158"/>
      <c r="S20" s="158"/>
      <c r="T20" s="158"/>
      <c r="U20" s="158"/>
      <c r="V20" s="158"/>
      <c r="W20" s="158"/>
      <c r="X20" s="158"/>
      <c r="Y20" s="158"/>
      <c r="Z20" s="158"/>
      <c r="AA20" s="158"/>
      <c r="AB20" s="158"/>
      <c r="AC20" s="158"/>
      <c r="AD20" s="158"/>
      <c r="AE20" s="158"/>
      <c r="AF20" s="158"/>
      <c r="AG20" s="158"/>
      <c r="AH20" s="158"/>
    </row>
    <row r="21" spans="1:34" ht="15" x14ac:dyDescent="0.25">
      <c r="A21" s="219">
        <v>44408</v>
      </c>
      <c r="B21" s="220"/>
      <c r="C21" s="221"/>
      <c r="D21" s="221">
        <f t="shared" si="0"/>
        <v>0</v>
      </c>
      <c r="E21" s="221"/>
      <c r="F21" s="222"/>
      <c r="G21" s="255"/>
      <c r="H21" s="221"/>
      <c r="I21" s="255"/>
      <c r="J21" s="221"/>
      <c r="K21" s="255"/>
      <c r="L21" s="255"/>
      <c r="M21" s="221"/>
      <c r="N21" s="221"/>
      <c r="O21" s="205"/>
      <c r="P21" s="158"/>
      <c r="Q21" s="158"/>
      <c r="R21" s="158"/>
      <c r="S21" s="158"/>
      <c r="T21" s="158"/>
      <c r="U21" s="158"/>
      <c r="V21" s="158"/>
      <c r="W21" s="158"/>
      <c r="X21" s="158"/>
      <c r="Y21" s="158"/>
      <c r="Z21" s="158"/>
      <c r="AA21" s="158"/>
      <c r="AB21" s="158"/>
      <c r="AC21" s="158"/>
      <c r="AD21" s="158"/>
      <c r="AE21" s="158"/>
      <c r="AF21" s="158"/>
      <c r="AG21" s="158"/>
      <c r="AH21" s="158"/>
    </row>
    <row r="22" spans="1:34" ht="15" x14ac:dyDescent="0.25">
      <c r="A22" s="219">
        <v>44439</v>
      </c>
      <c r="B22" s="220"/>
      <c r="C22" s="221"/>
      <c r="D22" s="221">
        <f t="shared" si="0"/>
        <v>0</v>
      </c>
      <c r="E22" s="221"/>
      <c r="F22" s="221"/>
      <c r="G22" s="255"/>
      <c r="H22" s="222"/>
      <c r="I22" s="255"/>
      <c r="J22" s="221"/>
      <c r="K22" s="255"/>
      <c r="L22" s="255"/>
      <c r="M22" s="221"/>
      <c r="N22" s="223"/>
      <c r="O22" s="205"/>
      <c r="P22" s="158"/>
      <c r="Q22" s="158"/>
      <c r="R22" s="158"/>
      <c r="S22" s="158"/>
      <c r="T22" s="158"/>
      <c r="U22" s="158"/>
      <c r="V22" s="158"/>
      <c r="W22" s="158"/>
      <c r="X22" s="158"/>
      <c r="Y22" s="158"/>
      <c r="Z22" s="158"/>
      <c r="AA22" s="158"/>
      <c r="AB22" s="158"/>
      <c r="AC22" s="158"/>
      <c r="AD22" s="158"/>
      <c r="AE22" s="158"/>
      <c r="AF22" s="158"/>
      <c r="AG22" s="158"/>
      <c r="AH22" s="158"/>
    </row>
    <row r="23" spans="1:34" ht="15" x14ac:dyDescent="0.25">
      <c r="A23" s="219">
        <v>44469</v>
      </c>
      <c r="B23" s="220"/>
      <c r="C23" s="221"/>
      <c r="D23" s="221">
        <f t="shared" si="0"/>
        <v>0</v>
      </c>
      <c r="E23" s="221"/>
      <c r="F23" s="221"/>
      <c r="G23" s="221"/>
      <c r="H23" s="221"/>
      <c r="I23" s="221"/>
      <c r="J23" s="221"/>
      <c r="K23" s="221"/>
      <c r="L23" s="221"/>
      <c r="M23" s="221"/>
      <c r="N23" s="223"/>
      <c r="O23" s="205"/>
      <c r="P23" s="158"/>
      <c r="Q23" s="158"/>
      <c r="R23" s="158"/>
      <c r="S23" s="158"/>
      <c r="T23" s="158"/>
      <c r="U23" s="158"/>
      <c r="V23" s="158"/>
      <c r="W23" s="158"/>
      <c r="X23" s="158"/>
      <c r="Y23" s="158"/>
      <c r="Z23" s="158"/>
      <c r="AA23" s="158"/>
      <c r="AB23" s="158"/>
      <c r="AC23" s="158"/>
      <c r="AD23" s="158"/>
      <c r="AE23" s="158"/>
      <c r="AF23" s="158"/>
      <c r="AG23" s="158"/>
      <c r="AH23" s="158"/>
    </row>
    <row r="24" spans="1:34" ht="15" x14ac:dyDescent="0.25">
      <c r="A24" s="219">
        <v>44500</v>
      </c>
      <c r="B24" s="220"/>
      <c r="C24" s="221"/>
      <c r="D24" s="221">
        <f t="shared" si="0"/>
        <v>0</v>
      </c>
      <c r="E24" s="221"/>
      <c r="F24" s="221"/>
      <c r="G24" s="221"/>
      <c r="H24" s="221"/>
      <c r="I24" s="221"/>
      <c r="J24" s="221"/>
      <c r="K24" s="221"/>
      <c r="L24" s="221"/>
      <c r="M24" s="221"/>
      <c r="N24" s="223"/>
      <c r="O24" s="205"/>
      <c r="P24" s="158"/>
      <c r="Q24" s="158"/>
      <c r="R24" s="158"/>
      <c r="S24" s="158"/>
      <c r="T24" s="158"/>
      <c r="U24" s="158"/>
      <c r="V24" s="158"/>
      <c r="W24" s="158"/>
      <c r="X24" s="158"/>
      <c r="Y24" s="158"/>
      <c r="Z24" s="158"/>
      <c r="AA24" s="158"/>
      <c r="AB24" s="158"/>
      <c r="AC24" s="158"/>
      <c r="AD24" s="158"/>
      <c r="AE24" s="158"/>
      <c r="AF24" s="158"/>
      <c r="AG24" s="158"/>
      <c r="AH24" s="158"/>
    </row>
    <row r="25" spans="1:34" ht="15" x14ac:dyDescent="0.25">
      <c r="A25" s="219">
        <v>44530</v>
      </c>
      <c r="B25" s="220"/>
      <c r="C25" s="221"/>
      <c r="D25" s="221">
        <f t="shared" si="0"/>
        <v>0</v>
      </c>
      <c r="E25" s="221"/>
      <c r="F25" s="221"/>
      <c r="G25" s="221"/>
      <c r="H25" s="221"/>
      <c r="I25" s="221"/>
      <c r="J25" s="221"/>
      <c r="K25" s="221"/>
      <c r="L25" s="221"/>
      <c r="M25" s="221"/>
      <c r="N25" s="223"/>
      <c r="O25" s="256"/>
      <c r="P25" s="158"/>
      <c r="Q25" s="158"/>
      <c r="R25" s="158"/>
      <c r="S25" s="158"/>
      <c r="T25" s="158"/>
      <c r="U25" s="158"/>
      <c r="V25" s="158"/>
      <c r="W25" s="158"/>
      <c r="X25" s="158"/>
      <c r="Y25" s="158"/>
      <c r="Z25" s="158"/>
      <c r="AA25" s="158"/>
      <c r="AB25" s="158"/>
      <c r="AC25" s="158"/>
      <c r="AD25" s="158"/>
      <c r="AE25" s="158"/>
      <c r="AF25" s="158"/>
      <c r="AG25" s="158"/>
      <c r="AH25" s="158"/>
    </row>
    <row r="26" spans="1:34" ht="15" x14ac:dyDescent="0.25">
      <c r="A26" s="219">
        <v>44561</v>
      </c>
      <c r="B26" s="220"/>
      <c r="C26" s="255"/>
      <c r="D26" s="225">
        <f t="shared" si="0"/>
        <v>0</v>
      </c>
      <c r="E26" s="221"/>
      <c r="F26" s="255"/>
      <c r="G26" s="222"/>
      <c r="H26" s="255"/>
      <c r="I26" s="222"/>
      <c r="J26" s="255"/>
      <c r="K26" s="222"/>
      <c r="L26" s="221"/>
      <c r="M26" s="221"/>
      <c r="N26" s="226"/>
      <c r="O26" s="249"/>
      <c r="P26" s="158"/>
      <c r="Q26" s="158"/>
      <c r="R26" s="158"/>
      <c r="S26" s="158"/>
      <c r="T26" s="158"/>
      <c r="U26" s="158"/>
      <c r="V26" s="158"/>
      <c r="W26" s="158"/>
      <c r="X26" s="158"/>
      <c r="Y26" s="158"/>
      <c r="Z26" s="158"/>
      <c r="AA26" s="158"/>
      <c r="AB26" s="158"/>
      <c r="AC26" s="158"/>
      <c r="AD26" s="158"/>
      <c r="AE26" s="158"/>
      <c r="AF26" s="158"/>
      <c r="AG26" s="158"/>
      <c r="AH26" s="158"/>
    </row>
    <row r="27" spans="1:34" ht="15" x14ac:dyDescent="0.25">
      <c r="A27" s="227">
        <v>44592</v>
      </c>
      <c r="B27" s="228"/>
      <c r="C27" s="229">
        <f t="shared" ref="C27:C74" si="1">D27</f>
        <v>0</v>
      </c>
      <c r="D27" s="221">
        <f t="shared" si="0"/>
        <v>0</v>
      </c>
      <c r="E27" s="229">
        <f>(($C$26*$D$6/12)+(($C$38-$C$26)*$C$6/12))</f>
        <v>0</v>
      </c>
      <c r="F27" s="230">
        <f>+(D26*$F$9/12)+(((D27-D26)*$F$9/12)*0.5)</f>
        <v>0</v>
      </c>
      <c r="G27" s="229">
        <f t="shared" ref="G27:H42" si="2">-E27+G26</f>
        <v>0</v>
      </c>
      <c r="H27" s="230">
        <f t="shared" si="2"/>
        <v>0</v>
      </c>
      <c r="I27" s="229">
        <f t="shared" ref="I27:J42" si="3">C27+G27</f>
        <v>0</v>
      </c>
      <c r="J27" s="230">
        <f t="shared" si="3"/>
        <v>0</v>
      </c>
      <c r="K27" s="229">
        <f t="shared" ref="K27:K69" si="4">J27-I27</f>
        <v>0</v>
      </c>
      <c r="L27" s="229">
        <f t="shared" ref="L27:L74" si="5">-K27*$L$11</f>
        <v>0</v>
      </c>
      <c r="M27" s="229">
        <f t="shared" ref="M27:M74" si="6">-L27+L26</f>
        <v>0</v>
      </c>
      <c r="N27" s="223"/>
      <c r="O27" s="205"/>
      <c r="P27" s="158"/>
      <c r="Q27" s="158"/>
      <c r="R27" s="158"/>
      <c r="S27" s="158"/>
      <c r="T27" s="158"/>
      <c r="U27" s="158"/>
      <c r="V27" s="158"/>
      <c r="W27" s="158"/>
      <c r="X27" s="158"/>
      <c r="Y27" s="158"/>
      <c r="Z27" s="158"/>
      <c r="AA27" s="158"/>
      <c r="AB27" s="158"/>
      <c r="AC27" s="158"/>
      <c r="AD27" s="158"/>
      <c r="AE27" s="158"/>
      <c r="AF27" s="158"/>
      <c r="AG27" s="158"/>
      <c r="AH27" s="158"/>
    </row>
    <row r="28" spans="1:34" ht="15" x14ac:dyDescent="0.25">
      <c r="A28" s="219">
        <v>44620</v>
      </c>
      <c r="B28" s="224"/>
      <c r="C28" s="221">
        <f t="shared" si="1"/>
        <v>0</v>
      </c>
      <c r="D28" s="221">
        <f t="shared" si="0"/>
        <v>0</v>
      </c>
      <c r="E28" s="221">
        <f t="shared" ref="E28:E38" si="7">(($C$26*$D$6/12)+(($C$38-$C$26)*$C$6/12))</f>
        <v>0</v>
      </c>
      <c r="F28" s="222">
        <f>+(D27*$F$9/12)+(((D28-D27)*$F$9/12)*0.5)</f>
        <v>0</v>
      </c>
      <c r="G28" s="221">
        <f t="shared" si="2"/>
        <v>0</v>
      </c>
      <c r="H28" s="222">
        <f t="shared" si="2"/>
        <v>0</v>
      </c>
      <c r="I28" s="221">
        <f t="shared" si="3"/>
        <v>0</v>
      </c>
      <c r="J28" s="221">
        <f t="shared" si="3"/>
        <v>0</v>
      </c>
      <c r="K28" s="221">
        <f t="shared" si="4"/>
        <v>0</v>
      </c>
      <c r="L28" s="221">
        <f t="shared" si="5"/>
        <v>0</v>
      </c>
      <c r="M28" s="221">
        <f t="shared" si="6"/>
        <v>0</v>
      </c>
      <c r="N28" s="223"/>
      <c r="O28" s="257"/>
      <c r="P28" s="158"/>
      <c r="Q28" s="158"/>
      <c r="R28" s="158"/>
      <c r="S28" s="158"/>
      <c r="T28" s="158"/>
      <c r="U28" s="158"/>
      <c r="V28" s="158"/>
      <c r="W28" s="158"/>
      <c r="X28" s="158"/>
      <c r="Y28" s="158"/>
      <c r="Z28" s="158"/>
      <c r="AA28" s="158"/>
      <c r="AB28" s="158"/>
      <c r="AC28" s="158"/>
      <c r="AD28" s="158"/>
      <c r="AE28" s="158"/>
      <c r="AF28" s="158"/>
      <c r="AG28" s="158"/>
      <c r="AH28" s="158"/>
    </row>
    <row r="29" spans="1:34" ht="15" x14ac:dyDescent="0.25">
      <c r="A29" s="219">
        <v>44651</v>
      </c>
      <c r="B29" s="224"/>
      <c r="C29" s="221">
        <f t="shared" si="1"/>
        <v>0</v>
      </c>
      <c r="D29" s="221">
        <f t="shared" si="0"/>
        <v>0</v>
      </c>
      <c r="E29" s="221">
        <f t="shared" si="7"/>
        <v>0</v>
      </c>
      <c r="F29" s="222">
        <f>+(D28*$F$9/12)+(((D29-D28)*$F$9/12)*0.5)</f>
        <v>0</v>
      </c>
      <c r="G29" s="221">
        <f t="shared" si="2"/>
        <v>0</v>
      </c>
      <c r="H29" s="222">
        <f t="shared" si="2"/>
        <v>0</v>
      </c>
      <c r="I29" s="221">
        <f t="shared" si="3"/>
        <v>0</v>
      </c>
      <c r="J29" s="221">
        <f t="shared" si="3"/>
        <v>0</v>
      </c>
      <c r="K29" s="221">
        <f t="shared" si="4"/>
        <v>0</v>
      </c>
      <c r="L29" s="221">
        <f t="shared" si="5"/>
        <v>0</v>
      </c>
      <c r="M29" s="221">
        <f t="shared" si="6"/>
        <v>0</v>
      </c>
      <c r="N29" s="223"/>
      <c r="O29" s="205"/>
      <c r="P29" s="158"/>
      <c r="Q29" s="158"/>
      <c r="R29" s="158"/>
      <c r="S29" s="158"/>
      <c r="T29" s="158"/>
      <c r="U29" s="158"/>
      <c r="V29" s="158"/>
      <c r="W29" s="158"/>
      <c r="X29" s="158"/>
      <c r="Y29" s="158"/>
      <c r="Z29" s="158"/>
      <c r="AA29" s="158"/>
      <c r="AB29" s="158"/>
      <c r="AC29" s="158"/>
      <c r="AD29" s="158"/>
      <c r="AE29" s="158"/>
      <c r="AF29" s="158"/>
      <c r="AG29" s="158"/>
      <c r="AH29" s="158"/>
    </row>
    <row r="30" spans="1:34" ht="15" x14ac:dyDescent="0.25">
      <c r="A30" s="219">
        <v>44681</v>
      </c>
      <c r="B30" s="224"/>
      <c r="C30" s="221">
        <f t="shared" si="1"/>
        <v>0</v>
      </c>
      <c r="D30" s="221">
        <f t="shared" si="0"/>
        <v>0</v>
      </c>
      <c r="E30" s="221">
        <f t="shared" si="7"/>
        <v>0</v>
      </c>
      <c r="F30" s="222">
        <f t="shared" ref="F30:F38" si="8">+(D29*$F$9/12)+(((D30-D29)*$F$9/12)*0.5)</f>
        <v>0</v>
      </c>
      <c r="G30" s="221">
        <f t="shared" si="2"/>
        <v>0</v>
      </c>
      <c r="H30" s="222">
        <f t="shared" si="2"/>
        <v>0</v>
      </c>
      <c r="I30" s="221">
        <f t="shared" si="3"/>
        <v>0</v>
      </c>
      <c r="J30" s="221">
        <f t="shared" si="3"/>
        <v>0</v>
      </c>
      <c r="K30" s="221">
        <f t="shared" si="4"/>
        <v>0</v>
      </c>
      <c r="L30" s="221">
        <f t="shared" si="5"/>
        <v>0</v>
      </c>
      <c r="M30" s="221">
        <f t="shared" si="6"/>
        <v>0</v>
      </c>
      <c r="N30" s="223"/>
      <c r="O30" s="205"/>
      <c r="P30" s="158"/>
      <c r="Q30" s="158"/>
      <c r="R30" s="158"/>
      <c r="S30" s="158"/>
      <c r="T30" s="158"/>
      <c r="U30" s="158"/>
      <c r="V30" s="158"/>
      <c r="W30" s="158"/>
      <c r="X30" s="158"/>
      <c r="Y30" s="158"/>
      <c r="Z30" s="158"/>
      <c r="AA30" s="158"/>
      <c r="AB30" s="158"/>
      <c r="AC30" s="158"/>
      <c r="AD30" s="158"/>
      <c r="AE30" s="158"/>
      <c r="AF30" s="158"/>
      <c r="AG30" s="158"/>
      <c r="AH30" s="158"/>
    </row>
    <row r="31" spans="1:34" ht="15" x14ac:dyDescent="0.25">
      <c r="A31" s="219">
        <v>44712</v>
      </c>
      <c r="B31" s="224"/>
      <c r="C31" s="221">
        <f t="shared" si="1"/>
        <v>0</v>
      </c>
      <c r="D31" s="221">
        <f t="shared" si="0"/>
        <v>0</v>
      </c>
      <c r="E31" s="221">
        <f t="shared" si="7"/>
        <v>0</v>
      </c>
      <c r="F31" s="222">
        <f t="shared" si="8"/>
        <v>0</v>
      </c>
      <c r="G31" s="221">
        <f t="shared" si="2"/>
        <v>0</v>
      </c>
      <c r="H31" s="222">
        <f t="shared" si="2"/>
        <v>0</v>
      </c>
      <c r="I31" s="221">
        <f t="shared" si="3"/>
        <v>0</v>
      </c>
      <c r="J31" s="221">
        <f t="shared" si="3"/>
        <v>0</v>
      </c>
      <c r="K31" s="221">
        <f t="shared" si="4"/>
        <v>0</v>
      </c>
      <c r="L31" s="221">
        <f t="shared" si="5"/>
        <v>0</v>
      </c>
      <c r="M31" s="221">
        <f t="shared" si="6"/>
        <v>0</v>
      </c>
      <c r="N31" s="223"/>
      <c r="O31" s="205"/>
      <c r="P31" s="158"/>
      <c r="Q31" s="158"/>
      <c r="R31" s="158"/>
      <c r="S31" s="158"/>
      <c r="T31" s="158"/>
      <c r="U31" s="158"/>
      <c r="V31" s="158"/>
      <c r="W31" s="158"/>
      <c r="X31" s="158"/>
      <c r="Y31" s="158"/>
      <c r="Z31" s="158"/>
      <c r="AA31" s="158"/>
      <c r="AB31" s="158"/>
      <c r="AC31" s="158"/>
      <c r="AD31" s="158"/>
      <c r="AE31" s="158"/>
      <c r="AF31" s="158"/>
      <c r="AG31" s="158"/>
      <c r="AH31" s="158"/>
    </row>
    <row r="32" spans="1:34" ht="15" x14ac:dyDescent="0.25">
      <c r="A32" s="219">
        <v>44742</v>
      </c>
      <c r="B32" s="224"/>
      <c r="C32" s="221">
        <f t="shared" si="1"/>
        <v>0</v>
      </c>
      <c r="D32" s="221">
        <f t="shared" si="0"/>
        <v>0</v>
      </c>
      <c r="E32" s="221">
        <f t="shared" si="7"/>
        <v>0</v>
      </c>
      <c r="F32" s="222">
        <f t="shared" si="8"/>
        <v>0</v>
      </c>
      <c r="G32" s="221">
        <f t="shared" si="2"/>
        <v>0</v>
      </c>
      <c r="H32" s="222">
        <f t="shared" si="2"/>
        <v>0</v>
      </c>
      <c r="I32" s="221">
        <f t="shared" si="3"/>
        <v>0</v>
      </c>
      <c r="J32" s="221">
        <f t="shared" si="3"/>
        <v>0</v>
      </c>
      <c r="K32" s="221">
        <f t="shared" si="4"/>
        <v>0</v>
      </c>
      <c r="L32" s="221">
        <f t="shared" si="5"/>
        <v>0</v>
      </c>
      <c r="M32" s="221">
        <f t="shared" si="6"/>
        <v>0</v>
      </c>
      <c r="N32" s="223"/>
      <c r="O32" s="205"/>
      <c r="P32" s="158"/>
      <c r="Q32" s="158"/>
      <c r="R32" s="158"/>
      <c r="S32" s="158"/>
      <c r="T32" s="158"/>
      <c r="U32" s="158"/>
      <c r="V32" s="158"/>
      <c r="W32" s="158"/>
      <c r="X32" s="158"/>
      <c r="Y32" s="158"/>
      <c r="Z32" s="158"/>
      <c r="AA32" s="158"/>
      <c r="AB32" s="158"/>
      <c r="AC32" s="158"/>
      <c r="AD32" s="158"/>
      <c r="AE32" s="158"/>
      <c r="AF32" s="158"/>
      <c r="AG32" s="158"/>
      <c r="AH32" s="158"/>
    </row>
    <row r="33" spans="1:35" ht="15" x14ac:dyDescent="0.25">
      <c r="A33" s="219">
        <v>44773</v>
      </c>
      <c r="B33" s="224"/>
      <c r="C33" s="221">
        <f t="shared" si="1"/>
        <v>0</v>
      </c>
      <c r="D33" s="221">
        <f t="shared" si="0"/>
        <v>0</v>
      </c>
      <c r="E33" s="221">
        <f t="shared" si="7"/>
        <v>0</v>
      </c>
      <c r="F33" s="222">
        <f t="shared" si="8"/>
        <v>0</v>
      </c>
      <c r="G33" s="221">
        <f t="shared" si="2"/>
        <v>0</v>
      </c>
      <c r="H33" s="222">
        <f t="shared" si="2"/>
        <v>0</v>
      </c>
      <c r="I33" s="221">
        <f t="shared" si="3"/>
        <v>0</v>
      </c>
      <c r="J33" s="221">
        <f t="shared" si="3"/>
        <v>0</v>
      </c>
      <c r="K33" s="221">
        <f t="shared" si="4"/>
        <v>0</v>
      </c>
      <c r="L33" s="221">
        <f t="shared" si="5"/>
        <v>0</v>
      </c>
      <c r="M33" s="221">
        <f t="shared" si="6"/>
        <v>0</v>
      </c>
      <c r="N33" s="223"/>
      <c r="O33" s="205"/>
      <c r="P33" s="158"/>
      <c r="Q33" s="158"/>
      <c r="R33" s="158"/>
      <c r="S33" s="158"/>
      <c r="T33" s="158"/>
      <c r="U33" s="158"/>
      <c r="V33" s="158"/>
      <c r="W33" s="158"/>
      <c r="X33" s="158"/>
      <c r="Y33" s="158"/>
      <c r="Z33" s="158"/>
      <c r="AA33" s="158"/>
      <c r="AB33" s="158"/>
      <c r="AC33" s="158"/>
      <c r="AD33" s="158"/>
      <c r="AE33" s="158"/>
      <c r="AF33" s="158"/>
      <c r="AG33" s="158"/>
      <c r="AH33" s="158"/>
    </row>
    <row r="34" spans="1:35" ht="15" x14ac:dyDescent="0.25">
      <c r="A34" s="219">
        <v>44804</v>
      </c>
      <c r="B34" s="224"/>
      <c r="C34" s="221">
        <f t="shared" si="1"/>
        <v>0</v>
      </c>
      <c r="D34" s="221">
        <f t="shared" si="0"/>
        <v>0</v>
      </c>
      <c r="E34" s="221">
        <f t="shared" si="7"/>
        <v>0</v>
      </c>
      <c r="F34" s="222">
        <f t="shared" si="8"/>
        <v>0</v>
      </c>
      <c r="G34" s="221">
        <f t="shared" si="2"/>
        <v>0</v>
      </c>
      <c r="H34" s="222">
        <f t="shared" si="2"/>
        <v>0</v>
      </c>
      <c r="I34" s="221">
        <f t="shared" si="3"/>
        <v>0</v>
      </c>
      <c r="J34" s="221">
        <f t="shared" si="3"/>
        <v>0</v>
      </c>
      <c r="K34" s="221">
        <f t="shared" si="4"/>
        <v>0</v>
      </c>
      <c r="L34" s="221">
        <f t="shared" si="5"/>
        <v>0</v>
      </c>
      <c r="M34" s="221">
        <f t="shared" si="6"/>
        <v>0</v>
      </c>
      <c r="N34" s="223"/>
      <c r="O34" s="205"/>
      <c r="P34" s="158"/>
      <c r="Q34" s="158"/>
      <c r="R34" s="158"/>
      <c r="S34" s="158"/>
      <c r="T34" s="158"/>
      <c r="U34" s="158"/>
      <c r="V34" s="158"/>
      <c r="W34" s="158"/>
      <c r="X34" s="158"/>
      <c r="Y34" s="158"/>
      <c r="Z34" s="158"/>
      <c r="AA34" s="158"/>
      <c r="AB34" s="158"/>
      <c r="AC34" s="158"/>
      <c r="AD34" s="158"/>
      <c r="AE34" s="158"/>
      <c r="AF34" s="158"/>
      <c r="AG34" s="158"/>
      <c r="AH34" s="158"/>
    </row>
    <row r="35" spans="1:35" ht="15" x14ac:dyDescent="0.25">
      <c r="A35" s="219">
        <v>44834</v>
      </c>
      <c r="B35" s="224"/>
      <c r="C35" s="221">
        <f t="shared" si="1"/>
        <v>0</v>
      </c>
      <c r="D35" s="221">
        <f t="shared" si="0"/>
        <v>0</v>
      </c>
      <c r="E35" s="221">
        <f t="shared" si="7"/>
        <v>0</v>
      </c>
      <c r="F35" s="222">
        <f t="shared" si="8"/>
        <v>0</v>
      </c>
      <c r="G35" s="221">
        <f t="shared" si="2"/>
        <v>0</v>
      </c>
      <c r="H35" s="222">
        <f t="shared" si="2"/>
        <v>0</v>
      </c>
      <c r="I35" s="221">
        <f t="shared" si="3"/>
        <v>0</v>
      </c>
      <c r="J35" s="221">
        <f t="shared" si="3"/>
        <v>0</v>
      </c>
      <c r="K35" s="221">
        <f t="shared" si="4"/>
        <v>0</v>
      </c>
      <c r="L35" s="221">
        <f t="shared" si="5"/>
        <v>0</v>
      </c>
      <c r="M35" s="221">
        <f t="shared" si="6"/>
        <v>0</v>
      </c>
      <c r="N35" s="223"/>
      <c r="O35" s="258"/>
      <c r="P35" s="158"/>
      <c r="Q35" s="158"/>
      <c r="R35" s="158"/>
      <c r="S35" s="158"/>
      <c r="T35" s="158"/>
      <c r="U35" s="158"/>
      <c r="V35" s="158"/>
      <c r="W35" s="158"/>
      <c r="X35" s="158"/>
      <c r="Y35" s="158"/>
      <c r="Z35" s="158"/>
      <c r="AA35" s="158"/>
      <c r="AB35" s="158"/>
      <c r="AC35" s="158"/>
      <c r="AD35" s="158"/>
      <c r="AE35" s="158"/>
      <c r="AF35" s="158"/>
      <c r="AG35" s="158"/>
      <c r="AH35" s="158"/>
    </row>
    <row r="36" spans="1:35" ht="15" x14ac:dyDescent="0.25">
      <c r="A36" s="219">
        <v>44865</v>
      </c>
      <c r="B36" s="224"/>
      <c r="C36" s="221">
        <f t="shared" si="1"/>
        <v>0</v>
      </c>
      <c r="D36" s="221">
        <f t="shared" si="0"/>
        <v>0</v>
      </c>
      <c r="E36" s="221">
        <f t="shared" si="7"/>
        <v>0</v>
      </c>
      <c r="F36" s="222">
        <f t="shared" si="8"/>
        <v>0</v>
      </c>
      <c r="G36" s="221">
        <f t="shared" si="2"/>
        <v>0</v>
      </c>
      <c r="H36" s="222">
        <f t="shared" si="2"/>
        <v>0</v>
      </c>
      <c r="I36" s="221">
        <f t="shared" si="3"/>
        <v>0</v>
      </c>
      <c r="J36" s="221">
        <f t="shared" si="3"/>
        <v>0</v>
      </c>
      <c r="K36" s="221">
        <f t="shared" si="4"/>
        <v>0</v>
      </c>
      <c r="L36" s="221">
        <f t="shared" si="5"/>
        <v>0</v>
      </c>
      <c r="M36" s="221">
        <f t="shared" si="6"/>
        <v>0</v>
      </c>
      <c r="N36" s="223"/>
      <c r="O36" s="205"/>
      <c r="P36" s="158"/>
      <c r="Q36" s="158"/>
      <c r="R36" s="158"/>
      <c r="S36" s="158"/>
      <c r="T36" s="158"/>
      <c r="U36" s="158"/>
      <c r="V36" s="158"/>
      <c r="W36" s="158"/>
      <c r="X36" s="158"/>
      <c r="Y36" s="158"/>
      <c r="Z36" s="158"/>
      <c r="AA36" s="158"/>
      <c r="AB36" s="158"/>
      <c r="AC36" s="158"/>
      <c r="AD36" s="158"/>
      <c r="AE36" s="158"/>
      <c r="AF36" s="158"/>
      <c r="AG36" s="158"/>
      <c r="AH36" s="158"/>
    </row>
    <row r="37" spans="1:35" ht="15" x14ac:dyDescent="0.25">
      <c r="A37" s="219">
        <v>44895</v>
      </c>
      <c r="B37" s="224"/>
      <c r="C37" s="221">
        <f t="shared" si="1"/>
        <v>0</v>
      </c>
      <c r="D37" s="221">
        <f t="shared" si="0"/>
        <v>0</v>
      </c>
      <c r="E37" s="221">
        <f t="shared" si="7"/>
        <v>0</v>
      </c>
      <c r="F37" s="222">
        <f t="shared" si="8"/>
        <v>0</v>
      </c>
      <c r="G37" s="221">
        <f t="shared" si="2"/>
        <v>0</v>
      </c>
      <c r="H37" s="222">
        <f t="shared" si="2"/>
        <v>0</v>
      </c>
      <c r="I37" s="221">
        <f t="shared" si="3"/>
        <v>0</v>
      </c>
      <c r="J37" s="221">
        <f t="shared" si="3"/>
        <v>0</v>
      </c>
      <c r="K37" s="221">
        <f t="shared" si="4"/>
        <v>0</v>
      </c>
      <c r="L37" s="221">
        <f t="shared" si="5"/>
        <v>0</v>
      </c>
      <c r="M37" s="221">
        <f t="shared" si="6"/>
        <v>0</v>
      </c>
      <c r="N37" s="223"/>
      <c r="O37" s="256"/>
      <c r="P37" s="158"/>
      <c r="Q37" s="158"/>
      <c r="R37" s="158"/>
      <c r="S37" s="158"/>
      <c r="T37" s="158"/>
      <c r="U37" s="158"/>
      <c r="V37" s="158"/>
      <c r="W37" s="158"/>
      <c r="X37" s="158"/>
      <c r="Y37" s="158"/>
      <c r="Z37" s="158"/>
      <c r="AA37" s="158"/>
      <c r="AB37" s="158"/>
      <c r="AC37" s="158"/>
      <c r="AD37" s="158"/>
      <c r="AE37" s="158"/>
      <c r="AF37" s="158"/>
      <c r="AG37" s="158"/>
      <c r="AH37" s="158"/>
    </row>
    <row r="38" spans="1:35" ht="15" x14ac:dyDescent="0.25">
      <c r="A38" s="219">
        <v>44926</v>
      </c>
      <c r="B38" s="224"/>
      <c r="C38" s="221">
        <f t="shared" si="1"/>
        <v>0</v>
      </c>
      <c r="D38" s="225">
        <f t="shared" si="0"/>
        <v>0</v>
      </c>
      <c r="E38" s="221">
        <f t="shared" si="7"/>
        <v>0</v>
      </c>
      <c r="F38" s="222">
        <f t="shared" si="8"/>
        <v>0</v>
      </c>
      <c r="G38" s="221">
        <f t="shared" si="2"/>
        <v>0</v>
      </c>
      <c r="H38" s="222">
        <f t="shared" si="2"/>
        <v>0</v>
      </c>
      <c r="I38" s="221">
        <f t="shared" si="3"/>
        <v>0</v>
      </c>
      <c r="J38" s="221">
        <f t="shared" si="3"/>
        <v>0</v>
      </c>
      <c r="K38" s="221">
        <f t="shared" si="4"/>
        <v>0</v>
      </c>
      <c r="L38" s="221">
        <f t="shared" si="5"/>
        <v>0</v>
      </c>
      <c r="M38" s="221">
        <f t="shared" si="6"/>
        <v>0</v>
      </c>
      <c r="N38" s="226"/>
      <c r="O38" s="249"/>
      <c r="P38" s="158"/>
      <c r="Q38" s="158"/>
      <c r="R38" s="158"/>
      <c r="S38" s="158"/>
      <c r="T38" s="158"/>
      <c r="U38" s="158"/>
      <c r="V38" s="158"/>
      <c r="W38" s="158"/>
      <c r="X38" s="158"/>
      <c r="Y38" s="158"/>
      <c r="Z38" s="158"/>
      <c r="AA38" s="158"/>
      <c r="AB38" s="158"/>
      <c r="AC38" s="158"/>
      <c r="AD38" s="158"/>
      <c r="AE38" s="158"/>
      <c r="AF38" s="158"/>
      <c r="AG38" s="158"/>
      <c r="AH38" s="158"/>
    </row>
    <row r="39" spans="1:35" ht="15" x14ac:dyDescent="0.25">
      <c r="A39" s="227">
        <v>44957</v>
      </c>
      <c r="B39" s="228">
        <f t="array" ref="B39:B74">TRANSPOSE('TEP By Depr Grp'!B5:AK5)</f>
        <v>0</v>
      </c>
      <c r="C39" s="229">
        <f t="shared" si="1"/>
        <v>0</v>
      </c>
      <c r="D39" s="221">
        <f t="shared" si="0"/>
        <v>0</v>
      </c>
      <c r="E39" s="229">
        <f>(($C$26*$E$6/12)+(($C$38-$C$26)*$D$6/12)+(($C$50-$C$38)*$C$6/12))</f>
        <v>3484.7118055555552</v>
      </c>
      <c r="F39" s="230">
        <f>+(D38*$F$10/12)+(((D39-D38)*$F$10/12)*0.5)</f>
        <v>0</v>
      </c>
      <c r="G39" s="229">
        <f t="shared" si="2"/>
        <v>-3484.7118055555552</v>
      </c>
      <c r="H39" s="230">
        <f t="shared" si="2"/>
        <v>0</v>
      </c>
      <c r="I39" s="229">
        <f t="shared" si="3"/>
        <v>-3484.7118055555552</v>
      </c>
      <c r="J39" s="229">
        <f t="shared" si="3"/>
        <v>0</v>
      </c>
      <c r="K39" s="229">
        <f t="shared" si="4"/>
        <v>3484.7118055555552</v>
      </c>
      <c r="L39" s="229">
        <f t="shared" si="5"/>
        <v>-731.78947916666652</v>
      </c>
      <c r="M39" s="229">
        <f t="shared" si="6"/>
        <v>731.78947916666652</v>
      </c>
      <c r="N39" s="223"/>
      <c r="O39" s="205"/>
      <c r="P39" s="158"/>
      <c r="Q39" s="158"/>
      <c r="R39" s="158"/>
      <c r="S39" s="158"/>
      <c r="T39" s="158"/>
      <c r="U39" s="158"/>
      <c r="V39" s="158"/>
      <c r="W39" s="158"/>
      <c r="X39" s="158"/>
      <c r="Y39" s="158"/>
      <c r="Z39" s="158"/>
      <c r="AA39" s="158"/>
      <c r="AB39" s="158"/>
      <c r="AC39" s="158"/>
      <c r="AD39" s="158"/>
      <c r="AE39" s="158"/>
      <c r="AF39" s="158"/>
      <c r="AG39" s="158"/>
      <c r="AH39" s="158"/>
    </row>
    <row r="40" spans="1:35" ht="15" x14ac:dyDescent="0.25">
      <c r="A40" s="219">
        <v>44985</v>
      </c>
      <c r="B40" s="224">
        <v>0</v>
      </c>
      <c r="C40" s="221">
        <f t="shared" si="1"/>
        <v>0</v>
      </c>
      <c r="D40" s="221">
        <f t="shared" si="0"/>
        <v>0</v>
      </c>
      <c r="E40" s="221">
        <f t="shared" ref="E40:E50" si="9">(($C$26*$E$6/12)+(($C$38-$C$26)*$D$6/12)+(($C$50-$C$38)*$C$6/12))</f>
        <v>3484.7118055555552</v>
      </c>
      <c r="F40" s="222">
        <f>+(D39*$F$10/12)+(((D40-D39)*$F$10/12)*0.5)</f>
        <v>0</v>
      </c>
      <c r="G40" s="221">
        <f t="shared" si="2"/>
        <v>-6969.4236111111104</v>
      </c>
      <c r="H40" s="222">
        <f t="shared" si="2"/>
        <v>0</v>
      </c>
      <c r="I40" s="221">
        <f t="shared" si="3"/>
        <v>-6969.4236111111104</v>
      </c>
      <c r="J40" s="221">
        <f t="shared" si="3"/>
        <v>0</v>
      </c>
      <c r="K40" s="221">
        <f t="shared" si="4"/>
        <v>6969.4236111111104</v>
      </c>
      <c r="L40" s="221">
        <f t="shared" si="5"/>
        <v>-1463.578958333333</v>
      </c>
      <c r="M40" s="221">
        <f t="shared" si="6"/>
        <v>731.78947916666652</v>
      </c>
      <c r="N40" s="223"/>
      <c r="O40" s="205"/>
      <c r="P40" s="158"/>
      <c r="Q40" s="158"/>
      <c r="R40" s="158"/>
      <c r="S40" s="158"/>
      <c r="T40" s="158"/>
      <c r="U40" s="158"/>
      <c r="V40" s="158"/>
      <c r="W40" s="158"/>
      <c r="X40" s="158"/>
      <c r="Y40" s="158"/>
      <c r="Z40" s="158"/>
      <c r="AA40" s="158"/>
      <c r="AB40" s="158"/>
      <c r="AC40" s="158"/>
      <c r="AD40" s="158"/>
      <c r="AE40" s="158"/>
      <c r="AF40" s="158"/>
      <c r="AG40" s="158"/>
      <c r="AH40" s="158"/>
      <c r="AI40" s="232"/>
    </row>
    <row r="41" spans="1:35" ht="15" x14ac:dyDescent="0.25">
      <c r="A41" s="219">
        <v>45016</v>
      </c>
      <c r="B41" s="224">
        <v>0</v>
      </c>
      <c r="C41" s="221">
        <f t="shared" si="1"/>
        <v>0</v>
      </c>
      <c r="D41" s="221">
        <f t="shared" si="0"/>
        <v>0</v>
      </c>
      <c r="E41" s="221">
        <f t="shared" si="9"/>
        <v>3484.7118055555552</v>
      </c>
      <c r="F41" s="222">
        <f t="shared" ref="F41:F74" si="10">+(D40*$F$10/12)+(((D41-D40)*$F$10/12)*0.5)</f>
        <v>0</v>
      </c>
      <c r="G41" s="221">
        <f t="shared" si="2"/>
        <v>-10454.135416666666</v>
      </c>
      <c r="H41" s="222">
        <f t="shared" si="2"/>
        <v>0</v>
      </c>
      <c r="I41" s="221">
        <f t="shared" si="3"/>
        <v>-10454.135416666666</v>
      </c>
      <c r="J41" s="221">
        <f t="shared" si="3"/>
        <v>0</v>
      </c>
      <c r="K41" s="221">
        <f t="shared" si="4"/>
        <v>10454.135416666666</v>
      </c>
      <c r="L41" s="221">
        <f t="shared" si="5"/>
        <v>-2195.3684374999998</v>
      </c>
      <c r="M41" s="221">
        <f t="shared" si="6"/>
        <v>731.78947916666675</v>
      </c>
      <c r="N41" s="223"/>
      <c r="O41" s="205"/>
      <c r="P41" s="158"/>
      <c r="Q41" s="158"/>
      <c r="R41" s="158"/>
      <c r="S41" s="158"/>
      <c r="T41" s="158"/>
      <c r="U41" s="158"/>
      <c r="V41" s="158"/>
      <c r="W41" s="158"/>
      <c r="X41" s="158"/>
      <c r="Y41" s="158"/>
      <c r="Z41" s="158"/>
      <c r="AA41" s="158"/>
      <c r="AB41" s="158"/>
      <c r="AC41" s="158"/>
      <c r="AD41" s="158"/>
      <c r="AE41" s="158"/>
      <c r="AF41" s="158"/>
      <c r="AG41" s="158"/>
      <c r="AH41" s="158"/>
      <c r="AI41" s="232"/>
    </row>
    <row r="42" spans="1:35" ht="15" x14ac:dyDescent="0.25">
      <c r="A42" s="219">
        <v>45046</v>
      </c>
      <c r="B42" s="224">
        <v>0</v>
      </c>
      <c r="C42" s="221">
        <f t="shared" si="1"/>
        <v>0</v>
      </c>
      <c r="D42" s="221">
        <f t="shared" si="0"/>
        <v>0</v>
      </c>
      <c r="E42" s="221">
        <f t="shared" si="9"/>
        <v>3484.7118055555552</v>
      </c>
      <c r="F42" s="222">
        <f t="shared" si="10"/>
        <v>0</v>
      </c>
      <c r="G42" s="221">
        <f t="shared" si="2"/>
        <v>-13938.847222222221</v>
      </c>
      <c r="H42" s="222">
        <f t="shared" si="2"/>
        <v>0</v>
      </c>
      <c r="I42" s="221">
        <f t="shared" si="3"/>
        <v>-13938.847222222221</v>
      </c>
      <c r="J42" s="221">
        <f t="shared" si="3"/>
        <v>0</v>
      </c>
      <c r="K42" s="221">
        <f t="shared" si="4"/>
        <v>13938.847222222221</v>
      </c>
      <c r="L42" s="221">
        <f t="shared" si="5"/>
        <v>-2927.1579166666661</v>
      </c>
      <c r="M42" s="221">
        <f t="shared" si="6"/>
        <v>731.7894791666663</v>
      </c>
      <c r="N42" s="223"/>
      <c r="O42" s="221"/>
      <c r="P42" s="158"/>
      <c r="Q42" s="158"/>
      <c r="R42" s="158"/>
      <c r="S42" s="158"/>
      <c r="T42" s="158"/>
      <c r="U42" s="158"/>
      <c r="V42" s="158"/>
      <c r="W42" s="158"/>
      <c r="X42" s="158"/>
      <c r="Y42" s="158"/>
      <c r="Z42" s="158"/>
      <c r="AA42" s="158"/>
      <c r="AB42" s="158"/>
      <c r="AC42" s="158"/>
      <c r="AD42" s="158"/>
      <c r="AE42" s="158"/>
      <c r="AF42" s="158"/>
      <c r="AG42" s="158"/>
      <c r="AH42" s="158"/>
      <c r="AI42" s="232"/>
    </row>
    <row r="43" spans="1:35" ht="15" x14ac:dyDescent="0.25">
      <c r="A43" s="219">
        <v>45077</v>
      </c>
      <c r="B43" s="224">
        <v>249046.18</v>
      </c>
      <c r="C43" s="221">
        <f t="shared" si="1"/>
        <v>249046.18</v>
      </c>
      <c r="D43" s="221">
        <f t="shared" si="0"/>
        <v>249046.18</v>
      </c>
      <c r="E43" s="221">
        <f t="shared" si="9"/>
        <v>3484.7118055555552</v>
      </c>
      <c r="F43" s="222">
        <f t="shared" si="10"/>
        <v>3458.9747222222218</v>
      </c>
      <c r="G43" s="221">
        <f t="shared" ref="G43:H58" si="11">-E43+G42</f>
        <v>-17423.559027777777</v>
      </c>
      <c r="H43" s="222">
        <f t="shared" si="11"/>
        <v>-3458.9747222222218</v>
      </c>
      <c r="I43" s="221">
        <f t="shared" ref="I43:J58" si="12">C43+G43</f>
        <v>231622.62097222221</v>
      </c>
      <c r="J43" s="221">
        <f t="shared" si="12"/>
        <v>245587.20527777777</v>
      </c>
      <c r="K43" s="221">
        <f t="shared" si="4"/>
        <v>13964.58430555556</v>
      </c>
      <c r="L43" s="221">
        <f t="shared" si="5"/>
        <v>-2932.5627041666676</v>
      </c>
      <c r="M43" s="221">
        <f t="shared" si="6"/>
        <v>5.4047875000014756</v>
      </c>
      <c r="N43" s="223"/>
      <c r="O43" s="222"/>
      <c r="P43" s="158"/>
      <c r="Q43" s="158"/>
      <c r="R43" s="158"/>
      <c r="S43" s="158"/>
      <c r="T43" s="158"/>
      <c r="U43" s="158"/>
      <c r="V43" s="158"/>
      <c r="W43" s="158"/>
      <c r="X43" s="158"/>
      <c r="Y43" s="158"/>
      <c r="Z43" s="158"/>
      <c r="AA43" s="158"/>
      <c r="AB43" s="158"/>
      <c r="AC43" s="158"/>
      <c r="AD43" s="158"/>
      <c r="AE43" s="158"/>
      <c r="AF43" s="158"/>
      <c r="AG43" s="158"/>
      <c r="AH43" s="158"/>
      <c r="AI43" s="232"/>
    </row>
    <row r="44" spans="1:35" ht="15" x14ac:dyDescent="0.25">
      <c r="A44" s="219">
        <v>45107</v>
      </c>
      <c r="B44" s="224">
        <v>1019.2</v>
      </c>
      <c r="C44" s="221">
        <f t="shared" si="1"/>
        <v>250065.38</v>
      </c>
      <c r="D44" s="221">
        <f t="shared" si="0"/>
        <v>250065.38</v>
      </c>
      <c r="E44" s="221">
        <f t="shared" si="9"/>
        <v>3484.7118055555552</v>
      </c>
      <c r="F44" s="222">
        <f t="shared" si="10"/>
        <v>6932.1049999999996</v>
      </c>
      <c r="G44" s="221">
        <f t="shared" si="11"/>
        <v>-20908.270833333332</v>
      </c>
      <c r="H44" s="222">
        <f t="shared" si="11"/>
        <v>-10391.079722222221</v>
      </c>
      <c r="I44" s="221">
        <f t="shared" si="12"/>
        <v>229157.10916666666</v>
      </c>
      <c r="J44" s="221">
        <f t="shared" si="12"/>
        <v>239674.30027777777</v>
      </c>
      <c r="K44" s="221">
        <f t="shared" si="4"/>
        <v>10517.191111111111</v>
      </c>
      <c r="L44" s="221">
        <f t="shared" si="5"/>
        <v>-2208.6101333333331</v>
      </c>
      <c r="M44" s="221">
        <f t="shared" si="6"/>
        <v>-723.95257083333445</v>
      </c>
      <c r="N44" s="223"/>
      <c r="O44" s="221"/>
      <c r="P44" s="158"/>
      <c r="Q44" s="158"/>
      <c r="R44" s="158"/>
      <c r="S44" s="158"/>
      <c r="T44" s="158"/>
      <c r="U44" s="158"/>
      <c r="V44" s="158"/>
      <c r="W44" s="158"/>
      <c r="X44" s="158"/>
      <c r="Y44" s="158"/>
      <c r="Z44" s="158"/>
      <c r="AA44" s="158"/>
      <c r="AB44" s="158"/>
      <c r="AC44" s="158"/>
      <c r="AD44" s="158"/>
      <c r="AE44" s="158"/>
      <c r="AF44" s="158"/>
      <c r="AG44" s="158"/>
      <c r="AH44" s="158"/>
      <c r="AI44" s="232"/>
    </row>
    <row r="45" spans="1:35" ht="15" x14ac:dyDescent="0.25">
      <c r="A45" s="219">
        <v>45138</v>
      </c>
      <c r="B45" s="224">
        <v>833.87</v>
      </c>
      <c r="C45" s="221">
        <f t="shared" si="1"/>
        <v>250899.25</v>
      </c>
      <c r="D45" s="221">
        <f t="shared" si="0"/>
        <v>250899.25</v>
      </c>
      <c r="E45" s="221">
        <f t="shared" si="9"/>
        <v>3484.7118055555552</v>
      </c>
      <c r="F45" s="222">
        <f t="shared" si="10"/>
        <v>6957.842083333333</v>
      </c>
      <c r="G45" s="221">
        <f t="shared" si="11"/>
        <v>-24392.982638888887</v>
      </c>
      <c r="H45" s="222">
        <f t="shared" si="11"/>
        <v>-17348.921805555554</v>
      </c>
      <c r="I45" s="221">
        <f t="shared" si="12"/>
        <v>226506.26736111112</v>
      </c>
      <c r="J45" s="221">
        <f t="shared" si="12"/>
        <v>233550.32819444445</v>
      </c>
      <c r="K45" s="221">
        <f t="shared" si="4"/>
        <v>7044.0608333333221</v>
      </c>
      <c r="L45" s="221">
        <f t="shared" si="5"/>
        <v>-1479.2527749999977</v>
      </c>
      <c r="M45" s="221">
        <f t="shared" si="6"/>
        <v>-729.35735833333547</v>
      </c>
      <c r="N45" s="223"/>
      <c r="O45" s="205"/>
      <c r="P45" s="158"/>
      <c r="Q45" s="158"/>
      <c r="R45" s="158"/>
      <c r="S45" s="158"/>
      <c r="T45" s="158"/>
      <c r="U45" s="158"/>
      <c r="V45" s="158"/>
      <c r="W45" s="158"/>
      <c r="X45" s="158"/>
      <c r="Y45" s="158"/>
      <c r="Z45" s="158"/>
      <c r="AA45" s="158"/>
      <c r="AB45" s="158"/>
      <c r="AC45" s="158"/>
      <c r="AD45" s="158"/>
      <c r="AE45" s="158"/>
      <c r="AF45" s="158"/>
      <c r="AG45" s="158"/>
      <c r="AH45" s="158"/>
      <c r="AI45" s="232"/>
    </row>
    <row r="46" spans="1:35" ht="15" x14ac:dyDescent="0.25">
      <c r="A46" s="219">
        <v>45169</v>
      </c>
      <c r="B46" s="224">
        <v>0</v>
      </c>
      <c r="C46" s="221">
        <f t="shared" si="1"/>
        <v>250899.25</v>
      </c>
      <c r="D46" s="221">
        <f t="shared" si="0"/>
        <v>250899.25</v>
      </c>
      <c r="E46" s="221">
        <f t="shared" si="9"/>
        <v>3484.7118055555552</v>
      </c>
      <c r="F46" s="222">
        <f t="shared" si="10"/>
        <v>6969.4236111111104</v>
      </c>
      <c r="G46" s="221">
        <f t="shared" si="11"/>
        <v>-27877.694444444442</v>
      </c>
      <c r="H46" s="222">
        <f t="shared" si="11"/>
        <v>-24318.345416666663</v>
      </c>
      <c r="I46" s="221">
        <f t="shared" si="12"/>
        <v>223021.55555555556</v>
      </c>
      <c r="J46" s="221">
        <f t="shared" si="12"/>
        <v>226580.90458333335</v>
      </c>
      <c r="K46" s="221">
        <f t="shared" si="4"/>
        <v>3559.3490277777892</v>
      </c>
      <c r="L46" s="221">
        <f t="shared" si="5"/>
        <v>-747.46329583333568</v>
      </c>
      <c r="M46" s="221">
        <f t="shared" si="6"/>
        <v>-731.78947916666198</v>
      </c>
      <c r="N46" s="223"/>
      <c r="O46" s="221"/>
      <c r="P46" s="158"/>
      <c r="Q46" s="158"/>
      <c r="R46" s="158"/>
      <c r="S46" s="158"/>
      <c r="T46" s="158"/>
      <c r="U46" s="158"/>
      <c r="V46" s="158"/>
      <c r="W46" s="158"/>
      <c r="X46" s="158"/>
      <c r="Y46" s="158"/>
      <c r="Z46" s="158"/>
      <c r="AA46" s="158"/>
      <c r="AB46" s="158"/>
      <c r="AC46" s="158"/>
      <c r="AD46" s="158"/>
      <c r="AE46" s="158"/>
      <c r="AF46" s="158"/>
      <c r="AG46" s="158"/>
      <c r="AH46" s="158"/>
      <c r="AI46" s="232"/>
    </row>
    <row r="47" spans="1:35" ht="15" x14ac:dyDescent="0.25">
      <c r="A47" s="219">
        <v>45199</v>
      </c>
      <c r="B47" s="224">
        <v>0</v>
      </c>
      <c r="C47" s="221">
        <f t="shared" si="1"/>
        <v>250899.25</v>
      </c>
      <c r="D47" s="221">
        <f t="shared" si="0"/>
        <v>250899.25</v>
      </c>
      <c r="E47" s="221">
        <f t="shared" si="9"/>
        <v>3484.7118055555552</v>
      </c>
      <c r="F47" s="222">
        <f t="shared" si="10"/>
        <v>6969.4236111111104</v>
      </c>
      <c r="G47" s="221">
        <f t="shared" si="11"/>
        <v>-31362.406249999996</v>
      </c>
      <c r="H47" s="222">
        <f t="shared" si="11"/>
        <v>-31287.769027777773</v>
      </c>
      <c r="I47" s="221">
        <f t="shared" si="12"/>
        <v>219536.84375</v>
      </c>
      <c r="J47" s="221">
        <f t="shared" si="12"/>
        <v>219611.48097222223</v>
      </c>
      <c r="K47" s="221">
        <f t="shared" si="4"/>
        <v>74.637222222227138</v>
      </c>
      <c r="L47" s="221">
        <f t="shared" si="5"/>
        <v>-15.673816666667697</v>
      </c>
      <c r="M47" s="221">
        <f t="shared" si="6"/>
        <v>-731.789479166668</v>
      </c>
      <c r="N47" s="223"/>
      <c r="O47" s="221"/>
      <c r="P47" s="158"/>
      <c r="Q47" s="158"/>
      <c r="R47" s="158"/>
      <c r="S47" s="158"/>
      <c r="T47" s="158"/>
      <c r="U47" s="158"/>
      <c r="V47" s="158"/>
      <c r="W47" s="158"/>
      <c r="X47" s="158"/>
      <c r="Y47" s="158"/>
      <c r="Z47" s="158"/>
      <c r="AA47" s="158"/>
      <c r="AB47" s="158"/>
      <c r="AC47" s="158"/>
      <c r="AD47" s="158"/>
      <c r="AE47" s="158"/>
      <c r="AF47" s="158"/>
      <c r="AG47" s="158"/>
      <c r="AH47" s="158"/>
      <c r="AI47" s="232"/>
    </row>
    <row r="48" spans="1:35" ht="15" x14ac:dyDescent="0.25">
      <c r="A48" s="219">
        <v>45230</v>
      </c>
      <c r="B48" s="224">
        <v>0</v>
      </c>
      <c r="C48" s="221">
        <f t="shared" si="1"/>
        <v>250899.25</v>
      </c>
      <c r="D48" s="221">
        <f t="shared" si="0"/>
        <v>250899.25</v>
      </c>
      <c r="E48" s="221">
        <f t="shared" si="9"/>
        <v>3484.7118055555552</v>
      </c>
      <c r="F48" s="222">
        <f t="shared" si="10"/>
        <v>6969.4236111111104</v>
      </c>
      <c r="G48" s="221">
        <f t="shared" si="11"/>
        <v>-34847.118055555555</v>
      </c>
      <c r="H48" s="222">
        <f t="shared" si="11"/>
        <v>-38257.192638888882</v>
      </c>
      <c r="I48" s="221">
        <f t="shared" si="12"/>
        <v>216052.13194444444</v>
      </c>
      <c r="J48" s="221">
        <f t="shared" si="12"/>
        <v>212642.0573611111</v>
      </c>
      <c r="K48" s="221">
        <f t="shared" si="4"/>
        <v>-3410.0745833333349</v>
      </c>
      <c r="L48" s="221">
        <f t="shared" si="5"/>
        <v>716.11566250000033</v>
      </c>
      <c r="M48" s="221">
        <f t="shared" si="6"/>
        <v>-731.789479166668</v>
      </c>
      <c r="N48" s="223"/>
      <c r="O48" s="221"/>
      <c r="P48" s="158"/>
      <c r="Q48" s="158"/>
      <c r="R48" s="158"/>
      <c r="S48" s="158"/>
      <c r="T48" s="158"/>
      <c r="U48" s="158"/>
      <c r="V48" s="158"/>
      <c r="W48" s="158"/>
      <c r="X48" s="158"/>
      <c r="Y48" s="158"/>
      <c r="Z48" s="158"/>
      <c r="AA48" s="158"/>
      <c r="AB48" s="158"/>
      <c r="AC48" s="158"/>
      <c r="AD48" s="158"/>
      <c r="AE48" s="158"/>
      <c r="AF48" s="158"/>
      <c r="AG48" s="158"/>
      <c r="AH48" s="158"/>
      <c r="AI48" s="232"/>
    </row>
    <row r="49" spans="1:35" ht="15" x14ac:dyDescent="0.25">
      <c r="A49" s="219">
        <v>45260</v>
      </c>
      <c r="B49" s="224">
        <v>0</v>
      </c>
      <c r="C49" s="221">
        <f t="shared" si="1"/>
        <v>250899.25</v>
      </c>
      <c r="D49" s="221">
        <f t="shared" si="0"/>
        <v>250899.25</v>
      </c>
      <c r="E49" s="221">
        <f t="shared" si="9"/>
        <v>3484.7118055555552</v>
      </c>
      <c r="F49" s="222">
        <f t="shared" si="10"/>
        <v>6969.4236111111104</v>
      </c>
      <c r="G49" s="221">
        <f t="shared" si="11"/>
        <v>-38331.829861111109</v>
      </c>
      <c r="H49" s="222">
        <f t="shared" si="11"/>
        <v>-45226.616249999992</v>
      </c>
      <c r="I49" s="221">
        <f t="shared" si="12"/>
        <v>212567.42013888888</v>
      </c>
      <c r="J49" s="221">
        <f t="shared" si="12"/>
        <v>205672.63375000001</v>
      </c>
      <c r="K49" s="221">
        <f t="shared" si="4"/>
        <v>-6894.7863888888678</v>
      </c>
      <c r="L49" s="221">
        <f t="shared" si="5"/>
        <v>1447.9051416666621</v>
      </c>
      <c r="M49" s="221">
        <f t="shared" si="6"/>
        <v>-731.78947916666175</v>
      </c>
      <c r="N49" s="236"/>
      <c r="O49" s="221"/>
      <c r="P49" s="259"/>
      <c r="Q49" s="259"/>
      <c r="R49" s="259"/>
      <c r="S49" s="259"/>
      <c r="T49" s="259"/>
      <c r="U49" s="259"/>
      <c r="V49" s="259"/>
      <c r="W49" s="259"/>
      <c r="X49" s="259"/>
      <c r="Y49" s="259"/>
      <c r="Z49" s="259"/>
      <c r="AA49" s="259"/>
      <c r="AB49" s="259"/>
      <c r="AC49" s="259"/>
      <c r="AD49" s="259"/>
      <c r="AE49" s="259"/>
      <c r="AF49" s="259"/>
      <c r="AG49" s="259"/>
      <c r="AH49" s="259"/>
      <c r="AI49" s="232"/>
    </row>
    <row r="50" spans="1:35" s="245" customFormat="1" ht="15" x14ac:dyDescent="0.25">
      <c r="A50" s="219">
        <v>45291</v>
      </c>
      <c r="B50" s="224">
        <v>0</v>
      </c>
      <c r="C50" s="221">
        <f t="shared" si="1"/>
        <v>250899.25</v>
      </c>
      <c r="D50" s="225">
        <f t="shared" si="0"/>
        <v>250899.25</v>
      </c>
      <c r="E50" s="221">
        <f t="shared" si="9"/>
        <v>3484.7118055555552</v>
      </c>
      <c r="F50" s="222">
        <f t="shared" si="10"/>
        <v>6969.4236111111104</v>
      </c>
      <c r="G50" s="221">
        <f t="shared" si="11"/>
        <v>-41816.541666666664</v>
      </c>
      <c r="H50" s="222">
        <f t="shared" si="11"/>
        <v>-52196.039861111101</v>
      </c>
      <c r="I50" s="221">
        <f t="shared" si="12"/>
        <v>209082.70833333334</v>
      </c>
      <c r="J50" s="221">
        <f t="shared" si="12"/>
        <v>198703.21013888891</v>
      </c>
      <c r="K50" s="221">
        <f t="shared" si="4"/>
        <v>-10379.49819444443</v>
      </c>
      <c r="L50" s="221">
        <f t="shared" si="5"/>
        <v>2179.6946208333302</v>
      </c>
      <c r="M50" s="221">
        <f t="shared" si="6"/>
        <v>-731.78947916666812</v>
      </c>
      <c r="N50" s="242"/>
      <c r="O50" s="239"/>
      <c r="P50" s="260"/>
      <c r="Q50" s="260"/>
      <c r="R50" s="260"/>
      <c r="S50" s="260"/>
      <c r="T50" s="260"/>
      <c r="U50" s="260"/>
      <c r="V50" s="260"/>
      <c r="W50" s="260"/>
      <c r="X50" s="260"/>
      <c r="Y50" s="260"/>
      <c r="Z50" s="260"/>
      <c r="AA50" s="260"/>
      <c r="AB50" s="260"/>
      <c r="AC50" s="260"/>
      <c r="AD50" s="260"/>
      <c r="AE50" s="260"/>
      <c r="AF50" s="260"/>
      <c r="AG50" s="260"/>
      <c r="AH50" s="260"/>
      <c r="AI50" s="244"/>
    </row>
    <row r="51" spans="1:35" ht="15" x14ac:dyDescent="0.25">
      <c r="A51" s="227">
        <v>45322</v>
      </c>
      <c r="B51" s="228">
        <v>0</v>
      </c>
      <c r="C51" s="229">
        <f t="shared" si="1"/>
        <v>250899.25</v>
      </c>
      <c r="D51" s="221">
        <f t="shared" si="0"/>
        <v>250899.25</v>
      </c>
      <c r="E51" s="229">
        <f t="shared" ref="E51:E61" si="13">($C$26*$F$6+($C$38-$C$26)*$E$6+($C$50-$C$38)*$D$6+($C$62-$C$50)*$C$6)/12</f>
        <v>6969.4236111111104</v>
      </c>
      <c r="F51" s="230">
        <f t="shared" si="10"/>
        <v>6969.4236111111104</v>
      </c>
      <c r="G51" s="229">
        <f t="shared" si="11"/>
        <v>-48785.965277777774</v>
      </c>
      <c r="H51" s="230">
        <f t="shared" si="11"/>
        <v>-59165.463472222211</v>
      </c>
      <c r="I51" s="229">
        <f t="shared" si="12"/>
        <v>202113.28472222222</v>
      </c>
      <c r="J51" s="229">
        <f t="shared" si="12"/>
        <v>191733.78652777779</v>
      </c>
      <c r="K51" s="229">
        <f t="shared" si="4"/>
        <v>-10379.49819444443</v>
      </c>
      <c r="L51" s="229">
        <f t="shared" si="5"/>
        <v>2179.6946208333302</v>
      </c>
      <c r="M51" s="229">
        <f t="shared" si="6"/>
        <v>0</v>
      </c>
      <c r="N51" s="223"/>
      <c r="O51" s="221"/>
      <c r="P51" s="158"/>
      <c r="Q51" s="158"/>
      <c r="R51" s="158"/>
      <c r="S51" s="158"/>
      <c r="T51" s="158"/>
      <c r="U51" s="158"/>
      <c r="V51" s="158"/>
      <c r="W51" s="158"/>
      <c r="X51" s="158"/>
      <c r="Y51" s="158"/>
      <c r="Z51" s="158"/>
      <c r="AA51" s="158"/>
      <c r="AB51" s="158"/>
      <c r="AC51" s="158"/>
      <c r="AD51" s="158"/>
      <c r="AE51" s="158"/>
      <c r="AF51" s="158"/>
      <c r="AG51" s="158"/>
      <c r="AH51" s="158"/>
      <c r="AI51" s="232"/>
    </row>
    <row r="52" spans="1:35" ht="15" x14ac:dyDescent="0.25">
      <c r="A52" s="219">
        <v>45351</v>
      </c>
      <c r="B52" s="224">
        <v>0</v>
      </c>
      <c r="C52" s="221">
        <f t="shared" si="1"/>
        <v>250899.25</v>
      </c>
      <c r="D52" s="221">
        <f t="shared" si="0"/>
        <v>250899.25</v>
      </c>
      <c r="E52" s="221">
        <f t="shared" si="13"/>
        <v>6969.4236111111104</v>
      </c>
      <c r="F52" s="222">
        <f t="shared" si="10"/>
        <v>6969.4236111111104</v>
      </c>
      <c r="G52" s="221">
        <f t="shared" si="11"/>
        <v>-55755.388888888883</v>
      </c>
      <c r="H52" s="222">
        <f t="shared" si="11"/>
        <v>-66134.88708333332</v>
      </c>
      <c r="I52" s="221">
        <f t="shared" si="12"/>
        <v>195143.86111111112</v>
      </c>
      <c r="J52" s="221">
        <f t="shared" si="12"/>
        <v>184764.36291666667</v>
      </c>
      <c r="K52" s="221">
        <f t="shared" si="4"/>
        <v>-10379.498194444459</v>
      </c>
      <c r="L52" s="221">
        <f t="shared" si="5"/>
        <v>2179.6946208333361</v>
      </c>
      <c r="M52" s="221">
        <f t="shared" si="6"/>
        <v>-5.9117155615240335E-12</v>
      </c>
      <c r="N52" s="223"/>
      <c r="O52" s="221"/>
      <c r="P52" s="158"/>
      <c r="Q52" s="158"/>
      <c r="R52" s="158"/>
      <c r="S52" s="158"/>
      <c r="T52" s="158"/>
      <c r="U52" s="158"/>
      <c r="V52" s="158"/>
      <c r="W52" s="158"/>
      <c r="X52" s="158"/>
      <c r="Y52" s="158"/>
      <c r="Z52" s="158"/>
      <c r="AA52" s="158"/>
      <c r="AB52" s="158"/>
      <c r="AC52" s="158"/>
      <c r="AD52" s="158"/>
      <c r="AE52" s="158"/>
      <c r="AF52" s="158"/>
      <c r="AG52" s="158"/>
      <c r="AH52" s="158"/>
      <c r="AI52" s="232"/>
    </row>
    <row r="53" spans="1:35" ht="15" x14ac:dyDescent="0.25">
      <c r="A53" s="219">
        <v>45382</v>
      </c>
      <c r="B53" s="224">
        <v>0</v>
      </c>
      <c r="C53" s="221">
        <f t="shared" si="1"/>
        <v>250899.25</v>
      </c>
      <c r="D53" s="221">
        <f t="shared" si="0"/>
        <v>250899.25</v>
      </c>
      <c r="E53" s="221">
        <f t="shared" si="13"/>
        <v>6969.4236111111104</v>
      </c>
      <c r="F53" s="222">
        <f t="shared" si="10"/>
        <v>6969.4236111111104</v>
      </c>
      <c r="G53" s="221">
        <f t="shared" si="11"/>
        <v>-62724.812499999993</v>
      </c>
      <c r="H53" s="222">
        <f t="shared" si="11"/>
        <v>-73104.31069444443</v>
      </c>
      <c r="I53" s="221">
        <f t="shared" si="12"/>
        <v>188174.4375</v>
      </c>
      <c r="J53" s="221">
        <f t="shared" si="12"/>
        <v>177794.93930555557</v>
      </c>
      <c r="K53" s="221">
        <f t="shared" si="4"/>
        <v>-10379.49819444443</v>
      </c>
      <c r="L53" s="221">
        <f t="shared" si="5"/>
        <v>2179.6946208333302</v>
      </c>
      <c r="M53" s="221">
        <f t="shared" si="6"/>
        <v>5.9117155615240335E-12</v>
      </c>
      <c r="N53" s="223"/>
      <c r="O53" s="221"/>
      <c r="P53" s="158"/>
      <c r="Q53" s="158"/>
      <c r="R53" s="158"/>
      <c r="S53" s="158"/>
      <c r="T53" s="158"/>
      <c r="U53" s="158"/>
      <c r="V53" s="158"/>
      <c r="W53" s="158"/>
      <c r="X53" s="158"/>
      <c r="Y53" s="158"/>
      <c r="Z53" s="158"/>
      <c r="AA53" s="158"/>
      <c r="AB53" s="158"/>
      <c r="AC53" s="158"/>
      <c r="AD53" s="158"/>
      <c r="AE53" s="158"/>
      <c r="AF53" s="158"/>
      <c r="AG53" s="158"/>
      <c r="AH53" s="158"/>
      <c r="AI53" s="232"/>
    </row>
    <row r="54" spans="1:35" ht="15" x14ac:dyDescent="0.25">
      <c r="A54" s="219">
        <v>45412</v>
      </c>
      <c r="B54" s="224">
        <v>0</v>
      </c>
      <c r="C54" s="221">
        <f t="shared" si="1"/>
        <v>250899.25</v>
      </c>
      <c r="D54" s="221">
        <f t="shared" si="0"/>
        <v>250899.25</v>
      </c>
      <c r="E54" s="221">
        <f t="shared" si="13"/>
        <v>6969.4236111111104</v>
      </c>
      <c r="F54" s="222">
        <f t="shared" si="10"/>
        <v>6969.4236111111104</v>
      </c>
      <c r="G54" s="221">
        <f t="shared" si="11"/>
        <v>-69694.236111111109</v>
      </c>
      <c r="H54" s="222">
        <f t="shared" si="11"/>
        <v>-80073.734305555539</v>
      </c>
      <c r="I54" s="221">
        <f t="shared" si="12"/>
        <v>181205.01388888888</v>
      </c>
      <c r="J54" s="221">
        <f t="shared" si="12"/>
        <v>170825.51569444448</v>
      </c>
      <c r="K54" s="221">
        <f t="shared" si="4"/>
        <v>-10379.498194444401</v>
      </c>
      <c r="L54" s="221">
        <f t="shared" si="5"/>
        <v>2179.6946208333243</v>
      </c>
      <c r="M54" s="221">
        <f t="shared" si="6"/>
        <v>5.9117155615240335E-12</v>
      </c>
      <c r="N54" s="223"/>
      <c r="O54" s="221"/>
      <c r="P54" s="158"/>
      <c r="Q54" s="158"/>
      <c r="R54" s="158"/>
      <c r="S54" s="158"/>
      <c r="T54" s="158"/>
      <c r="U54" s="158"/>
      <c r="V54" s="158"/>
      <c r="W54" s="158"/>
      <c r="X54" s="158"/>
      <c r="Y54" s="158"/>
      <c r="Z54" s="158"/>
      <c r="AA54" s="158"/>
      <c r="AB54" s="158"/>
      <c r="AC54" s="158"/>
      <c r="AD54" s="158"/>
      <c r="AE54" s="158"/>
      <c r="AF54" s="158"/>
      <c r="AG54" s="158"/>
      <c r="AH54" s="158"/>
      <c r="AI54" s="232"/>
    </row>
    <row r="55" spans="1:35" ht="15" x14ac:dyDescent="0.25">
      <c r="A55" s="219">
        <v>45443</v>
      </c>
      <c r="B55" s="224">
        <v>0</v>
      </c>
      <c r="C55" s="221">
        <f t="shared" si="1"/>
        <v>250899.25</v>
      </c>
      <c r="D55" s="221">
        <f t="shared" si="0"/>
        <v>250899.25</v>
      </c>
      <c r="E55" s="221">
        <f t="shared" si="13"/>
        <v>6969.4236111111104</v>
      </c>
      <c r="F55" s="222">
        <f t="shared" si="10"/>
        <v>6969.4236111111104</v>
      </c>
      <c r="G55" s="221">
        <f t="shared" si="11"/>
        <v>-76663.659722222219</v>
      </c>
      <c r="H55" s="222">
        <f t="shared" si="11"/>
        <v>-87043.157916666649</v>
      </c>
      <c r="I55" s="221">
        <f t="shared" si="12"/>
        <v>174235.59027777778</v>
      </c>
      <c r="J55" s="221">
        <f t="shared" si="12"/>
        <v>163856.09208333335</v>
      </c>
      <c r="K55" s="221">
        <f t="shared" si="4"/>
        <v>-10379.49819444443</v>
      </c>
      <c r="L55" s="221">
        <f t="shared" si="5"/>
        <v>2179.6946208333302</v>
      </c>
      <c r="M55" s="221">
        <f t="shared" si="6"/>
        <v>-5.9117155615240335E-12</v>
      </c>
      <c r="N55" s="223"/>
      <c r="O55" s="221"/>
      <c r="P55" s="158"/>
      <c r="Q55" s="158"/>
      <c r="R55" s="158"/>
      <c r="S55" s="158"/>
      <c r="T55" s="158"/>
      <c r="U55" s="158"/>
      <c r="V55" s="158"/>
      <c r="W55" s="158"/>
      <c r="X55" s="158"/>
      <c r="Y55" s="158"/>
      <c r="Z55" s="158"/>
      <c r="AA55" s="158"/>
      <c r="AB55" s="158"/>
      <c r="AC55" s="158"/>
      <c r="AD55" s="158"/>
      <c r="AE55" s="158"/>
      <c r="AF55" s="158"/>
      <c r="AG55" s="158"/>
      <c r="AH55" s="158"/>
      <c r="AI55" s="232"/>
    </row>
    <row r="56" spans="1:35" ht="15" x14ac:dyDescent="0.25">
      <c r="A56" s="219">
        <v>45473</v>
      </c>
      <c r="B56" s="224">
        <v>0</v>
      </c>
      <c r="C56" s="221">
        <f t="shared" si="1"/>
        <v>250899.25</v>
      </c>
      <c r="D56" s="221">
        <f t="shared" si="0"/>
        <v>250899.25</v>
      </c>
      <c r="E56" s="221">
        <f t="shared" si="13"/>
        <v>6969.4236111111104</v>
      </c>
      <c r="F56" s="222">
        <f t="shared" si="10"/>
        <v>6969.4236111111104</v>
      </c>
      <c r="G56" s="221">
        <f t="shared" si="11"/>
        <v>-83633.083333333328</v>
      </c>
      <c r="H56" s="222">
        <f t="shared" si="11"/>
        <v>-94012.581527777758</v>
      </c>
      <c r="I56" s="221">
        <f t="shared" si="12"/>
        <v>167266.16666666669</v>
      </c>
      <c r="J56" s="221">
        <f t="shared" si="12"/>
        <v>156886.66847222223</v>
      </c>
      <c r="K56" s="221">
        <f t="shared" si="4"/>
        <v>-10379.498194444459</v>
      </c>
      <c r="L56" s="221">
        <f t="shared" si="5"/>
        <v>2179.6946208333361</v>
      </c>
      <c r="M56" s="221">
        <f t="shared" si="6"/>
        <v>-5.9117155615240335E-12</v>
      </c>
      <c r="N56" s="223"/>
      <c r="O56" s="221"/>
      <c r="P56" s="158"/>
      <c r="Q56" s="158"/>
      <c r="R56" s="158"/>
      <c r="S56" s="158"/>
      <c r="T56" s="158"/>
      <c r="U56" s="158"/>
      <c r="V56" s="158"/>
      <c r="W56" s="158"/>
      <c r="X56" s="158"/>
      <c r="Y56" s="158"/>
      <c r="Z56" s="158"/>
      <c r="AA56" s="158"/>
      <c r="AB56" s="158"/>
      <c r="AC56" s="158"/>
      <c r="AD56" s="158"/>
      <c r="AE56" s="158"/>
      <c r="AF56" s="158"/>
      <c r="AG56" s="158"/>
      <c r="AH56" s="158"/>
      <c r="AI56" s="232"/>
    </row>
    <row r="57" spans="1:35" ht="15" x14ac:dyDescent="0.25">
      <c r="A57" s="219">
        <v>45504</v>
      </c>
      <c r="B57" s="224">
        <v>0</v>
      </c>
      <c r="C57" s="221">
        <f t="shared" si="1"/>
        <v>250899.25</v>
      </c>
      <c r="D57" s="221">
        <f t="shared" si="0"/>
        <v>250899.25</v>
      </c>
      <c r="E57" s="221">
        <f t="shared" si="13"/>
        <v>6969.4236111111104</v>
      </c>
      <c r="F57" s="222">
        <f t="shared" si="10"/>
        <v>6969.4236111111104</v>
      </c>
      <c r="G57" s="221">
        <f t="shared" si="11"/>
        <v>-90602.506944444438</v>
      </c>
      <c r="H57" s="222">
        <f t="shared" si="11"/>
        <v>-100982.00513888887</v>
      </c>
      <c r="I57" s="221">
        <f t="shared" si="12"/>
        <v>160296.74305555556</v>
      </c>
      <c r="J57" s="221">
        <f t="shared" si="12"/>
        <v>149917.24486111113</v>
      </c>
      <c r="K57" s="221">
        <f t="shared" si="4"/>
        <v>-10379.49819444443</v>
      </c>
      <c r="L57" s="221">
        <f t="shared" si="5"/>
        <v>2179.6946208333302</v>
      </c>
      <c r="M57" s="221">
        <f t="shared" si="6"/>
        <v>5.9117155615240335E-12</v>
      </c>
      <c r="N57" s="223"/>
      <c r="O57" s="221"/>
      <c r="P57" s="158"/>
      <c r="Q57" s="158"/>
      <c r="R57" s="158"/>
      <c r="S57" s="158"/>
      <c r="T57" s="158"/>
      <c r="U57" s="158"/>
      <c r="V57" s="158"/>
      <c r="W57" s="158"/>
      <c r="X57" s="158"/>
      <c r="Y57" s="158"/>
      <c r="Z57" s="158"/>
      <c r="AA57" s="158"/>
      <c r="AB57" s="158"/>
      <c r="AC57" s="158"/>
      <c r="AD57" s="158"/>
      <c r="AE57" s="158"/>
      <c r="AF57" s="158"/>
      <c r="AG57" s="158"/>
      <c r="AH57" s="158"/>
      <c r="AI57" s="232"/>
    </row>
    <row r="58" spans="1:35" ht="15" x14ac:dyDescent="0.25">
      <c r="A58" s="219">
        <v>45535</v>
      </c>
      <c r="B58" s="224">
        <v>0</v>
      </c>
      <c r="C58" s="221">
        <f t="shared" si="1"/>
        <v>250899.25</v>
      </c>
      <c r="D58" s="221">
        <f t="shared" si="0"/>
        <v>250899.25</v>
      </c>
      <c r="E58" s="221">
        <f t="shared" si="13"/>
        <v>6969.4236111111104</v>
      </c>
      <c r="F58" s="222">
        <f t="shared" si="10"/>
        <v>6969.4236111111104</v>
      </c>
      <c r="G58" s="221">
        <f t="shared" si="11"/>
        <v>-97571.930555555547</v>
      </c>
      <c r="H58" s="222">
        <f t="shared" si="11"/>
        <v>-107951.42874999998</v>
      </c>
      <c r="I58" s="221">
        <f t="shared" si="12"/>
        <v>153327.31944444444</v>
      </c>
      <c r="J58" s="221">
        <f t="shared" si="12"/>
        <v>142947.82125000004</v>
      </c>
      <c r="K58" s="221">
        <f t="shared" si="4"/>
        <v>-10379.498194444401</v>
      </c>
      <c r="L58" s="221">
        <f t="shared" si="5"/>
        <v>2179.6946208333243</v>
      </c>
      <c r="M58" s="221">
        <f t="shared" si="6"/>
        <v>5.9117155615240335E-12</v>
      </c>
      <c r="N58" s="223"/>
      <c r="O58" s="221"/>
      <c r="P58" s="158"/>
      <c r="Q58" s="158"/>
      <c r="R58" s="158"/>
      <c r="S58" s="158"/>
      <c r="T58" s="158"/>
      <c r="U58" s="158"/>
      <c r="V58" s="158"/>
      <c r="W58" s="158"/>
      <c r="X58" s="158"/>
      <c r="Y58" s="158"/>
      <c r="Z58" s="158"/>
      <c r="AA58" s="158"/>
      <c r="AB58" s="158"/>
      <c r="AC58" s="158"/>
      <c r="AD58" s="158"/>
      <c r="AE58" s="158"/>
      <c r="AF58" s="158"/>
      <c r="AG58" s="158"/>
      <c r="AH58" s="158"/>
      <c r="AI58" s="232"/>
    </row>
    <row r="59" spans="1:35" ht="15" x14ac:dyDescent="0.25">
      <c r="A59" s="219">
        <v>45565</v>
      </c>
      <c r="B59" s="224">
        <v>0</v>
      </c>
      <c r="C59" s="221">
        <f t="shared" si="1"/>
        <v>250899.25</v>
      </c>
      <c r="D59" s="221">
        <f t="shared" si="0"/>
        <v>250899.25</v>
      </c>
      <c r="E59" s="221">
        <f t="shared" si="13"/>
        <v>6969.4236111111104</v>
      </c>
      <c r="F59" s="222">
        <f t="shared" si="10"/>
        <v>6969.4236111111104</v>
      </c>
      <c r="G59" s="221">
        <f t="shared" ref="G59:H74" si="14">-E59+G58</f>
        <v>-104541.35416666666</v>
      </c>
      <c r="H59" s="222">
        <f t="shared" si="14"/>
        <v>-114920.85236111109</v>
      </c>
      <c r="I59" s="221">
        <f t="shared" ref="I59:J74" si="15">C59+G59</f>
        <v>146357.89583333334</v>
      </c>
      <c r="J59" s="221">
        <f t="shared" si="15"/>
        <v>135978.39763888891</v>
      </c>
      <c r="K59" s="221">
        <f t="shared" si="4"/>
        <v>-10379.49819444443</v>
      </c>
      <c r="L59" s="221">
        <f t="shared" si="5"/>
        <v>2179.6946208333302</v>
      </c>
      <c r="M59" s="221">
        <f t="shared" si="6"/>
        <v>-5.9117155615240335E-12</v>
      </c>
      <c r="N59" s="223"/>
      <c r="O59" s="221"/>
      <c r="P59" s="158"/>
      <c r="Q59" s="158"/>
      <c r="R59" s="158"/>
      <c r="S59" s="158"/>
      <c r="T59" s="158"/>
      <c r="U59" s="158"/>
      <c r="V59" s="158"/>
      <c r="W59" s="158"/>
      <c r="X59" s="158"/>
      <c r="Y59" s="158"/>
      <c r="Z59" s="158"/>
      <c r="AA59" s="158"/>
      <c r="AB59" s="158"/>
      <c r="AC59" s="158"/>
      <c r="AD59" s="158"/>
      <c r="AE59" s="158"/>
      <c r="AF59" s="158"/>
      <c r="AG59" s="158"/>
      <c r="AH59" s="158"/>
      <c r="AI59" s="232"/>
    </row>
    <row r="60" spans="1:35" ht="15" x14ac:dyDescent="0.25">
      <c r="A60" s="219">
        <v>45596</v>
      </c>
      <c r="B60" s="224">
        <v>0</v>
      </c>
      <c r="C60" s="221">
        <f t="shared" si="1"/>
        <v>250899.25</v>
      </c>
      <c r="D60" s="221">
        <f t="shared" si="0"/>
        <v>250899.25</v>
      </c>
      <c r="E60" s="221">
        <f t="shared" si="13"/>
        <v>6969.4236111111104</v>
      </c>
      <c r="F60" s="222">
        <f t="shared" si="10"/>
        <v>6969.4236111111104</v>
      </c>
      <c r="G60" s="221">
        <f t="shared" si="14"/>
        <v>-111510.77777777777</v>
      </c>
      <c r="H60" s="222">
        <f t="shared" si="14"/>
        <v>-121890.2759722222</v>
      </c>
      <c r="I60" s="221">
        <f t="shared" si="15"/>
        <v>139388.47222222225</v>
      </c>
      <c r="J60" s="221">
        <f t="shared" si="15"/>
        <v>129008.9740277778</v>
      </c>
      <c r="K60" s="221">
        <f t="shared" si="4"/>
        <v>-10379.498194444444</v>
      </c>
      <c r="L60" s="221">
        <f t="shared" si="5"/>
        <v>2179.6946208333334</v>
      </c>
      <c r="M60" s="221">
        <f t="shared" si="6"/>
        <v>0</v>
      </c>
      <c r="N60" s="223"/>
      <c r="O60" s="221"/>
      <c r="P60" s="158"/>
      <c r="Q60" s="158"/>
      <c r="R60" s="158"/>
      <c r="S60" s="158"/>
      <c r="T60" s="158"/>
      <c r="U60" s="158"/>
      <c r="V60" s="158"/>
      <c r="W60" s="158"/>
      <c r="X60" s="158"/>
      <c r="Y60" s="158"/>
      <c r="Z60" s="158"/>
      <c r="AA60" s="158"/>
      <c r="AB60" s="158"/>
      <c r="AC60" s="158"/>
      <c r="AD60" s="158"/>
      <c r="AE60" s="158"/>
      <c r="AF60" s="158"/>
      <c r="AG60" s="158"/>
      <c r="AH60" s="158"/>
      <c r="AI60" s="232"/>
    </row>
    <row r="61" spans="1:35" ht="15" x14ac:dyDescent="0.25">
      <c r="A61" s="219">
        <v>45626</v>
      </c>
      <c r="B61" s="224">
        <v>0</v>
      </c>
      <c r="C61" s="221">
        <f t="shared" si="1"/>
        <v>250899.25</v>
      </c>
      <c r="D61" s="221">
        <f t="shared" si="0"/>
        <v>250899.25</v>
      </c>
      <c r="E61" s="221">
        <f t="shared" si="13"/>
        <v>6969.4236111111104</v>
      </c>
      <c r="F61" s="222">
        <f t="shared" si="10"/>
        <v>6969.4236111111104</v>
      </c>
      <c r="G61" s="221">
        <f t="shared" si="14"/>
        <v>-118480.20138888888</v>
      </c>
      <c r="H61" s="222">
        <f t="shared" si="14"/>
        <v>-128859.69958333331</v>
      </c>
      <c r="I61" s="221">
        <f t="shared" si="15"/>
        <v>132419.04861111112</v>
      </c>
      <c r="J61" s="221">
        <f t="shared" si="15"/>
        <v>122039.55041666669</v>
      </c>
      <c r="K61" s="221">
        <f t="shared" si="4"/>
        <v>-10379.49819444443</v>
      </c>
      <c r="L61" s="221">
        <f t="shared" si="5"/>
        <v>2179.6946208333302</v>
      </c>
      <c r="M61" s="221">
        <f t="shared" si="6"/>
        <v>0</v>
      </c>
      <c r="N61" s="223"/>
      <c r="O61" s="221"/>
      <c r="P61" s="158"/>
      <c r="Q61" s="158"/>
      <c r="R61" s="158"/>
      <c r="S61" s="158"/>
      <c r="T61" s="158"/>
      <c r="U61" s="158"/>
      <c r="V61" s="158"/>
      <c r="W61" s="158"/>
      <c r="X61" s="158"/>
      <c r="Y61" s="158"/>
      <c r="Z61" s="158"/>
      <c r="AA61" s="158"/>
      <c r="AB61" s="158"/>
      <c r="AC61" s="158"/>
      <c r="AD61" s="158"/>
      <c r="AE61" s="158"/>
      <c r="AF61" s="158"/>
      <c r="AG61" s="158"/>
      <c r="AH61" s="158"/>
      <c r="AI61" s="232"/>
    </row>
    <row r="62" spans="1:35" ht="15" x14ac:dyDescent="0.25">
      <c r="A62" s="219">
        <v>45657</v>
      </c>
      <c r="B62" s="224">
        <v>0</v>
      </c>
      <c r="C62" s="221">
        <f t="shared" si="1"/>
        <v>250899.25</v>
      </c>
      <c r="D62" s="225">
        <f t="shared" si="0"/>
        <v>250899.25</v>
      </c>
      <c r="E62" s="221">
        <f>($C$26*$F$6+($C$38-$C$26)*$E$6+($C$50-$C$38)*$D$6+($C$62-$C$50)*$C$6)/12</f>
        <v>6969.4236111111104</v>
      </c>
      <c r="F62" s="222">
        <f t="shared" si="10"/>
        <v>6969.4236111111104</v>
      </c>
      <c r="G62" s="221">
        <f t="shared" si="14"/>
        <v>-125449.62499999999</v>
      </c>
      <c r="H62" s="222">
        <f t="shared" si="14"/>
        <v>-135829.12319444443</v>
      </c>
      <c r="I62" s="221">
        <f t="shared" si="15"/>
        <v>125449.62500000001</v>
      </c>
      <c r="J62" s="221">
        <f t="shared" si="15"/>
        <v>115070.12680555557</v>
      </c>
      <c r="K62" s="221">
        <f t="shared" si="4"/>
        <v>-10379.498194444444</v>
      </c>
      <c r="L62" s="221">
        <f t="shared" si="5"/>
        <v>2179.6946208333334</v>
      </c>
      <c r="M62" s="221">
        <f t="shared" si="6"/>
        <v>0</v>
      </c>
      <c r="N62" s="223"/>
      <c r="O62" s="221"/>
      <c r="P62" s="158"/>
      <c r="Q62" s="158"/>
      <c r="R62" s="158"/>
      <c r="S62" s="158"/>
      <c r="T62" s="158"/>
      <c r="U62" s="158"/>
      <c r="V62" s="158"/>
      <c r="W62" s="158"/>
      <c r="X62" s="158"/>
      <c r="Y62" s="158"/>
      <c r="Z62" s="158"/>
      <c r="AA62" s="158"/>
      <c r="AB62" s="158"/>
      <c r="AC62" s="158"/>
      <c r="AD62" s="158"/>
      <c r="AE62" s="158"/>
      <c r="AF62" s="158"/>
      <c r="AG62" s="158"/>
      <c r="AH62" s="158"/>
      <c r="AI62" s="232"/>
    </row>
    <row r="63" spans="1:35" ht="15" x14ac:dyDescent="0.25">
      <c r="A63" s="227">
        <v>45688</v>
      </c>
      <c r="B63" s="228">
        <v>0</v>
      </c>
      <c r="C63" s="229">
        <f t="shared" si="1"/>
        <v>250899.25</v>
      </c>
      <c r="D63" s="221">
        <f t="shared" si="0"/>
        <v>250899.25</v>
      </c>
      <c r="E63" s="229">
        <f t="shared" ref="E63:E73" si="16">($C$26*$G$6+($C$38-$C$26)*$F$6+($C$50-$C$38)*$E$6+($C$62-$C$50)*$D$6+($C$74-$C$62)*$C$6)/12</f>
        <v>6969.4236111111104</v>
      </c>
      <c r="F63" s="230">
        <f t="shared" si="10"/>
        <v>6969.4236111111104</v>
      </c>
      <c r="G63" s="229">
        <f t="shared" si="14"/>
        <v>-132419.04861111109</v>
      </c>
      <c r="H63" s="230">
        <f t="shared" si="14"/>
        <v>-142798.54680555555</v>
      </c>
      <c r="I63" s="229">
        <f t="shared" si="15"/>
        <v>118480.20138888891</v>
      </c>
      <c r="J63" s="229">
        <f t="shared" si="15"/>
        <v>108100.70319444445</v>
      </c>
      <c r="K63" s="229">
        <f t="shared" si="4"/>
        <v>-10379.498194444459</v>
      </c>
      <c r="L63" s="229">
        <f t="shared" si="5"/>
        <v>2179.6946208333361</v>
      </c>
      <c r="M63" s="229">
        <f t="shared" si="6"/>
        <v>0</v>
      </c>
      <c r="N63" s="223"/>
      <c r="O63" s="221"/>
      <c r="P63" s="158"/>
      <c r="Q63" s="158"/>
      <c r="R63" s="158"/>
      <c r="S63" s="158"/>
      <c r="T63" s="158"/>
      <c r="U63" s="158"/>
      <c r="V63" s="158"/>
      <c r="W63" s="158"/>
      <c r="X63" s="158"/>
      <c r="Y63" s="158"/>
      <c r="Z63" s="158"/>
      <c r="AA63" s="158"/>
      <c r="AB63" s="158"/>
      <c r="AC63" s="158"/>
      <c r="AD63" s="158"/>
      <c r="AE63" s="158"/>
      <c r="AF63" s="158"/>
      <c r="AG63" s="158"/>
      <c r="AH63" s="158"/>
      <c r="AI63" s="232"/>
    </row>
    <row r="64" spans="1:35" ht="15" x14ac:dyDescent="0.25">
      <c r="A64" s="219">
        <v>45716</v>
      </c>
      <c r="B64" s="224">
        <v>0</v>
      </c>
      <c r="C64" s="221">
        <f t="shared" si="1"/>
        <v>250899.25</v>
      </c>
      <c r="D64" s="221">
        <f t="shared" si="0"/>
        <v>250899.25</v>
      </c>
      <c r="E64" s="221">
        <f t="shared" si="16"/>
        <v>6969.4236111111104</v>
      </c>
      <c r="F64" s="222">
        <f t="shared" si="10"/>
        <v>6969.4236111111104</v>
      </c>
      <c r="G64" s="221">
        <f t="shared" si="14"/>
        <v>-139388.47222222222</v>
      </c>
      <c r="H64" s="222">
        <f t="shared" si="14"/>
        <v>-149767.97041666668</v>
      </c>
      <c r="I64" s="221">
        <f t="shared" si="15"/>
        <v>111510.77777777778</v>
      </c>
      <c r="J64" s="221">
        <f t="shared" si="15"/>
        <v>101131.27958333332</v>
      </c>
      <c r="K64" s="221">
        <f t="shared" si="4"/>
        <v>-10379.498194444459</v>
      </c>
      <c r="L64" s="221">
        <f t="shared" si="5"/>
        <v>2179.6946208333361</v>
      </c>
      <c r="M64" s="221">
        <f t="shared" si="6"/>
        <v>0</v>
      </c>
      <c r="N64" s="223"/>
      <c r="O64" s="221"/>
      <c r="P64" s="158"/>
      <c r="Q64" s="158"/>
      <c r="R64" s="158"/>
      <c r="S64" s="158"/>
      <c r="T64" s="158"/>
      <c r="U64" s="158"/>
      <c r="V64" s="158"/>
      <c r="W64" s="158"/>
      <c r="X64" s="158"/>
      <c r="Y64" s="158"/>
      <c r="Z64" s="158"/>
      <c r="AA64" s="158"/>
      <c r="AB64" s="158"/>
      <c r="AC64" s="158"/>
      <c r="AD64" s="158"/>
      <c r="AE64" s="158"/>
      <c r="AF64" s="158"/>
      <c r="AG64" s="158"/>
      <c r="AH64" s="158"/>
      <c r="AI64" s="232"/>
    </row>
    <row r="65" spans="1:35" ht="15" x14ac:dyDescent="0.25">
      <c r="A65" s="219">
        <v>45747</v>
      </c>
      <c r="B65" s="224">
        <v>0</v>
      </c>
      <c r="C65" s="221">
        <f t="shared" si="1"/>
        <v>250899.25</v>
      </c>
      <c r="D65" s="221">
        <f t="shared" si="0"/>
        <v>250899.25</v>
      </c>
      <c r="E65" s="221">
        <f t="shared" si="16"/>
        <v>6969.4236111111104</v>
      </c>
      <c r="F65" s="222">
        <f t="shared" si="10"/>
        <v>6969.4236111111104</v>
      </c>
      <c r="G65" s="221">
        <f t="shared" si="14"/>
        <v>-146357.89583333334</v>
      </c>
      <c r="H65" s="222">
        <f t="shared" si="14"/>
        <v>-156737.3940277778</v>
      </c>
      <c r="I65" s="221">
        <f t="shared" si="15"/>
        <v>104541.35416666666</v>
      </c>
      <c r="J65" s="221">
        <f t="shared" si="15"/>
        <v>94161.855972222198</v>
      </c>
      <c r="K65" s="221">
        <f t="shared" si="4"/>
        <v>-10379.498194444459</v>
      </c>
      <c r="L65" s="221">
        <f t="shared" si="5"/>
        <v>2179.6946208333361</v>
      </c>
      <c r="M65" s="221">
        <f t="shared" si="6"/>
        <v>0</v>
      </c>
      <c r="N65" s="223"/>
      <c r="O65" s="221"/>
      <c r="P65" s="158"/>
      <c r="Q65" s="158"/>
      <c r="R65" s="158"/>
      <c r="S65" s="158"/>
      <c r="T65" s="158"/>
      <c r="U65" s="158"/>
      <c r="V65" s="158"/>
      <c r="W65" s="158"/>
      <c r="X65" s="158"/>
      <c r="Y65" s="158"/>
      <c r="Z65" s="158"/>
      <c r="AA65" s="158"/>
      <c r="AB65" s="158"/>
      <c r="AC65" s="158"/>
      <c r="AD65" s="158"/>
      <c r="AE65" s="158"/>
      <c r="AF65" s="158"/>
      <c r="AG65" s="158"/>
      <c r="AH65" s="158"/>
      <c r="AI65" s="232"/>
    </row>
    <row r="66" spans="1:35" ht="15" x14ac:dyDescent="0.25">
      <c r="A66" s="219">
        <v>45777</v>
      </c>
      <c r="B66" s="224">
        <v>0</v>
      </c>
      <c r="C66" s="221">
        <f t="shared" si="1"/>
        <v>250899.25</v>
      </c>
      <c r="D66" s="221">
        <f t="shared" si="0"/>
        <v>250899.25</v>
      </c>
      <c r="E66" s="221">
        <f t="shared" si="16"/>
        <v>6969.4236111111104</v>
      </c>
      <c r="F66" s="222">
        <f t="shared" si="10"/>
        <v>6969.4236111111104</v>
      </c>
      <c r="G66" s="221">
        <f t="shared" si="14"/>
        <v>-153327.31944444447</v>
      </c>
      <c r="H66" s="222">
        <f t="shared" si="14"/>
        <v>-163706.81763888893</v>
      </c>
      <c r="I66" s="221">
        <f t="shared" si="15"/>
        <v>97571.930555555533</v>
      </c>
      <c r="J66" s="221">
        <f t="shared" si="15"/>
        <v>87192.432361111074</v>
      </c>
      <c r="K66" s="221">
        <f t="shared" si="4"/>
        <v>-10379.498194444459</v>
      </c>
      <c r="L66" s="221">
        <f t="shared" si="5"/>
        <v>2179.6946208333361</v>
      </c>
      <c r="M66" s="221">
        <f t="shared" si="6"/>
        <v>0</v>
      </c>
      <c r="N66" s="223"/>
      <c r="O66" s="221"/>
      <c r="P66" s="158"/>
      <c r="Q66" s="158"/>
      <c r="R66" s="158"/>
      <c r="S66" s="158"/>
      <c r="T66" s="158"/>
      <c r="U66" s="158"/>
      <c r="V66" s="158"/>
      <c r="W66" s="158"/>
      <c r="X66" s="158"/>
      <c r="Y66" s="158"/>
      <c r="Z66" s="158"/>
      <c r="AA66" s="158"/>
      <c r="AB66" s="158"/>
      <c r="AC66" s="158"/>
      <c r="AD66" s="158"/>
      <c r="AE66" s="158"/>
      <c r="AF66" s="158"/>
      <c r="AG66" s="158"/>
      <c r="AH66" s="158"/>
    </row>
    <row r="67" spans="1:35" ht="15" x14ac:dyDescent="0.25">
      <c r="A67" s="219">
        <v>45808</v>
      </c>
      <c r="B67" s="224">
        <v>0</v>
      </c>
      <c r="C67" s="221">
        <f t="shared" si="1"/>
        <v>250899.25</v>
      </c>
      <c r="D67" s="221">
        <f t="shared" si="0"/>
        <v>250899.25</v>
      </c>
      <c r="E67" s="221">
        <f t="shared" si="16"/>
        <v>6969.4236111111104</v>
      </c>
      <c r="F67" s="222">
        <f t="shared" si="10"/>
        <v>6969.4236111111104</v>
      </c>
      <c r="G67" s="221">
        <f t="shared" si="14"/>
        <v>-160296.74305555559</v>
      </c>
      <c r="H67" s="222">
        <f t="shared" si="14"/>
        <v>-170676.24125000005</v>
      </c>
      <c r="I67" s="221">
        <f t="shared" si="15"/>
        <v>90602.506944444409</v>
      </c>
      <c r="J67" s="221">
        <f t="shared" si="15"/>
        <v>80223.00874999995</v>
      </c>
      <c r="K67" s="221">
        <f t="shared" si="4"/>
        <v>-10379.498194444459</v>
      </c>
      <c r="L67" s="221">
        <f t="shared" si="5"/>
        <v>2179.6946208333361</v>
      </c>
      <c r="M67" s="221">
        <f t="shared" si="6"/>
        <v>0</v>
      </c>
      <c r="N67" s="223"/>
      <c r="O67" s="221"/>
      <c r="P67" s="158"/>
      <c r="Q67" s="158"/>
      <c r="R67" s="158"/>
      <c r="S67" s="158"/>
      <c r="T67" s="158"/>
      <c r="U67" s="158"/>
      <c r="V67" s="158"/>
      <c r="W67" s="158"/>
      <c r="X67" s="158"/>
      <c r="Y67" s="158"/>
      <c r="Z67" s="158"/>
      <c r="AA67" s="158"/>
      <c r="AB67" s="158"/>
      <c r="AC67" s="158"/>
      <c r="AD67" s="158"/>
      <c r="AE67" s="158"/>
      <c r="AF67" s="158"/>
      <c r="AG67" s="158"/>
      <c r="AH67" s="158"/>
    </row>
    <row r="68" spans="1:35" ht="15" x14ac:dyDescent="0.25">
      <c r="A68" s="219">
        <v>45838</v>
      </c>
      <c r="B68" s="224">
        <v>0</v>
      </c>
      <c r="C68" s="221">
        <f t="shared" si="1"/>
        <v>250899.25</v>
      </c>
      <c r="D68" s="221">
        <f t="shared" si="0"/>
        <v>250899.25</v>
      </c>
      <c r="E68" s="221">
        <f t="shared" si="16"/>
        <v>6969.4236111111104</v>
      </c>
      <c r="F68" s="222">
        <f t="shared" si="10"/>
        <v>6969.4236111111104</v>
      </c>
      <c r="G68" s="221">
        <f t="shared" si="14"/>
        <v>-167266.16666666672</v>
      </c>
      <c r="H68" s="222">
        <f t="shared" si="14"/>
        <v>-177645.66486111117</v>
      </c>
      <c r="I68" s="221">
        <f t="shared" si="15"/>
        <v>83633.083333333285</v>
      </c>
      <c r="J68" s="221">
        <f t="shared" si="15"/>
        <v>73253.585138888826</v>
      </c>
      <c r="K68" s="221">
        <f t="shared" si="4"/>
        <v>-10379.498194444459</v>
      </c>
      <c r="L68" s="221">
        <f t="shared" si="5"/>
        <v>2179.6946208333361</v>
      </c>
      <c r="M68" s="221">
        <f t="shared" si="6"/>
        <v>0</v>
      </c>
      <c r="N68" s="223"/>
      <c r="O68" s="221"/>
      <c r="P68" s="158"/>
      <c r="Q68" s="158"/>
      <c r="R68" s="158"/>
      <c r="S68" s="158"/>
      <c r="T68" s="158"/>
      <c r="U68" s="158"/>
      <c r="V68" s="158"/>
      <c r="W68" s="158"/>
      <c r="X68" s="158"/>
      <c r="Y68" s="158"/>
      <c r="Z68" s="158"/>
      <c r="AA68" s="158"/>
      <c r="AB68" s="158"/>
      <c r="AC68" s="158"/>
      <c r="AD68" s="158"/>
      <c r="AE68" s="158"/>
      <c r="AF68" s="158"/>
      <c r="AG68" s="158"/>
      <c r="AH68" s="158"/>
    </row>
    <row r="69" spans="1:35" ht="15" x14ac:dyDescent="0.25">
      <c r="A69" s="219">
        <v>45869</v>
      </c>
      <c r="B69" s="224">
        <v>0</v>
      </c>
      <c r="C69" s="221">
        <f t="shared" si="1"/>
        <v>250899.25</v>
      </c>
      <c r="D69" s="221">
        <f t="shared" si="0"/>
        <v>250899.25</v>
      </c>
      <c r="E69" s="221">
        <f t="shared" si="16"/>
        <v>6969.4236111111104</v>
      </c>
      <c r="F69" s="222">
        <f t="shared" si="10"/>
        <v>6969.4236111111104</v>
      </c>
      <c r="G69" s="221">
        <f t="shared" si="14"/>
        <v>-174235.59027777784</v>
      </c>
      <c r="H69" s="222">
        <f t="shared" si="14"/>
        <v>-184615.0884722223</v>
      </c>
      <c r="I69" s="221">
        <f t="shared" si="15"/>
        <v>76663.659722222161</v>
      </c>
      <c r="J69" s="221">
        <f t="shared" si="15"/>
        <v>66284.161527777702</v>
      </c>
      <c r="K69" s="221">
        <f t="shared" si="4"/>
        <v>-10379.498194444459</v>
      </c>
      <c r="L69" s="221">
        <f t="shared" si="5"/>
        <v>2179.6946208333361</v>
      </c>
      <c r="M69" s="221">
        <f t="shared" si="6"/>
        <v>0</v>
      </c>
      <c r="N69" s="223"/>
      <c r="O69" s="221"/>
      <c r="P69" s="158"/>
      <c r="Q69" s="158"/>
      <c r="R69" s="158"/>
      <c r="S69" s="158"/>
      <c r="T69" s="158"/>
      <c r="U69" s="158"/>
      <c r="V69" s="158"/>
      <c r="W69" s="158"/>
      <c r="X69" s="158"/>
      <c r="Y69" s="158"/>
      <c r="Z69" s="158"/>
      <c r="AA69" s="158"/>
      <c r="AB69" s="158"/>
      <c r="AC69" s="158"/>
      <c r="AD69" s="158"/>
      <c r="AE69" s="158"/>
      <c r="AF69" s="158"/>
      <c r="AG69" s="158"/>
      <c r="AH69" s="158"/>
    </row>
    <row r="70" spans="1:35" ht="15" x14ac:dyDescent="0.25">
      <c r="A70" s="219">
        <v>45900</v>
      </c>
      <c r="B70" s="224">
        <v>0</v>
      </c>
      <c r="C70" s="221">
        <f t="shared" si="1"/>
        <v>250899.25</v>
      </c>
      <c r="D70" s="221">
        <f t="shared" si="0"/>
        <v>250899.25</v>
      </c>
      <c r="E70" s="221">
        <f t="shared" si="16"/>
        <v>6969.4236111111104</v>
      </c>
      <c r="F70" s="222">
        <f t="shared" si="10"/>
        <v>6969.4236111111104</v>
      </c>
      <c r="G70" s="221">
        <f t="shared" si="14"/>
        <v>-181205.01388888896</v>
      </c>
      <c r="H70" s="222">
        <f t="shared" si="14"/>
        <v>-191584.51208333342</v>
      </c>
      <c r="I70" s="221">
        <f t="shared" si="15"/>
        <v>69694.236111111037</v>
      </c>
      <c r="J70" s="221">
        <f t="shared" si="15"/>
        <v>59314.737916666578</v>
      </c>
      <c r="K70" s="221">
        <f>J70-I70</f>
        <v>-10379.498194444459</v>
      </c>
      <c r="L70" s="221">
        <f t="shared" si="5"/>
        <v>2179.6946208333361</v>
      </c>
      <c r="M70" s="221">
        <f t="shared" si="6"/>
        <v>0</v>
      </c>
      <c r="N70" s="223"/>
      <c r="O70" s="221"/>
      <c r="P70" s="158"/>
      <c r="Q70" s="158"/>
      <c r="R70" s="158"/>
      <c r="S70" s="158"/>
      <c r="T70" s="158"/>
      <c r="U70" s="158"/>
      <c r="V70" s="158"/>
      <c r="W70" s="158"/>
      <c r="X70" s="158"/>
      <c r="Y70" s="158"/>
      <c r="Z70" s="158"/>
      <c r="AA70" s="158"/>
      <c r="AB70" s="158"/>
      <c r="AC70" s="158"/>
      <c r="AD70" s="158"/>
      <c r="AE70" s="158"/>
      <c r="AF70" s="158"/>
      <c r="AG70" s="158"/>
      <c r="AH70" s="158"/>
    </row>
    <row r="71" spans="1:35" ht="15" customHeight="1" x14ac:dyDescent="0.25">
      <c r="A71" s="219">
        <v>45930</v>
      </c>
      <c r="B71" s="224">
        <v>0</v>
      </c>
      <c r="C71" s="221">
        <f t="shared" si="1"/>
        <v>250899.25</v>
      </c>
      <c r="D71" s="221">
        <f t="shared" si="0"/>
        <v>250899.25</v>
      </c>
      <c r="E71" s="221">
        <f t="shared" si="16"/>
        <v>6969.4236111111104</v>
      </c>
      <c r="F71" s="222">
        <f t="shared" si="10"/>
        <v>6969.4236111111104</v>
      </c>
      <c r="G71" s="221">
        <f t="shared" si="14"/>
        <v>-188174.43750000009</v>
      </c>
      <c r="H71" s="222">
        <f t="shared" si="14"/>
        <v>-198553.93569444455</v>
      </c>
      <c r="I71" s="221">
        <f t="shared" si="15"/>
        <v>62724.812499999913</v>
      </c>
      <c r="J71" s="221">
        <f t="shared" si="15"/>
        <v>52345.314305555454</v>
      </c>
      <c r="K71" s="221">
        <f>J71-I71</f>
        <v>-10379.498194444459</v>
      </c>
      <c r="L71" s="221">
        <f t="shared" si="5"/>
        <v>2179.6946208333361</v>
      </c>
      <c r="M71" s="221">
        <f t="shared" si="6"/>
        <v>0</v>
      </c>
      <c r="N71" s="223"/>
      <c r="O71" s="221"/>
      <c r="P71" s="158"/>
      <c r="Q71" s="158"/>
      <c r="R71" s="158"/>
      <c r="S71" s="158"/>
      <c r="T71" s="158"/>
      <c r="U71" s="158"/>
      <c r="V71" s="158"/>
      <c r="W71" s="158"/>
      <c r="X71" s="158"/>
      <c r="Y71" s="158"/>
      <c r="Z71" s="158"/>
      <c r="AA71" s="158"/>
      <c r="AB71" s="158"/>
      <c r="AC71" s="158"/>
      <c r="AD71" s="158"/>
      <c r="AE71" s="158"/>
      <c r="AF71" s="158"/>
      <c r="AG71" s="158"/>
      <c r="AH71" s="158"/>
    </row>
    <row r="72" spans="1:35" ht="15" customHeight="1" x14ac:dyDescent="0.25">
      <c r="A72" s="219">
        <v>45961</v>
      </c>
      <c r="B72" s="224">
        <v>0</v>
      </c>
      <c r="C72" s="221">
        <f t="shared" si="1"/>
        <v>250899.25</v>
      </c>
      <c r="D72" s="221">
        <f t="shared" si="0"/>
        <v>250899.25</v>
      </c>
      <c r="E72" s="221">
        <f t="shared" si="16"/>
        <v>6969.4236111111104</v>
      </c>
      <c r="F72" s="222">
        <f t="shared" si="10"/>
        <v>6969.4236111111104</v>
      </c>
      <c r="G72" s="221">
        <f t="shared" si="14"/>
        <v>-195143.86111111121</v>
      </c>
      <c r="H72" s="222">
        <f t="shared" si="14"/>
        <v>-205523.35930555567</v>
      </c>
      <c r="I72" s="221">
        <f t="shared" si="15"/>
        <v>55755.388888888789</v>
      </c>
      <c r="J72" s="221">
        <f t="shared" si="15"/>
        <v>45375.89069444433</v>
      </c>
      <c r="K72" s="221">
        <f t="shared" ref="K72:K74" si="17">J72-I72</f>
        <v>-10379.498194444459</v>
      </c>
      <c r="L72" s="221">
        <f t="shared" si="5"/>
        <v>2179.6946208333361</v>
      </c>
      <c r="M72" s="221">
        <f t="shared" si="6"/>
        <v>0</v>
      </c>
      <c r="N72" s="223"/>
      <c r="O72" s="221"/>
      <c r="P72" s="158"/>
      <c r="Q72" s="158"/>
      <c r="R72" s="158"/>
      <c r="S72" s="158"/>
      <c r="T72" s="158"/>
      <c r="U72" s="158"/>
      <c r="V72" s="158"/>
      <c r="W72" s="158"/>
      <c r="X72" s="158"/>
      <c r="Y72" s="158"/>
      <c r="Z72" s="158"/>
      <c r="AA72" s="158"/>
      <c r="AB72" s="158"/>
      <c r="AC72" s="158"/>
      <c r="AD72" s="158"/>
      <c r="AE72" s="158"/>
      <c r="AF72" s="158"/>
      <c r="AG72" s="158"/>
      <c r="AH72" s="158"/>
    </row>
    <row r="73" spans="1:35" ht="15" customHeight="1" x14ac:dyDescent="0.25">
      <c r="A73" s="219">
        <v>45991</v>
      </c>
      <c r="B73" s="224">
        <v>0</v>
      </c>
      <c r="C73" s="221">
        <f t="shared" si="1"/>
        <v>250899.25</v>
      </c>
      <c r="D73" s="221">
        <f t="shared" si="0"/>
        <v>250899.25</v>
      </c>
      <c r="E73" s="221">
        <f t="shared" si="16"/>
        <v>6969.4236111111104</v>
      </c>
      <c r="F73" s="222">
        <f t="shared" si="10"/>
        <v>6969.4236111111104</v>
      </c>
      <c r="G73" s="221">
        <f t="shared" si="14"/>
        <v>-202113.28472222234</v>
      </c>
      <c r="H73" s="222">
        <f t="shared" si="14"/>
        <v>-212492.78291666679</v>
      </c>
      <c r="I73" s="221">
        <f t="shared" si="15"/>
        <v>48785.965277777665</v>
      </c>
      <c r="J73" s="221">
        <f t="shared" si="15"/>
        <v>38406.467083333206</v>
      </c>
      <c r="K73" s="221">
        <f t="shared" si="17"/>
        <v>-10379.498194444459</v>
      </c>
      <c r="L73" s="221">
        <f t="shared" si="5"/>
        <v>2179.6946208333361</v>
      </c>
      <c r="M73" s="221">
        <f t="shared" si="6"/>
        <v>0</v>
      </c>
      <c r="N73" s="223"/>
      <c r="O73" s="221"/>
      <c r="P73" s="158"/>
      <c r="Q73" s="158"/>
      <c r="R73" s="158"/>
      <c r="S73" s="158"/>
      <c r="T73" s="158"/>
      <c r="U73" s="158"/>
      <c r="V73" s="158"/>
      <c r="W73" s="158"/>
      <c r="X73" s="158"/>
      <c r="Y73" s="158"/>
      <c r="Z73" s="158"/>
      <c r="AA73" s="158"/>
      <c r="AB73" s="158"/>
      <c r="AC73" s="158"/>
      <c r="AD73" s="158"/>
      <c r="AE73" s="158"/>
      <c r="AF73" s="158"/>
      <c r="AG73" s="158"/>
      <c r="AH73" s="158"/>
    </row>
    <row r="74" spans="1:35" ht="15" x14ac:dyDescent="0.25">
      <c r="A74" s="219">
        <v>46022</v>
      </c>
      <c r="B74" s="224">
        <v>0</v>
      </c>
      <c r="C74" s="221">
        <f t="shared" si="1"/>
        <v>250899.25</v>
      </c>
      <c r="D74" s="221">
        <f t="shared" si="0"/>
        <v>250899.25</v>
      </c>
      <c r="E74" s="221">
        <f>($C$26*$G$6+($C$38-$C$26)*$F$6+($C$50-$C$38)*$E$6+($C$62-$C$50)*$D$6+($C$74-$C$62)*$C$6)/12</f>
        <v>6969.4236111111104</v>
      </c>
      <c r="F74" s="222">
        <f t="shared" si="10"/>
        <v>6969.4236111111104</v>
      </c>
      <c r="G74" s="221">
        <f t="shared" si="14"/>
        <v>-209082.70833333346</v>
      </c>
      <c r="H74" s="222">
        <f t="shared" si="14"/>
        <v>-219462.20652777792</v>
      </c>
      <c r="I74" s="221">
        <f t="shared" si="15"/>
        <v>41816.541666666541</v>
      </c>
      <c r="J74" s="221">
        <f t="shared" si="15"/>
        <v>31437.043472222082</v>
      </c>
      <c r="K74" s="221">
        <f t="shared" si="17"/>
        <v>-10379.498194444459</v>
      </c>
      <c r="L74" s="221">
        <f t="shared" si="5"/>
        <v>2179.6946208333361</v>
      </c>
      <c r="M74" s="221">
        <f t="shared" si="6"/>
        <v>0</v>
      </c>
      <c r="N74" s="223"/>
      <c r="O74" s="221"/>
      <c r="P74" s="158"/>
      <c r="Q74" s="158"/>
      <c r="R74" s="158"/>
      <c r="S74" s="158"/>
      <c r="T74" s="158"/>
      <c r="U74" s="158"/>
      <c r="V74" s="158"/>
      <c r="W74" s="158"/>
      <c r="X74" s="158"/>
      <c r="Y74" s="158"/>
      <c r="Z74" s="158"/>
      <c r="AA74" s="158"/>
      <c r="AB74" s="158"/>
      <c r="AC74" s="158"/>
      <c r="AD74" s="158"/>
      <c r="AE74" s="158"/>
      <c r="AF74" s="158"/>
      <c r="AG74" s="158"/>
      <c r="AH74" s="158"/>
    </row>
    <row r="75" spans="1:35" ht="15" x14ac:dyDescent="0.25">
      <c r="A75" s="246" t="s">
        <v>24</v>
      </c>
      <c r="B75" s="247"/>
      <c r="C75" s="248"/>
      <c r="D75" s="249">
        <f>D74-'TEP By Depr Grp'!AL5</f>
        <v>0</v>
      </c>
      <c r="E75" s="250">
        <f>G74+SUM(E15:E74)</f>
        <v>0</v>
      </c>
      <c r="F75" s="251">
        <f>H74+SUM(F21:F74)</f>
        <v>0</v>
      </c>
      <c r="G75" s="248"/>
      <c r="H75" s="252"/>
      <c r="I75" s="248"/>
      <c r="J75" s="248"/>
      <c r="K75" s="248"/>
      <c r="L75" s="248"/>
      <c r="M75" s="253"/>
      <c r="N75" s="223"/>
      <c r="O75" s="221"/>
      <c r="P75" s="158"/>
      <c r="Q75" s="158"/>
      <c r="R75" s="158"/>
      <c r="S75" s="158"/>
      <c r="T75" s="158"/>
      <c r="U75" s="158"/>
      <c r="V75" s="158"/>
      <c r="W75" s="158"/>
      <c r="X75" s="158"/>
      <c r="Y75" s="158"/>
      <c r="Z75" s="158"/>
      <c r="AA75" s="158"/>
      <c r="AB75" s="158"/>
      <c r="AC75" s="158"/>
      <c r="AD75" s="158"/>
      <c r="AE75" s="158"/>
      <c r="AF75" s="158"/>
      <c r="AG75" s="158"/>
      <c r="AH75" s="158"/>
    </row>
    <row r="76" spans="1:35" ht="15" x14ac:dyDescent="0.25">
      <c r="A76" s="158"/>
      <c r="B76" s="158"/>
      <c r="C76" s="158"/>
      <c r="D76" s="158"/>
      <c r="E76" s="158"/>
      <c r="F76" s="158"/>
      <c r="G76" s="158"/>
      <c r="H76" s="158"/>
      <c r="I76" s="158"/>
      <c r="J76" s="158"/>
      <c r="K76" s="158"/>
      <c r="L76" s="158"/>
      <c r="M76" s="158"/>
      <c r="N76" s="177"/>
      <c r="O76" s="221"/>
      <c r="P76" s="158"/>
      <c r="Q76" s="158"/>
      <c r="R76" s="158"/>
      <c r="S76" s="158"/>
      <c r="T76" s="158"/>
      <c r="U76" s="158"/>
      <c r="V76" s="158"/>
      <c r="W76" s="158"/>
      <c r="X76" s="158"/>
      <c r="Y76" s="158"/>
      <c r="Z76" s="158"/>
      <c r="AA76" s="158"/>
      <c r="AB76" s="158"/>
      <c r="AC76" s="158"/>
      <c r="AD76" s="158"/>
      <c r="AE76" s="158"/>
      <c r="AF76" s="158"/>
      <c r="AG76" s="158"/>
      <c r="AH76" s="158"/>
    </row>
    <row r="77" spans="1:35" ht="15" x14ac:dyDescent="0.25">
      <c r="A77" s="158"/>
      <c r="B77" s="158"/>
      <c r="C77" s="158"/>
      <c r="D77" s="158"/>
      <c r="E77" s="158"/>
      <c r="F77" s="158"/>
      <c r="G77" s="158"/>
      <c r="H77" s="158"/>
      <c r="I77" s="158"/>
      <c r="J77" s="158"/>
      <c r="K77" s="158"/>
      <c r="L77" s="158"/>
      <c r="M77" s="158"/>
      <c r="N77" s="177"/>
      <c r="O77" s="221"/>
      <c r="P77" s="158"/>
      <c r="Q77" s="158"/>
      <c r="R77" s="158"/>
      <c r="S77" s="158"/>
      <c r="T77" s="158"/>
      <c r="U77" s="158"/>
      <c r="V77" s="158"/>
      <c r="W77" s="158"/>
      <c r="X77" s="158"/>
      <c r="Y77" s="158"/>
      <c r="Z77" s="158"/>
      <c r="AA77" s="158"/>
      <c r="AB77" s="158"/>
      <c r="AC77" s="158"/>
      <c r="AD77" s="158"/>
      <c r="AE77" s="158"/>
      <c r="AF77" s="158"/>
      <c r="AG77" s="158"/>
      <c r="AH77" s="158"/>
    </row>
    <row r="78" spans="1:35" ht="15" x14ac:dyDescent="0.25">
      <c r="A78" s="158"/>
      <c r="B78" s="158"/>
      <c r="C78" s="158"/>
      <c r="D78" s="158"/>
      <c r="E78" s="158"/>
      <c r="F78" s="158"/>
      <c r="G78" s="158"/>
      <c r="H78" s="158"/>
      <c r="I78" s="158"/>
      <c r="J78" s="158"/>
      <c r="K78" s="158"/>
      <c r="L78" s="158"/>
      <c r="M78" s="158"/>
      <c r="N78" s="177"/>
      <c r="O78" s="221"/>
      <c r="P78" s="158"/>
      <c r="Q78" s="158"/>
      <c r="R78" s="158"/>
      <c r="S78" s="158"/>
      <c r="T78" s="158"/>
      <c r="U78" s="158"/>
      <c r="V78" s="158"/>
      <c r="W78" s="158"/>
      <c r="X78" s="158"/>
      <c r="Y78" s="158"/>
      <c r="Z78" s="158"/>
      <c r="AA78" s="158"/>
      <c r="AB78" s="158"/>
      <c r="AC78" s="158"/>
      <c r="AD78" s="158"/>
      <c r="AE78" s="158"/>
      <c r="AF78" s="158"/>
      <c r="AG78" s="158"/>
      <c r="AH78" s="158"/>
    </row>
    <row r="79" spans="1:35" ht="15" x14ac:dyDescent="0.25">
      <c r="A79" s="158"/>
      <c r="B79" s="158"/>
      <c r="C79" s="158"/>
      <c r="D79" s="158"/>
      <c r="E79" s="158"/>
      <c r="F79" s="158"/>
      <c r="G79" s="158"/>
      <c r="H79" s="158"/>
      <c r="I79" s="158"/>
      <c r="J79" s="158"/>
      <c r="K79" s="158"/>
      <c r="L79" s="158"/>
      <c r="M79" s="158"/>
      <c r="N79" s="177"/>
      <c r="O79" s="221"/>
      <c r="P79" s="158"/>
      <c r="Q79" s="158"/>
      <c r="R79" s="158"/>
      <c r="S79" s="158"/>
      <c r="T79" s="158"/>
      <c r="U79" s="158"/>
      <c r="V79" s="158"/>
      <c r="W79" s="158"/>
      <c r="X79" s="158"/>
      <c r="Y79" s="158"/>
      <c r="Z79" s="158"/>
      <c r="AA79" s="158"/>
      <c r="AB79" s="158"/>
      <c r="AC79" s="158"/>
      <c r="AD79" s="158"/>
      <c r="AE79" s="158"/>
      <c r="AF79" s="158"/>
      <c r="AG79" s="158"/>
      <c r="AH79" s="158"/>
    </row>
    <row r="80" spans="1:35" ht="15" x14ac:dyDescent="0.25">
      <c r="A80" s="158"/>
      <c r="B80" s="158"/>
      <c r="C80" s="158"/>
      <c r="D80" s="158"/>
      <c r="E80" s="158"/>
      <c r="F80" s="158"/>
      <c r="G80" s="158"/>
      <c r="H80" s="158"/>
      <c r="I80" s="158"/>
      <c r="J80" s="158"/>
      <c r="K80" s="158"/>
      <c r="L80" s="158"/>
      <c r="M80" s="158"/>
      <c r="N80" s="177"/>
      <c r="O80" s="221"/>
      <c r="P80" s="158"/>
      <c r="Q80" s="158"/>
      <c r="R80" s="158"/>
      <c r="S80" s="158"/>
      <c r="T80" s="158"/>
      <c r="U80" s="158"/>
      <c r="V80" s="158"/>
      <c r="W80" s="158"/>
      <c r="X80" s="158"/>
      <c r="Y80" s="158"/>
      <c r="Z80" s="158"/>
      <c r="AA80" s="158"/>
      <c r="AB80" s="158"/>
      <c r="AC80" s="158"/>
      <c r="AD80" s="158"/>
      <c r="AE80" s="158"/>
      <c r="AF80" s="158"/>
      <c r="AG80" s="158"/>
      <c r="AH80" s="158"/>
    </row>
    <row r="81" spans="1:43" ht="15" x14ac:dyDescent="0.25">
      <c r="A81" s="158"/>
      <c r="B81" s="158"/>
      <c r="C81" s="158"/>
      <c r="D81" s="158"/>
      <c r="E81" s="158"/>
      <c r="F81" s="158"/>
      <c r="G81" s="158"/>
      <c r="H81" s="158"/>
      <c r="I81" s="158"/>
      <c r="J81" s="158"/>
      <c r="K81" s="158"/>
      <c r="L81" s="158"/>
      <c r="M81" s="158"/>
      <c r="N81" s="177"/>
      <c r="O81" s="221"/>
      <c r="P81" s="158"/>
      <c r="Q81" s="158"/>
      <c r="R81" s="158"/>
      <c r="S81" s="158"/>
      <c r="T81" s="158"/>
      <c r="U81" s="158"/>
      <c r="V81" s="158"/>
      <c r="W81" s="158"/>
      <c r="X81" s="158"/>
      <c r="Y81" s="158"/>
      <c r="Z81" s="158"/>
      <c r="AA81" s="158"/>
      <c r="AB81" s="158"/>
      <c r="AC81" s="158"/>
      <c r="AD81" s="158"/>
      <c r="AE81" s="158"/>
      <c r="AF81" s="158"/>
      <c r="AG81" s="158"/>
      <c r="AH81" s="158"/>
    </row>
    <row r="82" spans="1:43" ht="15" x14ac:dyDescent="0.25">
      <c r="A82" s="158"/>
      <c r="B82" s="158"/>
      <c r="C82" s="158"/>
      <c r="D82" s="158"/>
      <c r="E82" s="158"/>
      <c r="F82" s="158"/>
      <c r="G82" s="158"/>
      <c r="H82" s="158"/>
      <c r="I82" s="158"/>
      <c r="J82" s="158"/>
      <c r="K82" s="158"/>
      <c r="L82" s="158"/>
      <c r="M82" s="158"/>
      <c r="N82" s="177"/>
      <c r="O82" s="221"/>
      <c r="P82" s="158"/>
      <c r="Q82" s="158"/>
      <c r="R82" s="158"/>
      <c r="S82" s="158"/>
      <c r="T82" s="158"/>
      <c r="U82" s="158"/>
      <c r="V82" s="158"/>
      <c r="W82" s="158"/>
      <c r="X82" s="158"/>
      <c r="Y82" s="158"/>
      <c r="Z82" s="158"/>
      <c r="AA82" s="158"/>
      <c r="AB82" s="158"/>
      <c r="AC82" s="158"/>
      <c r="AD82" s="158"/>
      <c r="AE82" s="158"/>
      <c r="AF82" s="158"/>
      <c r="AG82" s="158"/>
      <c r="AH82" s="158"/>
    </row>
    <row r="83" spans="1:43" ht="15" x14ac:dyDescent="0.25">
      <c r="A83" s="158"/>
      <c r="B83" s="158"/>
      <c r="C83" s="158"/>
      <c r="D83" s="158"/>
      <c r="E83" s="158"/>
      <c r="F83" s="158"/>
      <c r="G83" s="158"/>
      <c r="H83" s="158"/>
      <c r="I83" s="158"/>
      <c r="J83" s="158"/>
      <c r="K83" s="158"/>
      <c r="L83" s="158"/>
      <c r="M83" s="158"/>
      <c r="N83" s="177"/>
      <c r="O83" s="205"/>
      <c r="P83" s="158"/>
      <c r="Q83" s="158"/>
      <c r="R83" s="158"/>
      <c r="S83" s="158"/>
      <c r="T83" s="158"/>
      <c r="U83" s="158"/>
      <c r="V83" s="158"/>
      <c r="W83" s="158"/>
      <c r="X83" s="158"/>
      <c r="Y83" s="158"/>
      <c r="Z83" s="158"/>
      <c r="AA83" s="158"/>
      <c r="AB83" s="158"/>
      <c r="AC83" s="158"/>
      <c r="AD83" s="158"/>
      <c r="AE83" s="158"/>
      <c r="AF83" s="158"/>
      <c r="AG83" s="158"/>
      <c r="AH83" s="158"/>
    </row>
    <row r="84" spans="1:43" ht="15" x14ac:dyDescent="0.25">
      <c r="A84" s="158"/>
      <c r="B84" s="158"/>
      <c r="C84" s="158"/>
      <c r="D84" s="158"/>
      <c r="E84" s="158"/>
      <c r="F84" s="158"/>
      <c r="G84" s="158"/>
      <c r="H84" s="158"/>
      <c r="I84" s="158"/>
      <c r="J84" s="158"/>
      <c r="K84" s="158"/>
      <c r="L84" s="158"/>
      <c r="M84" s="158"/>
      <c r="N84" s="177"/>
      <c r="O84" s="205"/>
      <c r="P84" s="158"/>
      <c r="Q84" s="158"/>
      <c r="R84" s="158"/>
      <c r="S84" s="158"/>
      <c r="T84" s="158"/>
      <c r="U84" s="158"/>
      <c r="V84" s="158"/>
      <c r="W84" s="158"/>
      <c r="X84" s="158"/>
      <c r="Y84" s="158"/>
      <c r="Z84" s="158"/>
      <c r="AA84" s="158"/>
      <c r="AB84" s="158"/>
      <c r="AC84" s="158"/>
      <c r="AD84" s="158"/>
      <c r="AE84" s="158"/>
      <c r="AF84" s="158"/>
      <c r="AG84" s="158"/>
      <c r="AH84" s="158"/>
    </row>
    <row r="85" spans="1:43" ht="15" x14ac:dyDescent="0.25">
      <c r="A85" s="158"/>
      <c r="B85" s="158"/>
      <c r="C85" s="158"/>
      <c r="D85" s="158"/>
      <c r="E85" s="158"/>
      <c r="F85" s="158"/>
      <c r="G85" s="158"/>
      <c r="H85" s="158"/>
      <c r="I85" s="158"/>
      <c r="J85" s="158"/>
      <c r="K85" s="158"/>
      <c r="L85" s="158"/>
      <c r="M85" s="158"/>
      <c r="N85" s="177"/>
      <c r="P85" s="158"/>
      <c r="Q85" s="158"/>
      <c r="R85" s="158"/>
      <c r="S85" s="158"/>
      <c r="T85" s="158"/>
      <c r="U85" s="158"/>
      <c r="V85" s="158"/>
      <c r="W85" s="158"/>
      <c r="X85" s="158"/>
      <c r="Y85" s="158"/>
      <c r="Z85" s="158"/>
      <c r="AA85" s="158"/>
      <c r="AB85" s="158"/>
      <c r="AC85" s="158"/>
      <c r="AD85" s="158"/>
      <c r="AE85" s="158"/>
      <c r="AF85" s="158"/>
      <c r="AG85" s="158"/>
      <c r="AH85" s="158"/>
    </row>
    <row r="86" spans="1:43" ht="15" x14ac:dyDescent="0.25">
      <c r="A86" s="158"/>
      <c r="B86" s="158"/>
      <c r="C86" s="158"/>
      <c r="D86" s="158"/>
      <c r="E86" s="158"/>
      <c r="F86" s="158"/>
      <c r="G86" s="158"/>
      <c r="H86" s="158"/>
      <c r="I86" s="158"/>
      <c r="J86" s="158"/>
      <c r="K86" s="158"/>
      <c r="L86" s="158"/>
      <c r="M86" s="158"/>
      <c r="N86" s="177"/>
      <c r="O86" s="163"/>
      <c r="P86" s="158"/>
      <c r="Q86" s="158"/>
      <c r="R86" s="158"/>
      <c r="S86" s="158"/>
      <c r="T86" s="158"/>
      <c r="U86" s="158"/>
      <c r="V86" s="158"/>
      <c r="W86" s="158"/>
      <c r="X86" s="158"/>
      <c r="Y86" s="158"/>
      <c r="Z86" s="158"/>
      <c r="AA86" s="158"/>
      <c r="AB86" s="158"/>
      <c r="AC86" s="158"/>
      <c r="AD86" s="158"/>
      <c r="AE86" s="158"/>
      <c r="AF86" s="158"/>
      <c r="AG86" s="158"/>
      <c r="AH86" s="158"/>
    </row>
    <row r="87" spans="1:43" ht="15" x14ac:dyDescent="0.25">
      <c r="A87" s="158"/>
      <c r="B87" s="158"/>
      <c r="C87" s="158"/>
      <c r="D87" s="158"/>
      <c r="E87" s="158"/>
      <c r="F87" s="158"/>
      <c r="G87" s="158"/>
      <c r="H87" s="158"/>
      <c r="I87" s="158"/>
      <c r="J87" s="158"/>
      <c r="K87" s="158"/>
      <c r="L87" s="158"/>
      <c r="M87" s="158"/>
      <c r="P87" s="158"/>
      <c r="Q87" s="158"/>
      <c r="R87" s="158"/>
      <c r="S87" s="158"/>
      <c r="T87" s="158"/>
      <c r="U87" s="158"/>
      <c r="V87" s="158"/>
      <c r="W87" s="158"/>
      <c r="X87" s="158"/>
      <c r="Y87" s="158"/>
      <c r="Z87" s="158"/>
      <c r="AA87" s="158"/>
      <c r="AB87" s="158"/>
      <c r="AC87" s="158"/>
      <c r="AD87" s="158"/>
      <c r="AE87" s="158"/>
      <c r="AF87" s="158"/>
      <c r="AG87" s="158"/>
      <c r="AH87" s="158"/>
    </row>
    <row r="88" spans="1:43" ht="15" x14ac:dyDescent="0.25">
      <c r="A88" s="158"/>
      <c r="B88" s="158"/>
      <c r="C88" s="158"/>
      <c r="D88" s="158"/>
      <c r="E88" s="158"/>
      <c r="F88" s="158"/>
      <c r="G88" s="158"/>
      <c r="H88" s="158"/>
      <c r="I88" s="158"/>
      <c r="J88" s="158"/>
      <c r="K88" s="158"/>
      <c r="L88" s="158"/>
      <c r="M88" s="158"/>
      <c r="P88" s="158"/>
      <c r="Q88" s="158"/>
      <c r="R88" s="158"/>
      <c r="S88" s="158"/>
      <c r="T88" s="158"/>
      <c r="U88" s="158"/>
      <c r="V88" s="158"/>
      <c r="W88" s="158"/>
      <c r="X88" s="158"/>
      <c r="Y88" s="158"/>
      <c r="Z88" s="158"/>
      <c r="AA88" s="158"/>
      <c r="AB88" s="158"/>
      <c r="AC88" s="158"/>
      <c r="AD88" s="158"/>
      <c r="AE88" s="158"/>
      <c r="AF88" s="158"/>
      <c r="AG88" s="158"/>
      <c r="AH88" s="158"/>
    </row>
    <row r="89" spans="1:43" s="205" customFormat="1" ht="15" x14ac:dyDescent="0.25">
      <c r="A89" s="158"/>
      <c r="B89" s="158"/>
      <c r="C89" s="158"/>
      <c r="D89" s="158"/>
      <c r="E89" s="158"/>
      <c r="F89" s="158"/>
      <c r="G89" s="158"/>
      <c r="H89" s="158"/>
      <c r="I89" s="158"/>
      <c r="J89" s="158"/>
      <c r="K89" s="158"/>
      <c r="L89" s="158"/>
      <c r="M89" s="158"/>
      <c r="O89" s="178"/>
      <c r="P89" s="158"/>
      <c r="Q89" s="158"/>
      <c r="R89" s="158"/>
      <c r="S89" s="158"/>
      <c r="T89" s="158"/>
      <c r="U89" s="158"/>
      <c r="V89" s="158"/>
      <c r="W89" s="158"/>
      <c r="X89" s="158"/>
      <c r="Y89" s="158"/>
      <c r="Z89" s="158"/>
      <c r="AA89" s="158"/>
      <c r="AB89" s="158"/>
      <c r="AC89" s="158"/>
      <c r="AD89" s="158"/>
      <c r="AE89" s="158"/>
      <c r="AF89" s="158"/>
      <c r="AG89" s="158"/>
      <c r="AH89" s="158"/>
      <c r="AI89" s="178"/>
      <c r="AJ89" s="178"/>
      <c r="AK89" s="178"/>
      <c r="AL89" s="178"/>
      <c r="AM89" s="178"/>
    </row>
    <row r="90" spans="1:43" s="205" customFormat="1" ht="15" x14ac:dyDescent="0.25">
      <c r="A90" s="158"/>
      <c r="B90" s="158"/>
      <c r="C90" s="158"/>
      <c r="D90" s="158"/>
      <c r="E90" s="158"/>
      <c r="F90" s="158"/>
      <c r="G90" s="158"/>
      <c r="H90" s="158"/>
      <c r="I90" s="158"/>
      <c r="J90" s="158"/>
      <c r="K90" s="158"/>
      <c r="L90" s="158"/>
      <c r="M90" s="158"/>
      <c r="O90" s="178"/>
      <c r="P90" s="158"/>
      <c r="Q90" s="158"/>
      <c r="R90" s="158"/>
      <c r="S90" s="158"/>
      <c r="T90" s="158"/>
      <c r="U90" s="158"/>
      <c r="V90" s="158"/>
      <c r="W90" s="158"/>
      <c r="X90" s="158"/>
      <c r="Y90" s="158"/>
      <c r="Z90" s="158"/>
      <c r="AA90" s="158"/>
      <c r="AB90" s="158"/>
      <c r="AC90" s="158"/>
      <c r="AD90" s="158"/>
      <c r="AE90" s="158"/>
      <c r="AF90" s="158"/>
      <c r="AG90" s="158"/>
      <c r="AH90" s="158"/>
      <c r="AI90" s="178"/>
      <c r="AJ90" s="178"/>
      <c r="AK90" s="178"/>
      <c r="AL90" s="178"/>
      <c r="AM90" s="178"/>
    </row>
    <row r="91" spans="1:43" s="205" customFormat="1" ht="15" x14ac:dyDescent="0.25">
      <c r="A91" s="158"/>
      <c r="B91" s="158"/>
      <c r="C91" s="158"/>
      <c r="D91" s="158"/>
      <c r="E91" s="158"/>
      <c r="F91" s="158"/>
      <c r="G91" s="158"/>
      <c r="H91" s="158"/>
      <c r="I91" s="158"/>
      <c r="J91" s="158"/>
      <c r="K91" s="158"/>
      <c r="L91" s="158"/>
      <c r="M91" s="158"/>
      <c r="O91" s="178"/>
      <c r="P91" s="158"/>
      <c r="Q91" s="158"/>
      <c r="R91" s="158"/>
      <c r="S91" s="158"/>
      <c r="T91" s="158"/>
      <c r="U91" s="158"/>
      <c r="V91" s="158"/>
      <c r="W91" s="158"/>
      <c r="X91" s="158"/>
      <c r="Y91" s="158"/>
      <c r="Z91" s="158"/>
      <c r="AA91" s="158"/>
      <c r="AB91" s="158"/>
      <c r="AC91" s="158"/>
      <c r="AD91" s="158"/>
      <c r="AE91" s="158"/>
      <c r="AF91" s="158"/>
      <c r="AG91" s="158"/>
      <c r="AH91" s="158"/>
      <c r="AI91" s="178"/>
      <c r="AJ91" s="178"/>
      <c r="AK91" s="178"/>
      <c r="AL91" s="178"/>
      <c r="AM91" s="178"/>
    </row>
    <row r="92" spans="1:43" s="205" customFormat="1" ht="15" x14ac:dyDescent="0.25">
      <c r="A92" s="158"/>
      <c r="B92" s="158"/>
      <c r="C92" s="158"/>
      <c r="D92" s="158"/>
      <c r="E92" s="158"/>
      <c r="F92" s="158"/>
      <c r="G92" s="158"/>
      <c r="H92" s="158"/>
      <c r="I92" s="158"/>
      <c r="J92" s="158"/>
      <c r="K92" s="158"/>
      <c r="L92" s="158"/>
      <c r="M92" s="158"/>
      <c r="O92" s="178"/>
      <c r="P92" s="158"/>
      <c r="Q92" s="158"/>
      <c r="R92" s="158"/>
      <c r="S92" s="158"/>
      <c r="T92" s="158"/>
      <c r="U92" s="158"/>
      <c r="V92" s="158"/>
      <c r="W92" s="158"/>
      <c r="X92" s="158"/>
      <c r="Y92" s="158"/>
      <c r="Z92" s="158"/>
      <c r="AA92" s="158"/>
      <c r="AB92" s="158"/>
      <c r="AC92" s="158"/>
      <c r="AD92" s="158"/>
      <c r="AE92" s="158"/>
      <c r="AF92" s="158"/>
      <c r="AG92" s="158"/>
      <c r="AH92" s="158"/>
      <c r="AI92" s="178"/>
      <c r="AJ92" s="178"/>
      <c r="AK92" s="178"/>
      <c r="AL92" s="178"/>
      <c r="AM92" s="178"/>
      <c r="AN92" s="178"/>
      <c r="AO92" s="178"/>
      <c r="AP92" s="178"/>
      <c r="AQ92" s="178"/>
    </row>
    <row r="93" spans="1:43" s="205" customFormat="1" ht="15" x14ac:dyDescent="0.25">
      <c r="A93" s="158"/>
      <c r="B93" s="158"/>
      <c r="C93" s="158"/>
      <c r="D93" s="158"/>
      <c r="E93" s="158"/>
      <c r="F93" s="158"/>
      <c r="G93" s="158"/>
      <c r="H93" s="158"/>
      <c r="I93" s="158"/>
      <c r="J93" s="158"/>
      <c r="K93" s="158"/>
      <c r="L93" s="158"/>
      <c r="M93" s="158"/>
      <c r="O93" s="178"/>
      <c r="P93" s="158"/>
      <c r="Q93" s="158"/>
      <c r="R93" s="158"/>
      <c r="S93" s="158"/>
      <c r="T93" s="158"/>
      <c r="U93" s="158"/>
      <c r="V93" s="158"/>
      <c r="W93" s="158"/>
      <c r="X93" s="158"/>
      <c r="Y93" s="158"/>
      <c r="Z93" s="158"/>
      <c r="AA93" s="158"/>
      <c r="AB93" s="158"/>
      <c r="AC93" s="158"/>
      <c r="AD93" s="158"/>
      <c r="AE93" s="158"/>
      <c r="AF93" s="158"/>
      <c r="AG93" s="158"/>
      <c r="AH93" s="158"/>
      <c r="AI93" s="178"/>
      <c r="AJ93" s="178"/>
      <c r="AK93" s="178"/>
      <c r="AL93" s="178"/>
      <c r="AM93" s="178"/>
      <c r="AN93" s="178"/>
      <c r="AO93" s="178"/>
      <c r="AP93" s="178"/>
      <c r="AQ93" s="178"/>
    </row>
    <row r="94" spans="1:43" ht="15" x14ac:dyDescent="0.25">
      <c r="A94" s="158"/>
      <c r="B94" s="158"/>
      <c r="C94" s="158"/>
      <c r="D94" s="158"/>
      <c r="E94" s="158"/>
      <c r="F94" s="158"/>
      <c r="G94" s="158"/>
      <c r="H94" s="158"/>
      <c r="I94" s="158"/>
      <c r="J94" s="158"/>
      <c r="K94" s="158"/>
      <c r="L94" s="158"/>
      <c r="M94" s="158"/>
      <c r="P94" s="158"/>
      <c r="Q94" s="158"/>
      <c r="R94" s="158"/>
      <c r="S94" s="158"/>
      <c r="T94" s="158"/>
      <c r="U94" s="158"/>
      <c r="V94" s="158"/>
      <c r="W94" s="158"/>
      <c r="X94" s="158"/>
      <c r="Y94" s="158"/>
      <c r="Z94" s="158"/>
      <c r="AA94" s="158"/>
      <c r="AB94" s="158"/>
      <c r="AC94" s="158"/>
      <c r="AD94" s="158"/>
      <c r="AE94" s="158"/>
      <c r="AF94" s="158"/>
      <c r="AG94" s="158"/>
      <c r="AH94" s="158"/>
    </row>
    <row r="95" spans="1:43" ht="15" x14ac:dyDescent="0.25">
      <c r="A95" s="158"/>
      <c r="B95" s="158"/>
      <c r="C95" s="158"/>
      <c r="D95" s="158"/>
      <c r="E95" s="158"/>
      <c r="F95" s="158"/>
      <c r="G95" s="158"/>
      <c r="H95" s="158"/>
      <c r="I95" s="158"/>
      <c r="J95" s="158"/>
      <c r="K95" s="158"/>
      <c r="L95" s="158"/>
      <c r="M95" s="158"/>
      <c r="P95" s="158"/>
      <c r="Q95" s="158"/>
      <c r="R95" s="158"/>
      <c r="S95" s="158"/>
      <c r="T95" s="158"/>
      <c r="U95" s="158"/>
      <c r="V95" s="158"/>
      <c r="W95" s="158"/>
      <c r="X95" s="158"/>
      <c r="Y95" s="158"/>
      <c r="Z95" s="158"/>
      <c r="AA95" s="158"/>
      <c r="AB95" s="158"/>
      <c r="AC95" s="158"/>
      <c r="AD95" s="158"/>
      <c r="AE95" s="158"/>
      <c r="AF95" s="158"/>
      <c r="AG95" s="158"/>
      <c r="AH95" s="158"/>
    </row>
    <row r="96" spans="1:43" ht="15" x14ac:dyDescent="0.25">
      <c r="A96" s="261"/>
      <c r="B96" s="261"/>
      <c r="C96" s="261"/>
      <c r="D96" s="261"/>
      <c r="E96" s="261"/>
      <c r="F96" s="261"/>
      <c r="G96" s="261"/>
      <c r="H96" s="261"/>
      <c r="I96" s="261"/>
      <c r="J96" s="261"/>
      <c r="K96" s="261"/>
      <c r="L96" s="261"/>
      <c r="M96" s="261"/>
      <c r="P96" s="158"/>
      <c r="Q96" s="158"/>
      <c r="R96" s="158"/>
      <c r="S96" s="158"/>
      <c r="T96" s="158"/>
      <c r="U96" s="158"/>
      <c r="V96" s="158"/>
      <c r="W96" s="158"/>
      <c r="X96" s="158"/>
      <c r="Y96" s="158"/>
      <c r="Z96" s="158"/>
      <c r="AA96" s="158"/>
      <c r="AB96" s="158"/>
      <c r="AC96" s="158"/>
      <c r="AD96" s="158"/>
      <c r="AE96" s="158"/>
      <c r="AF96" s="158"/>
      <c r="AG96" s="158"/>
      <c r="AH96" s="158"/>
    </row>
    <row r="97" spans="1:34" ht="15" x14ac:dyDescent="0.25">
      <c r="A97" s="261"/>
      <c r="B97" s="261"/>
      <c r="C97" s="261"/>
      <c r="D97" s="261"/>
      <c r="E97" s="261"/>
      <c r="F97" s="261"/>
      <c r="G97" s="261"/>
      <c r="H97" s="261"/>
      <c r="I97" s="261"/>
      <c r="J97" s="261"/>
      <c r="K97" s="261"/>
      <c r="L97" s="261"/>
      <c r="M97" s="261"/>
      <c r="P97" s="158"/>
      <c r="Q97" s="158"/>
      <c r="R97" s="158"/>
      <c r="S97" s="158"/>
      <c r="T97" s="158"/>
      <c r="U97" s="158"/>
      <c r="V97" s="158"/>
      <c r="W97" s="158"/>
      <c r="X97" s="158"/>
      <c r="Y97" s="158"/>
      <c r="Z97" s="158"/>
      <c r="AA97" s="158"/>
      <c r="AB97" s="158"/>
      <c r="AC97" s="158"/>
      <c r="AD97" s="158"/>
      <c r="AE97" s="158"/>
      <c r="AF97" s="158"/>
      <c r="AG97" s="158"/>
      <c r="AH97" s="158"/>
    </row>
    <row r="98" spans="1:34" ht="15" x14ac:dyDescent="0.25">
      <c r="A98" s="261"/>
      <c r="B98" s="261"/>
      <c r="C98" s="261"/>
      <c r="D98" s="261"/>
      <c r="E98" s="261"/>
      <c r="F98" s="261"/>
      <c r="G98" s="261"/>
      <c r="H98" s="261"/>
      <c r="I98" s="261"/>
      <c r="J98" s="261"/>
      <c r="K98" s="261"/>
      <c r="L98" s="261"/>
      <c r="M98" s="261"/>
      <c r="P98" s="158"/>
      <c r="Q98" s="158"/>
      <c r="R98" s="158"/>
      <c r="S98" s="158"/>
      <c r="T98" s="158"/>
      <c r="U98" s="158"/>
      <c r="V98" s="158"/>
      <c r="W98" s="158"/>
      <c r="X98" s="158"/>
      <c r="Y98" s="158"/>
      <c r="Z98" s="158"/>
      <c r="AA98" s="158"/>
      <c r="AB98" s="158"/>
      <c r="AC98" s="158"/>
      <c r="AD98" s="158"/>
      <c r="AE98" s="158"/>
      <c r="AF98" s="158"/>
      <c r="AG98" s="158"/>
      <c r="AH98" s="158"/>
    </row>
    <row r="99" spans="1:34" ht="15" x14ac:dyDescent="0.25">
      <c r="A99" s="261"/>
      <c r="B99" s="261"/>
      <c r="C99" s="261"/>
      <c r="D99" s="261"/>
      <c r="E99" s="261"/>
      <c r="F99" s="261"/>
      <c r="G99" s="261"/>
      <c r="H99" s="261"/>
      <c r="I99" s="261"/>
      <c r="J99" s="261"/>
      <c r="K99" s="261"/>
      <c r="L99" s="261"/>
      <c r="M99" s="261"/>
      <c r="P99" s="158"/>
      <c r="Q99" s="158"/>
      <c r="R99" s="158"/>
      <c r="S99" s="158"/>
      <c r="T99" s="158"/>
      <c r="U99" s="158"/>
      <c r="V99" s="158"/>
      <c r="W99" s="158"/>
      <c r="X99" s="158"/>
      <c r="Y99" s="158"/>
      <c r="Z99" s="158"/>
      <c r="AA99" s="158"/>
      <c r="AB99" s="158"/>
      <c r="AC99" s="158"/>
      <c r="AD99" s="158"/>
      <c r="AE99" s="158"/>
      <c r="AF99" s="158"/>
      <c r="AG99" s="158"/>
      <c r="AH99" s="158"/>
    </row>
    <row r="100" spans="1:34" ht="15" x14ac:dyDescent="0.25">
      <c r="A100" s="261"/>
      <c r="B100" s="261"/>
      <c r="C100" s="261"/>
      <c r="D100" s="261"/>
      <c r="E100" s="261"/>
      <c r="F100" s="261"/>
      <c r="G100" s="261"/>
      <c r="H100" s="261"/>
      <c r="I100" s="261"/>
      <c r="J100" s="261"/>
      <c r="K100" s="261"/>
      <c r="L100" s="261"/>
      <c r="M100" s="261"/>
      <c r="P100" s="158"/>
      <c r="Q100" s="158"/>
      <c r="R100" s="158"/>
      <c r="S100" s="158"/>
      <c r="T100" s="158"/>
      <c r="U100" s="158"/>
      <c r="V100" s="158"/>
      <c r="W100" s="158"/>
      <c r="X100" s="158"/>
      <c r="Y100" s="158"/>
      <c r="Z100" s="158"/>
      <c r="AA100" s="158"/>
      <c r="AB100" s="158"/>
      <c r="AC100" s="158"/>
      <c r="AD100" s="158"/>
      <c r="AE100" s="158"/>
      <c r="AF100" s="158"/>
      <c r="AG100" s="158"/>
      <c r="AH100" s="158"/>
    </row>
    <row r="101" spans="1:34" ht="15" x14ac:dyDescent="0.25">
      <c r="A101" s="261"/>
      <c r="B101" s="261"/>
      <c r="C101" s="261"/>
      <c r="D101" s="261"/>
      <c r="E101" s="261"/>
      <c r="F101" s="261"/>
      <c r="G101" s="261"/>
      <c r="H101" s="261"/>
      <c r="I101" s="261"/>
      <c r="J101" s="261"/>
      <c r="K101" s="261"/>
      <c r="L101" s="261"/>
      <c r="M101" s="261"/>
      <c r="P101" s="158"/>
      <c r="Q101" s="158"/>
      <c r="R101" s="158"/>
      <c r="S101" s="158"/>
      <c r="T101" s="158"/>
      <c r="U101" s="158"/>
      <c r="V101" s="158"/>
      <c r="W101" s="158"/>
      <c r="X101" s="158"/>
      <c r="Y101" s="158"/>
      <c r="Z101" s="158"/>
      <c r="AA101" s="158"/>
      <c r="AB101" s="158"/>
      <c r="AC101" s="158"/>
      <c r="AD101" s="158"/>
      <c r="AE101" s="158"/>
      <c r="AF101" s="158"/>
      <c r="AG101" s="158"/>
      <c r="AH101" s="158"/>
    </row>
    <row r="102" spans="1:34" ht="15" x14ac:dyDescent="0.25">
      <c r="A102" s="261"/>
      <c r="B102" s="261"/>
      <c r="C102" s="261"/>
      <c r="D102" s="261"/>
      <c r="E102" s="261"/>
      <c r="F102" s="261"/>
      <c r="G102" s="261"/>
      <c r="H102" s="261"/>
      <c r="I102" s="261"/>
      <c r="J102" s="261"/>
      <c r="K102" s="261"/>
      <c r="L102" s="261"/>
      <c r="M102" s="261"/>
      <c r="P102" s="158"/>
      <c r="Q102" s="158"/>
      <c r="R102" s="158"/>
      <c r="S102" s="158"/>
      <c r="T102" s="158"/>
      <c r="U102" s="158"/>
      <c r="V102" s="158"/>
      <c r="W102" s="158"/>
      <c r="X102" s="158"/>
      <c r="Y102" s="158"/>
      <c r="Z102" s="158"/>
      <c r="AA102" s="158"/>
      <c r="AB102" s="158"/>
      <c r="AC102" s="158"/>
      <c r="AD102" s="158"/>
      <c r="AE102" s="158"/>
      <c r="AF102" s="158"/>
      <c r="AG102" s="158"/>
      <c r="AH102" s="158"/>
    </row>
    <row r="103" spans="1:34" ht="15" x14ac:dyDescent="0.25">
      <c r="A103" s="261"/>
      <c r="B103" s="261"/>
      <c r="C103" s="261"/>
      <c r="D103" s="261"/>
      <c r="E103" s="261"/>
      <c r="F103" s="261"/>
      <c r="G103" s="261"/>
      <c r="H103" s="261"/>
      <c r="I103" s="261"/>
      <c r="J103" s="261"/>
      <c r="K103" s="261"/>
      <c r="L103" s="261"/>
      <c r="M103" s="261"/>
      <c r="P103" s="158"/>
      <c r="Q103" s="158"/>
      <c r="R103" s="158"/>
      <c r="S103" s="158"/>
      <c r="T103" s="158"/>
      <c r="U103" s="158"/>
      <c r="V103" s="158"/>
      <c r="W103" s="158"/>
      <c r="X103" s="158"/>
      <c r="Y103" s="158"/>
      <c r="Z103" s="158"/>
      <c r="AA103" s="158"/>
      <c r="AB103" s="158"/>
      <c r="AC103" s="158"/>
      <c r="AD103" s="158"/>
      <c r="AE103" s="158"/>
      <c r="AF103" s="158"/>
      <c r="AG103" s="158"/>
      <c r="AH103" s="158"/>
    </row>
    <row r="104" spans="1:34" ht="15" x14ac:dyDescent="0.25">
      <c r="A104" s="261"/>
      <c r="B104" s="261"/>
      <c r="C104" s="261"/>
      <c r="D104" s="261"/>
      <c r="E104" s="261"/>
      <c r="F104" s="261"/>
      <c r="G104" s="261"/>
      <c r="H104" s="261"/>
      <c r="I104" s="261"/>
      <c r="J104" s="261"/>
      <c r="K104" s="261"/>
      <c r="L104" s="261"/>
      <c r="M104" s="261"/>
      <c r="P104" s="158"/>
      <c r="Q104" s="158"/>
      <c r="R104" s="158"/>
      <c r="S104" s="158"/>
      <c r="T104" s="158"/>
      <c r="U104" s="158"/>
      <c r="V104" s="158"/>
      <c r="W104" s="158"/>
      <c r="X104" s="158"/>
      <c r="Y104" s="158"/>
      <c r="Z104" s="158"/>
      <c r="AA104" s="158"/>
      <c r="AB104" s="158"/>
      <c r="AC104" s="158"/>
      <c r="AD104" s="158"/>
      <c r="AE104" s="158"/>
      <c r="AF104" s="158"/>
      <c r="AG104" s="158"/>
      <c r="AH104" s="158"/>
    </row>
    <row r="105" spans="1:34" ht="15" x14ac:dyDescent="0.25">
      <c r="A105" s="261"/>
      <c r="B105" s="261"/>
      <c r="C105" s="261"/>
      <c r="D105" s="261"/>
      <c r="E105" s="261"/>
      <c r="F105" s="261"/>
      <c r="G105" s="261"/>
      <c r="H105" s="261"/>
      <c r="I105" s="261"/>
      <c r="J105" s="261"/>
      <c r="K105" s="261"/>
      <c r="L105" s="261"/>
      <c r="M105" s="261"/>
      <c r="P105" s="158"/>
      <c r="Q105" s="158"/>
      <c r="R105" s="158"/>
      <c r="S105" s="158"/>
      <c r="T105" s="158"/>
      <c r="U105" s="158"/>
      <c r="V105" s="158"/>
      <c r="W105" s="158"/>
      <c r="X105" s="158"/>
      <c r="Y105" s="158"/>
      <c r="Z105" s="158"/>
      <c r="AA105" s="158"/>
      <c r="AB105" s="158"/>
      <c r="AC105" s="158"/>
      <c r="AD105" s="158"/>
      <c r="AE105" s="158"/>
      <c r="AF105" s="158"/>
      <c r="AG105" s="158"/>
      <c r="AH105" s="158"/>
    </row>
    <row r="106" spans="1:34" ht="15" x14ac:dyDescent="0.25">
      <c r="A106" s="261"/>
      <c r="B106" s="261"/>
      <c r="C106" s="261"/>
      <c r="D106" s="261"/>
      <c r="E106" s="261"/>
      <c r="F106" s="261"/>
      <c r="G106" s="261"/>
      <c r="H106" s="261"/>
      <c r="I106" s="261"/>
      <c r="J106" s="261"/>
      <c r="K106" s="261"/>
      <c r="L106" s="261"/>
      <c r="M106" s="261"/>
      <c r="P106" s="158"/>
      <c r="Q106" s="158"/>
      <c r="R106" s="158"/>
      <c r="S106" s="158"/>
      <c r="T106" s="158"/>
      <c r="U106" s="158"/>
      <c r="V106" s="158"/>
      <c r="W106" s="158"/>
      <c r="X106" s="158"/>
      <c r="Y106" s="158"/>
      <c r="Z106" s="158"/>
      <c r="AA106" s="158"/>
      <c r="AB106" s="158"/>
      <c r="AC106" s="158"/>
      <c r="AD106" s="158"/>
      <c r="AE106" s="158"/>
      <c r="AF106" s="158"/>
      <c r="AG106" s="158"/>
      <c r="AH106" s="158"/>
    </row>
    <row r="107" spans="1:34" ht="15" x14ac:dyDescent="0.25">
      <c r="A107" s="261"/>
      <c r="B107" s="261"/>
      <c r="C107" s="261"/>
      <c r="D107" s="261"/>
      <c r="E107" s="261"/>
      <c r="F107" s="261"/>
      <c r="G107" s="261"/>
      <c r="H107" s="261"/>
      <c r="I107" s="261"/>
      <c r="J107" s="261"/>
      <c r="K107" s="261"/>
      <c r="L107" s="261"/>
      <c r="M107" s="261"/>
      <c r="P107" s="158"/>
      <c r="Q107" s="158"/>
      <c r="R107" s="158"/>
      <c r="S107" s="158"/>
      <c r="T107" s="158"/>
      <c r="U107" s="158"/>
      <c r="V107" s="158"/>
      <c r="W107" s="158"/>
      <c r="X107" s="158"/>
      <c r="Y107" s="158"/>
      <c r="Z107" s="158"/>
      <c r="AA107" s="158"/>
      <c r="AB107" s="158"/>
      <c r="AC107" s="158"/>
      <c r="AD107" s="158"/>
      <c r="AE107" s="158"/>
      <c r="AF107" s="158"/>
      <c r="AG107" s="158"/>
      <c r="AH107" s="158"/>
    </row>
    <row r="108" spans="1:34" ht="15" x14ac:dyDescent="0.25">
      <c r="A108" s="261"/>
      <c r="B108" s="261"/>
      <c r="C108" s="261"/>
      <c r="D108" s="261"/>
      <c r="E108" s="261"/>
      <c r="F108" s="261"/>
      <c r="G108" s="261"/>
      <c r="H108" s="261"/>
      <c r="I108" s="261"/>
      <c r="J108" s="261"/>
      <c r="K108" s="261"/>
      <c r="L108" s="261"/>
      <c r="M108" s="261"/>
      <c r="P108" s="158"/>
      <c r="Q108" s="158"/>
      <c r="R108" s="158"/>
      <c r="S108" s="158"/>
      <c r="T108" s="158"/>
      <c r="U108" s="158"/>
      <c r="V108" s="158"/>
      <c r="W108" s="158"/>
      <c r="X108" s="158"/>
      <c r="Y108" s="158"/>
      <c r="Z108" s="158"/>
      <c r="AA108" s="158"/>
      <c r="AB108" s="158"/>
      <c r="AC108" s="158"/>
      <c r="AD108" s="158"/>
      <c r="AE108" s="158"/>
      <c r="AF108" s="158"/>
      <c r="AG108" s="158"/>
      <c r="AH108" s="158"/>
    </row>
    <row r="109" spans="1:34" ht="15" x14ac:dyDescent="0.25">
      <c r="A109" s="261"/>
      <c r="B109" s="261"/>
      <c r="C109" s="261"/>
      <c r="D109" s="261"/>
      <c r="E109" s="261"/>
      <c r="F109" s="261"/>
      <c r="G109" s="261"/>
      <c r="H109" s="261"/>
      <c r="I109" s="261"/>
      <c r="J109" s="261"/>
      <c r="K109" s="261"/>
      <c r="L109" s="261"/>
      <c r="M109" s="261"/>
      <c r="P109" s="158"/>
      <c r="Q109" s="158"/>
      <c r="R109" s="158"/>
      <c r="S109" s="158"/>
      <c r="T109" s="158"/>
      <c r="U109" s="158"/>
      <c r="V109" s="158"/>
      <c r="W109" s="158"/>
      <c r="X109" s="158"/>
      <c r="Y109" s="158"/>
      <c r="Z109" s="158"/>
      <c r="AA109" s="158"/>
      <c r="AB109" s="158"/>
      <c r="AC109" s="158"/>
      <c r="AD109" s="158"/>
      <c r="AE109" s="158"/>
      <c r="AF109" s="158"/>
      <c r="AG109" s="158"/>
      <c r="AH109" s="158"/>
    </row>
    <row r="110" spans="1:34" ht="15" x14ac:dyDescent="0.25">
      <c r="A110" s="261"/>
      <c r="B110" s="261"/>
      <c r="C110" s="261"/>
      <c r="D110" s="261"/>
      <c r="E110" s="261"/>
      <c r="F110" s="261"/>
      <c r="G110" s="261"/>
      <c r="H110" s="261"/>
      <c r="I110" s="261"/>
      <c r="J110" s="261"/>
      <c r="K110" s="261"/>
      <c r="L110" s="261"/>
      <c r="M110" s="261"/>
      <c r="P110" s="158"/>
      <c r="Q110" s="158"/>
      <c r="R110" s="158"/>
      <c r="S110" s="158"/>
      <c r="T110" s="158"/>
      <c r="U110" s="158"/>
      <c r="V110" s="158"/>
      <c r="W110" s="158"/>
      <c r="X110" s="158"/>
      <c r="Y110" s="158"/>
      <c r="Z110" s="158"/>
      <c r="AA110" s="158"/>
      <c r="AB110" s="158"/>
      <c r="AC110" s="158"/>
      <c r="AD110" s="158"/>
      <c r="AE110" s="158"/>
      <c r="AF110" s="158"/>
      <c r="AG110" s="158"/>
      <c r="AH110" s="158"/>
    </row>
    <row r="111" spans="1:34" ht="15" x14ac:dyDescent="0.25">
      <c r="A111" s="261"/>
      <c r="B111" s="261"/>
      <c r="C111" s="261"/>
      <c r="D111" s="261"/>
      <c r="E111" s="261"/>
      <c r="F111" s="261"/>
      <c r="G111" s="261"/>
      <c r="H111" s="261"/>
      <c r="I111" s="261"/>
      <c r="J111" s="261"/>
      <c r="K111" s="261"/>
      <c r="L111" s="261"/>
      <c r="M111" s="261"/>
      <c r="P111" s="158"/>
      <c r="Q111" s="158"/>
      <c r="R111" s="158"/>
      <c r="S111" s="158"/>
      <c r="T111" s="158"/>
      <c r="U111" s="158"/>
      <c r="V111" s="158"/>
      <c r="W111" s="158"/>
      <c r="X111" s="158"/>
      <c r="Y111" s="158"/>
      <c r="Z111" s="158"/>
      <c r="AA111" s="158"/>
      <c r="AB111" s="158"/>
      <c r="AC111" s="158"/>
      <c r="AD111" s="158"/>
      <c r="AE111" s="158"/>
      <c r="AF111" s="158"/>
      <c r="AG111" s="158"/>
      <c r="AH111" s="158"/>
    </row>
    <row r="112" spans="1:34" ht="15" x14ac:dyDescent="0.25">
      <c r="A112" s="261"/>
      <c r="B112" s="261"/>
      <c r="C112" s="261"/>
      <c r="D112" s="261"/>
      <c r="E112" s="261"/>
      <c r="F112" s="261"/>
      <c r="G112" s="261"/>
      <c r="H112" s="261"/>
      <c r="I112" s="261"/>
      <c r="J112" s="261"/>
      <c r="K112" s="261"/>
      <c r="L112" s="261"/>
      <c r="M112" s="261"/>
      <c r="P112" s="158"/>
      <c r="Q112" s="158"/>
      <c r="R112" s="158"/>
      <c r="S112" s="158"/>
      <c r="T112" s="158"/>
      <c r="U112" s="158"/>
      <c r="V112" s="158"/>
      <c r="W112" s="158"/>
      <c r="X112" s="158"/>
      <c r="Y112" s="158"/>
      <c r="Z112" s="158"/>
      <c r="AA112" s="158"/>
      <c r="AB112" s="158"/>
      <c r="AC112" s="158"/>
      <c r="AD112" s="158"/>
      <c r="AE112" s="158"/>
      <c r="AF112" s="158"/>
      <c r="AG112" s="158"/>
      <c r="AH112" s="158"/>
    </row>
    <row r="113" spans="1:34" ht="15" x14ac:dyDescent="0.25">
      <c r="A113" s="261"/>
      <c r="B113" s="261"/>
      <c r="C113" s="261"/>
      <c r="D113" s="261"/>
      <c r="E113" s="261"/>
      <c r="F113" s="261"/>
      <c r="G113" s="261"/>
      <c r="H113" s="261"/>
      <c r="I113" s="261"/>
      <c r="J113" s="261"/>
      <c r="K113" s="261"/>
      <c r="L113" s="261"/>
      <c r="M113" s="261"/>
      <c r="P113" s="158"/>
      <c r="Q113" s="158"/>
      <c r="R113" s="158"/>
      <c r="S113" s="158"/>
      <c r="T113" s="158"/>
      <c r="U113" s="158"/>
      <c r="V113" s="158"/>
      <c r="W113" s="158"/>
      <c r="X113" s="158"/>
      <c r="Y113" s="158"/>
      <c r="Z113" s="158"/>
      <c r="AA113" s="158"/>
      <c r="AB113" s="158"/>
      <c r="AC113" s="158"/>
      <c r="AD113" s="158"/>
      <c r="AE113" s="158"/>
      <c r="AF113" s="158"/>
      <c r="AG113" s="158"/>
      <c r="AH113" s="158"/>
    </row>
    <row r="114" spans="1:34" ht="15" x14ac:dyDescent="0.25">
      <c r="A114" s="261"/>
      <c r="B114" s="261"/>
      <c r="C114" s="261"/>
      <c r="D114" s="261"/>
      <c r="E114" s="261"/>
      <c r="F114" s="261"/>
      <c r="G114" s="261"/>
      <c r="H114" s="261"/>
      <c r="I114" s="261"/>
      <c r="J114" s="261"/>
      <c r="K114" s="261"/>
      <c r="L114" s="261"/>
      <c r="M114" s="261"/>
      <c r="P114" s="158"/>
      <c r="Q114" s="158"/>
      <c r="R114" s="158"/>
      <c r="S114" s="158"/>
      <c r="T114" s="158"/>
      <c r="U114" s="158"/>
      <c r="V114" s="158"/>
      <c r="W114" s="158"/>
      <c r="X114" s="158"/>
      <c r="Y114" s="158"/>
      <c r="Z114" s="158"/>
      <c r="AA114" s="158"/>
      <c r="AB114" s="158"/>
      <c r="AC114" s="158"/>
      <c r="AD114" s="158"/>
      <c r="AE114" s="158"/>
      <c r="AF114" s="158"/>
      <c r="AG114" s="158"/>
      <c r="AH114" s="158"/>
    </row>
    <row r="115" spans="1:34" ht="15" x14ac:dyDescent="0.25">
      <c r="A115" s="261"/>
      <c r="B115" s="261"/>
      <c r="C115" s="261"/>
      <c r="D115" s="261"/>
      <c r="E115" s="261"/>
      <c r="F115" s="261"/>
      <c r="G115" s="261"/>
      <c r="H115" s="261"/>
      <c r="I115" s="261"/>
      <c r="J115" s="261"/>
      <c r="K115" s="261"/>
      <c r="L115" s="261"/>
      <c r="M115" s="261"/>
      <c r="P115" s="158"/>
      <c r="Q115" s="158"/>
      <c r="R115" s="158"/>
      <c r="S115" s="158"/>
      <c r="T115" s="158"/>
      <c r="U115" s="158"/>
      <c r="V115" s="158"/>
      <c r="W115" s="158"/>
      <c r="X115" s="158"/>
      <c r="Y115" s="158"/>
      <c r="Z115" s="158"/>
      <c r="AA115" s="158"/>
      <c r="AB115" s="158"/>
      <c r="AC115" s="158"/>
      <c r="AD115" s="158"/>
      <c r="AE115" s="158"/>
      <c r="AF115" s="158"/>
      <c r="AG115" s="158"/>
      <c r="AH115" s="158"/>
    </row>
    <row r="116" spans="1:34" ht="15" x14ac:dyDescent="0.25">
      <c r="A116" s="261"/>
      <c r="B116" s="261"/>
      <c r="C116" s="261"/>
      <c r="D116" s="261"/>
      <c r="E116" s="261"/>
      <c r="F116" s="261"/>
      <c r="G116" s="261"/>
      <c r="H116" s="261"/>
      <c r="I116" s="261"/>
      <c r="J116" s="261"/>
      <c r="K116" s="261"/>
      <c r="L116" s="261"/>
      <c r="M116" s="261"/>
      <c r="P116" s="158"/>
      <c r="Q116" s="158"/>
      <c r="R116" s="158"/>
      <c r="S116" s="158"/>
      <c r="T116" s="158"/>
      <c r="U116" s="158"/>
      <c r="V116" s="158"/>
      <c r="W116" s="158"/>
      <c r="X116" s="158"/>
      <c r="Y116" s="158"/>
      <c r="Z116" s="158"/>
      <c r="AA116" s="158"/>
      <c r="AB116" s="158"/>
      <c r="AC116" s="158"/>
      <c r="AD116" s="158"/>
      <c r="AE116" s="158"/>
      <c r="AF116" s="158"/>
      <c r="AG116" s="158"/>
      <c r="AH116" s="158"/>
    </row>
    <row r="117" spans="1:34" ht="15" x14ac:dyDescent="0.25">
      <c r="A117" s="261"/>
      <c r="B117" s="261"/>
      <c r="C117" s="261"/>
      <c r="D117" s="261"/>
      <c r="E117" s="261"/>
      <c r="F117" s="261"/>
      <c r="G117" s="261"/>
      <c r="H117" s="261"/>
      <c r="I117" s="261"/>
      <c r="J117" s="261"/>
      <c r="K117" s="261"/>
      <c r="L117" s="261"/>
      <c r="M117" s="261"/>
      <c r="P117" s="158"/>
      <c r="Q117" s="158"/>
      <c r="R117" s="158"/>
      <c r="S117" s="158"/>
      <c r="T117" s="158"/>
      <c r="U117" s="158"/>
      <c r="V117" s="158"/>
      <c r="W117" s="158"/>
      <c r="X117" s="158"/>
      <c r="Y117" s="158"/>
      <c r="Z117" s="158"/>
      <c r="AA117" s="158"/>
      <c r="AB117" s="158"/>
      <c r="AC117" s="158"/>
      <c r="AD117" s="158"/>
      <c r="AE117" s="158"/>
      <c r="AF117" s="158"/>
      <c r="AG117" s="158"/>
      <c r="AH117" s="158"/>
    </row>
    <row r="118" spans="1:34" ht="15" x14ac:dyDescent="0.25">
      <c r="A118" s="261"/>
      <c r="B118" s="261"/>
      <c r="C118" s="261"/>
      <c r="D118" s="261"/>
      <c r="E118" s="261"/>
      <c r="F118" s="261"/>
      <c r="G118" s="261"/>
      <c r="H118" s="261"/>
      <c r="I118" s="261"/>
      <c r="J118" s="261"/>
      <c r="K118" s="261"/>
      <c r="L118" s="261"/>
      <c r="M118" s="261"/>
      <c r="P118" s="158"/>
      <c r="Q118" s="158"/>
      <c r="R118" s="158"/>
      <c r="S118" s="158"/>
      <c r="T118" s="158"/>
      <c r="U118" s="158"/>
      <c r="V118" s="158"/>
      <c r="W118" s="158"/>
      <c r="X118" s="158"/>
      <c r="Y118" s="158"/>
      <c r="Z118" s="158"/>
      <c r="AA118" s="158"/>
      <c r="AB118" s="158"/>
      <c r="AC118" s="158"/>
      <c r="AD118" s="158"/>
      <c r="AE118" s="158"/>
      <c r="AF118" s="158"/>
      <c r="AG118" s="158"/>
      <c r="AH118" s="158"/>
    </row>
    <row r="119" spans="1:34" ht="15" x14ac:dyDescent="0.25">
      <c r="A119" s="261"/>
      <c r="B119" s="261"/>
      <c r="C119" s="261"/>
      <c r="D119" s="261"/>
      <c r="E119" s="261"/>
      <c r="F119" s="261"/>
      <c r="G119" s="261"/>
      <c r="H119" s="261"/>
      <c r="I119" s="261"/>
      <c r="J119" s="261"/>
      <c r="K119" s="261"/>
      <c r="L119" s="261"/>
      <c r="M119" s="261"/>
      <c r="P119" s="158"/>
      <c r="Q119" s="158"/>
      <c r="R119" s="158"/>
      <c r="S119" s="158"/>
      <c r="T119" s="158"/>
      <c r="U119" s="158"/>
      <c r="V119" s="158"/>
      <c r="W119" s="158"/>
      <c r="X119" s="158"/>
      <c r="Y119" s="158"/>
      <c r="Z119" s="158"/>
      <c r="AA119" s="158"/>
      <c r="AB119" s="158"/>
      <c r="AC119" s="158"/>
      <c r="AD119" s="158"/>
      <c r="AE119" s="158"/>
      <c r="AF119" s="158"/>
      <c r="AG119" s="158"/>
      <c r="AH119" s="158"/>
    </row>
    <row r="120" spans="1:34" ht="15" x14ac:dyDescent="0.25">
      <c r="A120" s="261"/>
      <c r="B120" s="261"/>
      <c r="C120" s="261"/>
      <c r="D120" s="261"/>
      <c r="E120" s="261"/>
      <c r="F120" s="261"/>
      <c r="G120" s="261"/>
      <c r="H120" s="261"/>
      <c r="I120" s="261"/>
      <c r="J120" s="261"/>
      <c r="K120" s="261"/>
      <c r="L120" s="261"/>
      <c r="M120" s="261"/>
      <c r="P120" s="158"/>
      <c r="Q120" s="158"/>
      <c r="R120" s="158"/>
      <c r="S120" s="158"/>
      <c r="T120" s="158"/>
      <c r="U120" s="158"/>
      <c r="V120" s="158"/>
      <c r="W120" s="158"/>
      <c r="X120" s="158"/>
      <c r="Y120" s="158"/>
      <c r="Z120" s="158"/>
      <c r="AA120" s="158"/>
      <c r="AB120" s="158"/>
      <c r="AC120" s="158"/>
      <c r="AD120" s="158"/>
      <c r="AE120" s="158"/>
      <c r="AF120" s="158"/>
      <c r="AG120" s="158"/>
      <c r="AH120" s="158"/>
    </row>
    <row r="121" spans="1:34" ht="15" x14ac:dyDescent="0.25">
      <c r="A121" s="261"/>
      <c r="B121" s="261"/>
      <c r="C121" s="261"/>
      <c r="D121" s="261"/>
      <c r="E121" s="261"/>
      <c r="F121" s="261"/>
      <c r="G121" s="261"/>
      <c r="H121" s="261"/>
      <c r="I121" s="261"/>
      <c r="J121" s="261"/>
      <c r="K121" s="261"/>
      <c r="L121" s="261"/>
      <c r="M121" s="261"/>
      <c r="P121" s="158"/>
      <c r="Q121" s="158"/>
      <c r="R121" s="158"/>
      <c r="S121" s="158"/>
      <c r="T121" s="158"/>
      <c r="U121" s="158"/>
      <c r="V121" s="158"/>
      <c r="W121" s="158"/>
      <c r="X121" s="158"/>
      <c r="Y121" s="158"/>
      <c r="Z121" s="158"/>
      <c r="AA121" s="158"/>
      <c r="AB121" s="158"/>
      <c r="AC121" s="158"/>
      <c r="AD121" s="158"/>
      <c r="AE121" s="158"/>
      <c r="AF121" s="158"/>
      <c r="AG121" s="158"/>
      <c r="AH121" s="158"/>
    </row>
    <row r="122" spans="1:34" ht="15" x14ac:dyDescent="0.25">
      <c r="A122" s="261"/>
      <c r="B122" s="261"/>
      <c r="C122" s="261"/>
      <c r="D122" s="261"/>
      <c r="E122" s="261"/>
      <c r="F122" s="261"/>
      <c r="G122" s="261"/>
      <c r="H122" s="261"/>
      <c r="I122" s="261"/>
      <c r="J122" s="261"/>
      <c r="K122" s="261"/>
      <c r="L122" s="261"/>
      <c r="M122" s="261"/>
      <c r="P122" s="158"/>
      <c r="Q122" s="158"/>
      <c r="R122" s="158"/>
      <c r="S122" s="158"/>
      <c r="T122" s="158"/>
      <c r="U122" s="158"/>
      <c r="V122" s="158"/>
      <c r="W122" s="158"/>
      <c r="X122" s="158"/>
      <c r="Y122" s="158"/>
      <c r="Z122" s="158"/>
      <c r="AA122" s="158"/>
      <c r="AB122" s="158"/>
      <c r="AC122" s="158"/>
      <c r="AD122" s="158"/>
      <c r="AE122" s="158"/>
      <c r="AF122" s="158"/>
      <c r="AG122" s="158"/>
      <c r="AH122" s="158"/>
    </row>
    <row r="123" spans="1:34" ht="15" x14ac:dyDescent="0.25">
      <c r="P123" s="158"/>
      <c r="Q123" s="158"/>
      <c r="R123" s="158"/>
      <c r="S123" s="158"/>
      <c r="T123" s="158"/>
      <c r="U123" s="158"/>
      <c r="V123" s="158"/>
      <c r="W123" s="158"/>
      <c r="X123" s="158"/>
      <c r="Y123" s="158"/>
      <c r="Z123" s="158"/>
      <c r="AA123" s="158"/>
      <c r="AB123" s="158"/>
      <c r="AC123" s="158"/>
      <c r="AD123" s="158"/>
      <c r="AE123" s="158"/>
      <c r="AF123" s="158"/>
      <c r="AG123" s="158"/>
      <c r="AH123" s="158"/>
    </row>
    <row r="124" spans="1:34" ht="15" x14ac:dyDescent="0.25">
      <c r="P124" s="158"/>
      <c r="Q124" s="158"/>
      <c r="R124" s="158"/>
      <c r="S124" s="158"/>
      <c r="T124" s="158"/>
      <c r="U124" s="158"/>
      <c r="V124" s="158"/>
      <c r="W124" s="158"/>
      <c r="X124" s="158"/>
      <c r="Y124" s="158"/>
      <c r="Z124" s="158"/>
      <c r="AA124" s="158"/>
      <c r="AB124" s="158"/>
      <c r="AC124" s="158"/>
      <c r="AD124" s="158"/>
      <c r="AE124" s="158"/>
      <c r="AF124" s="158"/>
      <c r="AG124" s="158"/>
      <c r="AH124" s="158"/>
    </row>
    <row r="125" spans="1:34" ht="15" x14ac:dyDescent="0.25">
      <c r="P125" s="158"/>
      <c r="Q125" s="158"/>
      <c r="R125" s="158"/>
      <c r="S125" s="158"/>
      <c r="T125" s="158"/>
      <c r="U125" s="158"/>
      <c r="V125" s="158"/>
      <c r="W125" s="158"/>
      <c r="X125" s="158"/>
      <c r="Y125" s="158"/>
      <c r="Z125" s="158"/>
      <c r="AA125" s="158"/>
      <c r="AB125" s="158"/>
      <c r="AC125" s="158"/>
      <c r="AD125" s="158"/>
      <c r="AE125" s="158"/>
      <c r="AF125" s="158"/>
      <c r="AG125" s="158"/>
      <c r="AH125" s="158"/>
    </row>
    <row r="126" spans="1:34" ht="15" x14ac:dyDescent="0.25">
      <c r="P126" s="158"/>
      <c r="Q126" s="158"/>
      <c r="R126" s="158"/>
      <c r="S126" s="158"/>
      <c r="T126" s="158"/>
      <c r="U126" s="158"/>
      <c r="V126" s="158"/>
      <c r="W126" s="158"/>
      <c r="X126" s="158"/>
      <c r="Y126" s="158"/>
      <c r="Z126" s="158"/>
      <c r="AA126" s="158"/>
      <c r="AB126" s="158"/>
      <c r="AC126" s="158"/>
      <c r="AD126" s="158"/>
      <c r="AE126" s="158"/>
      <c r="AF126" s="158"/>
      <c r="AG126" s="158"/>
      <c r="AH126" s="158"/>
    </row>
    <row r="127" spans="1:34" ht="15" x14ac:dyDescent="0.25">
      <c r="P127" s="158"/>
      <c r="Q127" s="158"/>
      <c r="R127" s="158"/>
      <c r="S127" s="158"/>
      <c r="T127" s="158"/>
      <c r="U127" s="158"/>
      <c r="V127" s="158"/>
      <c r="W127" s="158"/>
      <c r="X127" s="158"/>
      <c r="Y127" s="158"/>
      <c r="Z127" s="158"/>
      <c r="AA127" s="158"/>
      <c r="AB127" s="158"/>
      <c r="AC127" s="158"/>
      <c r="AD127" s="158"/>
      <c r="AE127" s="158"/>
      <c r="AF127" s="158"/>
      <c r="AG127" s="158"/>
      <c r="AH127" s="158"/>
    </row>
    <row r="128" spans="1:34" ht="15" x14ac:dyDescent="0.25">
      <c r="P128" s="158"/>
      <c r="Q128" s="158"/>
      <c r="R128" s="158"/>
      <c r="S128" s="158"/>
      <c r="T128" s="158"/>
      <c r="U128" s="158"/>
      <c r="V128" s="158"/>
      <c r="W128" s="158"/>
      <c r="X128" s="158"/>
      <c r="Y128" s="158"/>
      <c r="Z128" s="158"/>
      <c r="AA128" s="158"/>
      <c r="AB128" s="158"/>
      <c r="AC128" s="158"/>
      <c r="AD128" s="158"/>
      <c r="AE128" s="158"/>
      <c r="AF128" s="158"/>
      <c r="AG128" s="158"/>
      <c r="AH128" s="158"/>
    </row>
    <row r="129" spans="16:34" ht="15" x14ac:dyDescent="0.25">
      <c r="P129" s="158"/>
      <c r="Q129" s="158"/>
      <c r="R129" s="158"/>
      <c r="S129" s="158"/>
      <c r="T129" s="158"/>
      <c r="U129" s="158"/>
      <c r="V129" s="158"/>
      <c r="W129" s="158"/>
      <c r="X129" s="158"/>
      <c r="Y129" s="158"/>
      <c r="Z129" s="158"/>
      <c r="AA129" s="158"/>
      <c r="AB129" s="158"/>
      <c r="AC129" s="158"/>
      <c r="AD129" s="158"/>
      <c r="AE129" s="158"/>
      <c r="AF129" s="158"/>
      <c r="AG129" s="158"/>
      <c r="AH129" s="158"/>
    </row>
    <row r="130" spans="16:34" ht="15" x14ac:dyDescent="0.25">
      <c r="P130" s="158"/>
      <c r="Q130" s="158"/>
      <c r="R130" s="158"/>
      <c r="S130" s="158"/>
      <c r="T130" s="158"/>
      <c r="U130" s="158"/>
      <c r="V130" s="158"/>
      <c r="W130" s="158"/>
      <c r="X130" s="158"/>
      <c r="Y130" s="158"/>
      <c r="Z130" s="158"/>
      <c r="AA130" s="158"/>
      <c r="AB130" s="158"/>
      <c r="AC130" s="158"/>
      <c r="AD130" s="158"/>
      <c r="AE130" s="158"/>
      <c r="AF130" s="158"/>
      <c r="AG130" s="158"/>
      <c r="AH130" s="158"/>
    </row>
    <row r="131" spans="16:34" ht="15" x14ac:dyDescent="0.25">
      <c r="P131" s="158"/>
      <c r="Q131" s="158"/>
      <c r="R131" s="158"/>
      <c r="S131" s="158"/>
      <c r="T131" s="158"/>
      <c r="U131" s="158"/>
      <c r="V131" s="158"/>
      <c r="W131" s="158"/>
      <c r="X131" s="158"/>
      <c r="Y131" s="158"/>
      <c r="Z131" s="158"/>
      <c r="AA131" s="158"/>
      <c r="AB131" s="158"/>
      <c r="AC131" s="158"/>
      <c r="AD131" s="158"/>
      <c r="AE131" s="158"/>
      <c r="AF131" s="158"/>
      <c r="AG131" s="158"/>
      <c r="AH131" s="158"/>
    </row>
    <row r="132" spans="16:34" ht="15" x14ac:dyDescent="0.25">
      <c r="P132" s="158"/>
      <c r="Q132" s="158"/>
      <c r="R132" s="158"/>
      <c r="S132" s="158"/>
      <c r="T132" s="158"/>
      <c r="U132" s="158"/>
      <c r="V132" s="158"/>
      <c r="W132" s="158"/>
      <c r="X132" s="158"/>
      <c r="Y132" s="158"/>
      <c r="Z132" s="158"/>
      <c r="AA132" s="158"/>
      <c r="AB132" s="158"/>
      <c r="AC132" s="158"/>
      <c r="AD132" s="158"/>
      <c r="AE132" s="158"/>
      <c r="AF132" s="158"/>
      <c r="AG132" s="158"/>
      <c r="AH132" s="158"/>
    </row>
    <row r="133" spans="16:34" ht="15" x14ac:dyDescent="0.25">
      <c r="P133" s="158"/>
      <c r="Q133" s="158"/>
      <c r="R133" s="158"/>
      <c r="S133" s="158"/>
      <c r="T133" s="158"/>
      <c r="U133" s="158"/>
      <c r="V133" s="158"/>
      <c r="W133" s="158"/>
      <c r="X133" s="158"/>
      <c r="Y133" s="158"/>
      <c r="Z133" s="158"/>
      <c r="AA133" s="158"/>
      <c r="AB133" s="158"/>
      <c r="AC133" s="158"/>
      <c r="AD133" s="158"/>
      <c r="AE133" s="158"/>
      <c r="AF133" s="158"/>
      <c r="AG133" s="158"/>
      <c r="AH133" s="158"/>
    </row>
    <row r="134" spans="16:34" ht="15" x14ac:dyDescent="0.25">
      <c r="P134" s="158"/>
      <c r="Q134" s="158"/>
      <c r="R134" s="158"/>
      <c r="S134" s="158"/>
      <c r="T134" s="158"/>
      <c r="U134" s="158"/>
      <c r="V134" s="158"/>
      <c r="W134" s="158"/>
      <c r="X134" s="158"/>
      <c r="Y134" s="158"/>
      <c r="Z134" s="158"/>
      <c r="AA134" s="158"/>
      <c r="AB134" s="158"/>
      <c r="AC134" s="158"/>
      <c r="AD134" s="158"/>
      <c r="AE134" s="158"/>
      <c r="AF134" s="158"/>
      <c r="AG134" s="158"/>
      <c r="AH134" s="158"/>
    </row>
    <row r="135" spans="16:34" ht="15" x14ac:dyDescent="0.25">
      <c r="P135" s="158"/>
      <c r="Q135" s="158"/>
      <c r="R135" s="158"/>
      <c r="S135" s="158"/>
      <c r="T135" s="158"/>
      <c r="U135" s="158"/>
      <c r="V135" s="158"/>
      <c r="W135" s="158"/>
      <c r="X135" s="158"/>
      <c r="Y135" s="158"/>
      <c r="Z135" s="158"/>
      <c r="AA135" s="158"/>
      <c r="AB135" s="158"/>
      <c r="AC135" s="158"/>
      <c r="AD135" s="158"/>
      <c r="AE135" s="158"/>
      <c r="AF135" s="158"/>
      <c r="AG135" s="158"/>
      <c r="AH135" s="158"/>
    </row>
    <row r="136" spans="16:34" ht="15" x14ac:dyDescent="0.25">
      <c r="P136" s="158"/>
      <c r="Q136" s="158"/>
      <c r="R136" s="158"/>
      <c r="S136" s="158"/>
      <c r="T136" s="158"/>
      <c r="U136" s="158"/>
      <c r="V136" s="158"/>
      <c r="W136" s="158"/>
      <c r="X136" s="158"/>
      <c r="Y136" s="158"/>
      <c r="Z136" s="158"/>
      <c r="AA136" s="158"/>
      <c r="AB136" s="158"/>
      <c r="AC136" s="158"/>
      <c r="AD136" s="158"/>
      <c r="AE136" s="158"/>
      <c r="AF136" s="158"/>
      <c r="AG136" s="158"/>
      <c r="AH136" s="158"/>
    </row>
    <row r="137" spans="16:34" ht="15" x14ac:dyDescent="0.25">
      <c r="P137" s="158"/>
      <c r="Q137" s="158"/>
      <c r="R137" s="158"/>
      <c r="S137" s="158"/>
      <c r="T137" s="158"/>
      <c r="U137" s="158"/>
      <c r="V137" s="158"/>
      <c r="W137" s="158"/>
      <c r="X137" s="158"/>
      <c r="Y137" s="158"/>
      <c r="Z137" s="158"/>
      <c r="AA137" s="158"/>
      <c r="AB137" s="158"/>
      <c r="AC137" s="158"/>
      <c r="AD137" s="158"/>
      <c r="AE137" s="158"/>
      <c r="AF137" s="158"/>
      <c r="AG137" s="158"/>
      <c r="AH137" s="158"/>
    </row>
    <row r="138" spans="16:34" ht="15" x14ac:dyDescent="0.25">
      <c r="P138" s="158"/>
      <c r="Q138" s="158"/>
      <c r="R138" s="158"/>
      <c r="S138" s="158"/>
      <c r="T138" s="158"/>
      <c r="U138" s="158"/>
      <c r="V138" s="158"/>
      <c r="W138" s="158"/>
      <c r="X138" s="158"/>
      <c r="Y138" s="158"/>
      <c r="Z138" s="158"/>
      <c r="AA138" s="158"/>
      <c r="AB138" s="158"/>
      <c r="AC138" s="158"/>
      <c r="AD138" s="158"/>
      <c r="AE138" s="158"/>
      <c r="AF138" s="158"/>
      <c r="AG138" s="158"/>
      <c r="AH138" s="158"/>
    </row>
    <row r="139" spans="16:34" ht="15" x14ac:dyDescent="0.25">
      <c r="P139" s="158"/>
      <c r="Q139" s="158"/>
      <c r="R139" s="158"/>
      <c r="S139" s="158"/>
      <c r="T139" s="158"/>
      <c r="U139" s="158"/>
      <c r="V139" s="158"/>
      <c r="W139" s="158"/>
      <c r="X139" s="158"/>
      <c r="Y139" s="158"/>
      <c r="Z139" s="158"/>
      <c r="AA139" s="158"/>
      <c r="AB139" s="158"/>
      <c r="AC139" s="158"/>
      <c r="AD139" s="158"/>
      <c r="AE139" s="158"/>
      <c r="AF139" s="158"/>
      <c r="AG139" s="158"/>
      <c r="AH139" s="158"/>
    </row>
    <row r="140" spans="16:34" ht="15" x14ac:dyDescent="0.25">
      <c r="P140" s="158"/>
      <c r="Q140" s="158"/>
      <c r="R140" s="158"/>
      <c r="S140" s="158"/>
      <c r="T140" s="158"/>
      <c r="U140" s="158"/>
      <c r="V140" s="158"/>
      <c r="W140" s="158"/>
      <c r="X140" s="158"/>
      <c r="Y140" s="158"/>
      <c r="Z140" s="158"/>
      <c r="AA140" s="158"/>
      <c r="AB140" s="158"/>
      <c r="AC140" s="158"/>
      <c r="AD140" s="158"/>
      <c r="AE140" s="158"/>
      <c r="AF140" s="158"/>
      <c r="AG140" s="158"/>
      <c r="AH140" s="158"/>
    </row>
    <row r="141" spans="16:34" ht="15" x14ac:dyDescent="0.25">
      <c r="P141" s="158"/>
      <c r="Q141" s="158"/>
      <c r="R141" s="158"/>
      <c r="S141" s="158"/>
      <c r="T141" s="158"/>
      <c r="U141" s="158"/>
      <c r="V141" s="158"/>
      <c r="W141" s="158"/>
      <c r="X141" s="158"/>
      <c r="Y141" s="158"/>
      <c r="Z141" s="158"/>
      <c r="AA141" s="158"/>
      <c r="AB141" s="158"/>
      <c r="AC141" s="158"/>
      <c r="AD141" s="158"/>
      <c r="AE141" s="158"/>
      <c r="AF141" s="158"/>
      <c r="AG141" s="158"/>
      <c r="AH141" s="158"/>
    </row>
    <row r="142" spans="16:34" ht="15" x14ac:dyDescent="0.25">
      <c r="P142" s="158"/>
      <c r="Q142" s="158"/>
      <c r="R142" s="158"/>
      <c r="S142" s="158"/>
      <c r="T142" s="158"/>
      <c r="U142" s="158"/>
      <c r="V142" s="158"/>
      <c r="W142" s="158"/>
      <c r="X142" s="158"/>
      <c r="Y142" s="158"/>
      <c r="Z142" s="158"/>
      <c r="AA142" s="158"/>
      <c r="AB142" s="158"/>
      <c r="AC142" s="158"/>
      <c r="AD142" s="158"/>
      <c r="AE142" s="158"/>
      <c r="AF142" s="158"/>
      <c r="AG142" s="158"/>
      <c r="AH142" s="158"/>
    </row>
    <row r="143" spans="16:34" ht="15" x14ac:dyDescent="0.25">
      <c r="P143" s="158"/>
      <c r="Q143" s="158"/>
      <c r="R143" s="158"/>
      <c r="S143" s="158"/>
      <c r="T143" s="158"/>
      <c r="U143" s="158"/>
      <c r="V143" s="158"/>
      <c r="W143" s="158"/>
      <c r="X143" s="158"/>
      <c r="Y143" s="158"/>
      <c r="Z143" s="158"/>
      <c r="AA143" s="158"/>
      <c r="AB143" s="158"/>
      <c r="AC143" s="158"/>
      <c r="AD143" s="158"/>
      <c r="AE143" s="158"/>
      <c r="AF143" s="158"/>
      <c r="AG143" s="158"/>
      <c r="AH143" s="158"/>
    </row>
    <row r="144" spans="16:34" ht="15" x14ac:dyDescent="0.25">
      <c r="P144" s="158"/>
      <c r="Q144" s="158"/>
      <c r="R144" s="158"/>
      <c r="S144" s="158"/>
      <c r="T144" s="158"/>
      <c r="U144" s="158"/>
      <c r="V144" s="158"/>
      <c r="W144" s="158"/>
      <c r="X144" s="158"/>
      <c r="Y144" s="158"/>
      <c r="Z144" s="158"/>
      <c r="AA144" s="158"/>
      <c r="AB144" s="158"/>
      <c r="AC144" s="158"/>
      <c r="AD144" s="158"/>
      <c r="AE144" s="158"/>
      <c r="AF144" s="158"/>
      <c r="AG144" s="158"/>
      <c r="AH144" s="158"/>
    </row>
    <row r="145" spans="16:34" ht="15" x14ac:dyDescent="0.25">
      <c r="P145" s="158"/>
      <c r="Q145" s="158"/>
      <c r="R145" s="158"/>
      <c r="S145" s="158"/>
      <c r="T145" s="158"/>
      <c r="U145" s="158"/>
      <c r="V145" s="158"/>
      <c r="W145" s="158"/>
      <c r="X145" s="158"/>
      <c r="Y145" s="158"/>
      <c r="Z145" s="158"/>
      <c r="AA145" s="158"/>
      <c r="AB145" s="158"/>
      <c r="AC145" s="158"/>
      <c r="AD145" s="158"/>
      <c r="AE145" s="158"/>
      <c r="AF145" s="158"/>
      <c r="AG145" s="158"/>
      <c r="AH145" s="158"/>
    </row>
    <row r="146" spans="16:34" ht="15" x14ac:dyDescent="0.25">
      <c r="P146" s="158"/>
      <c r="Q146" s="158"/>
      <c r="R146" s="158"/>
      <c r="S146" s="158"/>
      <c r="T146" s="158"/>
      <c r="U146" s="158"/>
      <c r="V146" s="158"/>
      <c r="W146" s="158"/>
      <c r="X146" s="158"/>
      <c r="Y146" s="158"/>
      <c r="Z146" s="158"/>
      <c r="AA146" s="158"/>
      <c r="AB146" s="158"/>
      <c r="AC146" s="158"/>
      <c r="AD146" s="158"/>
      <c r="AE146" s="158"/>
      <c r="AF146" s="158"/>
      <c r="AG146" s="158"/>
      <c r="AH146" s="158"/>
    </row>
    <row r="147" spans="16:34" ht="15" x14ac:dyDescent="0.25">
      <c r="P147" s="158"/>
      <c r="Q147" s="158"/>
      <c r="R147" s="158"/>
      <c r="S147" s="158"/>
      <c r="T147" s="158"/>
      <c r="U147" s="158"/>
      <c r="V147" s="158"/>
      <c r="W147" s="158"/>
      <c r="X147" s="158"/>
      <c r="Y147" s="158"/>
      <c r="Z147" s="158"/>
      <c r="AA147" s="158"/>
      <c r="AB147" s="158"/>
      <c r="AC147" s="158"/>
      <c r="AD147" s="158"/>
      <c r="AE147" s="158"/>
      <c r="AF147" s="158"/>
      <c r="AG147" s="158"/>
      <c r="AH147" s="158"/>
    </row>
    <row r="148" spans="16:34" ht="15" x14ac:dyDescent="0.25">
      <c r="P148" s="158"/>
      <c r="Q148" s="158"/>
      <c r="R148" s="158"/>
      <c r="S148" s="158"/>
      <c r="T148" s="158"/>
      <c r="U148" s="158"/>
      <c r="V148" s="158"/>
      <c r="W148" s="158"/>
      <c r="X148" s="158"/>
      <c r="Y148" s="158"/>
      <c r="Z148" s="158"/>
      <c r="AA148" s="158"/>
      <c r="AB148" s="158"/>
      <c r="AC148" s="158"/>
      <c r="AD148" s="158"/>
      <c r="AE148" s="158"/>
      <c r="AF148" s="158"/>
      <c r="AG148" s="158"/>
      <c r="AH148" s="158"/>
    </row>
    <row r="149" spans="16:34" ht="15" x14ac:dyDescent="0.25">
      <c r="P149" s="158"/>
      <c r="Q149" s="158"/>
      <c r="R149" s="158"/>
      <c r="S149" s="158"/>
      <c r="T149" s="158"/>
      <c r="U149" s="158"/>
      <c r="V149" s="158"/>
      <c r="W149" s="158"/>
      <c r="X149" s="158"/>
      <c r="Y149" s="158"/>
      <c r="Z149" s="158"/>
      <c r="AA149" s="158"/>
      <c r="AB149" s="158"/>
      <c r="AC149" s="158"/>
      <c r="AD149" s="158"/>
      <c r="AE149" s="158"/>
      <c r="AF149" s="158"/>
      <c r="AG149" s="158"/>
      <c r="AH149" s="158"/>
    </row>
    <row r="150" spans="16:34" ht="15" x14ac:dyDescent="0.25">
      <c r="P150" s="158"/>
      <c r="Q150" s="158"/>
      <c r="R150" s="158"/>
      <c r="S150" s="158"/>
      <c r="T150" s="158"/>
      <c r="U150" s="158"/>
      <c r="V150" s="158"/>
      <c r="W150" s="158"/>
      <c r="X150" s="158"/>
      <c r="Y150" s="158"/>
      <c r="Z150" s="158"/>
      <c r="AA150" s="158"/>
      <c r="AB150" s="158"/>
      <c r="AC150" s="158"/>
      <c r="AD150" s="158"/>
      <c r="AE150" s="158"/>
      <c r="AF150" s="158"/>
      <c r="AG150" s="158"/>
      <c r="AH150" s="158"/>
    </row>
    <row r="151" spans="16:34" ht="15" x14ac:dyDescent="0.25">
      <c r="P151" s="158"/>
      <c r="Q151" s="158"/>
      <c r="R151" s="158"/>
      <c r="S151" s="158"/>
      <c r="T151" s="158"/>
      <c r="U151" s="158"/>
      <c r="V151" s="158"/>
      <c r="W151" s="158"/>
      <c r="X151" s="158"/>
      <c r="Y151" s="158"/>
      <c r="Z151" s="158"/>
      <c r="AA151" s="158"/>
      <c r="AB151" s="158"/>
      <c r="AC151" s="158"/>
      <c r="AD151" s="158"/>
      <c r="AE151" s="158"/>
      <c r="AF151" s="158"/>
      <c r="AG151" s="158"/>
      <c r="AH151" s="158"/>
    </row>
    <row r="152" spans="16:34" ht="15" x14ac:dyDescent="0.25">
      <c r="P152" s="158"/>
      <c r="Q152" s="158"/>
      <c r="R152" s="158"/>
      <c r="S152" s="158"/>
      <c r="T152" s="158"/>
      <c r="U152" s="158"/>
      <c r="V152" s="158"/>
      <c r="W152" s="158"/>
      <c r="X152" s="158"/>
      <c r="Y152" s="158"/>
      <c r="Z152" s="158"/>
      <c r="AA152" s="158"/>
      <c r="AB152" s="158"/>
      <c r="AC152" s="158"/>
      <c r="AD152" s="158"/>
      <c r="AE152" s="158"/>
      <c r="AF152" s="158"/>
      <c r="AG152" s="158"/>
      <c r="AH152" s="158"/>
    </row>
    <row r="153" spans="16:34" ht="15" x14ac:dyDescent="0.25">
      <c r="P153" s="158"/>
      <c r="Q153" s="158"/>
      <c r="R153" s="158"/>
      <c r="S153" s="158"/>
      <c r="T153" s="158"/>
      <c r="U153" s="158"/>
      <c r="V153" s="158"/>
      <c r="W153" s="158"/>
      <c r="X153" s="158"/>
      <c r="Y153" s="158"/>
      <c r="Z153" s="158"/>
      <c r="AA153" s="158"/>
      <c r="AB153" s="158"/>
      <c r="AC153" s="158"/>
      <c r="AD153" s="158"/>
      <c r="AE153" s="158"/>
      <c r="AF153" s="158"/>
      <c r="AG153" s="158"/>
      <c r="AH153" s="158"/>
    </row>
    <row r="154" spans="16:34" ht="15" x14ac:dyDescent="0.25">
      <c r="P154" s="158"/>
      <c r="Q154" s="158"/>
      <c r="R154" s="158"/>
      <c r="S154" s="158"/>
      <c r="T154" s="158"/>
      <c r="U154" s="158"/>
      <c r="V154" s="158"/>
      <c r="W154" s="158"/>
      <c r="X154" s="158"/>
      <c r="Y154" s="158"/>
      <c r="Z154" s="158"/>
      <c r="AA154" s="158"/>
      <c r="AB154" s="158"/>
      <c r="AC154" s="158"/>
      <c r="AD154" s="158"/>
      <c r="AE154" s="158"/>
      <c r="AF154" s="158"/>
      <c r="AG154" s="158"/>
      <c r="AH154" s="158"/>
    </row>
    <row r="155" spans="16:34" ht="15" x14ac:dyDescent="0.25">
      <c r="P155" s="158"/>
      <c r="Q155" s="158"/>
      <c r="R155" s="158"/>
      <c r="S155" s="158"/>
      <c r="T155" s="158"/>
      <c r="U155" s="158"/>
      <c r="V155" s="158"/>
      <c r="W155" s="158"/>
      <c r="X155" s="158"/>
      <c r="Y155" s="158"/>
      <c r="Z155" s="158"/>
      <c r="AA155" s="158"/>
      <c r="AB155" s="158"/>
      <c r="AC155" s="158"/>
      <c r="AD155" s="158"/>
      <c r="AE155" s="158"/>
      <c r="AF155" s="158"/>
      <c r="AG155" s="158"/>
      <c r="AH155" s="158"/>
    </row>
    <row r="156" spans="16:34" ht="15" x14ac:dyDescent="0.25">
      <c r="P156" s="158"/>
      <c r="Q156" s="158"/>
      <c r="R156" s="158"/>
      <c r="S156" s="158"/>
      <c r="T156" s="158"/>
      <c r="U156" s="158"/>
      <c r="V156" s="158"/>
      <c r="W156" s="158"/>
      <c r="X156" s="158"/>
      <c r="Y156" s="158"/>
      <c r="Z156" s="158"/>
      <c r="AA156" s="158"/>
      <c r="AB156" s="158"/>
      <c r="AC156" s="158"/>
      <c r="AD156" s="158"/>
      <c r="AE156" s="158"/>
      <c r="AF156" s="158"/>
      <c r="AG156" s="158"/>
      <c r="AH156" s="158"/>
    </row>
    <row r="157" spans="16:34" ht="15" x14ac:dyDescent="0.25">
      <c r="P157" s="158"/>
      <c r="Q157" s="158"/>
      <c r="R157" s="158"/>
      <c r="S157" s="158"/>
      <c r="T157" s="158"/>
      <c r="U157" s="158"/>
      <c r="V157" s="158"/>
      <c r="W157" s="158"/>
      <c r="X157" s="158"/>
      <c r="Y157" s="158"/>
      <c r="Z157" s="158"/>
      <c r="AA157" s="158"/>
      <c r="AB157" s="158"/>
      <c r="AC157" s="158"/>
      <c r="AD157" s="158"/>
      <c r="AE157" s="158"/>
      <c r="AF157" s="158"/>
      <c r="AG157" s="158"/>
      <c r="AH157" s="158"/>
    </row>
    <row r="158" spans="16:34" ht="15" x14ac:dyDescent="0.25">
      <c r="P158" s="158"/>
      <c r="Q158" s="158"/>
      <c r="R158" s="158"/>
      <c r="S158" s="158"/>
      <c r="T158" s="158"/>
      <c r="U158" s="158"/>
      <c r="V158" s="158"/>
      <c r="W158" s="158"/>
      <c r="X158" s="158"/>
      <c r="Y158" s="158"/>
      <c r="Z158" s="158"/>
      <c r="AA158" s="158"/>
      <c r="AB158" s="158"/>
      <c r="AC158" s="158"/>
      <c r="AD158" s="158"/>
      <c r="AE158" s="158"/>
      <c r="AF158" s="158"/>
      <c r="AG158" s="158"/>
      <c r="AH158" s="158"/>
    </row>
    <row r="159" spans="16:34" ht="15" x14ac:dyDescent="0.25">
      <c r="P159" s="158"/>
      <c r="Q159" s="158"/>
      <c r="R159" s="158"/>
      <c r="S159" s="158"/>
      <c r="T159" s="158"/>
      <c r="U159" s="158"/>
      <c r="V159" s="158"/>
      <c r="W159" s="158"/>
      <c r="X159" s="158"/>
      <c r="Y159" s="158"/>
      <c r="Z159" s="158"/>
      <c r="AA159" s="158"/>
      <c r="AB159" s="158"/>
      <c r="AC159" s="158"/>
      <c r="AD159" s="158"/>
      <c r="AE159" s="158"/>
      <c r="AF159" s="158"/>
      <c r="AG159" s="158"/>
      <c r="AH159" s="158"/>
    </row>
    <row r="160" spans="16:34" ht="15" x14ac:dyDescent="0.25">
      <c r="P160" s="158"/>
      <c r="Q160" s="158"/>
      <c r="R160" s="158"/>
      <c r="S160" s="158"/>
      <c r="T160" s="158"/>
      <c r="U160" s="158"/>
      <c r="V160" s="158"/>
      <c r="W160" s="158"/>
      <c r="X160" s="158"/>
      <c r="Y160" s="158"/>
      <c r="Z160" s="158"/>
      <c r="AA160" s="158"/>
      <c r="AB160" s="158"/>
      <c r="AC160" s="158"/>
      <c r="AD160" s="158"/>
      <c r="AE160" s="158"/>
      <c r="AF160" s="158"/>
      <c r="AG160" s="158"/>
      <c r="AH160" s="158"/>
    </row>
    <row r="161" spans="16:34" ht="15" x14ac:dyDescent="0.25">
      <c r="P161" s="158"/>
      <c r="Q161" s="158"/>
      <c r="R161" s="158"/>
      <c r="S161" s="158"/>
      <c r="T161" s="158"/>
      <c r="U161" s="158"/>
      <c r="V161" s="158"/>
      <c r="W161" s="158"/>
      <c r="X161" s="158"/>
      <c r="Y161" s="158"/>
      <c r="Z161" s="158"/>
      <c r="AA161" s="158"/>
      <c r="AB161" s="158"/>
      <c r="AC161" s="158"/>
      <c r="AD161" s="158"/>
      <c r="AE161" s="158"/>
      <c r="AF161" s="158"/>
      <c r="AG161" s="158"/>
      <c r="AH161" s="158"/>
    </row>
    <row r="162" spans="16:34" ht="15" x14ac:dyDescent="0.25">
      <c r="P162" s="158"/>
      <c r="Q162" s="158"/>
      <c r="R162" s="158"/>
      <c r="S162" s="158"/>
      <c r="T162" s="158"/>
      <c r="U162" s="158"/>
      <c r="V162" s="158"/>
      <c r="W162" s="158"/>
      <c r="X162" s="158"/>
      <c r="Y162" s="158"/>
      <c r="Z162" s="158"/>
      <c r="AA162" s="158"/>
      <c r="AB162" s="158"/>
      <c r="AC162" s="158"/>
      <c r="AD162" s="158"/>
      <c r="AE162" s="158"/>
      <c r="AF162" s="158"/>
      <c r="AG162" s="158"/>
      <c r="AH162" s="158"/>
    </row>
    <row r="163" spans="16:34" ht="15" x14ac:dyDescent="0.25">
      <c r="P163" s="158"/>
      <c r="Q163" s="158"/>
      <c r="R163" s="158"/>
      <c r="S163" s="158"/>
      <c r="T163" s="158"/>
      <c r="U163" s="158"/>
      <c r="V163" s="158"/>
      <c r="W163" s="158"/>
      <c r="X163" s="158"/>
      <c r="Y163" s="158"/>
      <c r="Z163" s="158"/>
      <c r="AA163" s="158"/>
      <c r="AB163" s="158"/>
      <c r="AC163" s="158"/>
      <c r="AD163" s="158"/>
      <c r="AE163" s="158"/>
      <c r="AF163" s="158"/>
      <c r="AG163" s="158"/>
      <c r="AH163" s="158"/>
    </row>
    <row r="164" spans="16:34" ht="15" x14ac:dyDescent="0.25">
      <c r="P164" s="158"/>
      <c r="Q164" s="158"/>
      <c r="R164" s="158"/>
      <c r="S164" s="158"/>
      <c r="T164" s="158"/>
      <c r="U164" s="158"/>
      <c r="V164" s="158"/>
      <c r="W164" s="158"/>
      <c r="X164" s="158"/>
      <c r="Y164" s="158"/>
      <c r="Z164" s="158"/>
      <c r="AA164" s="158"/>
      <c r="AB164" s="158"/>
      <c r="AC164" s="158"/>
      <c r="AD164" s="158"/>
      <c r="AE164" s="158"/>
      <c r="AF164" s="158"/>
      <c r="AG164" s="158"/>
      <c r="AH164" s="158"/>
    </row>
    <row r="165" spans="16:34" ht="15" x14ac:dyDescent="0.25">
      <c r="P165" s="158"/>
      <c r="Q165" s="158"/>
      <c r="R165" s="158"/>
      <c r="S165" s="158"/>
      <c r="T165" s="158"/>
      <c r="U165" s="158"/>
      <c r="V165" s="158"/>
      <c r="W165" s="158"/>
      <c r="X165" s="158"/>
      <c r="Y165" s="158"/>
      <c r="Z165" s="158"/>
      <c r="AA165" s="158"/>
      <c r="AB165" s="158"/>
      <c r="AC165" s="158"/>
      <c r="AD165" s="158"/>
      <c r="AE165" s="158"/>
      <c r="AF165" s="158"/>
      <c r="AG165" s="158"/>
      <c r="AH165" s="158"/>
    </row>
    <row r="166" spans="16:34" ht="15" x14ac:dyDescent="0.25">
      <c r="P166" s="158"/>
      <c r="Q166" s="158"/>
      <c r="R166" s="158"/>
      <c r="S166" s="158"/>
      <c r="T166" s="158"/>
      <c r="U166" s="158"/>
      <c r="V166" s="158"/>
      <c r="W166" s="158"/>
      <c r="X166" s="158"/>
      <c r="Y166" s="158"/>
      <c r="Z166" s="158"/>
      <c r="AA166" s="158"/>
      <c r="AB166" s="158"/>
      <c r="AC166" s="158"/>
      <c r="AD166" s="158"/>
      <c r="AE166" s="158"/>
      <c r="AF166" s="158"/>
      <c r="AG166" s="158"/>
      <c r="AH166" s="158"/>
    </row>
    <row r="167" spans="16:34" ht="15" x14ac:dyDescent="0.25">
      <c r="P167" s="158"/>
      <c r="Q167" s="158"/>
      <c r="R167" s="158"/>
      <c r="S167" s="158"/>
      <c r="T167" s="158"/>
      <c r="U167" s="158"/>
      <c r="V167" s="158"/>
      <c r="W167" s="158"/>
      <c r="X167" s="158"/>
      <c r="Y167" s="158"/>
      <c r="Z167" s="158"/>
      <c r="AA167" s="158"/>
      <c r="AB167" s="158"/>
      <c r="AC167" s="158"/>
      <c r="AD167" s="158"/>
      <c r="AE167" s="158"/>
      <c r="AF167" s="158"/>
      <c r="AG167" s="158"/>
      <c r="AH167" s="158"/>
    </row>
    <row r="168" spans="16:34" ht="15" x14ac:dyDescent="0.25">
      <c r="P168" s="158"/>
      <c r="Q168" s="158"/>
      <c r="R168" s="158"/>
      <c r="S168" s="158"/>
      <c r="T168" s="158"/>
      <c r="U168" s="158"/>
      <c r="V168" s="158"/>
      <c r="W168" s="158"/>
      <c r="X168" s="158"/>
      <c r="Y168" s="158"/>
      <c r="Z168" s="158"/>
      <c r="AA168" s="158"/>
      <c r="AB168" s="158"/>
      <c r="AC168" s="158"/>
      <c r="AD168" s="158"/>
      <c r="AE168" s="158"/>
      <c r="AF168" s="158"/>
      <c r="AG168" s="158"/>
      <c r="AH168" s="158"/>
    </row>
    <row r="169" spans="16:34" ht="15" x14ac:dyDescent="0.25">
      <c r="P169" s="158"/>
      <c r="Q169" s="158"/>
      <c r="R169" s="158"/>
      <c r="S169" s="158"/>
      <c r="T169" s="158"/>
      <c r="U169" s="158"/>
      <c r="V169" s="158"/>
      <c r="W169" s="158"/>
      <c r="X169" s="158"/>
      <c r="Y169" s="158"/>
      <c r="Z169" s="158"/>
      <c r="AA169" s="158"/>
      <c r="AB169" s="158"/>
      <c r="AC169" s="158"/>
      <c r="AD169" s="158"/>
      <c r="AE169" s="158"/>
      <c r="AF169" s="158"/>
      <c r="AG169" s="158"/>
      <c r="AH169" s="158"/>
    </row>
    <row r="170" spans="16:34" ht="15" x14ac:dyDescent="0.25">
      <c r="P170" s="158"/>
      <c r="Q170" s="158"/>
      <c r="R170" s="158"/>
      <c r="S170" s="158"/>
      <c r="T170" s="158"/>
      <c r="U170" s="158"/>
      <c r="V170" s="158"/>
      <c r="W170" s="158"/>
      <c r="X170" s="158"/>
      <c r="Y170" s="158"/>
      <c r="Z170" s="158"/>
      <c r="AA170" s="158"/>
      <c r="AB170" s="158"/>
      <c r="AC170" s="158"/>
      <c r="AD170" s="158"/>
      <c r="AE170" s="158"/>
      <c r="AF170" s="158"/>
      <c r="AG170" s="158"/>
      <c r="AH170" s="158"/>
    </row>
    <row r="171" spans="16:34" ht="15" x14ac:dyDescent="0.25">
      <c r="P171" s="158"/>
      <c r="Q171" s="158"/>
      <c r="R171" s="158"/>
      <c r="S171" s="158"/>
      <c r="T171" s="158"/>
      <c r="U171" s="158"/>
      <c r="V171" s="158"/>
      <c r="W171" s="158"/>
      <c r="X171" s="158"/>
      <c r="Y171" s="158"/>
      <c r="Z171" s="158"/>
      <c r="AA171" s="158"/>
      <c r="AB171" s="158"/>
      <c r="AC171" s="158"/>
      <c r="AD171" s="158"/>
      <c r="AE171" s="158"/>
      <c r="AF171" s="158"/>
      <c r="AG171" s="158"/>
      <c r="AH171" s="158"/>
    </row>
    <row r="172" spans="16:34" ht="15" x14ac:dyDescent="0.25">
      <c r="P172" s="158"/>
      <c r="Q172" s="158"/>
      <c r="R172" s="158"/>
      <c r="S172" s="158"/>
      <c r="T172" s="158"/>
      <c r="U172" s="158"/>
      <c r="V172" s="158"/>
      <c r="W172" s="158"/>
      <c r="X172" s="158"/>
      <c r="Y172" s="158"/>
      <c r="Z172" s="158"/>
      <c r="AA172" s="158"/>
      <c r="AB172" s="158"/>
      <c r="AC172" s="158"/>
      <c r="AD172" s="158"/>
      <c r="AE172" s="158"/>
      <c r="AF172" s="158"/>
      <c r="AG172" s="158"/>
      <c r="AH172" s="158"/>
    </row>
    <row r="173" spans="16:34" ht="15" x14ac:dyDescent="0.25">
      <c r="P173" s="158"/>
      <c r="Q173" s="158"/>
      <c r="R173" s="158"/>
      <c r="S173" s="158"/>
      <c r="T173" s="158"/>
      <c r="U173" s="158"/>
      <c r="V173" s="158"/>
      <c r="W173" s="158"/>
      <c r="X173" s="158"/>
      <c r="Y173" s="158"/>
      <c r="Z173" s="158"/>
      <c r="AA173" s="158"/>
      <c r="AB173" s="158"/>
      <c r="AC173" s="158"/>
      <c r="AD173" s="158"/>
      <c r="AE173" s="158"/>
      <c r="AF173" s="158"/>
      <c r="AG173" s="158"/>
      <c r="AH173" s="158"/>
    </row>
    <row r="174" spans="16:34" ht="15" x14ac:dyDescent="0.25">
      <c r="P174" s="158"/>
      <c r="Q174" s="158"/>
      <c r="R174" s="158"/>
      <c r="S174" s="158"/>
      <c r="T174" s="158"/>
      <c r="U174" s="158"/>
      <c r="V174" s="158"/>
      <c r="W174" s="158"/>
      <c r="X174" s="158"/>
      <c r="Y174" s="158"/>
      <c r="Z174" s="158"/>
      <c r="AA174" s="158"/>
      <c r="AB174" s="158"/>
      <c r="AC174" s="158"/>
      <c r="AD174" s="158"/>
      <c r="AE174" s="158"/>
      <c r="AF174" s="158"/>
      <c r="AG174" s="158"/>
      <c r="AH174" s="158"/>
    </row>
    <row r="175" spans="16:34" ht="15" x14ac:dyDescent="0.25">
      <c r="P175" s="158"/>
      <c r="Q175" s="158"/>
      <c r="R175" s="158"/>
      <c r="S175" s="158"/>
      <c r="T175" s="158"/>
      <c r="U175" s="158"/>
      <c r="V175" s="158"/>
      <c r="W175" s="158"/>
      <c r="X175" s="158"/>
      <c r="Y175" s="158"/>
      <c r="Z175" s="158"/>
      <c r="AA175" s="158"/>
      <c r="AB175" s="158"/>
      <c r="AC175" s="158"/>
      <c r="AD175" s="158"/>
      <c r="AE175" s="158"/>
      <c r="AF175" s="158"/>
      <c r="AG175" s="158"/>
      <c r="AH175" s="158"/>
    </row>
    <row r="176" spans="16:34" ht="15" x14ac:dyDescent="0.25">
      <c r="P176" s="158"/>
      <c r="Q176" s="158"/>
      <c r="R176" s="158"/>
      <c r="S176" s="158"/>
      <c r="T176" s="158"/>
      <c r="U176" s="158"/>
      <c r="V176" s="158"/>
      <c r="W176" s="158"/>
      <c r="X176" s="158"/>
      <c r="Y176" s="158"/>
      <c r="Z176" s="158"/>
      <c r="AA176" s="158"/>
      <c r="AB176" s="158"/>
      <c r="AC176" s="158"/>
      <c r="AD176" s="158"/>
      <c r="AE176" s="158"/>
      <c r="AF176" s="158"/>
      <c r="AG176" s="158"/>
      <c r="AH176" s="158"/>
    </row>
    <row r="177" spans="16:34" ht="15" x14ac:dyDescent="0.25">
      <c r="P177" s="158"/>
      <c r="Q177" s="158"/>
      <c r="R177" s="158"/>
      <c r="S177" s="158"/>
      <c r="T177" s="158"/>
      <c r="U177" s="158"/>
      <c r="V177" s="158"/>
      <c r="W177" s="158"/>
      <c r="X177" s="158"/>
      <c r="Y177" s="158"/>
      <c r="Z177" s="158"/>
      <c r="AA177" s="158"/>
      <c r="AB177" s="158"/>
      <c r="AC177" s="158"/>
      <c r="AD177" s="158"/>
      <c r="AE177" s="158"/>
      <c r="AF177" s="158"/>
      <c r="AG177" s="158"/>
      <c r="AH177" s="158"/>
    </row>
    <row r="178" spans="16:34" ht="15" x14ac:dyDescent="0.25">
      <c r="P178" s="158"/>
      <c r="Q178" s="158"/>
      <c r="R178" s="158"/>
      <c r="S178" s="158"/>
      <c r="T178" s="158"/>
      <c r="U178" s="158"/>
      <c r="V178" s="158"/>
      <c r="W178" s="158"/>
      <c r="X178" s="158"/>
      <c r="Y178" s="158"/>
      <c r="Z178" s="158"/>
      <c r="AA178" s="158"/>
      <c r="AB178" s="158"/>
      <c r="AC178" s="158"/>
      <c r="AD178" s="158"/>
      <c r="AE178" s="158"/>
      <c r="AF178" s="158"/>
      <c r="AG178" s="158"/>
      <c r="AH178" s="158"/>
    </row>
    <row r="179" spans="16:34" ht="15" x14ac:dyDescent="0.25">
      <c r="P179" s="158"/>
      <c r="Q179" s="158"/>
      <c r="R179" s="158"/>
      <c r="S179" s="158"/>
      <c r="T179" s="158"/>
      <c r="U179" s="158"/>
      <c r="V179" s="158"/>
      <c r="W179" s="158"/>
      <c r="X179" s="158"/>
      <c r="Y179" s="158"/>
      <c r="Z179" s="158"/>
      <c r="AA179" s="158"/>
      <c r="AB179" s="158"/>
      <c r="AC179" s="158"/>
      <c r="AD179" s="158"/>
      <c r="AE179" s="158"/>
      <c r="AF179" s="158"/>
      <c r="AG179" s="158"/>
      <c r="AH179" s="158"/>
    </row>
    <row r="180" spans="16:34" ht="15" x14ac:dyDescent="0.25">
      <c r="Y180" s="261"/>
      <c r="Z180" s="261"/>
      <c r="AA180" s="261"/>
    </row>
    <row r="181" spans="16:34" ht="15" x14ac:dyDescent="0.25">
      <c r="Y181" s="261"/>
      <c r="Z181" s="261"/>
      <c r="AA181" s="261"/>
    </row>
    <row r="182" spans="16:34" ht="15" x14ac:dyDescent="0.25">
      <c r="Y182" s="261"/>
      <c r="Z182" s="261"/>
      <c r="AA182" s="261"/>
    </row>
    <row r="183" spans="16:34" ht="15" x14ac:dyDescent="0.25">
      <c r="Y183" s="261"/>
      <c r="Z183" s="261"/>
      <c r="AA183" s="261"/>
    </row>
    <row r="184" spans="16:34" ht="15" x14ac:dyDescent="0.25">
      <c r="Y184" s="261"/>
      <c r="Z184" s="261"/>
      <c r="AA184" s="261"/>
    </row>
    <row r="185" spans="16:34" ht="15" x14ac:dyDescent="0.25">
      <c r="Y185" s="261"/>
      <c r="Z185" s="261"/>
      <c r="AA185" s="261"/>
    </row>
  </sheetData>
  <dataConsolidate/>
  <pageMargins left="0.25" right="0.25" top="0.25" bottom="0.25" header="0.3" footer="0.3"/>
  <pageSetup scale="65" orientation="landscape" r:id="rId1"/>
  <colBreaks count="1" manualBreakCount="1">
    <brk id="13" max="1048575" man="1"/>
  </col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8"/>
  <sheetViews>
    <sheetView workbookViewId="0">
      <pane xSplit="1" ySplit="3" topLeftCell="B4" activePane="bottomRight" state="frozen"/>
      <selection activeCell="B31" sqref="B31"/>
      <selection pane="topRight" activeCell="B31" sqref="B31"/>
      <selection pane="bottomLeft" activeCell="B31" sqref="B31"/>
      <selection pane="bottomRight" sqref="A1:XFD1048576"/>
    </sheetView>
  </sheetViews>
  <sheetFormatPr defaultColWidth="8.85546875" defaultRowHeight="15" outlineLevelCol="1" x14ac:dyDescent="0.25"/>
  <cols>
    <col min="1" max="1" width="33.28515625" style="618" bestFit="1" customWidth="1"/>
    <col min="2" max="2" width="21.140625" style="618" bestFit="1" customWidth="1" outlineLevel="1"/>
    <col min="3" max="5" width="7.85546875" style="618" bestFit="1" customWidth="1" outlineLevel="1"/>
    <col min="6" max="6" width="9" style="618" bestFit="1" customWidth="1" outlineLevel="1"/>
    <col min="7" max="9" width="7.85546875" style="618" bestFit="1" customWidth="1" outlineLevel="1"/>
    <col min="10" max="12" width="13.28515625" style="618" bestFit="1" customWidth="1" outlineLevel="1"/>
    <col min="13" max="13" width="11.5703125" style="618" bestFit="1" customWidth="1" outlineLevel="1"/>
    <col min="14" max="37" width="13.28515625" style="618" bestFit="1" customWidth="1"/>
    <col min="38" max="39" width="14.28515625" style="618" bestFit="1" customWidth="1"/>
    <col min="40" max="41" width="7.140625" style="618" bestFit="1" customWidth="1"/>
    <col min="42" max="42" width="4.42578125" style="618" bestFit="1" customWidth="1"/>
    <col min="43" max="50" width="13.28515625" style="618" bestFit="1" customWidth="1"/>
    <col min="51" max="51" width="14.28515625" style="618" bestFit="1" customWidth="1"/>
    <col min="52" max="52" width="15.28515625" style="618" bestFit="1" customWidth="1"/>
    <col min="53" max="53" width="4.7109375" style="618" customWidth="1"/>
    <col min="54" max="55" width="9.28515625" style="618" customWidth="1"/>
    <col min="56" max="56" width="7.7109375" style="618" bestFit="1" customWidth="1"/>
    <col min="57" max="16384" width="8.85546875" style="618"/>
  </cols>
  <sheetData>
    <row r="1" spans="1:56" ht="15.75" thickBot="1" x14ac:dyDescent="0.3">
      <c r="B1" s="619" t="s">
        <v>544</v>
      </c>
      <c r="C1" s="619" t="s">
        <v>544</v>
      </c>
      <c r="D1" s="619" t="s">
        <v>544</v>
      </c>
      <c r="E1" s="619" t="s">
        <v>544</v>
      </c>
      <c r="F1" s="619" t="s">
        <v>544</v>
      </c>
      <c r="G1" s="619" t="s">
        <v>544</v>
      </c>
      <c r="H1" s="619" t="s">
        <v>544</v>
      </c>
      <c r="I1" s="619" t="s">
        <v>544</v>
      </c>
      <c r="J1" s="619" t="s">
        <v>544</v>
      </c>
      <c r="K1" s="619" t="s">
        <v>544</v>
      </c>
      <c r="L1" s="619" t="s">
        <v>544</v>
      </c>
      <c r="M1" s="619" t="s">
        <v>544</v>
      </c>
      <c r="N1" s="619" t="s">
        <v>567</v>
      </c>
      <c r="O1" s="619" t="s">
        <v>567</v>
      </c>
      <c r="P1" s="619" t="s">
        <v>567</v>
      </c>
      <c r="Q1" s="619" t="s">
        <v>567</v>
      </c>
      <c r="R1" s="619" t="s">
        <v>567</v>
      </c>
      <c r="S1" s="619" t="s">
        <v>567</v>
      </c>
      <c r="T1" s="619" t="s">
        <v>567</v>
      </c>
      <c r="U1" s="619" t="s">
        <v>567</v>
      </c>
      <c r="V1" s="619" t="s">
        <v>567</v>
      </c>
      <c r="W1" s="619" t="s">
        <v>567</v>
      </c>
      <c r="X1" s="619" t="s">
        <v>567</v>
      </c>
      <c r="Y1" s="619" t="s">
        <v>567</v>
      </c>
    </row>
    <row r="2" spans="1:56" ht="15.75" thickBot="1" x14ac:dyDescent="0.3">
      <c r="B2" s="620" t="s">
        <v>493</v>
      </c>
      <c r="C2" s="621"/>
      <c r="D2" s="621"/>
      <c r="E2" s="621"/>
      <c r="F2" s="621"/>
      <c r="G2" s="621"/>
      <c r="H2" s="621"/>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3"/>
      <c r="BB2" s="624" t="s">
        <v>494</v>
      </c>
      <c r="BC2" s="623"/>
      <c r="BD2" s="625" t="s">
        <v>495</v>
      </c>
    </row>
    <row r="3" spans="1:56" ht="15.75" thickBot="1" x14ac:dyDescent="0.3">
      <c r="A3" s="626" t="s">
        <v>72</v>
      </c>
      <c r="B3" s="627">
        <v>44927</v>
      </c>
      <c r="C3" s="627">
        <v>44958</v>
      </c>
      <c r="D3" s="628">
        <v>44986</v>
      </c>
      <c r="E3" s="629">
        <v>45017</v>
      </c>
      <c r="F3" s="627">
        <v>45047</v>
      </c>
      <c r="G3" s="627">
        <v>45078</v>
      </c>
      <c r="H3" s="627">
        <v>45108</v>
      </c>
      <c r="I3" s="628">
        <v>45139</v>
      </c>
      <c r="J3" s="629">
        <v>45170</v>
      </c>
      <c r="K3" s="627">
        <v>45200</v>
      </c>
      <c r="L3" s="627">
        <v>45231</v>
      </c>
      <c r="M3" s="627">
        <v>45261</v>
      </c>
      <c r="N3" s="628">
        <v>45292</v>
      </c>
      <c r="O3" s="629">
        <v>45323</v>
      </c>
      <c r="P3" s="627">
        <v>45352</v>
      </c>
      <c r="Q3" s="627">
        <v>45383</v>
      </c>
      <c r="R3" s="627">
        <v>45413</v>
      </c>
      <c r="S3" s="628">
        <v>45444</v>
      </c>
      <c r="T3" s="629">
        <v>45474</v>
      </c>
      <c r="U3" s="627">
        <v>45505</v>
      </c>
      <c r="V3" s="627">
        <v>45536</v>
      </c>
      <c r="W3" s="627">
        <v>45566</v>
      </c>
      <c r="X3" s="628">
        <v>45597</v>
      </c>
      <c r="Y3" s="629">
        <v>45627</v>
      </c>
      <c r="Z3" s="627">
        <v>45658</v>
      </c>
      <c r="AA3" s="627">
        <v>45689</v>
      </c>
      <c r="AB3" s="627">
        <v>45717</v>
      </c>
      <c r="AC3" s="628">
        <v>45748</v>
      </c>
      <c r="AD3" s="629">
        <v>45778</v>
      </c>
      <c r="AE3" s="627">
        <v>45809</v>
      </c>
      <c r="AF3" s="627">
        <v>45839</v>
      </c>
      <c r="AG3" s="627">
        <v>45870</v>
      </c>
      <c r="AH3" s="628">
        <v>45901</v>
      </c>
      <c r="AI3" s="629">
        <v>45931</v>
      </c>
      <c r="AJ3" s="627">
        <v>45962</v>
      </c>
      <c r="AK3" s="627">
        <v>45992</v>
      </c>
      <c r="AL3" s="630" t="s">
        <v>25</v>
      </c>
      <c r="AN3" s="626" t="s">
        <v>496</v>
      </c>
      <c r="AO3" s="631" t="s">
        <v>490</v>
      </c>
      <c r="AP3" s="625" t="s">
        <v>153</v>
      </c>
    </row>
    <row r="4" spans="1:56" x14ac:dyDescent="0.25">
      <c r="A4" s="632" t="s">
        <v>73</v>
      </c>
      <c r="B4" s="633">
        <v>0</v>
      </c>
      <c r="C4" s="633"/>
      <c r="D4" s="633"/>
      <c r="E4" s="633"/>
      <c r="F4" s="633"/>
      <c r="G4" s="633"/>
      <c r="H4" s="633"/>
      <c r="I4" s="633"/>
      <c r="J4" s="633"/>
      <c r="K4" s="633">
        <f>SUM(TEP_2023!O5:O20)</f>
        <v>144724.29</v>
      </c>
      <c r="L4" s="633">
        <v>0</v>
      </c>
      <c r="M4" s="633">
        <f>TEP_2023!O21</f>
        <v>1092.3700000000001</v>
      </c>
      <c r="N4" s="633">
        <f>'TEP Plant Closings Mo'!B13</f>
        <v>6924</v>
      </c>
      <c r="O4" s="633">
        <f>'TEP Plant Closings Mo'!C13</f>
        <v>122481</v>
      </c>
      <c r="P4" s="633">
        <f>'TEP Plant Closings Mo'!D13</f>
        <v>147772</v>
      </c>
      <c r="Q4" s="633">
        <f>'TEP Plant Closings Mo'!E13</f>
        <v>185980</v>
      </c>
      <c r="R4" s="633">
        <f>'TEP Plant Closings Mo'!F13</f>
        <v>233004</v>
      </c>
      <c r="S4" s="633">
        <f>'TEP Plant Closings Mo'!G13</f>
        <v>226080</v>
      </c>
      <c r="T4" s="633">
        <f>'TEP Plant Closings Mo'!H13</f>
        <v>245184</v>
      </c>
      <c r="U4" s="633">
        <f>'TEP Plant Closings Mo'!I13</f>
        <v>185980</v>
      </c>
      <c r="V4" s="633">
        <f>'TEP Plant Closings Mo'!J13</f>
        <v>169504</v>
      </c>
      <c r="W4" s="633">
        <f>'TEP Plant Closings Mo'!K13</f>
        <v>106004</v>
      </c>
      <c r="X4" s="633">
        <f>'TEP Plant Closings Mo'!L13</f>
        <v>458094</v>
      </c>
      <c r="Y4" s="633">
        <f>'TEP Plant Closings Mo'!M13</f>
        <v>429566</v>
      </c>
      <c r="Z4" s="633"/>
      <c r="AA4" s="633"/>
      <c r="AB4" s="633"/>
      <c r="AC4" s="633"/>
      <c r="AD4" s="633"/>
      <c r="AE4" s="633"/>
      <c r="AF4" s="633"/>
      <c r="AG4" s="633"/>
      <c r="AH4" s="633"/>
      <c r="AI4" s="633"/>
      <c r="AJ4" s="633"/>
      <c r="AK4" s="633"/>
      <c r="AL4" s="633">
        <f>SUM(B4:AK4)</f>
        <v>2662389.66</v>
      </c>
      <c r="AN4" s="634">
        <v>0.14360000000000001</v>
      </c>
      <c r="AO4" s="634">
        <v>0.14360000000000001</v>
      </c>
      <c r="AP4" s="618">
        <v>5</v>
      </c>
    </row>
    <row r="5" spans="1:56" x14ac:dyDescent="0.25">
      <c r="A5" s="568" t="s">
        <v>491</v>
      </c>
      <c r="B5" s="633">
        <v>0</v>
      </c>
      <c r="C5" s="633"/>
      <c r="D5" s="633"/>
      <c r="E5" s="633"/>
      <c r="F5" s="633">
        <f>TEP_2023!O2</f>
        <v>249046.18</v>
      </c>
      <c r="G5" s="633">
        <f>TEP_2023!O3</f>
        <v>1019.2</v>
      </c>
      <c r="H5" s="633">
        <f>TEP_2023!O4</f>
        <v>833.87</v>
      </c>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633">
        <f t="shared" ref="AL5:AL11" si="0">SUM(B5:AK5)</f>
        <v>250899.25</v>
      </c>
      <c r="AN5" s="634">
        <f>1/3</f>
        <v>0.33333333333333331</v>
      </c>
      <c r="AO5" s="634">
        <f>1/3</f>
        <v>0.33333333333333331</v>
      </c>
      <c r="AP5" s="618">
        <v>3</v>
      </c>
    </row>
    <row r="6" spans="1:56" x14ac:dyDescent="0.25">
      <c r="A6" s="568" t="s">
        <v>543</v>
      </c>
      <c r="B6" s="633">
        <v>0</v>
      </c>
      <c r="C6" s="633"/>
      <c r="D6" s="633"/>
      <c r="E6" s="633"/>
      <c r="F6" s="633"/>
      <c r="G6" s="633"/>
      <c r="H6" s="633"/>
      <c r="I6" s="633"/>
      <c r="J6" s="633"/>
      <c r="K6" s="633"/>
      <c r="L6" s="633"/>
      <c r="M6" s="633"/>
      <c r="N6" s="633">
        <f>'TEP Plant Closings Mo'!B14</f>
        <v>0</v>
      </c>
      <c r="O6" s="633">
        <f>'TEP Plant Closings Mo'!C14</f>
        <v>0</v>
      </c>
      <c r="P6" s="633">
        <f>'TEP Plant Closings Mo'!D14</f>
        <v>50000</v>
      </c>
      <c r="Q6" s="633">
        <f>'TEP Plant Closings Mo'!E14</f>
        <v>50000</v>
      </c>
      <c r="R6" s="633">
        <f>'TEP Plant Closings Mo'!F14</f>
        <v>75000</v>
      </c>
      <c r="S6" s="633">
        <f>'TEP Plant Closings Mo'!G14</f>
        <v>50000</v>
      </c>
      <c r="T6" s="633">
        <f>'TEP Plant Closings Mo'!H14</f>
        <v>50000</v>
      </c>
      <c r="U6" s="633">
        <f>'TEP Plant Closings Mo'!I14</f>
        <v>25000</v>
      </c>
      <c r="V6" s="633">
        <f>'TEP Plant Closings Mo'!J14</f>
        <v>150000</v>
      </c>
      <c r="W6" s="633">
        <f>'TEP Plant Closings Mo'!K14</f>
        <v>150000</v>
      </c>
      <c r="X6" s="633">
        <f>'TEP Plant Closings Mo'!L14</f>
        <v>150000</v>
      </c>
      <c r="Y6" s="633">
        <f>'TEP Plant Closings Mo'!M14</f>
        <v>150000</v>
      </c>
      <c r="Z6" s="633"/>
      <c r="AA6" s="633"/>
      <c r="AB6" s="633"/>
      <c r="AC6" s="633"/>
      <c r="AD6" s="633"/>
      <c r="AE6" s="633"/>
      <c r="AF6" s="633"/>
      <c r="AG6" s="633"/>
      <c r="AH6" s="633"/>
      <c r="AI6" s="633"/>
      <c r="AJ6" s="633"/>
      <c r="AK6" s="633"/>
      <c r="AL6" s="633">
        <f t="shared" si="0"/>
        <v>900000</v>
      </c>
      <c r="AN6" s="634"/>
      <c r="AO6" s="634"/>
    </row>
    <row r="7" spans="1:56" x14ac:dyDescent="0.25">
      <c r="A7" s="635" t="s">
        <v>500</v>
      </c>
      <c r="B7" s="633">
        <v>0</v>
      </c>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f t="shared" si="0"/>
        <v>0</v>
      </c>
      <c r="AN7" s="634"/>
      <c r="AO7" s="634"/>
    </row>
    <row r="8" spans="1:56" x14ac:dyDescent="0.25">
      <c r="A8" s="635" t="s">
        <v>501</v>
      </c>
      <c r="B8" s="633">
        <v>0</v>
      </c>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633"/>
      <c r="AK8" s="633"/>
      <c r="AL8" s="633">
        <f t="shared" si="0"/>
        <v>0</v>
      </c>
      <c r="AN8" s="634"/>
      <c r="AO8" s="634"/>
    </row>
    <row r="9" spans="1:56" x14ac:dyDescent="0.25">
      <c r="A9" s="635" t="s">
        <v>155</v>
      </c>
      <c r="B9" s="633">
        <v>0</v>
      </c>
      <c r="C9" s="633"/>
      <c r="D9" s="633"/>
      <c r="E9" s="633"/>
      <c r="F9" s="633"/>
      <c r="G9" s="633"/>
      <c r="H9" s="633"/>
      <c r="I9" s="633"/>
      <c r="J9" s="633"/>
      <c r="K9" s="633"/>
      <c r="L9" s="633"/>
      <c r="M9" s="633"/>
      <c r="N9" s="633">
        <f>'TEP Plant Closings Mo'!B12</f>
        <v>47897.604166666664</v>
      </c>
      <c r="O9" s="633">
        <f>'TEP Plant Closings Mo'!C12</f>
        <v>266487.60416666663</v>
      </c>
      <c r="P9" s="633">
        <f>'TEP Plant Closings Mo'!D12</f>
        <v>320281.14166666666</v>
      </c>
      <c r="Q9" s="633">
        <f>'TEP Plant Closings Mo'!E12</f>
        <v>398281.14166666666</v>
      </c>
      <c r="R9" s="633">
        <f>'TEP Plant Closings Mo'!F12</f>
        <v>521919.89166666666</v>
      </c>
      <c r="S9" s="633">
        <f>'TEP Plant Closings Mo'!G12</f>
        <v>500266.7416666667</v>
      </c>
      <c r="T9" s="633">
        <f>'TEP Plant Closings Mo'!H12</f>
        <v>533266.7416666667</v>
      </c>
      <c r="U9" s="633">
        <f>'TEP Plant Closings Mo'!I12</f>
        <v>416988.09166666667</v>
      </c>
      <c r="V9" s="633">
        <f>'TEP Plant Closings Mo'!J12</f>
        <v>380189.09166666667</v>
      </c>
      <c r="W9" s="633">
        <f>'TEP Plant Closings Mo'!K12</f>
        <v>261197.59166666667</v>
      </c>
      <c r="X9" s="633">
        <f>'TEP Plant Closings Mo'!L12</f>
        <v>330299.89166666666</v>
      </c>
      <c r="Y9" s="633">
        <f>'TEP Plant Closings Mo'!M12</f>
        <v>240299.89166666666</v>
      </c>
      <c r="Z9" s="633"/>
      <c r="AA9" s="633"/>
      <c r="AB9" s="633"/>
      <c r="AC9" s="633"/>
      <c r="AD9" s="633"/>
      <c r="AE9" s="633"/>
      <c r="AF9" s="633"/>
      <c r="AG9" s="633"/>
      <c r="AH9" s="633"/>
      <c r="AI9" s="633"/>
      <c r="AJ9" s="633"/>
      <c r="AK9" s="633"/>
      <c r="AL9" s="633">
        <f t="shared" si="0"/>
        <v>4217375.4250000007</v>
      </c>
      <c r="AN9" s="634"/>
      <c r="AO9" s="634"/>
    </row>
    <row r="10" spans="1:56" x14ac:dyDescent="0.25">
      <c r="A10" s="635" t="s">
        <v>502</v>
      </c>
      <c r="B10" s="633">
        <v>0</v>
      </c>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f t="shared" si="0"/>
        <v>0</v>
      </c>
      <c r="AN10" s="634"/>
      <c r="AO10" s="634"/>
    </row>
    <row r="11" spans="1:56" x14ac:dyDescent="0.25">
      <c r="A11" s="636" t="s">
        <v>503</v>
      </c>
      <c r="B11" s="637">
        <v>0</v>
      </c>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f t="shared" si="0"/>
        <v>0</v>
      </c>
      <c r="AN11" s="634"/>
      <c r="AO11" s="634"/>
    </row>
    <row r="12" spans="1:56" x14ac:dyDescent="0.25">
      <c r="A12" s="638" t="s">
        <v>25</v>
      </c>
      <c r="B12" s="633">
        <f t="shared" ref="B12:AL12" si="1">SUM(B4:B11)</f>
        <v>0</v>
      </c>
      <c r="C12" s="633">
        <f t="shared" si="1"/>
        <v>0</v>
      </c>
      <c r="D12" s="633">
        <f t="shared" si="1"/>
        <v>0</v>
      </c>
      <c r="E12" s="633">
        <f t="shared" si="1"/>
        <v>0</v>
      </c>
      <c r="F12" s="633">
        <f t="shared" si="1"/>
        <v>249046.18</v>
      </c>
      <c r="G12" s="633">
        <f t="shared" si="1"/>
        <v>1019.2</v>
      </c>
      <c r="H12" s="633">
        <f t="shared" si="1"/>
        <v>833.87</v>
      </c>
      <c r="I12" s="633">
        <f t="shared" si="1"/>
        <v>0</v>
      </c>
      <c r="J12" s="633">
        <f t="shared" si="1"/>
        <v>0</v>
      </c>
      <c r="K12" s="633">
        <f t="shared" si="1"/>
        <v>144724.29</v>
      </c>
      <c r="L12" s="633">
        <f t="shared" si="1"/>
        <v>0</v>
      </c>
      <c r="M12" s="633">
        <f t="shared" si="1"/>
        <v>1092.3700000000001</v>
      </c>
      <c r="N12" s="633">
        <f t="shared" si="1"/>
        <v>54821.604166666664</v>
      </c>
      <c r="O12" s="633">
        <f t="shared" si="1"/>
        <v>388968.60416666663</v>
      </c>
      <c r="P12" s="633">
        <f t="shared" si="1"/>
        <v>518053.14166666666</v>
      </c>
      <c r="Q12" s="633">
        <f t="shared" si="1"/>
        <v>634261.1416666666</v>
      </c>
      <c r="R12" s="633">
        <f t="shared" si="1"/>
        <v>829923.8916666666</v>
      </c>
      <c r="S12" s="633">
        <f t="shared" si="1"/>
        <v>776346.7416666667</v>
      </c>
      <c r="T12" s="633">
        <f t="shared" si="1"/>
        <v>828450.7416666667</v>
      </c>
      <c r="U12" s="633">
        <f t="shared" si="1"/>
        <v>627968.09166666667</v>
      </c>
      <c r="V12" s="633">
        <f t="shared" si="1"/>
        <v>699693.09166666667</v>
      </c>
      <c r="W12" s="633">
        <f t="shared" si="1"/>
        <v>517201.59166666667</v>
      </c>
      <c r="X12" s="633">
        <f t="shared" si="1"/>
        <v>938393.8916666666</v>
      </c>
      <c r="Y12" s="633">
        <f t="shared" si="1"/>
        <v>819865.8916666666</v>
      </c>
      <c r="Z12" s="633">
        <f t="shared" si="1"/>
        <v>0</v>
      </c>
      <c r="AA12" s="633">
        <f t="shared" si="1"/>
        <v>0</v>
      </c>
      <c r="AB12" s="633">
        <f t="shared" si="1"/>
        <v>0</v>
      </c>
      <c r="AC12" s="633">
        <f t="shared" si="1"/>
        <v>0</v>
      </c>
      <c r="AD12" s="633">
        <f t="shared" si="1"/>
        <v>0</v>
      </c>
      <c r="AE12" s="633">
        <f t="shared" si="1"/>
        <v>0</v>
      </c>
      <c r="AF12" s="633">
        <f t="shared" si="1"/>
        <v>0</v>
      </c>
      <c r="AG12" s="633">
        <f t="shared" si="1"/>
        <v>0</v>
      </c>
      <c r="AH12" s="633">
        <f t="shared" si="1"/>
        <v>0</v>
      </c>
      <c r="AI12" s="633">
        <f t="shared" si="1"/>
        <v>0</v>
      </c>
      <c r="AJ12" s="633">
        <f t="shared" si="1"/>
        <v>0</v>
      </c>
      <c r="AK12" s="633">
        <f t="shared" si="1"/>
        <v>0</v>
      </c>
      <c r="AL12" s="633">
        <f t="shared" si="1"/>
        <v>8030664.3350000009</v>
      </c>
      <c r="AN12" s="634"/>
    </row>
    <row r="13" spans="1:56" x14ac:dyDescent="0.25">
      <c r="A13" s="638"/>
      <c r="B13" s="633"/>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row>
    <row r="14" spans="1:56" x14ac:dyDescent="0.25">
      <c r="A14" s="638"/>
    </row>
    <row r="15" spans="1:56" x14ac:dyDescent="0.25">
      <c r="A15" s="638"/>
    </row>
    <row r="16" spans="1:56" x14ac:dyDescent="0.25">
      <c r="A16" s="638"/>
    </row>
    <row r="18" spans="1:1" ht="15.75" x14ac:dyDescent="0.25">
      <c r="A18" s="97"/>
    </row>
  </sheetData>
  <mergeCells count="10">
    <mergeCell ref="AM2:AQ2"/>
    <mergeCell ref="AR2:AV2"/>
    <mergeCell ref="AW2:AZ2"/>
    <mergeCell ref="BB2:BC2"/>
    <mergeCell ref="I2:M2"/>
    <mergeCell ref="N2:R2"/>
    <mergeCell ref="S2:W2"/>
    <mergeCell ref="X2:AB2"/>
    <mergeCell ref="AC2:AG2"/>
    <mergeCell ref="AH2:AL2"/>
  </mergeCells>
  <pageMargins left="0.7" right="0.7" top="0.75" bottom="0.75" header="0.3" footer="0.3"/>
  <pageSetup orientation="portrait" horizontalDpi="300" verticalDpi="300"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workbookViewId="0">
      <pane xSplit="1" ySplit="7" topLeftCell="B26" activePane="bottomRight" state="frozen"/>
      <selection pane="topRight" activeCell="C1" sqref="C1"/>
      <selection pane="bottomLeft" activeCell="A7" sqref="A7"/>
      <selection pane="bottomRight" activeCell="D8" sqref="D8"/>
    </sheetView>
  </sheetViews>
  <sheetFormatPr defaultRowHeight="15" x14ac:dyDescent="0.25"/>
  <cols>
    <col min="1" max="1" width="52.85546875" style="1" customWidth="1"/>
    <col min="2" max="2" width="14.7109375" style="1" bestFit="1" customWidth="1"/>
    <col min="3" max="3" width="9.140625" style="1"/>
    <col min="4" max="4" width="15.7109375" style="1" bestFit="1" customWidth="1"/>
    <col min="5" max="5" width="24.42578125" style="1" bestFit="1" customWidth="1"/>
    <col min="6" max="6" width="14.7109375" style="1" bestFit="1" customWidth="1"/>
    <col min="7" max="7" width="13.28515625" style="1" bestFit="1" customWidth="1"/>
    <col min="8" max="8" width="9.140625" style="1"/>
    <col min="9" max="9" width="39.42578125" style="1" bestFit="1" customWidth="1"/>
    <col min="10" max="10" width="14.7109375" style="1" bestFit="1" customWidth="1"/>
    <col min="11" max="11" width="11.5703125" style="1" bestFit="1" customWidth="1"/>
  </cols>
  <sheetData>
    <row r="1" spans="1:11" x14ac:dyDescent="0.25">
      <c r="D1" s="424" t="s">
        <v>561</v>
      </c>
      <c r="I1" s="424" t="s">
        <v>562</v>
      </c>
    </row>
    <row r="2" spans="1:11" x14ac:dyDescent="0.25">
      <c r="A2" s="427" t="s">
        <v>122</v>
      </c>
      <c r="B2" s="427"/>
      <c r="D2" s="427" t="s">
        <v>122</v>
      </c>
      <c r="E2" s="427"/>
      <c r="F2" s="427"/>
      <c r="G2" s="428"/>
      <c r="I2" s="427" t="s">
        <v>122</v>
      </c>
      <c r="J2" s="427"/>
      <c r="K2" s="427"/>
    </row>
    <row r="3" spans="1:11" x14ac:dyDescent="0.25">
      <c r="A3" s="427" t="s">
        <v>169</v>
      </c>
      <c r="B3" s="427"/>
      <c r="D3" s="427" t="s">
        <v>169</v>
      </c>
      <c r="E3" s="427"/>
      <c r="F3" s="427"/>
      <c r="G3" s="428"/>
      <c r="I3" s="427" t="s">
        <v>169</v>
      </c>
      <c r="J3" s="427"/>
      <c r="K3" s="427"/>
    </row>
    <row r="4" spans="1:11" x14ac:dyDescent="0.25">
      <c r="A4" s="427" t="s">
        <v>170</v>
      </c>
      <c r="B4" s="427"/>
      <c r="D4" s="427" t="s">
        <v>170</v>
      </c>
      <c r="E4" s="427"/>
      <c r="F4" s="427"/>
      <c r="G4" s="428"/>
      <c r="I4" s="427" t="s">
        <v>170</v>
      </c>
      <c r="J4" s="427"/>
      <c r="K4" s="427"/>
    </row>
    <row r="5" spans="1:11" x14ac:dyDescent="0.25">
      <c r="A5" s="429"/>
      <c r="B5" s="429"/>
      <c r="D5" s="429"/>
      <c r="E5" s="429"/>
      <c r="F5" s="429"/>
      <c r="G5" s="429"/>
      <c r="I5" s="429"/>
      <c r="J5" s="429"/>
      <c r="K5" s="429"/>
    </row>
    <row r="6" spans="1:11" x14ac:dyDescent="0.25">
      <c r="A6" s="434"/>
      <c r="B6" s="397" t="s">
        <v>171</v>
      </c>
      <c r="D6" s="429"/>
      <c r="E6" s="429"/>
      <c r="F6" s="429"/>
      <c r="G6" s="429"/>
      <c r="I6" s="434"/>
      <c r="J6" s="434"/>
      <c r="K6" s="397" t="s">
        <v>171</v>
      </c>
    </row>
    <row r="7" spans="1:11" x14ac:dyDescent="0.25">
      <c r="A7" s="3" t="s">
        <v>81</v>
      </c>
      <c r="B7" s="397">
        <v>2024</v>
      </c>
      <c r="D7" s="429"/>
      <c r="E7" s="3" t="s">
        <v>81</v>
      </c>
      <c r="F7" s="397"/>
      <c r="G7" s="397">
        <v>2023</v>
      </c>
      <c r="I7" s="3" t="s">
        <v>81</v>
      </c>
      <c r="J7" s="397"/>
      <c r="K7" s="397">
        <v>2023</v>
      </c>
    </row>
    <row r="8" spans="1:11" x14ac:dyDescent="0.25">
      <c r="D8" s="429"/>
      <c r="E8" s="429"/>
      <c r="F8" s="429"/>
      <c r="G8" s="429"/>
    </row>
    <row r="9" spans="1:11" x14ac:dyDescent="0.25">
      <c r="A9" s="435"/>
      <c r="B9" s="435" t="s">
        <v>168</v>
      </c>
      <c r="D9" s="429"/>
      <c r="E9" s="429"/>
      <c r="F9" s="429"/>
      <c r="G9" s="429"/>
      <c r="I9" s="435"/>
      <c r="J9" s="435"/>
      <c r="K9" s="435" t="s">
        <v>168</v>
      </c>
    </row>
    <row r="10" spans="1:11" x14ac:dyDescent="0.25">
      <c r="A10" s="435"/>
      <c r="B10" s="436"/>
      <c r="D10" s="429"/>
      <c r="E10" s="429"/>
      <c r="F10" s="429"/>
      <c r="G10" s="429"/>
      <c r="I10" s="435"/>
      <c r="J10" s="440"/>
      <c r="K10" s="436"/>
    </row>
    <row r="11" spans="1:11" x14ac:dyDescent="0.25">
      <c r="A11" s="437" t="s">
        <v>180</v>
      </c>
      <c r="B11" s="437"/>
      <c r="D11" s="429"/>
      <c r="E11" s="429"/>
      <c r="F11" s="429"/>
      <c r="G11" s="429"/>
      <c r="I11" s="441" t="s">
        <v>180</v>
      </c>
      <c r="J11" s="437"/>
      <c r="K11" s="437"/>
    </row>
    <row r="12" spans="1:11" x14ac:dyDescent="0.25">
      <c r="A12" s="438" t="s">
        <v>172</v>
      </c>
      <c r="B12" s="54">
        <v>4387043</v>
      </c>
      <c r="D12" s="1" t="s">
        <v>545</v>
      </c>
      <c r="F12" s="1" t="s">
        <v>546</v>
      </c>
      <c r="G12" s="425" t="s">
        <v>547</v>
      </c>
      <c r="I12" s="438" t="s">
        <v>172</v>
      </c>
      <c r="J12" s="438"/>
      <c r="K12" s="54">
        <v>3103836.9400000004</v>
      </c>
    </row>
    <row r="13" spans="1:11" x14ac:dyDescent="0.25">
      <c r="A13" s="438" t="s">
        <v>173</v>
      </c>
      <c r="B13" s="56">
        <v>487556</v>
      </c>
      <c r="D13" s="1" t="s">
        <v>548</v>
      </c>
      <c r="E13" s="1" t="s">
        <v>549</v>
      </c>
      <c r="F13" s="1" t="s">
        <v>550</v>
      </c>
      <c r="G13" s="425">
        <v>57228.19</v>
      </c>
      <c r="I13" s="438" t="s">
        <v>173</v>
      </c>
      <c r="J13" s="438"/>
      <c r="K13" s="56">
        <v>440489.98</v>
      </c>
    </row>
    <row r="14" spans="1:11" x14ac:dyDescent="0.25">
      <c r="A14" s="438" t="s">
        <v>174</v>
      </c>
      <c r="B14" s="56">
        <v>1538513</v>
      </c>
      <c r="F14" s="1" t="s">
        <v>551</v>
      </c>
      <c r="G14" s="425">
        <v>2120094.9</v>
      </c>
      <c r="I14" s="438" t="s">
        <v>174</v>
      </c>
      <c r="J14" s="438"/>
      <c r="K14" s="56">
        <v>1195691.6399999999</v>
      </c>
    </row>
    <row r="15" spans="1:11" x14ac:dyDescent="0.25">
      <c r="A15" s="438" t="s">
        <v>175</v>
      </c>
      <c r="B15" s="56">
        <v>34124</v>
      </c>
      <c r="F15" s="1" t="s">
        <v>552</v>
      </c>
      <c r="G15" s="425">
        <v>11863.44</v>
      </c>
      <c r="I15" s="438" t="s">
        <v>175</v>
      </c>
      <c r="J15" s="438"/>
      <c r="K15" s="56">
        <v>24780</v>
      </c>
    </row>
    <row r="16" spans="1:11" x14ac:dyDescent="0.25">
      <c r="A16" s="438" t="s">
        <v>176</v>
      </c>
      <c r="B16" s="56">
        <v>1502850</v>
      </c>
      <c r="F16" s="1" t="s">
        <v>553</v>
      </c>
      <c r="G16" s="425">
        <v>442875.87</v>
      </c>
      <c r="I16" s="438" t="s">
        <v>176</v>
      </c>
      <c r="J16" s="438"/>
      <c r="K16" s="56">
        <v>209812.02000000002</v>
      </c>
    </row>
    <row r="17" spans="1:11" x14ac:dyDescent="0.25">
      <c r="A17" s="438" t="s">
        <v>177</v>
      </c>
      <c r="B17" s="56">
        <v>656666</v>
      </c>
      <c r="F17" s="1" t="s">
        <v>554</v>
      </c>
      <c r="G17" s="425">
        <v>55416.800000000003</v>
      </c>
      <c r="I17" s="438" t="s">
        <v>177</v>
      </c>
      <c r="J17" s="438"/>
      <c r="K17" s="56">
        <v>180621.9</v>
      </c>
    </row>
    <row r="18" spans="1:11" x14ac:dyDescent="0.25">
      <c r="A18" s="438" t="s">
        <v>178</v>
      </c>
      <c r="B18" s="56">
        <v>327618</v>
      </c>
      <c r="F18" s="1" t="s">
        <v>555</v>
      </c>
      <c r="G18" s="425">
        <v>56353.37</v>
      </c>
      <c r="I18" s="438" t="s">
        <v>178</v>
      </c>
      <c r="J18" s="438"/>
      <c r="K18" s="56">
        <v>188536.93</v>
      </c>
    </row>
    <row r="19" spans="1:11" x14ac:dyDescent="0.25">
      <c r="A19" s="438" t="s">
        <v>179</v>
      </c>
      <c r="B19" s="54">
        <v>473587</v>
      </c>
      <c r="F19" s="406" t="s">
        <v>556</v>
      </c>
      <c r="G19" s="426">
        <v>44664.57</v>
      </c>
      <c r="I19" s="438" t="s">
        <v>179</v>
      </c>
      <c r="J19" s="438"/>
      <c r="K19" s="54">
        <v>98692.88</v>
      </c>
    </row>
    <row r="20" spans="1:11" x14ac:dyDescent="0.25">
      <c r="A20" s="3" t="s">
        <v>181</v>
      </c>
      <c r="B20" s="433">
        <f>SUM(B12:B19)</f>
        <v>9407957</v>
      </c>
      <c r="F20" s="3" t="s">
        <v>612</v>
      </c>
      <c r="G20" s="430">
        <f>SUM(G13:G19)</f>
        <v>2788497.1399999997</v>
      </c>
      <c r="I20" s="3" t="s">
        <v>181</v>
      </c>
      <c r="J20" s="3"/>
      <c r="K20" s="433">
        <v>5442462.29</v>
      </c>
    </row>
    <row r="21" spans="1:11" x14ac:dyDescent="0.25">
      <c r="D21" s="429"/>
      <c r="E21" s="431"/>
      <c r="F21" s="429"/>
      <c r="G21" s="429"/>
    </row>
    <row r="22" spans="1:11" x14ac:dyDescent="0.25">
      <c r="D22" s="429"/>
      <c r="E22" s="429"/>
      <c r="F22" s="429"/>
      <c r="G22" s="429"/>
    </row>
    <row r="23" spans="1:11" x14ac:dyDescent="0.25">
      <c r="B23" s="435" t="s">
        <v>168</v>
      </c>
      <c r="D23" s="429"/>
      <c r="E23" s="431" t="s">
        <v>182</v>
      </c>
      <c r="F23" s="429"/>
      <c r="G23" s="429"/>
      <c r="K23" s="435" t="s">
        <v>168</v>
      </c>
    </row>
    <row r="24" spans="1:11" x14ac:dyDescent="0.25">
      <c r="A24" s="437" t="s">
        <v>182</v>
      </c>
      <c r="B24" s="437"/>
      <c r="D24" s="429"/>
      <c r="E24" s="1" t="s">
        <v>608</v>
      </c>
      <c r="F24" s="1" t="s">
        <v>609</v>
      </c>
      <c r="G24" s="425">
        <v>5363.98</v>
      </c>
      <c r="I24" s="441" t="s">
        <v>182</v>
      </c>
      <c r="J24" s="437"/>
      <c r="K24" s="437"/>
    </row>
    <row r="25" spans="1:11" x14ac:dyDescent="0.25">
      <c r="A25" s="438" t="s">
        <v>177</v>
      </c>
      <c r="B25" s="54">
        <v>-14400</v>
      </c>
      <c r="D25" s="429"/>
      <c r="E25" s="1" t="s">
        <v>610</v>
      </c>
      <c r="F25" s="1" t="s">
        <v>611</v>
      </c>
      <c r="G25" s="426">
        <v>-9239.3799999999992</v>
      </c>
      <c r="I25" s="438" t="s">
        <v>177</v>
      </c>
      <c r="J25" s="438"/>
      <c r="K25" s="56">
        <v>0</v>
      </c>
    </row>
    <row r="26" spans="1:11" x14ac:dyDescent="0.25">
      <c r="A26" s="3" t="s">
        <v>183</v>
      </c>
      <c r="B26" s="433">
        <f>SUM(B25)</f>
        <v>-14400</v>
      </c>
      <c r="D26" s="429"/>
      <c r="E26" s="431" t="s">
        <v>183</v>
      </c>
      <c r="F26" s="431"/>
      <c r="G26" s="432">
        <f>SUM(G24:G25)</f>
        <v>-3875.3999999999996</v>
      </c>
      <c r="I26" s="3" t="s">
        <v>183</v>
      </c>
      <c r="J26" s="3"/>
      <c r="K26" s="433">
        <v>0</v>
      </c>
    </row>
    <row r="27" spans="1:11" x14ac:dyDescent="0.25">
      <c r="A27" s="3"/>
      <c r="B27" s="3"/>
      <c r="D27" s="3"/>
      <c r="E27" s="3"/>
      <c r="F27" s="3"/>
      <c r="G27" s="3"/>
      <c r="I27" s="3"/>
      <c r="J27" s="3"/>
      <c r="K27" s="3"/>
    </row>
    <row r="28" spans="1:11" x14ac:dyDescent="0.25">
      <c r="A28" s="3"/>
      <c r="B28" s="3"/>
      <c r="D28" s="3"/>
      <c r="E28" s="3"/>
      <c r="F28" s="3"/>
      <c r="G28" s="3"/>
      <c r="I28" s="3"/>
      <c r="J28" s="3"/>
      <c r="K28" s="3"/>
    </row>
    <row r="29" spans="1:11" x14ac:dyDescent="0.25">
      <c r="B29" s="57"/>
      <c r="D29" s="433" t="s">
        <v>572</v>
      </c>
      <c r="E29" s="3" t="s">
        <v>576</v>
      </c>
      <c r="F29" s="433" t="s">
        <v>577</v>
      </c>
      <c r="G29" s="433" t="s">
        <v>573</v>
      </c>
      <c r="J29" s="57"/>
    </row>
    <row r="30" spans="1:11" x14ac:dyDescent="0.25">
      <c r="D30" s="1" t="s">
        <v>574</v>
      </c>
      <c r="E30" s="1" t="s">
        <v>578</v>
      </c>
      <c r="F30" s="1" t="s">
        <v>579</v>
      </c>
      <c r="G30" s="425">
        <v>247736.53</v>
      </c>
    </row>
    <row r="31" spans="1:11" x14ac:dyDescent="0.25">
      <c r="D31" s="1" t="s">
        <v>574</v>
      </c>
      <c r="E31" s="1" t="s">
        <v>580</v>
      </c>
      <c r="F31" s="1" t="s">
        <v>579</v>
      </c>
      <c r="G31" s="425">
        <v>395567.56</v>
      </c>
    </row>
    <row r="32" spans="1:11" x14ac:dyDescent="0.25">
      <c r="D32" s="1" t="s">
        <v>574</v>
      </c>
      <c r="E32" s="1" t="s">
        <v>581</v>
      </c>
      <c r="F32" s="1" t="s">
        <v>582</v>
      </c>
      <c r="G32" s="425">
        <v>485289.53</v>
      </c>
    </row>
    <row r="33" spans="2:10" x14ac:dyDescent="0.25">
      <c r="B33" s="439"/>
      <c r="D33" s="1" t="s">
        <v>574</v>
      </c>
      <c r="E33" s="1" t="s">
        <v>580</v>
      </c>
      <c r="F33" s="1" t="s">
        <v>582</v>
      </c>
      <c r="G33" s="425">
        <v>-395567.56</v>
      </c>
      <c r="J33" s="439"/>
    </row>
    <row r="34" spans="2:10" x14ac:dyDescent="0.25">
      <c r="D34" s="1" t="s">
        <v>574</v>
      </c>
      <c r="E34" s="1" t="s">
        <v>583</v>
      </c>
      <c r="F34" s="1" t="s">
        <v>582</v>
      </c>
      <c r="G34" s="425">
        <v>377726.37</v>
      </c>
    </row>
    <row r="35" spans="2:10" x14ac:dyDescent="0.25">
      <c r="D35" s="1" t="s">
        <v>574</v>
      </c>
      <c r="E35" s="1" t="s">
        <v>584</v>
      </c>
      <c r="F35" s="1" t="s">
        <v>585</v>
      </c>
      <c r="G35" s="425">
        <v>434578.26</v>
      </c>
    </row>
    <row r="36" spans="2:10" x14ac:dyDescent="0.25">
      <c r="D36" s="1" t="s">
        <v>574</v>
      </c>
      <c r="E36" s="1" t="s">
        <v>583</v>
      </c>
      <c r="F36" s="1" t="s">
        <v>585</v>
      </c>
      <c r="G36" s="425">
        <v>-377726.37</v>
      </c>
    </row>
    <row r="37" spans="2:10" x14ac:dyDescent="0.25">
      <c r="D37" s="1" t="s">
        <v>574</v>
      </c>
      <c r="E37" s="1" t="s">
        <v>586</v>
      </c>
      <c r="F37" s="1" t="s">
        <v>585</v>
      </c>
      <c r="G37" s="425">
        <v>360094.77</v>
      </c>
    </row>
    <row r="38" spans="2:10" x14ac:dyDescent="0.25">
      <c r="D38" s="1" t="s">
        <v>574</v>
      </c>
      <c r="E38" s="1" t="s">
        <v>587</v>
      </c>
      <c r="F38" s="1" t="s">
        <v>588</v>
      </c>
      <c r="G38" s="425">
        <v>427774.76</v>
      </c>
    </row>
    <row r="39" spans="2:10" x14ac:dyDescent="0.25">
      <c r="D39" s="1" t="s">
        <v>574</v>
      </c>
      <c r="E39" s="1" t="s">
        <v>586</v>
      </c>
      <c r="F39" s="1" t="s">
        <v>588</v>
      </c>
      <c r="G39" s="425">
        <v>-360094.77</v>
      </c>
    </row>
    <row r="40" spans="2:10" x14ac:dyDescent="0.25">
      <c r="D40" s="1" t="s">
        <v>574</v>
      </c>
      <c r="E40" s="1" t="s">
        <v>589</v>
      </c>
      <c r="F40" s="1" t="s">
        <v>588</v>
      </c>
      <c r="G40" s="425">
        <v>323271.43</v>
      </c>
    </row>
    <row r="41" spans="2:10" x14ac:dyDescent="0.25">
      <c r="D41" s="1" t="s">
        <v>574</v>
      </c>
      <c r="E41" s="1" t="s">
        <v>590</v>
      </c>
      <c r="F41" s="1" t="s">
        <v>591</v>
      </c>
      <c r="G41" s="425">
        <v>429039.42</v>
      </c>
    </row>
    <row r="42" spans="2:10" x14ac:dyDescent="0.25">
      <c r="D42" s="1" t="s">
        <v>574</v>
      </c>
      <c r="E42" s="1" t="s">
        <v>589</v>
      </c>
      <c r="F42" s="1" t="s">
        <v>591</v>
      </c>
      <c r="G42" s="425">
        <v>-323271.43</v>
      </c>
    </row>
    <row r="43" spans="2:10" x14ac:dyDescent="0.25">
      <c r="D43" s="1" t="s">
        <v>574</v>
      </c>
      <c r="E43" s="1" t="s">
        <v>592</v>
      </c>
      <c r="F43" s="1" t="s">
        <v>591</v>
      </c>
      <c r="G43" s="425">
        <v>307475.44</v>
      </c>
    </row>
    <row r="44" spans="2:10" x14ac:dyDescent="0.25">
      <c r="D44" s="1" t="s">
        <v>574</v>
      </c>
      <c r="E44" s="1" t="s">
        <v>593</v>
      </c>
      <c r="F44" s="1" t="s">
        <v>594</v>
      </c>
      <c r="G44" s="425">
        <v>465442.39</v>
      </c>
    </row>
    <row r="45" spans="2:10" x14ac:dyDescent="0.25">
      <c r="D45" s="1" t="s">
        <v>574</v>
      </c>
      <c r="E45" s="1" t="s">
        <v>592</v>
      </c>
      <c r="F45" s="1" t="s">
        <v>594</v>
      </c>
      <c r="G45" s="425">
        <v>-307475.44</v>
      </c>
    </row>
    <row r="46" spans="2:10" x14ac:dyDescent="0.25">
      <c r="D46" s="1" t="s">
        <v>574</v>
      </c>
      <c r="E46" s="1" t="s">
        <v>595</v>
      </c>
      <c r="F46" s="1" t="s">
        <v>594</v>
      </c>
      <c r="G46" s="425">
        <v>298450.36</v>
      </c>
    </row>
    <row r="47" spans="2:10" x14ac:dyDescent="0.25">
      <c r="D47" s="1" t="s">
        <v>574</v>
      </c>
      <c r="E47" s="1" t="s">
        <v>596</v>
      </c>
      <c r="F47" s="1" t="s">
        <v>597</v>
      </c>
      <c r="G47" s="425">
        <v>441520.69</v>
      </c>
    </row>
    <row r="48" spans="2:10" x14ac:dyDescent="0.25">
      <c r="D48" s="1" t="s">
        <v>574</v>
      </c>
      <c r="E48" s="1" t="s">
        <v>595</v>
      </c>
      <c r="F48" s="1" t="s">
        <v>597</v>
      </c>
      <c r="G48" s="425">
        <v>-298450.36</v>
      </c>
    </row>
    <row r="49" spans="4:7" x14ac:dyDescent="0.25">
      <c r="D49" s="1" t="s">
        <v>574</v>
      </c>
      <c r="E49" s="1" t="s">
        <v>598</v>
      </c>
      <c r="F49" s="1" t="s">
        <v>597</v>
      </c>
      <c r="G49" s="425">
        <v>259070.07</v>
      </c>
    </row>
    <row r="50" spans="4:7" x14ac:dyDescent="0.25">
      <c r="D50" s="1" t="s">
        <v>574</v>
      </c>
      <c r="E50" s="1" t="s">
        <v>599</v>
      </c>
      <c r="F50" s="1" t="s">
        <v>600</v>
      </c>
      <c r="G50" s="425">
        <v>408594.85</v>
      </c>
    </row>
    <row r="51" spans="4:7" x14ac:dyDescent="0.25">
      <c r="D51" s="1" t="s">
        <v>574</v>
      </c>
      <c r="E51" s="1" t="s">
        <v>601</v>
      </c>
      <c r="F51" s="1" t="s">
        <v>600</v>
      </c>
      <c r="G51" s="425">
        <v>313013.34000000003</v>
      </c>
    </row>
    <row r="52" spans="4:7" x14ac:dyDescent="0.25">
      <c r="D52" s="1" t="s">
        <v>574</v>
      </c>
      <c r="E52" s="1" t="s">
        <v>598</v>
      </c>
      <c r="F52" s="1" t="s">
        <v>600</v>
      </c>
      <c r="G52" s="425">
        <v>-259070.07</v>
      </c>
    </row>
    <row r="53" spans="4:7" x14ac:dyDescent="0.25">
      <c r="D53" s="1" t="s">
        <v>574</v>
      </c>
      <c r="E53" s="1" t="s">
        <v>602</v>
      </c>
      <c r="F53" s="1" t="s">
        <v>603</v>
      </c>
      <c r="G53" s="425">
        <v>477080.96</v>
      </c>
    </row>
    <row r="54" spans="4:7" x14ac:dyDescent="0.25">
      <c r="D54" s="1" t="s">
        <v>574</v>
      </c>
      <c r="E54" s="1" t="s">
        <v>601</v>
      </c>
      <c r="F54" s="1" t="s">
        <v>603</v>
      </c>
      <c r="G54" s="425">
        <v>-313013.34000000003</v>
      </c>
    </row>
    <row r="55" spans="4:7" x14ac:dyDescent="0.25">
      <c r="D55" s="1" t="s">
        <v>574</v>
      </c>
      <c r="E55" s="1" t="s">
        <v>604</v>
      </c>
      <c r="F55" s="1" t="s">
        <v>603</v>
      </c>
      <c r="G55" s="425">
        <v>380314.26</v>
      </c>
    </row>
    <row r="56" spans="4:7" x14ac:dyDescent="0.25">
      <c r="D56" s="1" t="s">
        <v>574</v>
      </c>
      <c r="E56" s="1" t="s">
        <v>605</v>
      </c>
      <c r="F56" s="1" t="s">
        <v>606</v>
      </c>
      <c r="G56" s="425">
        <v>588420.51</v>
      </c>
    </row>
    <row r="57" spans="4:7" x14ac:dyDescent="0.25">
      <c r="D57" s="1" t="s">
        <v>574</v>
      </c>
      <c r="E57" s="1" t="s">
        <v>604</v>
      </c>
      <c r="F57" s="1" t="s">
        <v>606</v>
      </c>
      <c r="G57" s="425">
        <v>-380314.26</v>
      </c>
    </row>
    <row r="58" spans="4:7" x14ac:dyDescent="0.25">
      <c r="D58" s="1" t="s">
        <v>574</v>
      </c>
      <c r="E58" s="1" t="s">
        <v>607</v>
      </c>
      <c r="F58" s="1" t="s">
        <v>606</v>
      </c>
      <c r="G58" s="426">
        <v>377302.33</v>
      </c>
    </row>
    <row r="59" spans="4:7" x14ac:dyDescent="0.25">
      <c r="E59" s="3" t="s">
        <v>575</v>
      </c>
      <c r="G59" s="430">
        <f>-SUM(G30:G58)</f>
        <v>-4782780.2300000004</v>
      </c>
    </row>
  </sheetData>
  <mergeCells count="9">
    <mergeCell ref="I2:K2"/>
    <mergeCell ref="I3:K3"/>
    <mergeCell ref="I4:K4"/>
    <mergeCell ref="A2:B2"/>
    <mergeCell ref="A3:B3"/>
    <mergeCell ref="A4:B4"/>
    <mergeCell ref="D2:F2"/>
    <mergeCell ref="D3:F3"/>
    <mergeCell ref="D4:F4"/>
  </mergeCells>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13"/>
  <sheetViews>
    <sheetView zoomScaleNormal="100" workbookViewId="0">
      <pane xSplit="1" ySplit="6" topLeftCell="B7" activePane="bottomRight" state="frozen"/>
      <selection pane="topRight"/>
      <selection pane="bottomLeft"/>
      <selection pane="bottomRight" activeCell="F7" sqref="F7:F12"/>
    </sheetView>
  </sheetViews>
  <sheetFormatPr defaultColWidth="9.140625" defaultRowHeight="12.75" x14ac:dyDescent="0.2"/>
  <cols>
    <col min="1" max="1" width="9.140625" style="2"/>
    <col min="2" max="2" width="1.5703125" style="2" customWidth="1"/>
    <col min="3" max="3" width="8.140625" style="2" bestFit="1" customWidth="1"/>
    <col min="4" max="4" width="9" style="2" bestFit="1" customWidth="1"/>
    <col min="5" max="5" width="1.5703125" style="2" customWidth="1"/>
    <col min="6" max="6" width="8.140625" style="2" bestFit="1" customWidth="1"/>
    <col min="7" max="7" width="9" style="2" bestFit="1" customWidth="1"/>
    <col min="8" max="8" width="1.5703125" style="2" customWidth="1"/>
    <col min="9" max="9" width="8.140625" style="2" bestFit="1" customWidth="1"/>
    <col min="10" max="10" width="9" style="2" bestFit="1" customWidth="1"/>
    <col min="11" max="11" width="1.5703125" style="2" customWidth="1"/>
    <col min="12" max="12" width="8.140625" style="2" bestFit="1" customWidth="1"/>
    <col min="13" max="13" width="9" style="2" bestFit="1" customWidth="1"/>
    <col min="14" max="14" width="1.5703125" style="2" customWidth="1"/>
    <col min="15" max="15" width="8.140625" style="2" bestFit="1" customWidth="1"/>
    <col min="16" max="16" width="9" style="2" bestFit="1" customWidth="1"/>
    <col min="17" max="17" width="1.5703125" style="2" customWidth="1"/>
    <col min="18" max="18" width="8.140625" style="2" bestFit="1" customWidth="1"/>
    <col min="19" max="19" width="9" style="2" bestFit="1" customWidth="1"/>
    <col min="20" max="20" width="1.5703125" style="2" customWidth="1"/>
    <col min="21" max="21" width="8.140625" style="2" bestFit="1" customWidth="1"/>
    <col min="22" max="22" width="9" style="2" bestFit="1" customWidth="1"/>
    <col min="23" max="23" width="1.5703125" style="2" customWidth="1"/>
    <col min="24" max="24" width="8.140625" style="2" bestFit="1" customWidth="1"/>
    <col min="25" max="25" width="9" style="2" bestFit="1" customWidth="1"/>
    <col min="26" max="26" width="1.5703125" style="2" customWidth="1"/>
    <col min="27" max="27" width="8.140625" style="2" bestFit="1" customWidth="1"/>
    <col min="28" max="28" width="9" style="2" bestFit="1" customWidth="1"/>
    <col min="29" max="29" width="1.5703125" style="2" customWidth="1"/>
    <col min="30" max="30" width="9.140625" style="2"/>
    <col min="31" max="31" width="9" style="2" bestFit="1" customWidth="1"/>
    <col min="32" max="32" width="1.5703125" style="2" customWidth="1"/>
    <col min="33" max="34" width="9.140625" style="2"/>
    <col min="35" max="35" width="1" style="2" customWidth="1"/>
    <col min="36" max="37" width="9.140625" style="2"/>
    <col min="38" max="38" width="2.140625" style="2" customWidth="1"/>
    <col min="39" max="16384" width="9.140625" style="2"/>
  </cols>
  <sheetData>
    <row r="1" spans="1:144" x14ac:dyDescent="0.2">
      <c r="A1" s="6" t="s">
        <v>74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144" x14ac:dyDescent="0.2">
      <c r="A2" s="6" t="s">
        <v>75</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144" x14ac:dyDescent="0.2">
      <c r="A3" s="8"/>
    </row>
    <row r="4" spans="1:144" x14ac:dyDescent="0.2">
      <c r="A4" s="8" t="s">
        <v>76</v>
      </c>
    </row>
    <row r="5" spans="1:144" x14ac:dyDescent="0.2">
      <c r="C5" s="9" t="s">
        <v>77</v>
      </c>
      <c r="F5" s="9" t="s">
        <v>77</v>
      </c>
      <c r="I5" s="9" t="s">
        <v>77</v>
      </c>
      <c r="L5" s="9" t="s">
        <v>77</v>
      </c>
      <c r="O5" s="9" t="s">
        <v>77</v>
      </c>
      <c r="R5" s="9" t="s">
        <v>77</v>
      </c>
      <c r="U5" s="9" t="s">
        <v>78</v>
      </c>
      <c r="X5" s="9" t="s">
        <v>78</v>
      </c>
      <c r="AA5" s="9" t="s">
        <v>78</v>
      </c>
      <c r="AD5" s="9" t="s">
        <v>79</v>
      </c>
      <c r="AG5" s="9" t="s">
        <v>79</v>
      </c>
      <c r="AJ5" s="10" t="s">
        <v>80</v>
      </c>
      <c r="AM5" s="9" t="s">
        <v>78</v>
      </c>
    </row>
    <row r="6" spans="1:144" s="9" customFormat="1" x14ac:dyDescent="0.2">
      <c r="A6" s="11" t="s">
        <v>81</v>
      </c>
      <c r="B6" s="12"/>
      <c r="C6" s="11" t="s">
        <v>82</v>
      </c>
      <c r="D6" s="11" t="s">
        <v>83</v>
      </c>
      <c r="E6" s="12"/>
      <c r="F6" s="11" t="s">
        <v>84</v>
      </c>
      <c r="G6" s="11" t="str">
        <f>+D6</f>
        <v>Cumulative</v>
      </c>
      <c r="H6" s="12"/>
      <c r="I6" s="11" t="s">
        <v>85</v>
      </c>
      <c r="J6" s="11" t="str">
        <f>+G6</f>
        <v>Cumulative</v>
      </c>
      <c r="K6" s="12"/>
      <c r="L6" s="11" t="s">
        <v>86</v>
      </c>
      <c r="M6" s="11" t="str">
        <f>+G6</f>
        <v>Cumulative</v>
      </c>
      <c r="N6" s="12"/>
      <c r="O6" s="11" t="s">
        <v>87</v>
      </c>
      <c r="P6" s="11" t="str">
        <f>+J6</f>
        <v>Cumulative</v>
      </c>
      <c r="Q6" s="12"/>
      <c r="R6" s="11" t="s">
        <v>88</v>
      </c>
      <c r="S6" s="11" t="str">
        <f>+J6</f>
        <v>Cumulative</v>
      </c>
      <c r="T6" s="12"/>
      <c r="U6" s="11" t="s">
        <v>89</v>
      </c>
      <c r="V6" s="11" t="str">
        <f>+P6</f>
        <v>Cumulative</v>
      </c>
      <c r="W6" s="12"/>
      <c r="X6" s="11" t="s">
        <v>87</v>
      </c>
      <c r="Y6" s="11" t="str">
        <f>+S6</f>
        <v>Cumulative</v>
      </c>
      <c r="Z6" s="12"/>
      <c r="AA6" s="11" t="s">
        <v>90</v>
      </c>
      <c r="AB6" s="11" t="str">
        <f>+V6</f>
        <v>Cumulative</v>
      </c>
      <c r="AC6" s="12"/>
      <c r="AD6" s="11" t="s">
        <v>91</v>
      </c>
      <c r="AE6" s="11" t="str">
        <f>+AB6</f>
        <v>Cumulative</v>
      </c>
      <c r="AF6" s="12"/>
      <c r="AG6" s="11" t="s">
        <v>92</v>
      </c>
      <c r="AH6" s="11" t="str">
        <f>+AE6</f>
        <v>Cumulative</v>
      </c>
      <c r="AI6" s="12"/>
      <c r="AJ6" s="11" t="s">
        <v>82</v>
      </c>
      <c r="AK6" s="11" t="s">
        <v>83</v>
      </c>
      <c r="AL6" s="12"/>
      <c r="AM6" s="11" t="s">
        <v>88</v>
      </c>
      <c r="AN6" s="11" t="str">
        <f>+AE6</f>
        <v>Cumulative</v>
      </c>
      <c r="AO6" s="12"/>
      <c r="AP6" s="12"/>
      <c r="AQ6" s="12"/>
      <c r="AR6" s="12"/>
      <c r="AS6" s="12"/>
      <c r="AT6" s="12"/>
      <c r="AU6" s="12"/>
      <c r="AV6" s="12"/>
      <c r="AW6" s="12"/>
      <c r="AX6" s="12"/>
      <c r="AY6" s="12"/>
      <c r="AZ6" s="12"/>
      <c r="BA6" s="12"/>
      <c r="BB6" s="12"/>
      <c r="BC6" s="12"/>
      <c r="BD6" s="12"/>
      <c r="BE6" s="12"/>
      <c r="BF6" s="12"/>
    </row>
    <row r="7" spans="1:144" x14ac:dyDescent="0.2">
      <c r="A7" s="9">
        <v>1</v>
      </c>
      <c r="C7" s="13">
        <v>0.33329999999999999</v>
      </c>
      <c r="D7" s="13">
        <f>+C7</f>
        <v>0.33329999999999999</v>
      </c>
      <c r="E7" s="13"/>
      <c r="F7" s="13">
        <v>0.2</v>
      </c>
      <c r="G7" s="13">
        <f>+F7</f>
        <v>0.2</v>
      </c>
      <c r="H7" s="13"/>
      <c r="I7" s="13">
        <v>0.1429</v>
      </c>
      <c r="J7" s="13">
        <f>+I7</f>
        <v>0.1429</v>
      </c>
      <c r="K7" s="13"/>
      <c r="L7" s="13">
        <v>0.11111</v>
      </c>
      <c r="M7" s="13">
        <f>+L7</f>
        <v>0.11111</v>
      </c>
      <c r="N7" s="13"/>
      <c r="O7" s="13">
        <v>0.1</v>
      </c>
      <c r="P7" s="13">
        <f>+O7</f>
        <v>0.1</v>
      </c>
      <c r="Q7" s="13"/>
      <c r="R7" s="13">
        <v>8.3299999999999999E-2</v>
      </c>
      <c r="S7" s="13">
        <f>+R7</f>
        <v>8.3299999999999999E-2</v>
      </c>
      <c r="T7" s="13"/>
      <c r="U7" s="13">
        <v>0.05</v>
      </c>
      <c r="V7" s="13">
        <f>+U7</f>
        <v>0.05</v>
      </c>
      <c r="W7" s="13"/>
      <c r="X7" s="13">
        <v>7.4999999999999997E-2</v>
      </c>
      <c r="Y7" s="13">
        <f>+X7</f>
        <v>7.4999999999999997E-2</v>
      </c>
      <c r="Z7" s="13"/>
      <c r="AA7" s="13">
        <v>3.7499999999999999E-2</v>
      </c>
      <c r="AB7" s="13">
        <f>+AA7</f>
        <v>3.7499999999999999E-2</v>
      </c>
      <c r="AC7" s="13"/>
      <c r="AD7" s="13">
        <v>1.72E-2</v>
      </c>
      <c r="AE7" s="13">
        <f>+AD7</f>
        <v>1.72E-2</v>
      </c>
      <c r="AF7" s="13"/>
      <c r="AG7" s="13">
        <v>1.2840000000000001E-2</v>
      </c>
      <c r="AH7" s="13">
        <f>+AG7</f>
        <v>1.2840000000000001E-2</v>
      </c>
      <c r="AI7" s="13"/>
      <c r="AJ7" s="13">
        <f>1/3/2</f>
        <v>0.16666666666666666</v>
      </c>
      <c r="AK7" s="13">
        <f>+AJ7</f>
        <v>0.16666666666666666</v>
      </c>
      <c r="AL7" s="13"/>
      <c r="AM7" s="13">
        <v>6.25E-2</v>
      </c>
      <c r="AN7" s="13">
        <f>+AM7</f>
        <v>6.25E-2</v>
      </c>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row>
    <row r="8" spans="1:144" x14ac:dyDescent="0.2">
      <c r="A8" s="9">
        <f t="shared" ref="A8:A46" si="0">+A7+1</f>
        <v>2</v>
      </c>
      <c r="C8" s="13">
        <v>0.44450000000000001</v>
      </c>
      <c r="D8" s="13">
        <f>+D7+C8</f>
        <v>0.77780000000000005</v>
      </c>
      <c r="E8" s="13"/>
      <c r="F8" s="13">
        <v>0.32</v>
      </c>
      <c r="G8" s="13">
        <f>+G7+F8</f>
        <v>0.52</v>
      </c>
      <c r="H8" s="13"/>
      <c r="I8" s="13">
        <v>0.24490000000000001</v>
      </c>
      <c r="J8" s="13">
        <f t="shared" ref="J8:J14" si="1">+J7+I8</f>
        <v>0.38780000000000003</v>
      </c>
      <c r="K8" s="13"/>
      <c r="L8" s="13">
        <v>0.19753000000000001</v>
      </c>
      <c r="M8" s="13">
        <f t="shared" ref="M8:M16" si="2">+M7+L8</f>
        <v>0.30864000000000003</v>
      </c>
      <c r="N8" s="13"/>
      <c r="O8" s="13">
        <v>0.18</v>
      </c>
      <c r="P8" s="13">
        <f t="shared" ref="P8:P17" si="3">+P7+O8</f>
        <v>0.28000000000000003</v>
      </c>
      <c r="Q8" s="13"/>
      <c r="R8" s="13">
        <v>0.15279999999999999</v>
      </c>
      <c r="S8" s="13">
        <f t="shared" ref="S8:S19" si="4">+S7+R8</f>
        <v>0.23609999999999998</v>
      </c>
      <c r="T8" s="13"/>
      <c r="U8" s="13">
        <v>9.5000000000000001E-2</v>
      </c>
      <c r="V8" s="13">
        <f t="shared" ref="V8:V22" si="5">+V7+U8</f>
        <v>0.14500000000000002</v>
      </c>
      <c r="W8" s="13"/>
      <c r="X8" s="13">
        <v>0.13875000000000001</v>
      </c>
      <c r="Y8" s="13">
        <f t="shared" ref="Y8:Y17" si="6">+Y7+X8</f>
        <v>0.21375</v>
      </c>
      <c r="Z8" s="13"/>
      <c r="AA8" s="13">
        <v>7.2190000000000004E-2</v>
      </c>
      <c r="AB8" s="13">
        <f t="shared" ref="AB8:AB27" si="7">+AB7+AA8</f>
        <v>0.10969000000000001</v>
      </c>
      <c r="AC8" s="13"/>
      <c r="AD8" s="13">
        <v>3.175E-2</v>
      </c>
      <c r="AE8" s="13">
        <f t="shared" ref="AE8:AE38" si="8">+AE7+AD8</f>
        <v>4.895E-2</v>
      </c>
      <c r="AF8" s="13"/>
      <c r="AG8" s="13">
        <v>2.564E-2</v>
      </c>
      <c r="AH8" s="13">
        <f t="shared" ref="AH8:AH46" si="9">+AH7+AG8</f>
        <v>3.848E-2</v>
      </c>
      <c r="AI8" s="13"/>
      <c r="AJ8" s="13">
        <f>1/3</f>
        <v>0.33333333333333331</v>
      </c>
      <c r="AK8" s="13">
        <f>+AK7+AJ8</f>
        <v>0.5</v>
      </c>
      <c r="AL8" s="13"/>
      <c r="AM8" s="13">
        <v>0.11719</v>
      </c>
      <c r="AN8" s="13">
        <f t="shared" ref="AN8:AN19" si="10">+AN7+AM8</f>
        <v>0.17969000000000002</v>
      </c>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row>
    <row r="9" spans="1:144" x14ac:dyDescent="0.2">
      <c r="A9" s="9">
        <f t="shared" si="0"/>
        <v>3</v>
      </c>
      <c r="C9" s="13">
        <v>0.14810000000000001</v>
      </c>
      <c r="D9" s="13">
        <f>+D8+C9</f>
        <v>0.92590000000000006</v>
      </c>
      <c r="E9" s="13"/>
      <c r="F9" s="13">
        <v>0.192</v>
      </c>
      <c r="G9" s="13">
        <f>+G8+F9</f>
        <v>0.71199999999999997</v>
      </c>
      <c r="H9" s="13"/>
      <c r="I9" s="13">
        <v>0.1749</v>
      </c>
      <c r="J9" s="13">
        <f t="shared" si="1"/>
        <v>0.56269999999999998</v>
      </c>
      <c r="K9" s="13"/>
      <c r="L9" s="13">
        <v>0.15364</v>
      </c>
      <c r="M9" s="13">
        <f t="shared" si="2"/>
        <v>0.46228000000000002</v>
      </c>
      <c r="N9" s="13"/>
      <c r="O9" s="13">
        <v>0.14399999999999999</v>
      </c>
      <c r="P9" s="13">
        <f t="shared" si="3"/>
        <v>0.42400000000000004</v>
      </c>
      <c r="Q9" s="13"/>
      <c r="R9" s="13">
        <v>0.1273</v>
      </c>
      <c r="S9" s="13">
        <f t="shared" si="4"/>
        <v>0.36339999999999995</v>
      </c>
      <c r="T9" s="13"/>
      <c r="U9" s="13">
        <v>8.5500000000000007E-2</v>
      </c>
      <c r="V9" s="13">
        <f t="shared" si="5"/>
        <v>0.23050000000000004</v>
      </c>
      <c r="W9" s="13"/>
      <c r="X9" s="13">
        <v>0.11794</v>
      </c>
      <c r="Y9" s="13">
        <f t="shared" si="6"/>
        <v>0.33168999999999998</v>
      </c>
      <c r="Z9" s="13"/>
      <c r="AA9" s="13">
        <v>6.6769999999999996E-2</v>
      </c>
      <c r="AB9" s="13">
        <f t="shared" si="7"/>
        <v>0.17646000000000001</v>
      </c>
      <c r="AC9" s="13"/>
      <c r="AD9" s="13">
        <v>3.175E-2</v>
      </c>
      <c r="AE9" s="13">
        <f t="shared" si="8"/>
        <v>8.0699999999999994E-2</v>
      </c>
      <c r="AF9" s="13"/>
      <c r="AG9" s="13">
        <v>2.564E-2</v>
      </c>
      <c r="AH9" s="13">
        <f t="shared" si="9"/>
        <v>6.4119999999999996E-2</v>
      </c>
      <c r="AI9" s="13"/>
      <c r="AJ9" s="13">
        <f>1/3</f>
        <v>0.33333333333333331</v>
      </c>
      <c r="AK9" s="13">
        <f>+AK8+AJ9</f>
        <v>0.83333333333333326</v>
      </c>
      <c r="AL9" s="13"/>
      <c r="AM9" s="13">
        <v>0.10255</v>
      </c>
      <c r="AN9" s="13">
        <f t="shared" si="10"/>
        <v>0.28224000000000005</v>
      </c>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row>
    <row r="10" spans="1:144" x14ac:dyDescent="0.2">
      <c r="A10" s="9">
        <f t="shared" si="0"/>
        <v>4</v>
      </c>
      <c r="C10" s="13">
        <v>7.4099999999999999E-2</v>
      </c>
      <c r="D10" s="13">
        <f>+D9+C10</f>
        <v>1</v>
      </c>
      <c r="E10" s="13"/>
      <c r="F10" s="13">
        <v>0.1152</v>
      </c>
      <c r="G10" s="13">
        <f>+G9+F10</f>
        <v>0.82719999999999994</v>
      </c>
      <c r="H10" s="13"/>
      <c r="I10" s="13">
        <v>0.1249</v>
      </c>
      <c r="J10" s="13">
        <f t="shared" si="1"/>
        <v>0.68759999999999999</v>
      </c>
      <c r="K10" s="13"/>
      <c r="L10" s="13">
        <v>0.11949</v>
      </c>
      <c r="M10" s="13">
        <f t="shared" si="2"/>
        <v>0.58177000000000001</v>
      </c>
      <c r="N10" s="13"/>
      <c r="O10" s="13">
        <v>0.1152</v>
      </c>
      <c r="P10" s="13">
        <f t="shared" si="3"/>
        <v>0.53920000000000001</v>
      </c>
      <c r="Q10" s="13"/>
      <c r="R10" s="13">
        <v>0.1061</v>
      </c>
      <c r="S10" s="13">
        <f t="shared" si="4"/>
        <v>0.46949999999999992</v>
      </c>
      <c r="T10" s="13"/>
      <c r="U10" s="13">
        <v>7.6999999999999999E-2</v>
      </c>
      <c r="V10" s="13">
        <f t="shared" si="5"/>
        <v>0.30750000000000005</v>
      </c>
      <c r="W10" s="13"/>
      <c r="X10" s="13">
        <v>0.10025000000000001</v>
      </c>
      <c r="Y10" s="13">
        <f t="shared" si="6"/>
        <v>0.43193999999999999</v>
      </c>
      <c r="Z10" s="13"/>
      <c r="AA10" s="13">
        <v>6.1769999999999999E-2</v>
      </c>
      <c r="AB10" s="13">
        <f t="shared" si="7"/>
        <v>0.23823</v>
      </c>
      <c r="AC10" s="13"/>
      <c r="AD10" s="13">
        <v>3.175E-2</v>
      </c>
      <c r="AE10" s="13">
        <f t="shared" si="8"/>
        <v>0.11244999999999999</v>
      </c>
      <c r="AF10" s="13"/>
      <c r="AG10" s="13">
        <v>2.564E-2</v>
      </c>
      <c r="AH10" s="13">
        <f t="shared" si="9"/>
        <v>8.9759999999999993E-2</v>
      </c>
      <c r="AI10" s="13"/>
      <c r="AJ10" s="13">
        <f>1/3/2</f>
        <v>0.16666666666666666</v>
      </c>
      <c r="AK10" s="13">
        <f>+AK9+AJ10</f>
        <v>0.99999999999999989</v>
      </c>
      <c r="AL10" s="13"/>
      <c r="AM10" s="13">
        <v>8.9730000000000004E-2</v>
      </c>
      <c r="AN10" s="13">
        <f t="shared" si="10"/>
        <v>0.37197000000000002</v>
      </c>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row>
    <row r="11" spans="1:144" x14ac:dyDescent="0.2">
      <c r="A11" s="9">
        <f t="shared" si="0"/>
        <v>5</v>
      </c>
      <c r="C11" s="13"/>
      <c r="D11" s="13"/>
      <c r="E11" s="13"/>
      <c r="F11" s="13">
        <v>0.1152</v>
      </c>
      <c r="G11" s="13">
        <f>+G10+F11</f>
        <v>0.9423999999999999</v>
      </c>
      <c r="H11" s="13"/>
      <c r="I11" s="13">
        <v>8.9300000000000004E-2</v>
      </c>
      <c r="J11" s="13">
        <f t="shared" si="1"/>
        <v>0.77690000000000003</v>
      </c>
      <c r="K11" s="13"/>
      <c r="L11" s="13">
        <v>9.2939999999999995E-2</v>
      </c>
      <c r="M11" s="13">
        <f t="shared" si="2"/>
        <v>0.67471000000000003</v>
      </c>
      <c r="N11" s="13"/>
      <c r="O11" s="13">
        <v>9.2200000000000004E-2</v>
      </c>
      <c r="P11" s="13">
        <f t="shared" si="3"/>
        <v>0.63139999999999996</v>
      </c>
      <c r="Q11" s="13"/>
      <c r="R11" s="13">
        <v>8.8400000000000006E-2</v>
      </c>
      <c r="S11" s="13">
        <f t="shared" si="4"/>
        <v>0.55789999999999995</v>
      </c>
      <c r="T11" s="13"/>
      <c r="U11" s="13">
        <v>6.93E-2</v>
      </c>
      <c r="V11" s="13">
        <f t="shared" si="5"/>
        <v>0.37680000000000002</v>
      </c>
      <c r="W11" s="13"/>
      <c r="X11" s="13">
        <v>8.7389999999999995E-2</v>
      </c>
      <c r="Y11" s="13">
        <f t="shared" si="6"/>
        <v>0.51932999999999996</v>
      </c>
      <c r="Z11" s="13"/>
      <c r="AA11" s="13">
        <v>5.713E-2</v>
      </c>
      <c r="AB11" s="13">
        <f t="shared" si="7"/>
        <v>0.29536000000000001</v>
      </c>
      <c r="AC11" s="13"/>
      <c r="AD11" s="13">
        <v>3.175E-2</v>
      </c>
      <c r="AE11" s="13">
        <f t="shared" si="8"/>
        <v>0.14419999999999999</v>
      </c>
      <c r="AF11" s="13"/>
      <c r="AG11" s="13">
        <v>2.564E-2</v>
      </c>
      <c r="AH11" s="13">
        <f t="shared" si="9"/>
        <v>0.11539999999999999</v>
      </c>
      <c r="AI11" s="13"/>
      <c r="AJ11" s="13"/>
      <c r="AK11" s="13"/>
      <c r="AL11" s="13"/>
      <c r="AM11" s="13">
        <v>7.8520000000000006E-2</v>
      </c>
      <c r="AN11" s="13">
        <f t="shared" si="10"/>
        <v>0.45049000000000006</v>
      </c>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row>
    <row r="12" spans="1:144" x14ac:dyDescent="0.2">
      <c r="A12" s="9">
        <f t="shared" si="0"/>
        <v>6</v>
      </c>
      <c r="C12" s="13"/>
      <c r="D12" s="13"/>
      <c r="E12" s="13"/>
      <c r="F12" s="13">
        <v>5.7599999999999998E-2</v>
      </c>
      <c r="G12" s="13">
        <f>+G11+F12</f>
        <v>0.99999999999999989</v>
      </c>
      <c r="H12" s="13"/>
      <c r="I12" s="13">
        <v>8.9200000000000002E-2</v>
      </c>
      <c r="J12" s="13">
        <f t="shared" si="1"/>
        <v>0.86610000000000009</v>
      </c>
      <c r="K12" s="13"/>
      <c r="L12" s="13">
        <v>7.2289999999999993E-2</v>
      </c>
      <c r="M12" s="13">
        <f t="shared" si="2"/>
        <v>0.747</v>
      </c>
      <c r="N12" s="13"/>
      <c r="O12" s="13">
        <v>7.3700000000000002E-2</v>
      </c>
      <c r="P12" s="13">
        <f t="shared" si="3"/>
        <v>0.70509999999999995</v>
      </c>
      <c r="Q12" s="13"/>
      <c r="R12" s="13">
        <v>7.3700000000000002E-2</v>
      </c>
      <c r="S12" s="13">
        <f t="shared" si="4"/>
        <v>0.63159999999999994</v>
      </c>
      <c r="T12" s="13"/>
      <c r="U12" s="13">
        <v>6.2300000000000001E-2</v>
      </c>
      <c r="V12" s="13">
        <f t="shared" si="5"/>
        <v>0.43910000000000005</v>
      </c>
      <c r="W12" s="13"/>
      <c r="X12" s="13">
        <v>8.7389999999999995E-2</v>
      </c>
      <c r="Y12" s="13">
        <f t="shared" si="6"/>
        <v>0.60671999999999993</v>
      </c>
      <c r="Z12" s="13"/>
      <c r="AA12" s="13">
        <v>5.2850000000000001E-2</v>
      </c>
      <c r="AB12" s="13">
        <f t="shared" si="7"/>
        <v>0.34821000000000002</v>
      </c>
      <c r="AC12" s="13"/>
      <c r="AD12" s="13">
        <v>3.175E-2</v>
      </c>
      <c r="AE12" s="13">
        <f t="shared" si="8"/>
        <v>0.17595</v>
      </c>
      <c r="AF12" s="13"/>
      <c r="AG12" s="13">
        <v>2.564E-2</v>
      </c>
      <c r="AH12" s="13">
        <f t="shared" si="9"/>
        <v>0.14104</v>
      </c>
      <c r="AI12" s="13"/>
      <c r="AJ12" s="13"/>
      <c r="AK12" s="13"/>
      <c r="AL12" s="13"/>
      <c r="AM12" s="13">
        <v>7.3270000000000002E-2</v>
      </c>
      <c r="AN12" s="13">
        <f t="shared" si="10"/>
        <v>0.52376</v>
      </c>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row>
    <row r="13" spans="1:144" x14ac:dyDescent="0.2">
      <c r="A13" s="9">
        <f t="shared" si="0"/>
        <v>7</v>
      </c>
      <c r="C13" s="13"/>
      <c r="D13" s="13"/>
      <c r="E13" s="13"/>
      <c r="F13" s="13"/>
      <c r="G13" s="13"/>
      <c r="H13" s="13"/>
      <c r="I13" s="13">
        <v>8.9300000000000004E-2</v>
      </c>
      <c r="J13" s="13">
        <f t="shared" si="1"/>
        <v>0.95540000000000014</v>
      </c>
      <c r="K13" s="13"/>
      <c r="L13" s="13">
        <v>7.2279999999999997E-2</v>
      </c>
      <c r="M13" s="13">
        <f t="shared" si="2"/>
        <v>0.81928000000000001</v>
      </c>
      <c r="N13" s="13"/>
      <c r="O13" s="13">
        <v>6.5500000000000003E-2</v>
      </c>
      <c r="P13" s="13">
        <f t="shared" si="3"/>
        <v>0.77059999999999995</v>
      </c>
      <c r="Q13" s="13"/>
      <c r="R13" s="13">
        <v>6.1400000000000003E-2</v>
      </c>
      <c r="S13" s="13">
        <f t="shared" si="4"/>
        <v>0.69299999999999995</v>
      </c>
      <c r="T13" s="13"/>
      <c r="U13" s="13">
        <v>5.8999999999999997E-2</v>
      </c>
      <c r="V13" s="13">
        <f t="shared" si="5"/>
        <v>0.49810000000000004</v>
      </c>
      <c r="W13" s="13"/>
      <c r="X13" s="13">
        <v>8.7389999999999995E-2</v>
      </c>
      <c r="Y13" s="13">
        <f t="shared" si="6"/>
        <v>0.69410999999999989</v>
      </c>
      <c r="Z13" s="13"/>
      <c r="AA13" s="13">
        <v>4.888E-2</v>
      </c>
      <c r="AB13" s="13">
        <f t="shared" si="7"/>
        <v>0.39709</v>
      </c>
      <c r="AC13" s="13"/>
      <c r="AD13" s="13">
        <v>3.175E-2</v>
      </c>
      <c r="AE13" s="13">
        <f t="shared" si="8"/>
        <v>0.2077</v>
      </c>
      <c r="AF13" s="13"/>
      <c r="AG13" s="13">
        <v>2.564E-2</v>
      </c>
      <c r="AH13" s="13">
        <f t="shared" si="9"/>
        <v>0.16667999999999999</v>
      </c>
      <c r="AI13" s="13"/>
      <c r="AJ13" s="13"/>
      <c r="AK13" s="13"/>
      <c r="AL13" s="13"/>
      <c r="AM13" s="13">
        <v>7.3270000000000002E-2</v>
      </c>
      <c r="AN13" s="13">
        <f t="shared" si="10"/>
        <v>0.59702999999999995</v>
      </c>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row>
    <row r="14" spans="1:144" x14ac:dyDescent="0.2">
      <c r="A14" s="9">
        <f t="shared" si="0"/>
        <v>8</v>
      </c>
      <c r="C14" s="13"/>
      <c r="D14" s="13"/>
      <c r="E14" s="13"/>
      <c r="F14" s="13"/>
      <c r="G14" s="13"/>
      <c r="H14" s="13"/>
      <c r="I14" s="13">
        <v>4.4600000000000001E-2</v>
      </c>
      <c r="J14" s="13">
        <f t="shared" si="1"/>
        <v>1.0000000000000002</v>
      </c>
      <c r="K14" s="13"/>
      <c r="L14" s="13">
        <v>7.2289999999999993E-2</v>
      </c>
      <c r="M14" s="13">
        <f t="shared" si="2"/>
        <v>0.89156999999999997</v>
      </c>
      <c r="N14" s="13"/>
      <c r="O14" s="13">
        <v>6.5500000000000003E-2</v>
      </c>
      <c r="P14" s="13">
        <f t="shared" si="3"/>
        <v>0.83609999999999995</v>
      </c>
      <c r="Q14" s="13"/>
      <c r="R14" s="13">
        <v>5.5800000000000002E-2</v>
      </c>
      <c r="S14" s="13">
        <f t="shared" si="4"/>
        <v>0.74879999999999991</v>
      </c>
      <c r="T14" s="13"/>
      <c r="U14" s="13">
        <v>5.8999999999999997E-2</v>
      </c>
      <c r="V14" s="13">
        <f t="shared" si="5"/>
        <v>0.55710000000000004</v>
      </c>
      <c r="W14" s="13"/>
      <c r="X14" s="13">
        <v>8.7389999999999995E-2</v>
      </c>
      <c r="Y14" s="13">
        <f t="shared" si="6"/>
        <v>0.78149999999999986</v>
      </c>
      <c r="Z14" s="13"/>
      <c r="AA14" s="13">
        <v>4.5220000000000003E-2</v>
      </c>
      <c r="AB14" s="13">
        <f t="shared" si="7"/>
        <v>0.44230999999999998</v>
      </c>
      <c r="AC14" s="13"/>
      <c r="AD14" s="13">
        <v>3.1739999999999997E-2</v>
      </c>
      <c r="AE14" s="13">
        <f t="shared" si="8"/>
        <v>0.23943999999999999</v>
      </c>
      <c r="AF14" s="13"/>
      <c r="AG14" s="13">
        <v>2.564E-2</v>
      </c>
      <c r="AH14" s="13">
        <f t="shared" si="9"/>
        <v>0.19231999999999999</v>
      </c>
      <c r="AI14" s="13"/>
      <c r="AJ14" s="13"/>
      <c r="AK14" s="13"/>
      <c r="AL14" s="13"/>
      <c r="AM14" s="13">
        <v>7.3270000000000002E-2</v>
      </c>
      <c r="AN14" s="13">
        <f t="shared" si="10"/>
        <v>0.6702999999999999</v>
      </c>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row>
    <row r="15" spans="1:144" x14ac:dyDescent="0.2">
      <c r="A15" s="9">
        <f t="shared" si="0"/>
        <v>9</v>
      </c>
      <c r="C15" s="13"/>
      <c r="D15" s="13"/>
      <c r="E15" s="13"/>
      <c r="F15" s="13"/>
      <c r="G15" s="13"/>
      <c r="H15" s="13"/>
      <c r="I15" s="13"/>
      <c r="J15" s="13"/>
      <c r="K15" s="13"/>
      <c r="L15" s="13">
        <v>7.2289999999999993E-2</v>
      </c>
      <c r="M15" s="13">
        <f t="shared" si="2"/>
        <v>0.96385999999999994</v>
      </c>
      <c r="N15" s="13"/>
      <c r="O15" s="13">
        <v>6.5600000000000006E-2</v>
      </c>
      <c r="P15" s="13">
        <f t="shared" si="3"/>
        <v>0.90169999999999995</v>
      </c>
      <c r="Q15" s="13"/>
      <c r="R15" s="13">
        <v>5.5800000000000002E-2</v>
      </c>
      <c r="S15" s="13">
        <f t="shared" si="4"/>
        <v>0.80459999999999987</v>
      </c>
      <c r="T15" s="13"/>
      <c r="U15" s="13">
        <v>5.91E-2</v>
      </c>
      <c r="V15" s="13">
        <f t="shared" si="5"/>
        <v>0.61620000000000008</v>
      </c>
      <c r="W15" s="13"/>
      <c r="X15" s="13">
        <v>8.7389999999999995E-2</v>
      </c>
      <c r="Y15" s="13">
        <f t="shared" si="6"/>
        <v>0.86888999999999983</v>
      </c>
      <c r="Z15" s="13"/>
      <c r="AA15" s="13">
        <v>4.462E-2</v>
      </c>
      <c r="AB15" s="13">
        <f t="shared" si="7"/>
        <v>0.48692999999999997</v>
      </c>
      <c r="AC15" s="13"/>
      <c r="AD15" s="13">
        <v>3.175E-2</v>
      </c>
      <c r="AE15" s="13">
        <f t="shared" si="8"/>
        <v>0.27118999999999999</v>
      </c>
      <c r="AF15" s="13"/>
      <c r="AG15" s="13">
        <v>2.564E-2</v>
      </c>
      <c r="AH15" s="13">
        <f t="shared" si="9"/>
        <v>0.21795999999999999</v>
      </c>
      <c r="AI15" s="13"/>
      <c r="AJ15" s="13"/>
      <c r="AK15" s="13"/>
      <c r="AL15" s="13"/>
      <c r="AM15" s="13">
        <v>7.3270000000000002E-2</v>
      </c>
      <c r="AN15" s="13">
        <f t="shared" si="10"/>
        <v>0.74356999999999984</v>
      </c>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row>
    <row r="16" spans="1:144" x14ac:dyDescent="0.2">
      <c r="A16" s="9">
        <f t="shared" si="0"/>
        <v>10</v>
      </c>
      <c r="C16" s="13"/>
      <c r="D16" s="13"/>
      <c r="E16" s="13"/>
      <c r="F16" s="13"/>
      <c r="G16" s="13"/>
      <c r="H16" s="13"/>
      <c r="I16" s="13"/>
      <c r="J16" s="13"/>
      <c r="K16" s="13"/>
      <c r="L16" s="13">
        <v>3.6139999999999999E-2</v>
      </c>
      <c r="M16" s="13">
        <f t="shared" si="2"/>
        <v>0.99999999999999989</v>
      </c>
      <c r="N16" s="13"/>
      <c r="O16" s="13">
        <v>6.5500000000000003E-2</v>
      </c>
      <c r="P16" s="13">
        <f t="shared" si="3"/>
        <v>0.96719999999999995</v>
      </c>
      <c r="Q16" s="13"/>
      <c r="R16" s="13">
        <v>5.5899999999999998E-2</v>
      </c>
      <c r="S16" s="13">
        <f t="shared" si="4"/>
        <v>0.86049999999999982</v>
      </c>
      <c r="T16" s="13"/>
      <c r="U16" s="13">
        <v>5.8999999999999997E-2</v>
      </c>
      <c r="V16" s="13">
        <f t="shared" si="5"/>
        <v>0.67520000000000002</v>
      </c>
      <c r="W16" s="13"/>
      <c r="X16" s="13">
        <v>8.7389999999999995E-2</v>
      </c>
      <c r="Y16" s="13">
        <f t="shared" si="6"/>
        <v>0.9562799999999998</v>
      </c>
      <c r="Z16" s="13"/>
      <c r="AA16" s="13">
        <v>4.4609999999999997E-2</v>
      </c>
      <c r="AB16" s="13">
        <f t="shared" si="7"/>
        <v>0.53154000000000001</v>
      </c>
      <c r="AC16" s="13"/>
      <c r="AD16" s="13">
        <v>3.1739999999999997E-2</v>
      </c>
      <c r="AE16" s="13">
        <f t="shared" si="8"/>
        <v>0.30292999999999998</v>
      </c>
      <c r="AF16" s="13"/>
      <c r="AG16" s="13">
        <v>2.564E-2</v>
      </c>
      <c r="AH16" s="13">
        <f t="shared" si="9"/>
        <v>0.24359999999999998</v>
      </c>
      <c r="AI16" s="13"/>
      <c r="AJ16" s="13"/>
      <c r="AK16" s="13"/>
      <c r="AL16" s="13"/>
      <c r="AM16" s="13">
        <v>7.3270000000000002E-2</v>
      </c>
      <c r="AN16" s="13">
        <f t="shared" si="10"/>
        <v>0.81683999999999979</v>
      </c>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row>
    <row r="17" spans="1:144" x14ac:dyDescent="0.2">
      <c r="A17" s="9">
        <f t="shared" si="0"/>
        <v>11</v>
      </c>
      <c r="C17" s="13"/>
      <c r="D17" s="13"/>
      <c r="E17" s="13"/>
      <c r="F17" s="13"/>
      <c r="G17" s="13"/>
      <c r="H17" s="13"/>
      <c r="I17" s="13"/>
      <c r="J17" s="13"/>
      <c r="K17" s="13"/>
      <c r="L17" s="13"/>
      <c r="M17" s="13"/>
      <c r="N17" s="13"/>
      <c r="O17" s="13">
        <v>3.2800000000000003E-2</v>
      </c>
      <c r="P17" s="13">
        <f t="shared" si="3"/>
        <v>1</v>
      </c>
      <c r="Q17" s="13"/>
      <c r="R17" s="13">
        <v>5.5800000000000002E-2</v>
      </c>
      <c r="S17" s="13">
        <f t="shared" si="4"/>
        <v>0.91629999999999978</v>
      </c>
      <c r="T17" s="13"/>
      <c r="U17" s="13">
        <v>5.91E-2</v>
      </c>
      <c r="V17" s="13">
        <f t="shared" si="5"/>
        <v>0.73430000000000006</v>
      </c>
      <c r="W17" s="13"/>
      <c r="X17" s="13">
        <v>4.3720000000000002E-2</v>
      </c>
      <c r="Y17" s="13">
        <f t="shared" si="6"/>
        <v>0.99999999999999978</v>
      </c>
      <c r="Z17" s="13"/>
      <c r="AA17" s="13">
        <v>4.462E-2</v>
      </c>
      <c r="AB17" s="13">
        <f t="shared" si="7"/>
        <v>0.57616000000000001</v>
      </c>
      <c r="AC17" s="13"/>
      <c r="AD17" s="13">
        <v>3.175E-2</v>
      </c>
      <c r="AE17" s="13">
        <f t="shared" si="8"/>
        <v>0.33467999999999998</v>
      </c>
      <c r="AF17" s="13"/>
      <c r="AG17" s="13">
        <v>2.564E-2</v>
      </c>
      <c r="AH17" s="13">
        <f t="shared" si="9"/>
        <v>0.26923999999999998</v>
      </c>
      <c r="AI17" s="13"/>
      <c r="AJ17" s="13"/>
      <c r="AK17" s="13"/>
      <c r="AL17" s="13"/>
      <c r="AM17" s="13">
        <v>7.3270000000000002E-2</v>
      </c>
      <c r="AN17" s="13">
        <f t="shared" si="10"/>
        <v>0.89010999999999973</v>
      </c>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row>
    <row r="18" spans="1:144" x14ac:dyDescent="0.2">
      <c r="A18" s="9">
        <f t="shared" si="0"/>
        <v>12</v>
      </c>
      <c r="C18" s="13"/>
      <c r="D18" s="13"/>
      <c r="E18" s="13"/>
      <c r="F18" s="13"/>
      <c r="G18" s="13"/>
      <c r="H18" s="13"/>
      <c r="I18" s="13"/>
      <c r="J18" s="13"/>
      <c r="K18" s="13"/>
      <c r="L18" s="13"/>
      <c r="M18" s="13"/>
      <c r="N18" s="13"/>
      <c r="O18" s="13"/>
      <c r="P18" s="13"/>
      <c r="Q18" s="13"/>
      <c r="R18" s="13">
        <v>5.5800000000000002E-2</v>
      </c>
      <c r="S18" s="13">
        <f t="shared" si="4"/>
        <v>0.97209999999999974</v>
      </c>
      <c r="T18" s="13"/>
      <c r="U18" s="13">
        <v>5.8999999999999997E-2</v>
      </c>
      <c r="V18" s="13">
        <f t="shared" si="5"/>
        <v>0.79330000000000012</v>
      </c>
      <c r="W18" s="13"/>
      <c r="X18" s="13"/>
      <c r="Y18" s="13"/>
      <c r="Z18" s="13"/>
      <c r="AA18" s="13">
        <v>4.4609999999999997E-2</v>
      </c>
      <c r="AB18" s="13">
        <f t="shared" si="7"/>
        <v>0.62077000000000004</v>
      </c>
      <c r="AC18" s="13"/>
      <c r="AD18" s="13">
        <v>3.1739999999999997E-2</v>
      </c>
      <c r="AE18" s="13">
        <f t="shared" si="8"/>
        <v>0.36641999999999997</v>
      </c>
      <c r="AF18" s="13"/>
      <c r="AG18" s="13">
        <v>2.564E-2</v>
      </c>
      <c r="AH18" s="13">
        <f t="shared" si="9"/>
        <v>0.29487999999999998</v>
      </c>
      <c r="AI18" s="13"/>
      <c r="AJ18" s="13"/>
      <c r="AK18" s="13"/>
      <c r="AL18" s="13"/>
      <c r="AM18" s="13">
        <v>7.3270000000000002E-2</v>
      </c>
      <c r="AN18" s="13">
        <f t="shared" si="10"/>
        <v>0.96337999999999968</v>
      </c>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row>
    <row r="19" spans="1:144" x14ac:dyDescent="0.2">
      <c r="A19" s="9">
        <f t="shared" si="0"/>
        <v>13</v>
      </c>
      <c r="C19" s="13"/>
      <c r="D19" s="13"/>
      <c r="E19" s="13"/>
      <c r="F19" s="13"/>
      <c r="G19" s="13"/>
      <c r="H19" s="13"/>
      <c r="I19" s="13"/>
      <c r="J19" s="13"/>
      <c r="K19" s="13"/>
      <c r="L19" s="13"/>
      <c r="M19" s="13"/>
      <c r="N19" s="13"/>
      <c r="O19" s="13"/>
      <c r="P19" s="13"/>
      <c r="Q19" s="13"/>
      <c r="R19" s="13">
        <v>2.7900000000000001E-2</v>
      </c>
      <c r="S19" s="13">
        <f t="shared" si="4"/>
        <v>0.99999999999999978</v>
      </c>
      <c r="T19" s="13"/>
      <c r="U19" s="13">
        <v>5.91E-2</v>
      </c>
      <c r="V19" s="13">
        <f t="shared" si="5"/>
        <v>0.85240000000000016</v>
      </c>
      <c r="W19" s="13"/>
      <c r="X19" s="13"/>
      <c r="Y19" s="13"/>
      <c r="Z19" s="13"/>
      <c r="AA19" s="13">
        <v>4.462E-2</v>
      </c>
      <c r="AB19" s="13">
        <f t="shared" si="7"/>
        <v>0.66539000000000004</v>
      </c>
      <c r="AC19" s="13"/>
      <c r="AD19" s="13">
        <v>3.175E-2</v>
      </c>
      <c r="AE19" s="13">
        <f t="shared" si="8"/>
        <v>0.39816999999999997</v>
      </c>
      <c r="AF19" s="13"/>
      <c r="AG19" s="13">
        <v>2.564E-2</v>
      </c>
      <c r="AH19" s="13">
        <f t="shared" si="9"/>
        <v>0.32051999999999997</v>
      </c>
      <c r="AI19" s="13"/>
      <c r="AJ19" s="13"/>
      <c r="AK19" s="13"/>
      <c r="AL19" s="13"/>
      <c r="AM19" s="13">
        <v>3.662E-2</v>
      </c>
      <c r="AN19" s="13">
        <f t="shared" si="10"/>
        <v>0.99999999999999967</v>
      </c>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row>
    <row r="20" spans="1:144" x14ac:dyDescent="0.2">
      <c r="A20" s="9">
        <f t="shared" si="0"/>
        <v>14</v>
      </c>
      <c r="C20" s="13"/>
      <c r="D20" s="13"/>
      <c r="E20" s="13"/>
      <c r="F20" s="13"/>
      <c r="G20" s="13"/>
      <c r="H20" s="13"/>
      <c r="I20" s="13"/>
      <c r="J20" s="13"/>
      <c r="K20" s="13"/>
      <c r="L20" s="13"/>
      <c r="M20" s="13"/>
      <c r="N20" s="13"/>
      <c r="O20" s="13"/>
      <c r="P20" s="13"/>
      <c r="Q20" s="13"/>
      <c r="R20" s="13"/>
      <c r="S20" s="13"/>
      <c r="T20" s="13"/>
      <c r="U20" s="13">
        <v>5.8999999999999997E-2</v>
      </c>
      <c r="V20" s="13">
        <f t="shared" si="5"/>
        <v>0.91140000000000021</v>
      </c>
      <c r="W20" s="13"/>
      <c r="X20" s="13"/>
      <c r="Y20" s="13"/>
      <c r="Z20" s="13"/>
      <c r="AA20" s="13">
        <v>4.4609999999999997E-2</v>
      </c>
      <c r="AB20" s="13">
        <f t="shared" si="7"/>
        <v>0.71000000000000008</v>
      </c>
      <c r="AC20" s="13"/>
      <c r="AD20" s="13">
        <v>3.1739999999999997E-2</v>
      </c>
      <c r="AE20" s="13">
        <f t="shared" si="8"/>
        <v>0.42990999999999996</v>
      </c>
      <c r="AF20" s="13"/>
      <c r="AG20" s="13">
        <v>2.564E-2</v>
      </c>
      <c r="AH20" s="13">
        <f t="shared" si="9"/>
        <v>0.34615999999999997</v>
      </c>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row>
    <row r="21" spans="1:144" x14ac:dyDescent="0.2">
      <c r="A21" s="9">
        <f t="shared" si="0"/>
        <v>15</v>
      </c>
      <c r="C21" s="13"/>
      <c r="D21" s="13"/>
      <c r="E21" s="13"/>
      <c r="F21" s="13"/>
      <c r="G21" s="13"/>
      <c r="H21" s="13"/>
      <c r="I21" s="13"/>
      <c r="J21" s="13"/>
      <c r="K21" s="13"/>
      <c r="L21" s="13"/>
      <c r="M21" s="13"/>
      <c r="N21" s="13"/>
      <c r="O21" s="13"/>
      <c r="P21" s="13"/>
      <c r="Q21" s="13"/>
      <c r="R21" s="13"/>
      <c r="S21" s="13"/>
      <c r="T21" s="13"/>
      <c r="U21" s="13">
        <v>5.91E-2</v>
      </c>
      <c r="V21" s="13">
        <f t="shared" si="5"/>
        <v>0.97050000000000025</v>
      </c>
      <c r="W21" s="13"/>
      <c r="X21" s="13"/>
      <c r="Y21" s="13"/>
      <c r="Z21" s="13"/>
      <c r="AA21" s="13">
        <v>4.462E-2</v>
      </c>
      <c r="AB21" s="13">
        <f t="shared" si="7"/>
        <v>0.75462000000000007</v>
      </c>
      <c r="AC21" s="13"/>
      <c r="AD21" s="13">
        <v>3.175E-2</v>
      </c>
      <c r="AE21" s="13">
        <f t="shared" si="8"/>
        <v>0.46165999999999996</v>
      </c>
      <c r="AF21" s="13"/>
      <c r="AG21" s="13">
        <v>2.564E-2</v>
      </c>
      <c r="AH21" s="13">
        <f t="shared" si="9"/>
        <v>0.37179999999999996</v>
      </c>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row>
    <row r="22" spans="1:144" x14ac:dyDescent="0.2">
      <c r="A22" s="9">
        <f t="shared" si="0"/>
        <v>16</v>
      </c>
      <c r="C22" s="13"/>
      <c r="D22" s="13"/>
      <c r="E22" s="13"/>
      <c r="F22" s="13"/>
      <c r="G22" s="13"/>
      <c r="H22" s="13"/>
      <c r="I22" s="13"/>
      <c r="J22" s="13"/>
      <c r="K22" s="13"/>
      <c r="L22" s="13"/>
      <c r="M22" s="13"/>
      <c r="N22" s="13"/>
      <c r="O22" s="13"/>
      <c r="P22" s="13"/>
      <c r="Q22" s="13"/>
      <c r="R22" s="13"/>
      <c r="S22" s="13"/>
      <c r="T22" s="13"/>
      <c r="U22" s="13">
        <v>2.9499999999999998E-2</v>
      </c>
      <c r="V22" s="13">
        <f t="shared" si="5"/>
        <v>1.0000000000000002</v>
      </c>
      <c r="W22" s="13"/>
      <c r="X22" s="13"/>
      <c r="Y22" s="13"/>
      <c r="Z22" s="13"/>
      <c r="AA22" s="13">
        <v>4.4609999999999997E-2</v>
      </c>
      <c r="AB22" s="13">
        <f t="shared" si="7"/>
        <v>0.79923000000000011</v>
      </c>
      <c r="AC22" s="13"/>
      <c r="AD22" s="13">
        <v>3.1739999999999997E-2</v>
      </c>
      <c r="AE22" s="13">
        <f t="shared" si="8"/>
        <v>0.49339999999999995</v>
      </c>
      <c r="AF22" s="13"/>
      <c r="AG22" s="13">
        <v>2.564E-2</v>
      </c>
      <c r="AH22" s="13">
        <f t="shared" si="9"/>
        <v>0.39743999999999996</v>
      </c>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row>
    <row r="23" spans="1:144" x14ac:dyDescent="0.2">
      <c r="A23" s="9">
        <f t="shared" si="0"/>
        <v>17</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v>4.462E-2</v>
      </c>
      <c r="AB23" s="13">
        <f t="shared" si="7"/>
        <v>0.8438500000000001</v>
      </c>
      <c r="AC23" s="13"/>
      <c r="AD23" s="13">
        <v>3.175E-2</v>
      </c>
      <c r="AE23" s="13">
        <f t="shared" si="8"/>
        <v>0.52515000000000001</v>
      </c>
      <c r="AF23" s="13"/>
      <c r="AG23" s="13">
        <v>2.564E-2</v>
      </c>
      <c r="AH23" s="13">
        <f t="shared" si="9"/>
        <v>0.42307999999999996</v>
      </c>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row>
    <row r="24" spans="1:144" x14ac:dyDescent="0.2">
      <c r="A24" s="9">
        <f t="shared" si="0"/>
        <v>18</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v>4.4609999999999997E-2</v>
      </c>
      <c r="AB24" s="13">
        <f t="shared" si="7"/>
        <v>0.88846000000000014</v>
      </c>
      <c r="AC24" s="13"/>
      <c r="AD24" s="13">
        <v>3.1739999999999997E-2</v>
      </c>
      <c r="AE24" s="13">
        <f t="shared" si="8"/>
        <v>0.55689</v>
      </c>
      <c r="AF24" s="13"/>
      <c r="AG24" s="13">
        <v>2.564E-2</v>
      </c>
      <c r="AH24" s="13">
        <f t="shared" si="9"/>
        <v>0.44871999999999995</v>
      </c>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row>
    <row r="25" spans="1:144" x14ac:dyDescent="0.2">
      <c r="A25" s="9">
        <f t="shared" si="0"/>
        <v>19</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v>4.462E-2</v>
      </c>
      <c r="AB25" s="13">
        <f t="shared" si="7"/>
        <v>0.93308000000000013</v>
      </c>
      <c r="AC25" s="13"/>
      <c r="AD25" s="13">
        <v>3.175E-2</v>
      </c>
      <c r="AE25" s="13">
        <f t="shared" si="8"/>
        <v>0.58864000000000005</v>
      </c>
      <c r="AF25" s="13"/>
      <c r="AG25" s="13">
        <v>2.564E-2</v>
      </c>
      <c r="AH25" s="13">
        <f t="shared" si="9"/>
        <v>0.47435999999999995</v>
      </c>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row>
    <row r="26" spans="1:144" x14ac:dyDescent="0.2">
      <c r="A26" s="9">
        <f t="shared" si="0"/>
        <v>20</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v>4.4609999999999997E-2</v>
      </c>
      <c r="AB26" s="13">
        <f t="shared" si="7"/>
        <v>0.97769000000000017</v>
      </c>
      <c r="AC26" s="13"/>
      <c r="AD26" s="13">
        <v>3.1739999999999997E-2</v>
      </c>
      <c r="AE26" s="13">
        <f t="shared" si="8"/>
        <v>0.62038000000000004</v>
      </c>
      <c r="AF26" s="13"/>
      <c r="AG26" s="13">
        <v>2.564E-2</v>
      </c>
      <c r="AH26" s="13">
        <f t="shared" si="9"/>
        <v>0.49999999999999994</v>
      </c>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row>
    <row r="27" spans="1:144" x14ac:dyDescent="0.2">
      <c r="A27" s="9">
        <f t="shared" si="0"/>
        <v>21</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v>2.231E-2</v>
      </c>
      <c r="AB27" s="13">
        <f t="shared" si="7"/>
        <v>1.0000000000000002</v>
      </c>
      <c r="AC27" s="13"/>
      <c r="AD27" s="13">
        <v>3.175E-2</v>
      </c>
      <c r="AE27" s="13">
        <f t="shared" si="8"/>
        <v>0.6521300000000001</v>
      </c>
      <c r="AF27" s="13"/>
      <c r="AG27" s="13">
        <v>2.564E-2</v>
      </c>
      <c r="AH27" s="13">
        <f t="shared" si="9"/>
        <v>0.52564</v>
      </c>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row>
    <row r="28" spans="1:144" x14ac:dyDescent="0.2">
      <c r="A28" s="9">
        <f t="shared" si="0"/>
        <v>22</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v>3.1739999999999997E-2</v>
      </c>
      <c r="AE28" s="13">
        <f t="shared" si="8"/>
        <v>0.68387000000000009</v>
      </c>
      <c r="AF28" s="13"/>
      <c r="AG28" s="13">
        <v>2.564E-2</v>
      </c>
      <c r="AH28" s="13">
        <f t="shared" si="9"/>
        <v>0.55127999999999999</v>
      </c>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row>
    <row r="29" spans="1:144" x14ac:dyDescent="0.2">
      <c r="A29" s="9">
        <f t="shared" si="0"/>
        <v>23</v>
      </c>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v>3.175E-2</v>
      </c>
      <c r="AE29" s="13">
        <f t="shared" si="8"/>
        <v>0.71562000000000014</v>
      </c>
      <c r="AF29" s="13"/>
      <c r="AG29" s="13">
        <v>2.564E-2</v>
      </c>
      <c r="AH29" s="13">
        <f t="shared" si="9"/>
        <v>0.57691999999999999</v>
      </c>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row>
    <row r="30" spans="1:144" x14ac:dyDescent="0.2">
      <c r="A30" s="9">
        <f t="shared" si="0"/>
        <v>24</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v>3.1739999999999997E-2</v>
      </c>
      <c r="AE30" s="13">
        <f t="shared" si="8"/>
        <v>0.74736000000000014</v>
      </c>
      <c r="AF30" s="13"/>
      <c r="AG30" s="13">
        <v>2.564E-2</v>
      </c>
      <c r="AH30" s="13">
        <f t="shared" si="9"/>
        <v>0.60255999999999998</v>
      </c>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row>
    <row r="31" spans="1:144" x14ac:dyDescent="0.2">
      <c r="A31" s="9">
        <f t="shared" si="0"/>
        <v>25</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v>3.175E-2</v>
      </c>
      <c r="AE31" s="13">
        <f t="shared" si="8"/>
        <v>0.77911000000000019</v>
      </c>
      <c r="AF31" s="13"/>
      <c r="AG31" s="13">
        <v>2.564E-2</v>
      </c>
      <c r="AH31" s="13">
        <f t="shared" si="9"/>
        <v>0.62819999999999998</v>
      </c>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row>
    <row r="32" spans="1:144" x14ac:dyDescent="0.2">
      <c r="A32" s="9">
        <f t="shared" si="0"/>
        <v>26</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v>3.1739999999999997E-2</v>
      </c>
      <c r="AE32" s="13">
        <f t="shared" si="8"/>
        <v>0.81085000000000018</v>
      </c>
      <c r="AF32" s="13"/>
      <c r="AG32" s="13">
        <v>2.564E-2</v>
      </c>
      <c r="AH32" s="13">
        <f t="shared" si="9"/>
        <v>0.65383999999999998</v>
      </c>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row>
    <row r="33" spans="1:144" x14ac:dyDescent="0.2">
      <c r="A33" s="9">
        <f t="shared" si="0"/>
        <v>27</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v>3.175E-2</v>
      </c>
      <c r="AE33" s="13">
        <f t="shared" si="8"/>
        <v>0.84260000000000024</v>
      </c>
      <c r="AF33" s="13"/>
      <c r="AG33" s="13">
        <v>2.564E-2</v>
      </c>
      <c r="AH33" s="13">
        <f t="shared" si="9"/>
        <v>0.67947999999999997</v>
      </c>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row>
    <row r="34" spans="1:144" x14ac:dyDescent="0.2">
      <c r="A34" s="9">
        <f t="shared" si="0"/>
        <v>28</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v>3.1739999999999997E-2</v>
      </c>
      <c r="AE34" s="13">
        <f t="shared" si="8"/>
        <v>0.87434000000000023</v>
      </c>
      <c r="AF34" s="13"/>
      <c r="AG34" s="13">
        <v>2.564E-2</v>
      </c>
      <c r="AH34" s="13">
        <f t="shared" si="9"/>
        <v>0.70511999999999997</v>
      </c>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row>
    <row r="35" spans="1:144" x14ac:dyDescent="0.2">
      <c r="A35" s="9">
        <f t="shared" si="0"/>
        <v>29</v>
      </c>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v>3.175E-2</v>
      </c>
      <c r="AE35" s="13">
        <f t="shared" si="8"/>
        <v>0.90609000000000028</v>
      </c>
      <c r="AF35" s="13"/>
      <c r="AG35" s="13">
        <v>2.564E-2</v>
      </c>
      <c r="AH35" s="13">
        <f t="shared" si="9"/>
        <v>0.73075999999999997</v>
      </c>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row>
    <row r="36" spans="1:144" x14ac:dyDescent="0.2">
      <c r="A36" s="9">
        <f t="shared" si="0"/>
        <v>30</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v>3.1739999999999997E-2</v>
      </c>
      <c r="AE36" s="13">
        <f t="shared" si="8"/>
        <v>0.93783000000000027</v>
      </c>
      <c r="AF36" s="13"/>
      <c r="AG36" s="13">
        <v>2.564E-2</v>
      </c>
      <c r="AH36" s="13">
        <f t="shared" si="9"/>
        <v>0.75639999999999996</v>
      </c>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row>
    <row r="37" spans="1:144" x14ac:dyDescent="0.2">
      <c r="A37" s="9">
        <f t="shared" si="0"/>
        <v>31</v>
      </c>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v>3.175E-2</v>
      </c>
      <c r="AE37" s="13">
        <f t="shared" si="8"/>
        <v>0.96958000000000033</v>
      </c>
      <c r="AF37" s="13"/>
      <c r="AG37" s="13">
        <v>2.564E-2</v>
      </c>
      <c r="AH37" s="13">
        <f t="shared" si="9"/>
        <v>0.78203999999999996</v>
      </c>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row>
    <row r="38" spans="1:144" x14ac:dyDescent="0.2">
      <c r="A38" s="9">
        <f t="shared" si="0"/>
        <v>32</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v>3.0419999999999999E-2</v>
      </c>
      <c r="AE38" s="13">
        <f t="shared" si="8"/>
        <v>1.0000000000000002</v>
      </c>
      <c r="AF38" s="13"/>
      <c r="AG38" s="13">
        <v>2.564E-2</v>
      </c>
      <c r="AH38" s="13">
        <f t="shared" si="9"/>
        <v>0.80767999999999995</v>
      </c>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row>
    <row r="39" spans="1:144" x14ac:dyDescent="0.2">
      <c r="A39" s="9">
        <f t="shared" si="0"/>
        <v>33</v>
      </c>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v>2.564E-2</v>
      </c>
      <c r="AH39" s="13">
        <f t="shared" si="9"/>
        <v>0.83331999999999995</v>
      </c>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row>
    <row r="40" spans="1:144" x14ac:dyDescent="0.2">
      <c r="A40" s="9">
        <f t="shared" si="0"/>
        <v>34</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v>2.564E-2</v>
      </c>
      <c r="AH40" s="13">
        <f t="shared" si="9"/>
        <v>0.85895999999999995</v>
      </c>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row>
    <row r="41" spans="1:144" x14ac:dyDescent="0.2">
      <c r="A41" s="9">
        <f t="shared" si="0"/>
        <v>35</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v>2.564E-2</v>
      </c>
      <c r="AH41" s="13">
        <f t="shared" si="9"/>
        <v>0.88459999999999994</v>
      </c>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row>
    <row r="42" spans="1:144" x14ac:dyDescent="0.2">
      <c r="A42" s="9">
        <f t="shared" si="0"/>
        <v>36</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v>2.564E-2</v>
      </c>
      <c r="AH42" s="13">
        <f t="shared" si="9"/>
        <v>0.91023999999999994</v>
      </c>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row>
    <row r="43" spans="1:144" x14ac:dyDescent="0.2">
      <c r="A43" s="9">
        <f t="shared" si="0"/>
        <v>37</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v>2.564E-2</v>
      </c>
      <c r="AH43" s="13">
        <f t="shared" si="9"/>
        <v>0.93587999999999993</v>
      </c>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row>
    <row r="44" spans="1:144" x14ac:dyDescent="0.2">
      <c r="A44" s="9">
        <f t="shared" si="0"/>
        <v>38</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v>2.564E-2</v>
      </c>
      <c r="AH44" s="13">
        <f t="shared" si="9"/>
        <v>0.96151999999999993</v>
      </c>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row>
    <row r="45" spans="1:144" x14ac:dyDescent="0.2">
      <c r="A45" s="9">
        <f t="shared" si="0"/>
        <v>39</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v>2.564E-2</v>
      </c>
      <c r="AH45" s="13">
        <f t="shared" si="9"/>
        <v>0.98715999999999993</v>
      </c>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row>
    <row r="46" spans="1:144" x14ac:dyDescent="0.2">
      <c r="A46" s="9">
        <f t="shared" si="0"/>
        <v>40</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v>1.2840000000000001E-2</v>
      </c>
      <c r="AH46" s="13">
        <f t="shared" si="9"/>
        <v>0.99999999999999989</v>
      </c>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row>
    <row r="47" spans="1:144" x14ac:dyDescent="0.2">
      <c r="A47" s="9"/>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row>
    <row r="48" spans="1:144" x14ac:dyDescent="0.2">
      <c r="A48" s="9"/>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row>
    <row r="49" spans="1:144" x14ac:dyDescent="0.2">
      <c r="A49" s="9"/>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row>
    <row r="50" spans="1:144" x14ac:dyDescent="0.2">
      <c r="A50" s="9"/>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row>
    <row r="51" spans="1:144" x14ac:dyDescent="0.2">
      <c r="A51" s="9"/>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row>
    <row r="52" spans="1:144" x14ac:dyDescent="0.2">
      <c r="A52" s="9"/>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row>
    <row r="53" spans="1:144" x14ac:dyDescent="0.2">
      <c r="A53" s="9"/>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row>
    <row r="54" spans="1:144" x14ac:dyDescent="0.2">
      <c r="A54" s="9"/>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row>
    <row r="55" spans="1:144" x14ac:dyDescent="0.2">
      <c r="A55" s="9"/>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row>
    <row r="56" spans="1:144" x14ac:dyDescent="0.2">
      <c r="A56" s="9"/>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row>
    <row r="57" spans="1:144" x14ac:dyDescent="0.2">
      <c r="A57" s="9"/>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row>
    <row r="58" spans="1:144" x14ac:dyDescent="0.2">
      <c r="A58" s="9"/>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row>
    <row r="59" spans="1:144" x14ac:dyDescent="0.2">
      <c r="A59" s="9"/>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row>
    <row r="60" spans="1:144" x14ac:dyDescent="0.2">
      <c r="A60" s="9"/>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row>
    <row r="61" spans="1:144" x14ac:dyDescent="0.2">
      <c r="A61" s="9"/>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row>
    <row r="62" spans="1:144" x14ac:dyDescent="0.2">
      <c r="A62" s="9"/>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row>
    <row r="63" spans="1:144" x14ac:dyDescent="0.2">
      <c r="A63" s="9"/>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row>
    <row r="64" spans="1:144" x14ac:dyDescent="0.2">
      <c r="A64" s="9"/>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row>
    <row r="65" spans="1:144" x14ac:dyDescent="0.2">
      <c r="A65" s="9"/>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row>
    <row r="66" spans="1:144" x14ac:dyDescent="0.2">
      <c r="A66" s="9"/>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row>
    <row r="67" spans="1:144" x14ac:dyDescent="0.2">
      <c r="A67" s="9"/>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row>
    <row r="68" spans="1:144" x14ac:dyDescent="0.2">
      <c r="A68" s="9"/>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row>
    <row r="69" spans="1:144" x14ac:dyDescent="0.2">
      <c r="A69" s="9"/>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row>
    <row r="70" spans="1:144" x14ac:dyDescent="0.2">
      <c r="A70" s="9"/>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row>
    <row r="71" spans="1:144" x14ac:dyDescent="0.2">
      <c r="A71" s="9"/>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row>
    <row r="72" spans="1:144" x14ac:dyDescent="0.2">
      <c r="A72" s="9"/>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row>
    <row r="73" spans="1:144" x14ac:dyDescent="0.2">
      <c r="A73" s="9"/>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row>
    <row r="74" spans="1:144" x14ac:dyDescent="0.2">
      <c r="A74" s="9"/>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row>
    <row r="75" spans="1:144" x14ac:dyDescent="0.2">
      <c r="A75" s="9"/>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row>
    <row r="76" spans="1:144" x14ac:dyDescent="0.2">
      <c r="A76" s="9"/>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row>
    <row r="77" spans="1:144" x14ac:dyDescent="0.2">
      <c r="A77" s="9"/>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row>
    <row r="78" spans="1:144" x14ac:dyDescent="0.2">
      <c r="A78" s="9"/>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row>
    <row r="79" spans="1:144" x14ac:dyDescent="0.2">
      <c r="A79" s="9"/>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row>
    <row r="80" spans="1:144" x14ac:dyDescent="0.2">
      <c r="A80" s="9"/>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row>
    <row r="81" spans="1:144" x14ac:dyDescent="0.2">
      <c r="A81" s="9"/>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row>
    <row r="82" spans="1:144" x14ac:dyDescent="0.2">
      <c r="A82" s="9"/>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row>
    <row r="83" spans="1:144" x14ac:dyDescent="0.2">
      <c r="A83" s="9"/>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row>
    <row r="84" spans="1:144" x14ac:dyDescent="0.2">
      <c r="A84" s="9"/>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row>
    <row r="85" spans="1:144" x14ac:dyDescent="0.2">
      <c r="A85" s="9"/>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row>
    <row r="86" spans="1:144" x14ac:dyDescent="0.2">
      <c r="A86" s="9"/>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row>
    <row r="87" spans="1:144" x14ac:dyDescent="0.2">
      <c r="A87" s="9"/>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row>
    <row r="88" spans="1:144" x14ac:dyDescent="0.2">
      <c r="A88" s="9"/>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row>
    <row r="89" spans="1:144" x14ac:dyDescent="0.2">
      <c r="A89" s="9"/>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row>
    <row r="90" spans="1:144" x14ac:dyDescent="0.2">
      <c r="A90" s="9"/>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row>
    <row r="91" spans="1:144" x14ac:dyDescent="0.2">
      <c r="A91" s="9"/>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row>
    <row r="92" spans="1:144" x14ac:dyDescent="0.2">
      <c r="A92" s="9"/>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row>
    <row r="93" spans="1:144" x14ac:dyDescent="0.2">
      <c r="A93" s="9"/>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row>
    <row r="94" spans="1:144" x14ac:dyDescent="0.2">
      <c r="A94" s="9"/>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row>
    <row r="95" spans="1:144" x14ac:dyDescent="0.2">
      <c r="A95" s="9"/>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row>
    <row r="96" spans="1:144" x14ac:dyDescent="0.2">
      <c r="A96" s="9"/>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row>
    <row r="97" spans="1:144" x14ac:dyDescent="0.2">
      <c r="A97" s="9"/>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row>
    <row r="98" spans="1:144" x14ac:dyDescent="0.2">
      <c r="A98" s="9"/>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row>
    <row r="99" spans="1:144" x14ac:dyDescent="0.2">
      <c r="A99" s="9"/>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row>
    <row r="100" spans="1:144" x14ac:dyDescent="0.2">
      <c r="A100" s="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row>
    <row r="101" spans="1:144" x14ac:dyDescent="0.2">
      <c r="A101" s="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row>
    <row r="102" spans="1:144" x14ac:dyDescent="0.2">
      <c r="A102" s="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row>
    <row r="103" spans="1:144" x14ac:dyDescent="0.2">
      <c r="A103" s="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row>
    <row r="104" spans="1:144" x14ac:dyDescent="0.2">
      <c r="A104" s="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row>
    <row r="105" spans="1:144" x14ac:dyDescent="0.2">
      <c r="A105" s="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row>
    <row r="106" spans="1:144" x14ac:dyDescent="0.2">
      <c r="A106" s="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row>
    <row r="107" spans="1:144" x14ac:dyDescent="0.2">
      <c r="A107" s="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row>
    <row r="108" spans="1:144" x14ac:dyDescent="0.2">
      <c r="A108" s="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row>
    <row r="109" spans="1:144" x14ac:dyDescent="0.2">
      <c r="A109" s="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row>
    <row r="110" spans="1:144" x14ac:dyDescent="0.2">
      <c r="A110" s="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row>
    <row r="111" spans="1:144" x14ac:dyDescent="0.2">
      <c r="A111" s="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row>
    <row r="112" spans="1:144" x14ac:dyDescent="0.2">
      <c r="A112" s="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row>
    <row r="113" spans="1:144" x14ac:dyDescent="0.2">
      <c r="A113" s="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row>
    <row r="114" spans="1:144" x14ac:dyDescent="0.2">
      <c r="A114" s="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row>
    <row r="115" spans="1:144" x14ac:dyDescent="0.2">
      <c r="A115" s="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row>
    <row r="116" spans="1:144" x14ac:dyDescent="0.2">
      <c r="A116" s="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row>
    <row r="117" spans="1:144" x14ac:dyDescent="0.2">
      <c r="A117" s="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row>
    <row r="118" spans="1:144" x14ac:dyDescent="0.2">
      <c r="A118" s="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row>
    <row r="119" spans="1:144" x14ac:dyDescent="0.2">
      <c r="A119" s="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row>
    <row r="120" spans="1:144" x14ac:dyDescent="0.2">
      <c r="A120" s="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row>
    <row r="121" spans="1:144" x14ac:dyDescent="0.2">
      <c r="A121" s="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row>
    <row r="122" spans="1:144" x14ac:dyDescent="0.2">
      <c r="A122" s="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row>
    <row r="123" spans="1:144" x14ac:dyDescent="0.2">
      <c r="A123" s="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row>
    <row r="124" spans="1:144" x14ac:dyDescent="0.2">
      <c r="A124" s="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row>
    <row r="125" spans="1:144" x14ac:dyDescent="0.2">
      <c r="A125" s="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row>
    <row r="126" spans="1:144" x14ac:dyDescent="0.2">
      <c r="A126" s="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row>
    <row r="127" spans="1:144" x14ac:dyDescent="0.2">
      <c r="A127" s="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row>
    <row r="128" spans="1:144" x14ac:dyDescent="0.2">
      <c r="A128" s="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row>
    <row r="129" spans="1:144" x14ac:dyDescent="0.2">
      <c r="A129" s="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row>
    <row r="130" spans="1:144" x14ac:dyDescent="0.2">
      <c r="A130" s="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row>
    <row r="131" spans="1:144" x14ac:dyDescent="0.2">
      <c r="A131" s="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row>
    <row r="132" spans="1:144" x14ac:dyDescent="0.2">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row>
    <row r="133" spans="1:144" x14ac:dyDescent="0.2">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row>
    <row r="134" spans="1:144" x14ac:dyDescent="0.2">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row>
    <row r="135" spans="1:144" x14ac:dyDescent="0.2">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row>
    <row r="136" spans="1:144" x14ac:dyDescent="0.2">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row>
    <row r="137" spans="1:144" x14ac:dyDescent="0.2">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row>
    <row r="138" spans="1:144" x14ac:dyDescent="0.2">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row>
    <row r="139" spans="1:144" x14ac:dyDescent="0.2">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row>
    <row r="140" spans="1:144" x14ac:dyDescent="0.2">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row>
    <row r="141" spans="1:144" x14ac:dyDescent="0.2">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row>
    <row r="142" spans="1:144" x14ac:dyDescent="0.2">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row>
    <row r="143" spans="1:144" x14ac:dyDescent="0.2">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row>
    <row r="144" spans="1:144" x14ac:dyDescent="0.2">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row>
    <row r="145" spans="3:144" x14ac:dyDescent="0.2">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row>
    <row r="146" spans="3:144" x14ac:dyDescent="0.2">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row>
    <row r="147" spans="3:144" x14ac:dyDescent="0.2">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row>
    <row r="148" spans="3:144" x14ac:dyDescent="0.2">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row>
    <row r="149" spans="3:144" x14ac:dyDescent="0.2">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row>
    <row r="150" spans="3:144" x14ac:dyDescent="0.2">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row>
    <row r="151" spans="3:144" x14ac:dyDescent="0.2">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row>
    <row r="152" spans="3:144" x14ac:dyDescent="0.2">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row>
    <row r="153" spans="3:144" x14ac:dyDescent="0.2">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row>
    <row r="154" spans="3:144" x14ac:dyDescent="0.2">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row>
    <row r="155" spans="3:144" x14ac:dyDescent="0.2">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row>
    <row r="156" spans="3:144" x14ac:dyDescent="0.2">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row>
    <row r="157" spans="3:144" x14ac:dyDescent="0.2">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row>
    <row r="158" spans="3:144" x14ac:dyDescent="0.2">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row>
    <row r="159" spans="3:144" x14ac:dyDescent="0.2">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row>
    <row r="160" spans="3:144" x14ac:dyDescent="0.2">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row>
    <row r="161" spans="3:144" x14ac:dyDescent="0.2">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row>
    <row r="162" spans="3:144" x14ac:dyDescent="0.2">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row>
    <row r="163" spans="3:144" x14ac:dyDescent="0.2">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row>
    <row r="164" spans="3:144" x14ac:dyDescent="0.2">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row>
    <row r="165" spans="3:144" x14ac:dyDescent="0.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row>
    <row r="166" spans="3:144" x14ac:dyDescent="0.2">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row>
    <row r="167" spans="3:144" x14ac:dyDescent="0.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row>
    <row r="168" spans="3:144" x14ac:dyDescent="0.2">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row>
    <row r="169" spans="3:144" x14ac:dyDescent="0.2">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row>
    <row r="170" spans="3:144" x14ac:dyDescent="0.2">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row>
    <row r="171" spans="3:144" x14ac:dyDescent="0.2">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row>
    <row r="172" spans="3:144" x14ac:dyDescent="0.2">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row>
    <row r="173" spans="3:144" x14ac:dyDescent="0.2">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row>
    <row r="174" spans="3:144" x14ac:dyDescent="0.2">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row>
    <row r="175" spans="3:144" x14ac:dyDescent="0.2">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row>
    <row r="176" spans="3:144" x14ac:dyDescent="0.2">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row>
    <row r="177" spans="3:144" x14ac:dyDescent="0.2">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row>
    <row r="178" spans="3:144" x14ac:dyDescent="0.2">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row>
    <row r="179" spans="3:144" x14ac:dyDescent="0.2">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row>
    <row r="180" spans="3:144" x14ac:dyDescent="0.2">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row>
    <row r="181" spans="3:144" x14ac:dyDescent="0.2">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row>
    <row r="182" spans="3:144" x14ac:dyDescent="0.2">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row>
    <row r="183" spans="3:144" x14ac:dyDescent="0.2">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row>
    <row r="184" spans="3:144" x14ac:dyDescent="0.2">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row>
    <row r="185" spans="3:144" x14ac:dyDescent="0.2">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row>
    <row r="186" spans="3:144" x14ac:dyDescent="0.2">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row>
    <row r="187" spans="3:144" x14ac:dyDescent="0.2">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row>
    <row r="188" spans="3:144" x14ac:dyDescent="0.2">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row>
    <row r="189" spans="3:144" x14ac:dyDescent="0.2">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row>
    <row r="190" spans="3:144" x14ac:dyDescent="0.2">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row>
    <row r="191" spans="3:144" x14ac:dyDescent="0.2">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row>
    <row r="192" spans="3:144" x14ac:dyDescent="0.2">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row>
    <row r="193" spans="3:144" x14ac:dyDescent="0.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row>
    <row r="194" spans="3:144" x14ac:dyDescent="0.2">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row>
    <row r="195" spans="3:144" x14ac:dyDescent="0.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row>
    <row r="196" spans="3:144" x14ac:dyDescent="0.2">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row>
    <row r="197" spans="3:144" x14ac:dyDescent="0.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row>
    <row r="198" spans="3:144" x14ac:dyDescent="0.2">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row>
    <row r="199" spans="3:144" x14ac:dyDescent="0.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row>
    <row r="200" spans="3:144" x14ac:dyDescent="0.2">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row>
    <row r="201" spans="3:144" x14ac:dyDescent="0.2">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row>
    <row r="202" spans="3:144" x14ac:dyDescent="0.2">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row>
    <row r="203" spans="3:144" x14ac:dyDescent="0.2">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row>
    <row r="204" spans="3:144" x14ac:dyDescent="0.2">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row>
    <row r="205" spans="3:144" x14ac:dyDescent="0.2">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row>
    <row r="206" spans="3:144" x14ac:dyDescent="0.2">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row>
    <row r="207" spans="3:144" x14ac:dyDescent="0.2">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row>
    <row r="208" spans="3:144" x14ac:dyDescent="0.2">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row>
    <row r="209" spans="3:144" x14ac:dyDescent="0.2">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row>
    <row r="210" spans="3:144" x14ac:dyDescent="0.2">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row>
    <row r="211" spans="3:144" x14ac:dyDescent="0.2">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row>
    <row r="212" spans="3:144" x14ac:dyDescent="0.2">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row>
    <row r="213" spans="3:144" x14ac:dyDescent="0.2">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row>
    <row r="214" spans="3:144" x14ac:dyDescent="0.2">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row>
    <row r="215" spans="3:144" x14ac:dyDescent="0.2">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row>
    <row r="216" spans="3:144" x14ac:dyDescent="0.2">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row>
    <row r="217" spans="3:144" x14ac:dyDescent="0.2">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row>
    <row r="218" spans="3:144" x14ac:dyDescent="0.2">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row>
    <row r="219" spans="3:144" x14ac:dyDescent="0.2">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row>
    <row r="220" spans="3:144" x14ac:dyDescent="0.2">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row>
    <row r="221" spans="3:144" x14ac:dyDescent="0.2">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row>
    <row r="222" spans="3:144" x14ac:dyDescent="0.2">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row>
    <row r="223" spans="3:144" x14ac:dyDescent="0.2">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row>
    <row r="224" spans="3:144" x14ac:dyDescent="0.2">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row>
    <row r="225" spans="3:144" x14ac:dyDescent="0.2">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row>
    <row r="226" spans="3:144" x14ac:dyDescent="0.2">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row>
    <row r="227" spans="3:144" x14ac:dyDescent="0.2">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row>
    <row r="228" spans="3:144" x14ac:dyDescent="0.2">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row>
    <row r="229" spans="3:144" x14ac:dyDescent="0.2">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row>
    <row r="230" spans="3:144" x14ac:dyDescent="0.2">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row>
    <row r="231" spans="3:144" x14ac:dyDescent="0.2">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row>
    <row r="232" spans="3:144" x14ac:dyDescent="0.2">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row>
    <row r="233" spans="3:144" x14ac:dyDescent="0.2">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row>
    <row r="234" spans="3:144" x14ac:dyDescent="0.2">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row>
    <row r="235" spans="3:144" x14ac:dyDescent="0.2">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row>
    <row r="236" spans="3:144" x14ac:dyDescent="0.2">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row>
    <row r="237" spans="3:144" x14ac:dyDescent="0.2">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row>
    <row r="238" spans="3:144" x14ac:dyDescent="0.2">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row>
    <row r="239" spans="3:144" x14ac:dyDescent="0.2">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row>
    <row r="240" spans="3:144" x14ac:dyDescent="0.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row>
    <row r="241" spans="3:144" x14ac:dyDescent="0.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row>
    <row r="242" spans="3:144" x14ac:dyDescent="0.2">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row>
    <row r="243" spans="3:144" x14ac:dyDescent="0.2">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row>
    <row r="244" spans="3:144" x14ac:dyDescent="0.2">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row>
    <row r="245" spans="3:144" x14ac:dyDescent="0.2">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row>
    <row r="246" spans="3:144" x14ac:dyDescent="0.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row>
    <row r="247" spans="3:144" x14ac:dyDescent="0.2">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row>
    <row r="248" spans="3:144" x14ac:dyDescent="0.2">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row>
    <row r="249" spans="3:144" x14ac:dyDescent="0.2">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row>
    <row r="250" spans="3:144" x14ac:dyDescent="0.2">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row>
    <row r="251" spans="3:144" x14ac:dyDescent="0.2">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row>
    <row r="252" spans="3:144" x14ac:dyDescent="0.2">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row>
    <row r="253" spans="3:144" x14ac:dyDescent="0.2">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row>
    <row r="254" spans="3:144" x14ac:dyDescent="0.2">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row>
    <row r="255" spans="3:144" x14ac:dyDescent="0.2">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row>
    <row r="256" spans="3:144" x14ac:dyDescent="0.2">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row>
    <row r="257" spans="3:144" x14ac:dyDescent="0.2">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row>
    <row r="258" spans="3:144" x14ac:dyDescent="0.2">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row>
    <row r="259" spans="3:144" x14ac:dyDescent="0.2">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row>
    <row r="260" spans="3:144" x14ac:dyDescent="0.2">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DX260" s="13"/>
      <c r="DY260" s="13"/>
      <c r="DZ260" s="13"/>
      <c r="EA260" s="13"/>
      <c r="EB260" s="13"/>
      <c r="EC260" s="13"/>
      <c r="ED260" s="13"/>
      <c r="EE260" s="13"/>
      <c r="EF260" s="13"/>
      <c r="EG260" s="13"/>
      <c r="EH260" s="13"/>
      <c r="EI260" s="13"/>
      <c r="EJ260" s="13"/>
      <c r="EK260" s="13"/>
      <c r="EL260" s="13"/>
      <c r="EM260" s="13"/>
      <c r="EN260" s="13"/>
    </row>
    <row r="261" spans="3:144" x14ac:dyDescent="0.2">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13"/>
      <c r="DZ261" s="13"/>
      <c r="EA261" s="13"/>
      <c r="EB261" s="13"/>
      <c r="EC261" s="13"/>
      <c r="ED261" s="13"/>
      <c r="EE261" s="13"/>
      <c r="EF261" s="13"/>
      <c r="EG261" s="13"/>
      <c r="EH261" s="13"/>
      <c r="EI261" s="13"/>
      <c r="EJ261" s="13"/>
      <c r="EK261" s="13"/>
      <c r="EL261" s="13"/>
      <c r="EM261" s="13"/>
      <c r="EN261" s="13"/>
    </row>
    <row r="262" spans="3:144" x14ac:dyDescent="0.2">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c r="DU262" s="13"/>
      <c r="DV262" s="13"/>
      <c r="DW262" s="13"/>
      <c r="DX262" s="13"/>
      <c r="DY262" s="13"/>
      <c r="DZ262" s="13"/>
      <c r="EA262" s="13"/>
      <c r="EB262" s="13"/>
      <c r="EC262" s="13"/>
      <c r="ED262" s="13"/>
      <c r="EE262" s="13"/>
      <c r="EF262" s="13"/>
      <c r="EG262" s="13"/>
      <c r="EH262" s="13"/>
      <c r="EI262" s="13"/>
      <c r="EJ262" s="13"/>
      <c r="EK262" s="13"/>
      <c r="EL262" s="13"/>
      <c r="EM262" s="13"/>
      <c r="EN262" s="13"/>
    </row>
    <row r="263" spans="3:144" x14ac:dyDescent="0.2">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row>
    <row r="264" spans="3:144" x14ac:dyDescent="0.2">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row>
    <row r="265" spans="3:144" x14ac:dyDescent="0.2">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row>
    <row r="266" spans="3:144" x14ac:dyDescent="0.2">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row>
    <row r="267" spans="3:144" x14ac:dyDescent="0.2">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row>
    <row r="268" spans="3:144" x14ac:dyDescent="0.2">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row>
    <row r="269" spans="3:144" x14ac:dyDescent="0.2">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row>
    <row r="270" spans="3:144" x14ac:dyDescent="0.2">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c r="DU270" s="13"/>
      <c r="DV270" s="13"/>
      <c r="DW270" s="13"/>
      <c r="DX270" s="13"/>
      <c r="DY270" s="13"/>
      <c r="DZ270" s="13"/>
      <c r="EA270" s="13"/>
      <c r="EB270" s="13"/>
      <c r="EC270" s="13"/>
      <c r="ED270" s="13"/>
      <c r="EE270" s="13"/>
      <c r="EF270" s="13"/>
      <c r="EG270" s="13"/>
      <c r="EH270" s="13"/>
      <c r="EI270" s="13"/>
      <c r="EJ270" s="13"/>
      <c r="EK270" s="13"/>
      <c r="EL270" s="13"/>
      <c r="EM270" s="13"/>
      <c r="EN270" s="13"/>
    </row>
    <row r="271" spans="3:144" x14ac:dyDescent="0.2">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13"/>
      <c r="DP271" s="13"/>
      <c r="DQ271" s="13"/>
      <c r="DR271" s="13"/>
      <c r="DS271" s="13"/>
      <c r="DT271" s="13"/>
      <c r="DU271" s="13"/>
      <c r="DV271" s="13"/>
      <c r="DW271" s="13"/>
      <c r="DX271" s="13"/>
      <c r="DY271" s="13"/>
      <c r="DZ271" s="13"/>
      <c r="EA271" s="13"/>
      <c r="EB271" s="13"/>
      <c r="EC271" s="13"/>
      <c r="ED271" s="13"/>
      <c r="EE271" s="13"/>
      <c r="EF271" s="13"/>
      <c r="EG271" s="13"/>
      <c r="EH271" s="13"/>
      <c r="EI271" s="13"/>
      <c r="EJ271" s="13"/>
      <c r="EK271" s="13"/>
      <c r="EL271" s="13"/>
      <c r="EM271" s="13"/>
      <c r="EN271" s="13"/>
    </row>
    <row r="272" spans="3:144" x14ac:dyDescent="0.2">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c r="DU272" s="13"/>
      <c r="DV272" s="13"/>
      <c r="DW272" s="13"/>
      <c r="DX272" s="13"/>
      <c r="DY272" s="13"/>
      <c r="DZ272" s="13"/>
      <c r="EA272" s="13"/>
      <c r="EB272" s="13"/>
      <c r="EC272" s="13"/>
      <c r="ED272" s="13"/>
      <c r="EE272" s="13"/>
      <c r="EF272" s="13"/>
      <c r="EG272" s="13"/>
      <c r="EH272" s="13"/>
      <c r="EI272" s="13"/>
      <c r="EJ272" s="13"/>
      <c r="EK272" s="13"/>
      <c r="EL272" s="13"/>
      <c r="EM272" s="13"/>
      <c r="EN272" s="13"/>
    </row>
    <row r="273" spans="3:144" x14ac:dyDescent="0.2">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3"/>
      <c r="EE273" s="13"/>
      <c r="EF273" s="13"/>
      <c r="EG273" s="13"/>
      <c r="EH273" s="13"/>
      <c r="EI273" s="13"/>
      <c r="EJ273" s="13"/>
      <c r="EK273" s="13"/>
      <c r="EL273" s="13"/>
      <c r="EM273" s="13"/>
      <c r="EN273" s="13"/>
    </row>
    <row r="274" spans="3:144" x14ac:dyDescent="0.2">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13"/>
      <c r="DZ274" s="13"/>
      <c r="EA274" s="13"/>
      <c r="EB274" s="13"/>
      <c r="EC274" s="13"/>
      <c r="ED274" s="13"/>
      <c r="EE274" s="13"/>
      <c r="EF274" s="13"/>
      <c r="EG274" s="13"/>
      <c r="EH274" s="13"/>
      <c r="EI274" s="13"/>
      <c r="EJ274" s="13"/>
      <c r="EK274" s="13"/>
      <c r="EL274" s="13"/>
      <c r="EM274" s="13"/>
      <c r="EN274" s="13"/>
    </row>
    <row r="275" spans="3:144" x14ac:dyDescent="0.2">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13"/>
      <c r="DP275" s="13"/>
      <c r="DQ275" s="13"/>
      <c r="DR275" s="13"/>
      <c r="DS275" s="13"/>
      <c r="DT275" s="13"/>
      <c r="DU275" s="13"/>
      <c r="DV275" s="13"/>
      <c r="DW275" s="13"/>
      <c r="DX275" s="13"/>
      <c r="DY275" s="13"/>
      <c r="DZ275" s="13"/>
      <c r="EA275" s="13"/>
      <c r="EB275" s="13"/>
      <c r="EC275" s="13"/>
      <c r="ED275" s="13"/>
      <c r="EE275" s="13"/>
      <c r="EF275" s="13"/>
      <c r="EG275" s="13"/>
      <c r="EH275" s="13"/>
      <c r="EI275" s="13"/>
      <c r="EJ275" s="13"/>
      <c r="EK275" s="13"/>
      <c r="EL275" s="13"/>
      <c r="EM275" s="13"/>
      <c r="EN275" s="13"/>
    </row>
    <row r="276" spans="3:144" x14ac:dyDescent="0.2">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row>
    <row r="277" spans="3:144" x14ac:dyDescent="0.2">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row>
    <row r="278" spans="3:144" x14ac:dyDescent="0.2">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row>
    <row r="279" spans="3:144" x14ac:dyDescent="0.2">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row>
    <row r="280" spans="3:144" x14ac:dyDescent="0.2">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row>
    <row r="281" spans="3:144" x14ac:dyDescent="0.2">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row>
    <row r="282" spans="3:144" x14ac:dyDescent="0.2">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c r="DU282" s="13"/>
      <c r="DV282" s="13"/>
      <c r="DW282" s="13"/>
      <c r="DX282" s="13"/>
      <c r="DY282" s="13"/>
      <c r="DZ282" s="13"/>
      <c r="EA282" s="13"/>
      <c r="EB282" s="13"/>
      <c r="EC282" s="13"/>
      <c r="ED282" s="13"/>
      <c r="EE282" s="13"/>
      <c r="EF282" s="13"/>
      <c r="EG282" s="13"/>
      <c r="EH282" s="13"/>
      <c r="EI282" s="13"/>
      <c r="EJ282" s="13"/>
      <c r="EK282" s="13"/>
      <c r="EL282" s="13"/>
      <c r="EM282" s="13"/>
      <c r="EN282" s="13"/>
    </row>
    <row r="283" spans="3:144" x14ac:dyDescent="0.2">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c r="DU283" s="13"/>
      <c r="DV283" s="13"/>
      <c r="DW283" s="13"/>
      <c r="DX283" s="13"/>
      <c r="DY283" s="13"/>
      <c r="DZ283" s="13"/>
      <c r="EA283" s="13"/>
      <c r="EB283" s="13"/>
      <c r="EC283" s="13"/>
      <c r="ED283" s="13"/>
      <c r="EE283" s="13"/>
      <c r="EF283" s="13"/>
      <c r="EG283" s="13"/>
      <c r="EH283" s="13"/>
      <c r="EI283" s="13"/>
      <c r="EJ283" s="13"/>
      <c r="EK283" s="13"/>
      <c r="EL283" s="13"/>
      <c r="EM283" s="13"/>
      <c r="EN283" s="13"/>
    </row>
    <row r="284" spans="3:144" x14ac:dyDescent="0.2">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row>
    <row r="285" spans="3:144" x14ac:dyDescent="0.2">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row>
    <row r="286" spans="3:144" x14ac:dyDescent="0.2">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row>
    <row r="287" spans="3:144" x14ac:dyDescent="0.2">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row>
    <row r="288" spans="3:144" x14ac:dyDescent="0.2">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row>
    <row r="289" spans="3:144" x14ac:dyDescent="0.2">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row>
    <row r="290" spans="3:144" x14ac:dyDescent="0.2">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row>
    <row r="291" spans="3:144" x14ac:dyDescent="0.2">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row>
    <row r="292" spans="3:144" x14ac:dyDescent="0.2">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row>
    <row r="293" spans="3:144" x14ac:dyDescent="0.2">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row>
    <row r="294" spans="3:144" x14ac:dyDescent="0.2">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row>
    <row r="295" spans="3:144" x14ac:dyDescent="0.2">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row>
    <row r="296" spans="3:144" x14ac:dyDescent="0.2">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row>
    <row r="297" spans="3:144" x14ac:dyDescent="0.2">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row>
    <row r="298" spans="3:144" x14ac:dyDescent="0.2">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row>
    <row r="299" spans="3:144" x14ac:dyDescent="0.2">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row>
    <row r="300" spans="3:144" x14ac:dyDescent="0.2">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row>
    <row r="301" spans="3:144" x14ac:dyDescent="0.2">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row>
    <row r="302" spans="3:144" x14ac:dyDescent="0.2">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row>
    <row r="303" spans="3:144" x14ac:dyDescent="0.2">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row>
    <row r="304" spans="3:144" x14ac:dyDescent="0.2">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row>
    <row r="305" spans="3:144" x14ac:dyDescent="0.2">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row>
    <row r="306" spans="3:144" x14ac:dyDescent="0.2">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row>
    <row r="307" spans="3:144" x14ac:dyDescent="0.2">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3"/>
      <c r="EL307" s="13"/>
      <c r="EM307" s="13"/>
      <c r="EN307" s="13"/>
    </row>
    <row r="308" spans="3:144" x14ac:dyDescent="0.2">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row>
    <row r="309" spans="3:144" x14ac:dyDescent="0.2">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13"/>
      <c r="DP309" s="13"/>
      <c r="DQ309" s="13"/>
      <c r="DR309" s="13"/>
      <c r="DS309" s="13"/>
      <c r="DT309" s="13"/>
      <c r="DU309" s="13"/>
      <c r="DV309" s="13"/>
      <c r="DW309" s="13"/>
      <c r="DX309" s="13"/>
      <c r="DY309" s="13"/>
      <c r="DZ309" s="13"/>
      <c r="EA309" s="13"/>
      <c r="EB309" s="13"/>
      <c r="EC309" s="13"/>
      <c r="ED309" s="13"/>
      <c r="EE309" s="13"/>
      <c r="EF309" s="13"/>
      <c r="EG309" s="13"/>
      <c r="EH309" s="13"/>
      <c r="EI309" s="13"/>
      <c r="EJ309" s="13"/>
      <c r="EK309" s="13"/>
      <c r="EL309" s="13"/>
      <c r="EM309" s="13"/>
      <c r="EN309" s="13"/>
    </row>
    <row r="310" spans="3:144" x14ac:dyDescent="0.2">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13"/>
      <c r="DP310" s="13"/>
      <c r="DQ310" s="13"/>
      <c r="DR310" s="13"/>
      <c r="DS310" s="13"/>
      <c r="DT310" s="13"/>
      <c r="DU310" s="13"/>
      <c r="DV310" s="13"/>
      <c r="DW310" s="13"/>
      <c r="DX310" s="13"/>
      <c r="DY310" s="13"/>
      <c r="DZ310" s="13"/>
      <c r="EA310" s="13"/>
      <c r="EB310" s="13"/>
      <c r="EC310" s="13"/>
      <c r="ED310" s="13"/>
      <c r="EE310" s="13"/>
      <c r="EF310" s="13"/>
      <c r="EG310" s="13"/>
      <c r="EH310" s="13"/>
      <c r="EI310" s="13"/>
      <c r="EJ310" s="13"/>
      <c r="EK310" s="13"/>
      <c r="EL310" s="13"/>
      <c r="EM310" s="13"/>
      <c r="EN310" s="13"/>
    </row>
    <row r="311" spans="3:144" x14ac:dyDescent="0.2">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13"/>
      <c r="DP311" s="13"/>
      <c r="DQ311" s="13"/>
      <c r="DR311" s="13"/>
      <c r="DS311" s="13"/>
      <c r="DT311" s="13"/>
      <c r="DU311" s="13"/>
      <c r="DV311" s="13"/>
      <c r="DW311" s="13"/>
      <c r="DX311" s="13"/>
      <c r="DY311" s="13"/>
      <c r="DZ311" s="13"/>
      <c r="EA311" s="13"/>
      <c r="EB311" s="13"/>
      <c r="EC311" s="13"/>
      <c r="ED311" s="13"/>
      <c r="EE311" s="13"/>
      <c r="EF311" s="13"/>
      <c r="EG311" s="13"/>
      <c r="EH311" s="13"/>
      <c r="EI311" s="13"/>
      <c r="EJ311" s="13"/>
      <c r="EK311" s="13"/>
      <c r="EL311" s="13"/>
      <c r="EM311" s="13"/>
      <c r="EN311" s="13"/>
    </row>
    <row r="312" spans="3:144" x14ac:dyDescent="0.2">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13"/>
      <c r="DP312" s="13"/>
      <c r="DQ312" s="13"/>
      <c r="DR312" s="13"/>
      <c r="DS312" s="13"/>
      <c r="DT312" s="13"/>
      <c r="DU312" s="13"/>
      <c r="DV312" s="13"/>
      <c r="DW312" s="13"/>
      <c r="DX312" s="13"/>
      <c r="DY312" s="13"/>
      <c r="DZ312" s="13"/>
      <c r="EA312" s="13"/>
      <c r="EB312" s="13"/>
      <c r="EC312" s="13"/>
      <c r="ED312" s="13"/>
      <c r="EE312" s="13"/>
      <c r="EF312" s="13"/>
      <c r="EG312" s="13"/>
      <c r="EH312" s="13"/>
      <c r="EI312" s="13"/>
      <c r="EJ312" s="13"/>
      <c r="EK312" s="13"/>
      <c r="EL312" s="13"/>
      <c r="EM312" s="13"/>
      <c r="EN312" s="13"/>
    </row>
    <row r="313" spans="3:144" x14ac:dyDescent="0.2">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13"/>
      <c r="DP313" s="13"/>
      <c r="DQ313" s="13"/>
      <c r="DR313" s="13"/>
      <c r="DS313" s="13"/>
      <c r="DT313" s="13"/>
      <c r="DU313" s="13"/>
      <c r="DV313" s="13"/>
      <c r="DW313" s="13"/>
      <c r="DX313" s="13"/>
      <c r="DY313" s="13"/>
      <c r="DZ313" s="13"/>
      <c r="EA313" s="13"/>
      <c r="EB313" s="13"/>
      <c r="EC313" s="13"/>
      <c r="ED313" s="13"/>
      <c r="EE313" s="13"/>
      <c r="EF313" s="13"/>
      <c r="EG313" s="13"/>
      <c r="EH313" s="13"/>
      <c r="EI313" s="13"/>
      <c r="EJ313" s="13"/>
      <c r="EK313" s="13"/>
      <c r="EL313" s="13"/>
      <c r="EM313" s="13"/>
      <c r="EN313" s="13"/>
    </row>
    <row r="314" spans="3:144" x14ac:dyDescent="0.2">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13"/>
      <c r="DP314" s="13"/>
      <c r="DQ314" s="13"/>
      <c r="DR314" s="13"/>
      <c r="DS314" s="13"/>
      <c r="DT314" s="13"/>
      <c r="DU314" s="13"/>
      <c r="DV314" s="13"/>
      <c r="DW314" s="13"/>
      <c r="DX314" s="13"/>
      <c r="DY314" s="13"/>
      <c r="DZ314" s="13"/>
      <c r="EA314" s="13"/>
      <c r="EB314" s="13"/>
      <c r="EC314" s="13"/>
      <c r="ED314" s="13"/>
      <c r="EE314" s="13"/>
      <c r="EF314" s="13"/>
      <c r="EG314" s="13"/>
      <c r="EH314" s="13"/>
      <c r="EI314" s="13"/>
      <c r="EJ314" s="13"/>
      <c r="EK314" s="13"/>
      <c r="EL314" s="13"/>
      <c r="EM314" s="13"/>
      <c r="EN314" s="13"/>
    </row>
    <row r="315" spans="3:144" x14ac:dyDescent="0.2">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13"/>
      <c r="DP315" s="13"/>
      <c r="DQ315" s="13"/>
      <c r="DR315" s="13"/>
      <c r="DS315" s="13"/>
      <c r="DT315" s="13"/>
      <c r="DU315" s="13"/>
      <c r="DV315" s="13"/>
      <c r="DW315" s="13"/>
      <c r="DX315" s="13"/>
      <c r="DY315" s="13"/>
      <c r="DZ315" s="13"/>
      <c r="EA315" s="13"/>
      <c r="EB315" s="13"/>
      <c r="EC315" s="13"/>
      <c r="ED315" s="13"/>
      <c r="EE315" s="13"/>
      <c r="EF315" s="13"/>
      <c r="EG315" s="13"/>
      <c r="EH315" s="13"/>
      <c r="EI315" s="13"/>
      <c r="EJ315" s="13"/>
      <c r="EK315" s="13"/>
      <c r="EL315" s="13"/>
      <c r="EM315" s="13"/>
      <c r="EN315" s="13"/>
    </row>
    <row r="316" spans="3:144" x14ac:dyDescent="0.2">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13"/>
      <c r="DP316" s="13"/>
      <c r="DQ316" s="13"/>
      <c r="DR316" s="13"/>
      <c r="DS316" s="13"/>
      <c r="DT316" s="13"/>
      <c r="DU316" s="13"/>
      <c r="DV316" s="13"/>
      <c r="DW316" s="13"/>
      <c r="DX316" s="13"/>
      <c r="DY316" s="13"/>
      <c r="DZ316" s="13"/>
      <c r="EA316" s="13"/>
      <c r="EB316" s="13"/>
      <c r="EC316" s="13"/>
      <c r="ED316" s="13"/>
      <c r="EE316" s="13"/>
      <c r="EF316" s="13"/>
      <c r="EG316" s="13"/>
      <c r="EH316" s="13"/>
      <c r="EI316" s="13"/>
      <c r="EJ316" s="13"/>
      <c r="EK316" s="13"/>
      <c r="EL316" s="13"/>
      <c r="EM316" s="13"/>
      <c r="EN316" s="13"/>
    </row>
    <row r="317" spans="3:144" x14ac:dyDescent="0.2">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c r="DU317" s="13"/>
      <c r="DV317" s="13"/>
      <c r="DW317" s="13"/>
      <c r="DX317" s="13"/>
      <c r="DY317" s="13"/>
      <c r="DZ317" s="13"/>
      <c r="EA317" s="13"/>
      <c r="EB317" s="13"/>
      <c r="EC317" s="13"/>
      <c r="ED317" s="13"/>
      <c r="EE317" s="13"/>
      <c r="EF317" s="13"/>
      <c r="EG317" s="13"/>
      <c r="EH317" s="13"/>
      <c r="EI317" s="13"/>
      <c r="EJ317" s="13"/>
      <c r="EK317" s="13"/>
      <c r="EL317" s="13"/>
      <c r="EM317" s="13"/>
      <c r="EN317" s="13"/>
    </row>
    <row r="318" spans="3:144" x14ac:dyDescent="0.2">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c r="DU318" s="13"/>
      <c r="DV318" s="13"/>
      <c r="DW318" s="13"/>
      <c r="DX318" s="13"/>
      <c r="DY318" s="13"/>
      <c r="DZ318" s="13"/>
      <c r="EA318" s="13"/>
      <c r="EB318" s="13"/>
      <c r="EC318" s="13"/>
      <c r="ED318" s="13"/>
      <c r="EE318" s="13"/>
      <c r="EF318" s="13"/>
      <c r="EG318" s="13"/>
      <c r="EH318" s="13"/>
      <c r="EI318" s="13"/>
      <c r="EJ318" s="13"/>
      <c r="EK318" s="13"/>
      <c r="EL318" s="13"/>
      <c r="EM318" s="13"/>
      <c r="EN318" s="13"/>
    </row>
    <row r="319" spans="3:144" x14ac:dyDescent="0.2">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13"/>
      <c r="DP319" s="13"/>
      <c r="DQ319" s="13"/>
      <c r="DR319" s="13"/>
      <c r="DS319" s="13"/>
      <c r="DT319" s="13"/>
      <c r="DU319" s="13"/>
      <c r="DV319" s="13"/>
      <c r="DW319" s="13"/>
      <c r="DX319" s="13"/>
      <c r="DY319" s="13"/>
      <c r="DZ319" s="13"/>
      <c r="EA319" s="13"/>
      <c r="EB319" s="13"/>
      <c r="EC319" s="13"/>
      <c r="ED319" s="13"/>
      <c r="EE319" s="13"/>
      <c r="EF319" s="13"/>
      <c r="EG319" s="13"/>
      <c r="EH319" s="13"/>
      <c r="EI319" s="13"/>
      <c r="EJ319" s="13"/>
      <c r="EK319" s="13"/>
      <c r="EL319" s="13"/>
      <c r="EM319" s="13"/>
      <c r="EN319" s="13"/>
    </row>
    <row r="320" spans="3:144" x14ac:dyDescent="0.2">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13"/>
      <c r="DY320" s="13"/>
      <c r="DZ320" s="13"/>
      <c r="EA320" s="13"/>
      <c r="EB320" s="13"/>
      <c r="EC320" s="13"/>
      <c r="ED320" s="13"/>
      <c r="EE320" s="13"/>
      <c r="EF320" s="13"/>
      <c r="EG320" s="13"/>
      <c r="EH320" s="13"/>
      <c r="EI320" s="13"/>
      <c r="EJ320" s="13"/>
      <c r="EK320" s="13"/>
      <c r="EL320" s="13"/>
      <c r="EM320" s="13"/>
      <c r="EN320" s="13"/>
    </row>
    <row r="321" spans="3:144" x14ac:dyDescent="0.2">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c r="DU321" s="13"/>
      <c r="DV321" s="13"/>
      <c r="DW321" s="13"/>
      <c r="DX321" s="13"/>
      <c r="DY321" s="13"/>
      <c r="DZ321" s="13"/>
      <c r="EA321" s="13"/>
      <c r="EB321" s="13"/>
      <c r="EC321" s="13"/>
      <c r="ED321" s="13"/>
      <c r="EE321" s="13"/>
      <c r="EF321" s="13"/>
      <c r="EG321" s="13"/>
      <c r="EH321" s="13"/>
      <c r="EI321" s="13"/>
      <c r="EJ321" s="13"/>
      <c r="EK321" s="13"/>
      <c r="EL321" s="13"/>
      <c r="EM321" s="13"/>
      <c r="EN321" s="13"/>
    </row>
    <row r="322" spans="3:144" x14ac:dyDescent="0.2">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c r="DU322" s="13"/>
      <c r="DV322" s="13"/>
      <c r="DW322" s="13"/>
      <c r="DX322" s="13"/>
      <c r="DY322" s="13"/>
      <c r="DZ322" s="13"/>
      <c r="EA322" s="13"/>
      <c r="EB322" s="13"/>
      <c r="EC322" s="13"/>
      <c r="ED322" s="13"/>
      <c r="EE322" s="13"/>
      <c r="EF322" s="13"/>
      <c r="EG322" s="13"/>
      <c r="EH322" s="13"/>
      <c r="EI322" s="13"/>
      <c r="EJ322" s="13"/>
      <c r="EK322" s="13"/>
      <c r="EL322" s="13"/>
      <c r="EM322" s="13"/>
      <c r="EN322" s="13"/>
    </row>
    <row r="323" spans="3:144" x14ac:dyDescent="0.2">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13"/>
      <c r="DP323" s="13"/>
      <c r="DQ323" s="13"/>
      <c r="DR323" s="13"/>
      <c r="DS323" s="13"/>
      <c r="DT323" s="13"/>
      <c r="DU323" s="13"/>
      <c r="DV323" s="13"/>
      <c r="DW323" s="13"/>
      <c r="DX323" s="13"/>
      <c r="DY323" s="13"/>
      <c r="DZ323" s="13"/>
      <c r="EA323" s="13"/>
      <c r="EB323" s="13"/>
      <c r="EC323" s="13"/>
      <c r="ED323" s="13"/>
      <c r="EE323" s="13"/>
      <c r="EF323" s="13"/>
      <c r="EG323" s="13"/>
      <c r="EH323" s="13"/>
      <c r="EI323" s="13"/>
      <c r="EJ323" s="13"/>
      <c r="EK323" s="13"/>
      <c r="EL323" s="13"/>
      <c r="EM323" s="13"/>
      <c r="EN323" s="13"/>
    </row>
    <row r="324" spans="3:144" x14ac:dyDescent="0.2">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c r="DO324" s="13"/>
      <c r="DP324" s="13"/>
      <c r="DQ324" s="13"/>
      <c r="DR324" s="13"/>
      <c r="DS324" s="13"/>
      <c r="DT324" s="13"/>
      <c r="DU324" s="13"/>
      <c r="DV324" s="13"/>
      <c r="DW324" s="13"/>
      <c r="DX324" s="13"/>
      <c r="DY324" s="13"/>
      <c r="DZ324" s="13"/>
      <c r="EA324" s="13"/>
      <c r="EB324" s="13"/>
      <c r="EC324" s="13"/>
      <c r="ED324" s="13"/>
      <c r="EE324" s="13"/>
      <c r="EF324" s="13"/>
      <c r="EG324" s="13"/>
      <c r="EH324" s="13"/>
      <c r="EI324" s="13"/>
      <c r="EJ324" s="13"/>
      <c r="EK324" s="13"/>
      <c r="EL324" s="13"/>
      <c r="EM324" s="13"/>
      <c r="EN324" s="13"/>
    </row>
    <row r="325" spans="3:144" x14ac:dyDescent="0.2">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c r="DK325" s="13"/>
      <c r="DL325" s="13"/>
      <c r="DM325" s="13"/>
      <c r="DN325" s="13"/>
      <c r="DO325" s="13"/>
      <c r="DP325" s="13"/>
      <c r="DQ325" s="13"/>
      <c r="DR325" s="13"/>
      <c r="DS325" s="13"/>
      <c r="DT325" s="13"/>
      <c r="DU325" s="13"/>
      <c r="DV325" s="13"/>
      <c r="DW325" s="13"/>
      <c r="DX325" s="13"/>
      <c r="DY325" s="13"/>
      <c r="DZ325" s="13"/>
      <c r="EA325" s="13"/>
      <c r="EB325" s="13"/>
      <c r="EC325" s="13"/>
      <c r="ED325" s="13"/>
      <c r="EE325" s="13"/>
      <c r="EF325" s="13"/>
      <c r="EG325" s="13"/>
      <c r="EH325" s="13"/>
      <c r="EI325" s="13"/>
      <c r="EJ325" s="13"/>
      <c r="EK325" s="13"/>
      <c r="EL325" s="13"/>
      <c r="EM325" s="13"/>
      <c r="EN325" s="13"/>
    </row>
    <row r="326" spans="3:144" x14ac:dyDescent="0.2">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13"/>
      <c r="DJ326" s="13"/>
      <c r="DK326" s="13"/>
      <c r="DL326" s="13"/>
      <c r="DM326" s="13"/>
      <c r="DN326" s="13"/>
      <c r="DO326" s="13"/>
      <c r="DP326" s="13"/>
      <c r="DQ326" s="13"/>
      <c r="DR326" s="13"/>
      <c r="DS326" s="13"/>
      <c r="DT326" s="13"/>
      <c r="DU326" s="13"/>
      <c r="DV326" s="13"/>
      <c r="DW326" s="13"/>
      <c r="DX326" s="13"/>
      <c r="DY326" s="13"/>
      <c r="DZ326" s="13"/>
      <c r="EA326" s="13"/>
      <c r="EB326" s="13"/>
      <c r="EC326" s="13"/>
      <c r="ED326" s="13"/>
      <c r="EE326" s="13"/>
      <c r="EF326" s="13"/>
      <c r="EG326" s="13"/>
      <c r="EH326" s="13"/>
      <c r="EI326" s="13"/>
      <c r="EJ326" s="13"/>
      <c r="EK326" s="13"/>
      <c r="EL326" s="13"/>
      <c r="EM326" s="13"/>
      <c r="EN326" s="13"/>
    </row>
    <row r="327" spans="3:144" x14ac:dyDescent="0.2">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13"/>
      <c r="DP327" s="13"/>
      <c r="DQ327" s="13"/>
      <c r="DR327" s="13"/>
      <c r="DS327" s="13"/>
      <c r="DT327" s="13"/>
      <c r="DU327" s="13"/>
      <c r="DV327" s="13"/>
      <c r="DW327" s="13"/>
      <c r="DX327" s="13"/>
      <c r="DY327" s="13"/>
      <c r="DZ327" s="13"/>
      <c r="EA327" s="13"/>
      <c r="EB327" s="13"/>
      <c r="EC327" s="13"/>
      <c r="ED327" s="13"/>
      <c r="EE327" s="13"/>
      <c r="EF327" s="13"/>
      <c r="EG327" s="13"/>
      <c r="EH327" s="13"/>
      <c r="EI327" s="13"/>
      <c r="EJ327" s="13"/>
      <c r="EK327" s="13"/>
      <c r="EL327" s="13"/>
      <c r="EM327" s="13"/>
      <c r="EN327" s="13"/>
    </row>
    <row r="328" spans="3:144" x14ac:dyDescent="0.2">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13"/>
      <c r="DP328" s="13"/>
      <c r="DQ328" s="13"/>
      <c r="DR328" s="13"/>
      <c r="DS328" s="13"/>
      <c r="DT328" s="13"/>
      <c r="DU328" s="13"/>
      <c r="DV328" s="13"/>
      <c r="DW328" s="13"/>
      <c r="DX328" s="13"/>
      <c r="DY328" s="13"/>
      <c r="DZ328" s="13"/>
      <c r="EA328" s="13"/>
      <c r="EB328" s="13"/>
      <c r="EC328" s="13"/>
      <c r="ED328" s="13"/>
      <c r="EE328" s="13"/>
      <c r="EF328" s="13"/>
      <c r="EG328" s="13"/>
      <c r="EH328" s="13"/>
      <c r="EI328" s="13"/>
      <c r="EJ328" s="13"/>
      <c r="EK328" s="13"/>
      <c r="EL328" s="13"/>
      <c r="EM328" s="13"/>
      <c r="EN328" s="13"/>
    </row>
    <row r="329" spans="3:144" x14ac:dyDescent="0.2">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c r="DO329" s="13"/>
      <c r="DP329" s="13"/>
      <c r="DQ329" s="13"/>
      <c r="DR329" s="13"/>
      <c r="DS329" s="13"/>
      <c r="DT329" s="13"/>
      <c r="DU329" s="13"/>
      <c r="DV329" s="13"/>
      <c r="DW329" s="13"/>
      <c r="DX329" s="13"/>
      <c r="DY329" s="13"/>
      <c r="DZ329" s="13"/>
      <c r="EA329" s="13"/>
      <c r="EB329" s="13"/>
      <c r="EC329" s="13"/>
      <c r="ED329" s="13"/>
      <c r="EE329" s="13"/>
      <c r="EF329" s="13"/>
      <c r="EG329" s="13"/>
      <c r="EH329" s="13"/>
      <c r="EI329" s="13"/>
      <c r="EJ329" s="13"/>
      <c r="EK329" s="13"/>
      <c r="EL329" s="13"/>
      <c r="EM329" s="13"/>
      <c r="EN329" s="13"/>
    </row>
    <row r="330" spans="3:144" x14ac:dyDescent="0.2">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c r="DO330" s="13"/>
      <c r="DP330" s="13"/>
      <c r="DQ330" s="13"/>
      <c r="DR330" s="13"/>
      <c r="DS330" s="13"/>
      <c r="DT330" s="13"/>
      <c r="DU330" s="13"/>
      <c r="DV330" s="13"/>
      <c r="DW330" s="13"/>
      <c r="DX330" s="13"/>
      <c r="DY330" s="13"/>
      <c r="DZ330" s="13"/>
      <c r="EA330" s="13"/>
      <c r="EB330" s="13"/>
      <c r="EC330" s="13"/>
      <c r="ED330" s="13"/>
      <c r="EE330" s="13"/>
      <c r="EF330" s="13"/>
      <c r="EG330" s="13"/>
      <c r="EH330" s="13"/>
      <c r="EI330" s="13"/>
      <c r="EJ330" s="13"/>
      <c r="EK330" s="13"/>
      <c r="EL330" s="13"/>
      <c r="EM330" s="13"/>
      <c r="EN330" s="13"/>
    </row>
    <row r="331" spans="3:144" x14ac:dyDescent="0.2">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c r="DO331" s="13"/>
      <c r="DP331" s="13"/>
      <c r="DQ331" s="13"/>
      <c r="DR331" s="13"/>
      <c r="DS331" s="13"/>
      <c r="DT331" s="13"/>
      <c r="DU331" s="13"/>
      <c r="DV331" s="13"/>
      <c r="DW331" s="13"/>
      <c r="DX331" s="13"/>
      <c r="DY331" s="13"/>
      <c r="DZ331" s="13"/>
      <c r="EA331" s="13"/>
      <c r="EB331" s="13"/>
      <c r="EC331" s="13"/>
      <c r="ED331" s="13"/>
      <c r="EE331" s="13"/>
      <c r="EF331" s="13"/>
      <c r="EG331" s="13"/>
      <c r="EH331" s="13"/>
      <c r="EI331" s="13"/>
      <c r="EJ331" s="13"/>
      <c r="EK331" s="13"/>
      <c r="EL331" s="13"/>
      <c r="EM331" s="13"/>
      <c r="EN331" s="13"/>
    </row>
    <row r="332" spans="3:144" x14ac:dyDescent="0.2">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c r="DU332" s="13"/>
      <c r="DV332" s="13"/>
      <c r="DW332" s="13"/>
      <c r="DX332" s="13"/>
      <c r="DY332" s="13"/>
      <c r="DZ332" s="13"/>
      <c r="EA332" s="13"/>
      <c r="EB332" s="13"/>
      <c r="EC332" s="13"/>
      <c r="ED332" s="13"/>
      <c r="EE332" s="13"/>
      <c r="EF332" s="13"/>
      <c r="EG332" s="13"/>
      <c r="EH332" s="13"/>
      <c r="EI332" s="13"/>
      <c r="EJ332" s="13"/>
      <c r="EK332" s="13"/>
      <c r="EL332" s="13"/>
      <c r="EM332" s="13"/>
      <c r="EN332" s="13"/>
    </row>
    <row r="333" spans="3:144" x14ac:dyDescent="0.2">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c r="DO333" s="13"/>
      <c r="DP333" s="13"/>
      <c r="DQ333" s="13"/>
      <c r="DR333" s="13"/>
      <c r="DS333" s="13"/>
      <c r="DT333" s="13"/>
      <c r="DU333" s="13"/>
      <c r="DV333" s="13"/>
      <c r="DW333" s="13"/>
      <c r="DX333" s="13"/>
      <c r="DY333" s="13"/>
      <c r="DZ333" s="13"/>
      <c r="EA333" s="13"/>
      <c r="EB333" s="13"/>
      <c r="EC333" s="13"/>
      <c r="ED333" s="13"/>
      <c r="EE333" s="13"/>
      <c r="EF333" s="13"/>
      <c r="EG333" s="13"/>
      <c r="EH333" s="13"/>
      <c r="EI333" s="13"/>
      <c r="EJ333" s="13"/>
      <c r="EK333" s="13"/>
      <c r="EL333" s="13"/>
      <c r="EM333" s="13"/>
      <c r="EN333" s="13"/>
    </row>
    <row r="334" spans="3:144" x14ac:dyDescent="0.2">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c r="DO334" s="13"/>
      <c r="DP334" s="13"/>
      <c r="DQ334" s="13"/>
      <c r="DR334" s="13"/>
      <c r="DS334" s="13"/>
      <c r="DT334" s="13"/>
      <c r="DU334" s="13"/>
      <c r="DV334" s="13"/>
      <c r="DW334" s="13"/>
      <c r="DX334" s="13"/>
      <c r="DY334" s="13"/>
      <c r="DZ334" s="13"/>
      <c r="EA334" s="13"/>
      <c r="EB334" s="13"/>
      <c r="EC334" s="13"/>
      <c r="ED334" s="13"/>
      <c r="EE334" s="13"/>
      <c r="EF334" s="13"/>
      <c r="EG334" s="13"/>
      <c r="EH334" s="13"/>
      <c r="EI334" s="13"/>
      <c r="EJ334" s="13"/>
      <c r="EK334" s="13"/>
      <c r="EL334" s="13"/>
      <c r="EM334" s="13"/>
      <c r="EN334" s="13"/>
    </row>
    <row r="335" spans="3:144" x14ac:dyDescent="0.2">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c r="DU335" s="13"/>
      <c r="DV335" s="13"/>
      <c r="DW335" s="13"/>
      <c r="DX335" s="13"/>
      <c r="DY335" s="13"/>
      <c r="DZ335" s="13"/>
      <c r="EA335" s="13"/>
      <c r="EB335" s="13"/>
      <c r="EC335" s="13"/>
      <c r="ED335" s="13"/>
      <c r="EE335" s="13"/>
      <c r="EF335" s="13"/>
      <c r="EG335" s="13"/>
      <c r="EH335" s="13"/>
      <c r="EI335" s="13"/>
      <c r="EJ335" s="13"/>
      <c r="EK335" s="13"/>
      <c r="EL335" s="13"/>
      <c r="EM335" s="13"/>
      <c r="EN335" s="13"/>
    </row>
    <row r="336" spans="3:144" x14ac:dyDescent="0.2">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13"/>
      <c r="DP336" s="13"/>
      <c r="DQ336" s="13"/>
      <c r="DR336" s="13"/>
      <c r="DS336" s="13"/>
      <c r="DT336" s="13"/>
      <c r="DU336" s="13"/>
      <c r="DV336" s="13"/>
      <c r="DW336" s="13"/>
      <c r="DX336" s="13"/>
      <c r="DY336" s="13"/>
      <c r="DZ336" s="13"/>
      <c r="EA336" s="13"/>
      <c r="EB336" s="13"/>
      <c r="EC336" s="13"/>
      <c r="ED336" s="13"/>
      <c r="EE336" s="13"/>
      <c r="EF336" s="13"/>
      <c r="EG336" s="13"/>
      <c r="EH336" s="13"/>
      <c r="EI336" s="13"/>
      <c r="EJ336" s="13"/>
      <c r="EK336" s="13"/>
      <c r="EL336" s="13"/>
      <c r="EM336" s="13"/>
      <c r="EN336" s="13"/>
    </row>
    <row r="337" spans="3:144" x14ac:dyDescent="0.2">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13"/>
      <c r="DZ337" s="13"/>
      <c r="EA337" s="13"/>
      <c r="EB337" s="13"/>
      <c r="EC337" s="13"/>
      <c r="ED337" s="13"/>
      <c r="EE337" s="13"/>
      <c r="EF337" s="13"/>
      <c r="EG337" s="13"/>
      <c r="EH337" s="13"/>
      <c r="EI337" s="13"/>
      <c r="EJ337" s="13"/>
      <c r="EK337" s="13"/>
      <c r="EL337" s="13"/>
      <c r="EM337" s="13"/>
      <c r="EN337" s="13"/>
    </row>
    <row r="338" spans="3:144" x14ac:dyDescent="0.2">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c r="DU338" s="13"/>
      <c r="DV338" s="13"/>
      <c r="DW338" s="13"/>
      <c r="DX338" s="13"/>
      <c r="DY338" s="13"/>
      <c r="DZ338" s="13"/>
      <c r="EA338" s="13"/>
      <c r="EB338" s="13"/>
      <c r="EC338" s="13"/>
      <c r="ED338" s="13"/>
      <c r="EE338" s="13"/>
      <c r="EF338" s="13"/>
      <c r="EG338" s="13"/>
      <c r="EH338" s="13"/>
      <c r="EI338" s="13"/>
      <c r="EJ338" s="13"/>
      <c r="EK338" s="13"/>
      <c r="EL338" s="13"/>
      <c r="EM338" s="13"/>
      <c r="EN338" s="13"/>
    </row>
    <row r="339" spans="3:144" x14ac:dyDescent="0.2">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c r="DU339" s="13"/>
      <c r="DV339" s="13"/>
      <c r="DW339" s="13"/>
      <c r="DX339" s="13"/>
      <c r="DY339" s="13"/>
      <c r="DZ339" s="13"/>
      <c r="EA339" s="13"/>
      <c r="EB339" s="13"/>
      <c r="EC339" s="13"/>
      <c r="ED339" s="13"/>
      <c r="EE339" s="13"/>
      <c r="EF339" s="13"/>
      <c r="EG339" s="13"/>
      <c r="EH339" s="13"/>
      <c r="EI339" s="13"/>
      <c r="EJ339" s="13"/>
      <c r="EK339" s="13"/>
      <c r="EL339" s="13"/>
      <c r="EM339" s="13"/>
      <c r="EN339" s="13"/>
    </row>
    <row r="340" spans="3:144" x14ac:dyDescent="0.2">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13"/>
      <c r="DZ340" s="13"/>
      <c r="EA340" s="13"/>
      <c r="EB340" s="13"/>
      <c r="EC340" s="13"/>
      <c r="ED340" s="13"/>
      <c r="EE340" s="13"/>
      <c r="EF340" s="13"/>
      <c r="EG340" s="13"/>
      <c r="EH340" s="13"/>
      <c r="EI340" s="13"/>
      <c r="EJ340" s="13"/>
      <c r="EK340" s="13"/>
      <c r="EL340" s="13"/>
      <c r="EM340" s="13"/>
      <c r="EN340" s="13"/>
    </row>
    <row r="341" spans="3:144" x14ac:dyDescent="0.2">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13"/>
      <c r="DP341" s="13"/>
      <c r="DQ341" s="13"/>
      <c r="DR341" s="13"/>
      <c r="DS341" s="13"/>
      <c r="DT341" s="13"/>
      <c r="DU341" s="13"/>
      <c r="DV341" s="13"/>
      <c r="DW341" s="13"/>
      <c r="DX341" s="13"/>
      <c r="DY341" s="13"/>
      <c r="DZ341" s="13"/>
      <c r="EA341" s="13"/>
      <c r="EB341" s="13"/>
      <c r="EC341" s="13"/>
      <c r="ED341" s="13"/>
      <c r="EE341" s="13"/>
      <c r="EF341" s="13"/>
      <c r="EG341" s="13"/>
      <c r="EH341" s="13"/>
      <c r="EI341" s="13"/>
      <c r="EJ341" s="13"/>
      <c r="EK341" s="13"/>
      <c r="EL341" s="13"/>
      <c r="EM341" s="13"/>
      <c r="EN341" s="13"/>
    </row>
    <row r="342" spans="3:144" x14ac:dyDescent="0.2">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13"/>
      <c r="DJ342" s="13"/>
      <c r="DK342" s="13"/>
      <c r="DL342" s="13"/>
      <c r="DM342" s="13"/>
      <c r="DN342" s="13"/>
      <c r="DO342" s="13"/>
      <c r="DP342" s="13"/>
      <c r="DQ342" s="13"/>
      <c r="DR342" s="13"/>
      <c r="DS342" s="13"/>
      <c r="DT342" s="13"/>
      <c r="DU342" s="13"/>
      <c r="DV342" s="13"/>
      <c r="DW342" s="13"/>
      <c r="DX342" s="13"/>
      <c r="DY342" s="13"/>
      <c r="DZ342" s="13"/>
      <c r="EA342" s="13"/>
      <c r="EB342" s="13"/>
      <c r="EC342" s="13"/>
      <c r="ED342" s="13"/>
      <c r="EE342" s="13"/>
      <c r="EF342" s="13"/>
      <c r="EG342" s="13"/>
      <c r="EH342" s="13"/>
      <c r="EI342" s="13"/>
      <c r="EJ342" s="13"/>
      <c r="EK342" s="13"/>
      <c r="EL342" s="13"/>
      <c r="EM342" s="13"/>
      <c r="EN342" s="13"/>
    </row>
    <row r="343" spans="3:144" x14ac:dyDescent="0.2">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c r="DO343" s="13"/>
      <c r="DP343" s="13"/>
      <c r="DQ343" s="13"/>
      <c r="DR343" s="13"/>
      <c r="DS343" s="13"/>
      <c r="DT343" s="13"/>
      <c r="DU343" s="13"/>
      <c r="DV343" s="13"/>
      <c r="DW343" s="13"/>
      <c r="DX343" s="13"/>
      <c r="DY343" s="13"/>
      <c r="DZ343" s="13"/>
      <c r="EA343" s="13"/>
      <c r="EB343" s="13"/>
      <c r="EC343" s="13"/>
      <c r="ED343" s="13"/>
      <c r="EE343" s="13"/>
      <c r="EF343" s="13"/>
      <c r="EG343" s="13"/>
      <c r="EH343" s="13"/>
      <c r="EI343" s="13"/>
      <c r="EJ343" s="13"/>
      <c r="EK343" s="13"/>
      <c r="EL343" s="13"/>
      <c r="EM343" s="13"/>
      <c r="EN343" s="13"/>
    </row>
    <row r="344" spans="3:144" x14ac:dyDescent="0.2">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c r="DO344" s="13"/>
      <c r="DP344" s="13"/>
      <c r="DQ344" s="13"/>
      <c r="DR344" s="13"/>
      <c r="DS344" s="13"/>
      <c r="DT344" s="13"/>
      <c r="DU344" s="13"/>
      <c r="DV344" s="13"/>
      <c r="DW344" s="13"/>
      <c r="DX344" s="13"/>
      <c r="DY344" s="13"/>
      <c r="DZ344" s="13"/>
      <c r="EA344" s="13"/>
      <c r="EB344" s="13"/>
      <c r="EC344" s="13"/>
      <c r="ED344" s="13"/>
      <c r="EE344" s="13"/>
      <c r="EF344" s="13"/>
      <c r="EG344" s="13"/>
      <c r="EH344" s="13"/>
      <c r="EI344" s="13"/>
      <c r="EJ344" s="13"/>
      <c r="EK344" s="13"/>
      <c r="EL344" s="13"/>
      <c r="EM344" s="13"/>
      <c r="EN344" s="13"/>
    </row>
    <row r="345" spans="3:144" x14ac:dyDescent="0.2">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c r="DM345" s="13"/>
      <c r="DN345" s="13"/>
      <c r="DO345" s="13"/>
      <c r="DP345" s="13"/>
      <c r="DQ345" s="13"/>
      <c r="DR345" s="13"/>
      <c r="DS345" s="13"/>
      <c r="DT345" s="13"/>
      <c r="DU345" s="13"/>
      <c r="DV345" s="13"/>
      <c r="DW345" s="13"/>
      <c r="DX345" s="13"/>
      <c r="DY345" s="13"/>
      <c r="DZ345" s="13"/>
      <c r="EA345" s="13"/>
      <c r="EB345" s="13"/>
      <c r="EC345" s="13"/>
      <c r="ED345" s="13"/>
      <c r="EE345" s="13"/>
      <c r="EF345" s="13"/>
      <c r="EG345" s="13"/>
      <c r="EH345" s="13"/>
      <c r="EI345" s="13"/>
      <c r="EJ345" s="13"/>
      <c r="EK345" s="13"/>
      <c r="EL345" s="13"/>
      <c r="EM345" s="13"/>
      <c r="EN345" s="13"/>
    </row>
    <row r="346" spans="3:144" x14ac:dyDescent="0.2">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3"/>
      <c r="DR346" s="13"/>
      <c r="DS346" s="13"/>
      <c r="DT346" s="13"/>
      <c r="DU346" s="13"/>
      <c r="DV346" s="13"/>
      <c r="DW346" s="13"/>
      <c r="DX346" s="13"/>
      <c r="DY346" s="13"/>
      <c r="DZ346" s="13"/>
      <c r="EA346" s="13"/>
      <c r="EB346" s="13"/>
      <c r="EC346" s="13"/>
      <c r="ED346" s="13"/>
      <c r="EE346" s="13"/>
      <c r="EF346" s="13"/>
      <c r="EG346" s="13"/>
      <c r="EH346" s="13"/>
      <c r="EI346" s="13"/>
      <c r="EJ346" s="13"/>
      <c r="EK346" s="13"/>
      <c r="EL346" s="13"/>
      <c r="EM346" s="13"/>
      <c r="EN346" s="13"/>
    </row>
    <row r="347" spans="3:144" x14ac:dyDescent="0.2">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3"/>
      <c r="DM347" s="13"/>
      <c r="DN347" s="13"/>
      <c r="DO347" s="13"/>
      <c r="DP347" s="13"/>
      <c r="DQ347" s="13"/>
      <c r="DR347" s="13"/>
      <c r="DS347" s="13"/>
      <c r="DT347" s="13"/>
      <c r="DU347" s="13"/>
      <c r="DV347" s="13"/>
      <c r="DW347" s="13"/>
      <c r="DX347" s="13"/>
      <c r="DY347" s="13"/>
      <c r="DZ347" s="13"/>
      <c r="EA347" s="13"/>
      <c r="EB347" s="13"/>
      <c r="EC347" s="13"/>
      <c r="ED347" s="13"/>
      <c r="EE347" s="13"/>
      <c r="EF347" s="13"/>
      <c r="EG347" s="13"/>
      <c r="EH347" s="13"/>
      <c r="EI347" s="13"/>
      <c r="EJ347" s="13"/>
      <c r="EK347" s="13"/>
      <c r="EL347" s="13"/>
      <c r="EM347" s="13"/>
      <c r="EN347" s="13"/>
    </row>
    <row r="348" spans="3:144" x14ac:dyDescent="0.2">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13"/>
      <c r="DJ348" s="13"/>
      <c r="DK348" s="13"/>
      <c r="DL348" s="13"/>
      <c r="DM348" s="13"/>
      <c r="DN348" s="13"/>
      <c r="DO348" s="13"/>
      <c r="DP348" s="13"/>
      <c r="DQ348" s="13"/>
      <c r="DR348" s="13"/>
      <c r="DS348" s="13"/>
      <c r="DT348" s="13"/>
      <c r="DU348" s="13"/>
      <c r="DV348" s="13"/>
      <c r="DW348" s="13"/>
      <c r="DX348" s="13"/>
      <c r="DY348" s="13"/>
      <c r="DZ348" s="13"/>
      <c r="EA348" s="13"/>
      <c r="EB348" s="13"/>
      <c r="EC348" s="13"/>
      <c r="ED348" s="13"/>
      <c r="EE348" s="13"/>
      <c r="EF348" s="13"/>
      <c r="EG348" s="13"/>
      <c r="EH348" s="13"/>
      <c r="EI348" s="13"/>
      <c r="EJ348" s="13"/>
      <c r="EK348" s="13"/>
      <c r="EL348" s="13"/>
      <c r="EM348" s="13"/>
      <c r="EN348" s="13"/>
    </row>
    <row r="349" spans="3:144" x14ac:dyDescent="0.2">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c r="DO349" s="13"/>
      <c r="DP349" s="13"/>
      <c r="DQ349" s="13"/>
      <c r="DR349" s="13"/>
      <c r="DS349" s="13"/>
      <c r="DT349" s="13"/>
      <c r="DU349" s="13"/>
      <c r="DV349" s="13"/>
      <c r="DW349" s="13"/>
      <c r="DX349" s="13"/>
      <c r="DY349" s="13"/>
      <c r="DZ349" s="13"/>
      <c r="EA349" s="13"/>
      <c r="EB349" s="13"/>
      <c r="EC349" s="13"/>
      <c r="ED349" s="13"/>
      <c r="EE349" s="13"/>
      <c r="EF349" s="13"/>
      <c r="EG349" s="13"/>
      <c r="EH349" s="13"/>
      <c r="EI349" s="13"/>
      <c r="EJ349" s="13"/>
      <c r="EK349" s="13"/>
      <c r="EL349" s="13"/>
      <c r="EM349" s="13"/>
      <c r="EN349" s="13"/>
    </row>
    <row r="350" spans="3:144" x14ac:dyDescent="0.2">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c r="DO350" s="13"/>
      <c r="DP350" s="13"/>
      <c r="DQ350" s="13"/>
      <c r="DR350" s="13"/>
      <c r="DS350" s="13"/>
      <c r="DT350" s="13"/>
      <c r="DU350" s="13"/>
      <c r="DV350" s="13"/>
      <c r="DW350" s="13"/>
      <c r="DX350" s="13"/>
      <c r="DY350" s="13"/>
      <c r="DZ350" s="13"/>
      <c r="EA350" s="13"/>
      <c r="EB350" s="13"/>
      <c r="EC350" s="13"/>
      <c r="ED350" s="13"/>
      <c r="EE350" s="13"/>
      <c r="EF350" s="13"/>
      <c r="EG350" s="13"/>
      <c r="EH350" s="13"/>
      <c r="EI350" s="13"/>
      <c r="EJ350" s="13"/>
      <c r="EK350" s="13"/>
      <c r="EL350" s="13"/>
      <c r="EM350" s="13"/>
      <c r="EN350" s="13"/>
    </row>
    <row r="351" spans="3:144" x14ac:dyDescent="0.2">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13"/>
      <c r="DJ351" s="13"/>
      <c r="DK351" s="13"/>
      <c r="DL351" s="13"/>
      <c r="DM351" s="13"/>
      <c r="DN351" s="13"/>
      <c r="DO351" s="13"/>
      <c r="DP351" s="13"/>
      <c r="DQ351" s="13"/>
      <c r="DR351" s="13"/>
      <c r="DS351" s="13"/>
      <c r="DT351" s="13"/>
      <c r="DU351" s="13"/>
      <c r="DV351" s="13"/>
      <c r="DW351" s="13"/>
      <c r="DX351" s="13"/>
      <c r="DY351" s="13"/>
      <c r="DZ351" s="13"/>
      <c r="EA351" s="13"/>
      <c r="EB351" s="13"/>
      <c r="EC351" s="13"/>
      <c r="ED351" s="13"/>
      <c r="EE351" s="13"/>
      <c r="EF351" s="13"/>
      <c r="EG351" s="13"/>
      <c r="EH351" s="13"/>
      <c r="EI351" s="13"/>
      <c r="EJ351" s="13"/>
      <c r="EK351" s="13"/>
      <c r="EL351" s="13"/>
      <c r="EM351" s="13"/>
      <c r="EN351" s="13"/>
    </row>
    <row r="352" spans="3:144" x14ac:dyDescent="0.2">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3"/>
      <c r="DJ352" s="13"/>
      <c r="DK352" s="13"/>
      <c r="DL352" s="13"/>
      <c r="DM352" s="13"/>
      <c r="DN352" s="13"/>
      <c r="DO352" s="13"/>
      <c r="DP352" s="13"/>
      <c r="DQ352" s="13"/>
      <c r="DR352" s="13"/>
      <c r="DS352" s="13"/>
      <c r="DT352" s="13"/>
      <c r="DU352" s="13"/>
      <c r="DV352" s="13"/>
      <c r="DW352" s="13"/>
      <c r="DX352" s="13"/>
      <c r="DY352" s="13"/>
      <c r="DZ352" s="13"/>
      <c r="EA352" s="13"/>
      <c r="EB352" s="13"/>
      <c r="EC352" s="13"/>
      <c r="ED352" s="13"/>
      <c r="EE352" s="13"/>
      <c r="EF352" s="13"/>
      <c r="EG352" s="13"/>
      <c r="EH352" s="13"/>
      <c r="EI352" s="13"/>
      <c r="EJ352" s="13"/>
      <c r="EK352" s="13"/>
      <c r="EL352" s="13"/>
      <c r="EM352" s="13"/>
      <c r="EN352" s="13"/>
    </row>
    <row r="353" spans="3:144" x14ac:dyDescent="0.2">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c r="DO353" s="13"/>
      <c r="DP353" s="13"/>
      <c r="DQ353" s="13"/>
      <c r="DR353" s="13"/>
      <c r="DS353" s="13"/>
      <c r="DT353" s="13"/>
      <c r="DU353" s="13"/>
      <c r="DV353" s="13"/>
      <c r="DW353" s="13"/>
      <c r="DX353" s="13"/>
      <c r="DY353" s="13"/>
      <c r="DZ353" s="13"/>
      <c r="EA353" s="13"/>
      <c r="EB353" s="13"/>
      <c r="EC353" s="13"/>
      <c r="ED353" s="13"/>
      <c r="EE353" s="13"/>
      <c r="EF353" s="13"/>
      <c r="EG353" s="13"/>
      <c r="EH353" s="13"/>
      <c r="EI353" s="13"/>
      <c r="EJ353" s="13"/>
      <c r="EK353" s="13"/>
      <c r="EL353" s="13"/>
      <c r="EM353" s="13"/>
      <c r="EN353" s="13"/>
    </row>
    <row r="354" spans="3:144" x14ac:dyDescent="0.2">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row>
    <row r="355" spans="3:144" x14ac:dyDescent="0.2">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row>
    <row r="356" spans="3:144" x14ac:dyDescent="0.2">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row>
    <row r="357" spans="3:144" x14ac:dyDescent="0.2">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row>
    <row r="358" spans="3:144" x14ac:dyDescent="0.2">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row>
    <row r="359" spans="3:144" x14ac:dyDescent="0.2">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13"/>
      <c r="EG359" s="13"/>
      <c r="EH359" s="13"/>
      <c r="EI359" s="13"/>
      <c r="EJ359" s="13"/>
      <c r="EK359" s="13"/>
      <c r="EL359" s="13"/>
      <c r="EM359" s="13"/>
      <c r="EN359" s="13"/>
    </row>
    <row r="360" spans="3:144" x14ac:dyDescent="0.2">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row>
    <row r="361" spans="3:144" x14ac:dyDescent="0.2">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row>
    <row r="362" spans="3:144" x14ac:dyDescent="0.2">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row>
    <row r="363" spans="3:144" x14ac:dyDescent="0.2">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row>
    <row r="364" spans="3:144" x14ac:dyDescent="0.2">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row>
    <row r="365" spans="3:144" x14ac:dyDescent="0.2">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row>
    <row r="366" spans="3:144" x14ac:dyDescent="0.2">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row>
    <row r="367" spans="3:144" x14ac:dyDescent="0.2">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row>
    <row r="368" spans="3:144" x14ac:dyDescent="0.2">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row>
    <row r="369" spans="3:144" x14ac:dyDescent="0.2">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row>
    <row r="370" spans="3:144" x14ac:dyDescent="0.2">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row>
    <row r="371" spans="3:144" x14ac:dyDescent="0.2">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row>
    <row r="372" spans="3:144" x14ac:dyDescent="0.2">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13"/>
      <c r="DJ372" s="13"/>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row>
    <row r="373" spans="3:144" x14ac:dyDescent="0.2">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row>
    <row r="374" spans="3:144" x14ac:dyDescent="0.2">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3"/>
      <c r="EL374" s="13"/>
      <c r="EM374" s="13"/>
      <c r="EN374" s="13"/>
    </row>
    <row r="375" spans="3:144" x14ac:dyDescent="0.2">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c r="DK375" s="13"/>
      <c r="DL375" s="13"/>
      <c r="DM375" s="13"/>
      <c r="DN375" s="13"/>
      <c r="DO375" s="13"/>
      <c r="DP375" s="13"/>
      <c r="DQ375" s="13"/>
      <c r="DR375" s="13"/>
      <c r="DS375" s="13"/>
      <c r="DT375" s="13"/>
      <c r="DU375" s="13"/>
      <c r="DV375" s="13"/>
      <c r="DW375" s="13"/>
      <c r="DX375" s="13"/>
      <c r="DY375" s="13"/>
      <c r="DZ375" s="13"/>
      <c r="EA375" s="13"/>
      <c r="EB375" s="13"/>
      <c r="EC375" s="13"/>
      <c r="ED375" s="13"/>
      <c r="EE375" s="13"/>
      <c r="EF375" s="13"/>
      <c r="EG375" s="13"/>
      <c r="EH375" s="13"/>
      <c r="EI375" s="13"/>
      <c r="EJ375" s="13"/>
      <c r="EK375" s="13"/>
      <c r="EL375" s="13"/>
      <c r="EM375" s="13"/>
      <c r="EN375" s="13"/>
    </row>
    <row r="376" spans="3:144" x14ac:dyDescent="0.2">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13"/>
      <c r="DP376" s="13"/>
      <c r="DQ376" s="13"/>
      <c r="DR376" s="13"/>
      <c r="DS376" s="13"/>
      <c r="DT376" s="13"/>
      <c r="DU376" s="13"/>
      <c r="DV376" s="13"/>
      <c r="DW376" s="13"/>
      <c r="DX376" s="13"/>
      <c r="DY376" s="13"/>
      <c r="DZ376" s="13"/>
      <c r="EA376" s="13"/>
      <c r="EB376" s="13"/>
      <c r="EC376" s="13"/>
      <c r="ED376" s="13"/>
      <c r="EE376" s="13"/>
      <c r="EF376" s="13"/>
      <c r="EG376" s="13"/>
      <c r="EH376" s="13"/>
      <c r="EI376" s="13"/>
      <c r="EJ376" s="13"/>
      <c r="EK376" s="13"/>
      <c r="EL376" s="13"/>
      <c r="EM376" s="13"/>
      <c r="EN376" s="13"/>
    </row>
    <row r="377" spans="3:144" x14ac:dyDescent="0.2">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row>
    <row r="378" spans="3:144" x14ac:dyDescent="0.2">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13"/>
      <c r="DJ378" s="13"/>
      <c r="DK378" s="13"/>
      <c r="DL378" s="13"/>
      <c r="DM378" s="13"/>
      <c r="DN378" s="13"/>
      <c r="DO378" s="13"/>
      <c r="DP378" s="13"/>
      <c r="DQ378" s="13"/>
      <c r="DR378" s="13"/>
      <c r="DS378" s="13"/>
      <c r="DT378" s="13"/>
      <c r="DU378" s="13"/>
      <c r="DV378" s="13"/>
      <c r="DW378" s="13"/>
      <c r="DX378" s="13"/>
      <c r="DY378" s="13"/>
      <c r="DZ378" s="13"/>
      <c r="EA378" s="13"/>
      <c r="EB378" s="13"/>
      <c r="EC378" s="13"/>
      <c r="ED378" s="13"/>
      <c r="EE378" s="13"/>
      <c r="EF378" s="13"/>
      <c r="EG378" s="13"/>
      <c r="EH378" s="13"/>
      <c r="EI378" s="13"/>
      <c r="EJ378" s="13"/>
      <c r="EK378" s="13"/>
      <c r="EL378" s="13"/>
      <c r="EM378" s="13"/>
      <c r="EN378" s="13"/>
    </row>
    <row r="379" spans="3:144" x14ac:dyDescent="0.2">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13"/>
      <c r="DJ379" s="13"/>
      <c r="DK379" s="13"/>
      <c r="DL379" s="13"/>
      <c r="DM379" s="13"/>
      <c r="DN379" s="13"/>
      <c r="DO379" s="13"/>
      <c r="DP379" s="13"/>
      <c r="DQ379" s="13"/>
      <c r="DR379" s="13"/>
      <c r="DS379" s="13"/>
      <c r="DT379" s="13"/>
      <c r="DU379" s="13"/>
      <c r="DV379" s="13"/>
      <c r="DW379" s="13"/>
      <c r="DX379" s="13"/>
      <c r="DY379" s="13"/>
      <c r="DZ379" s="13"/>
      <c r="EA379" s="13"/>
      <c r="EB379" s="13"/>
      <c r="EC379" s="13"/>
      <c r="ED379" s="13"/>
      <c r="EE379" s="13"/>
      <c r="EF379" s="13"/>
      <c r="EG379" s="13"/>
      <c r="EH379" s="13"/>
      <c r="EI379" s="13"/>
      <c r="EJ379" s="13"/>
      <c r="EK379" s="13"/>
      <c r="EL379" s="13"/>
      <c r="EM379" s="13"/>
      <c r="EN379" s="13"/>
    </row>
    <row r="380" spans="3:144" x14ac:dyDescent="0.2">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c r="DK380" s="13"/>
      <c r="DL380" s="13"/>
      <c r="DM380" s="13"/>
      <c r="DN380" s="13"/>
      <c r="DO380" s="13"/>
      <c r="DP380" s="13"/>
      <c r="DQ380" s="13"/>
      <c r="DR380" s="13"/>
      <c r="DS380" s="13"/>
      <c r="DT380" s="13"/>
      <c r="DU380" s="13"/>
      <c r="DV380" s="13"/>
      <c r="DW380" s="13"/>
      <c r="DX380" s="13"/>
      <c r="DY380" s="13"/>
      <c r="DZ380" s="13"/>
      <c r="EA380" s="13"/>
      <c r="EB380" s="13"/>
      <c r="EC380" s="13"/>
      <c r="ED380" s="13"/>
      <c r="EE380" s="13"/>
      <c r="EF380" s="13"/>
      <c r="EG380" s="13"/>
      <c r="EH380" s="13"/>
      <c r="EI380" s="13"/>
      <c r="EJ380" s="13"/>
      <c r="EK380" s="13"/>
      <c r="EL380" s="13"/>
      <c r="EM380" s="13"/>
      <c r="EN380" s="13"/>
    </row>
    <row r="381" spans="3:144" x14ac:dyDescent="0.2">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3"/>
      <c r="CP381" s="13"/>
      <c r="CQ381" s="13"/>
      <c r="CR381" s="13"/>
      <c r="CS381" s="13"/>
      <c r="CT381" s="13"/>
      <c r="CU381" s="13"/>
      <c r="CV381" s="13"/>
      <c r="CW381" s="13"/>
      <c r="CX381" s="13"/>
      <c r="CY381" s="13"/>
      <c r="CZ381" s="13"/>
      <c r="DA381" s="13"/>
      <c r="DB381" s="13"/>
      <c r="DC381" s="13"/>
      <c r="DD381" s="13"/>
      <c r="DE381" s="13"/>
      <c r="DF381" s="13"/>
      <c r="DG381" s="13"/>
      <c r="DH381" s="13"/>
      <c r="DI381" s="13"/>
      <c r="DJ381" s="13"/>
      <c r="DK381" s="13"/>
      <c r="DL381" s="13"/>
      <c r="DM381" s="13"/>
      <c r="DN381" s="13"/>
      <c r="DO381" s="13"/>
      <c r="DP381" s="13"/>
      <c r="DQ381" s="13"/>
      <c r="DR381" s="13"/>
      <c r="DS381" s="13"/>
      <c r="DT381" s="13"/>
      <c r="DU381" s="13"/>
      <c r="DV381" s="13"/>
      <c r="DW381" s="13"/>
      <c r="DX381" s="13"/>
      <c r="DY381" s="13"/>
      <c r="DZ381" s="13"/>
      <c r="EA381" s="13"/>
      <c r="EB381" s="13"/>
      <c r="EC381" s="13"/>
      <c r="ED381" s="13"/>
      <c r="EE381" s="13"/>
      <c r="EF381" s="13"/>
      <c r="EG381" s="13"/>
      <c r="EH381" s="13"/>
      <c r="EI381" s="13"/>
      <c r="EJ381" s="13"/>
      <c r="EK381" s="13"/>
      <c r="EL381" s="13"/>
      <c r="EM381" s="13"/>
      <c r="EN381" s="13"/>
    </row>
    <row r="382" spans="3:144" x14ac:dyDescent="0.2">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c r="CO382" s="13"/>
      <c r="CP382" s="13"/>
      <c r="CQ382" s="13"/>
      <c r="CR382" s="13"/>
      <c r="CS382" s="13"/>
      <c r="CT382" s="13"/>
      <c r="CU382" s="13"/>
      <c r="CV382" s="13"/>
      <c r="CW382" s="13"/>
      <c r="CX382" s="13"/>
      <c r="CY382" s="13"/>
      <c r="CZ382" s="13"/>
      <c r="DA382" s="13"/>
      <c r="DB382" s="13"/>
      <c r="DC382" s="13"/>
      <c r="DD382" s="13"/>
      <c r="DE382" s="13"/>
      <c r="DF382" s="13"/>
      <c r="DG382" s="13"/>
      <c r="DH382" s="13"/>
      <c r="DI382" s="13"/>
      <c r="DJ382" s="13"/>
      <c r="DK382" s="13"/>
      <c r="DL382" s="13"/>
      <c r="DM382" s="13"/>
      <c r="DN382" s="13"/>
      <c r="DO382" s="13"/>
      <c r="DP382" s="13"/>
      <c r="DQ382" s="13"/>
      <c r="DR382" s="13"/>
      <c r="DS382" s="13"/>
      <c r="DT382" s="13"/>
      <c r="DU382" s="13"/>
      <c r="DV382" s="13"/>
      <c r="DW382" s="13"/>
      <c r="DX382" s="13"/>
      <c r="DY382" s="13"/>
      <c r="DZ382" s="13"/>
      <c r="EA382" s="13"/>
      <c r="EB382" s="13"/>
      <c r="EC382" s="13"/>
      <c r="ED382" s="13"/>
      <c r="EE382" s="13"/>
      <c r="EF382" s="13"/>
      <c r="EG382" s="13"/>
      <c r="EH382" s="13"/>
      <c r="EI382" s="13"/>
      <c r="EJ382" s="13"/>
      <c r="EK382" s="13"/>
      <c r="EL382" s="13"/>
      <c r="EM382" s="13"/>
      <c r="EN382" s="13"/>
    </row>
    <row r="383" spans="3:144" x14ac:dyDescent="0.2">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c r="CO383" s="13"/>
      <c r="CP383" s="13"/>
      <c r="CQ383" s="13"/>
      <c r="CR383" s="13"/>
      <c r="CS383" s="13"/>
      <c r="CT383" s="13"/>
      <c r="CU383" s="13"/>
      <c r="CV383" s="13"/>
      <c r="CW383" s="13"/>
      <c r="CX383" s="13"/>
      <c r="CY383" s="13"/>
      <c r="CZ383" s="13"/>
      <c r="DA383" s="13"/>
      <c r="DB383" s="13"/>
      <c r="DC383" s="13"/>
      <c r="DD383" s="13"/>
      <c r="DE383" s="13"/>
      <c r="DF383" s="13"/>
      <c r="DG383" s="13"/>
      <c r="DH383" s="13"/>
      <c r="DI383" s="13"/>
      <c r="DJ383" s="13"/>
      <c r="DK383" s="13"/>
      <c r="DL383" s="13"/>
      <c r="DM383" s="13"/>
      <c r="DN383" s="13"/>
      <c r="DO383" s="13"/>
      <c r="DP383" s="13"/>
      <c r="DQ383" s="13"/>
      <c r="DR383" s="13"/>
      <c r="DS383" s="13"/>
      <c r="DT383" s="13"/>
      <c r="DU383" s="13"/>
      <c r="DV383" s="13"/>
      <c r="DW383" s="13"/>
      <c r="DX383" s="13"/>
      <c r="DY383" s="13"/>
      <c r="DZ383" s="13"/>
      <c r="EA383" s="13"/>
      <c r="EB383" s="13"/>
      <c r="EC383" s="13"/>
      <c r="ED383" s="13"/>
      <c r="EE383" s="13"/>
      <c r="EF383" s="13"/>
      <c r="EG383" s="13"/>
      <c r="EH383" s="13"/>
      <c r="EI383" s="13"/>
      <c r="EJ383" s="13"/>
      <c r="EK383" s="13"/>
      <c r="EL383" s="13"/>
      <c r="EM383" s="13"/>
      <c r="EN383" s="13"/>
    </row>
    <row r="384" spans="3:144" x14ac:dyDescent="0.2">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c r="DK384" s="13"/>
      <c r="DL384" s="13"/>
      <c r="DM384" s="13"/>
      <c r="DN384" s="13"/>
      <c r="DO384" s="13"/>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row>
    <row r="385" spans="3:144" x14ac:dyDescent="0.2">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13"/>
      <c r="DJ385" s="13"/>
      <c r="DK385" s="13"/>
      <c r="DL385" s="13"/>
      <c r="DM385" s="13"/>
      <c r="DN385" s="13"/>
      <c r="DO385" s="13"/>
      <c r="DP385" s="13"/>
      <c r="DQ385" s="13"/>
      <c r="DR385" s="13"/>
      <c r="DS385" s="13"/>
      <c r="DT385" s="13"/>
      <c r="DU385" s="13"/>
      <c r="DV385" s="13"/>
      <c r="DW385" s="13"/>
      <c r="DX385" s="13"/>
      <c r="DY385" s="13"/>
      <c r="DZ385" s="13"/>
      <c r="EA385" s="13"/>
      <c r="EB385" s="13"/>
      <c r="EC385" s="13"/>
      <c r="ED385" s="13"/>
      <c r="EE385" s="13"/>
      <c r="EF385" s="13"/>
      <c r="EG385" s="13"/>
      <c r="EH385" s="13"/>
      <c r="EI385" s="13"/>
      <c r="EJ385" s="13"/>
      <c r="EK385" s="13"/>
      <c r="EL385" s="13"/>
      <c r="EM385" s="13"/>
      <c r="EN385" s="13"/>
    </row>
    <row r="386" spans="3:144" x14ac:dyDescent="0.2">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13"/>
      <c r="DJ386" s="13"/>
      <c r="DK386" s="13"/>
      <c r="DL386" s="13"/>
      <c r="DM386" s="13"/>
      <c r="DN386" s="13"/>
      <c r="DO386" s="13"/>
      <c r="DP386" s="13"/>
      <c r="DQ386" s="13"/>
      <c r="DR386" s="13"/>
      <c r="DS386" s="13"/>
      <c r="DT386" s="13"/>
      <c r="DU386" s="13"/>
      <c r="DV386" s="13"/>
      <c r="DW386" s="13"/>
      <c r="DX386" s="13"/>
      <c r="DY386" s="13"/>
      <c r="DZ386" s="13"/>
      <c r="EA386" s="13"/>
      <c r="EB386" s="13"/>
      <c r="EC386" s="13"/>
      <c r="ED386" s="13"/>
      <c r="EE386" s="13"/>
      <c r="EF386" s="13"/>
      <c r="EG386" s="13"/>
      <c r="EH386" s="13"/>
      <c r="EI386" s="13"/>
      <c r="EJ386" s="13"/>
      <c r="EK386" s="13"/>
      <c r="EL386" s="13"/>
      <c r="EM386" s="13"/>
      <c r="EN386" s="13"/>
    </row>
    <row r="387" spans="3:144" x14ac:dyDescent="0.2">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c r="CW387" s="13"/>
      <c r="CX387" s="13"/>
      <c r="CY387" s="13"/>
      <c r="CZ387" s="13"/>
      <c r="DA387" s="13"/>
      <c r="DB387" s="13"/>
      <c r="DC387" s="13"/>
      <c r="DD387" s="13"/>
      <c r="DE387" s="13"/>
      <c r="DF387" s="13"/>
      <c r="DG387" s="13"/>
      <c r="DH387" s="13"/>
      <c r="DI387" s="13"/>
      <c r="DJ387" s="13"/>
      <c r="DK387" s="13"/>
      <c r="DL387" s="13"/>
      <c r="DM387" s="13"/>
      <c r="DN387" s="13"/>
      <c r="DO387" s="13"/>
      <c r="DP387" s="13"/>
      <c r="DQ387" s="13"/>
      <c r="DR387" s="13"/>
      <c r="DS387" s="13"/>
      <c r="DT387" s="13"/>
      <c r="DU387" s="13"/>
      <c r="DV387" s="13"/>
      <c r="DW387" s="13"/>
      <c r="DX387" s="13"/>
      <c r="DY387" s="13"/>
      <c r="DZ387" s="13"/>
      <c r="EA387" s="13"/>
      <c r="EB387" s="13"/>
      <c r="EC387" s="13"/>
      <c r="ED387" s="13"/>
      <c r="EE387" s="13"/>
      <c r="EF387" s="13"/>
      <c r="EG387" s="13"/>
      <c r="EH387" s="13"/>
      <c r="EI387" s="13"/>
      <c r="EJ387" s="13"/>
      <c r="EK387" s="13"/>
      <c r="EL387" s="13"/>
      <c r="EM387" s="13"/>
      <c r="EN387" s="13"/>
    </row>
    <row r="388" spans="3:144" x14ac:dyDescent="0.2">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c r="CT388" s="13"/>
      <c r="CU388" s="13"/>
      <c r="CV388" s="13"/>
      <c r="CW388" s="13"/>
      <c r="CX388" s="13"/>
      <c r="CY388" s="13"/>
      <c r="CZ388" s="13"/>
      <c r="DA388" s="13"/>
      <c r="DB388" s="13"/>
      <c r="DC388" s="13"/>
      <c r="DD388" s="13"/>
      <c r="DE388" s="13"/>
      <c r="DF388" s="13"/>
      <c r="DG388" s="13"/>
      <c r="DH388" s="13"/>
      <c r="DI388" s="13"/>
      <c r="DJ388" s="13"/>
      <c r="DK388" s="13"/>
      <c r="DL388" s="13"/>
      <c r="DM388" s="13"/>
      <c r="DN388" s="13"/>
      <c r="DO388" s="13"/>
      <c r="DP388" s="13"/>
      <c r="DQ388" s="13"/>
      <c r="DR388" s="13"/>
      <c r="DS388" s="13"/>
      <c r="DT388" s="13"/>
      <c r="DU388" s="13"/>
      <c r="DV388" s="13"/>
      <c r="DW388" s="13"/>
      <c r="DX388" s="13"/>
      <c r="DY388" s="13"/>
      <c r="DZ388" s="13"/>
      <c r="EA388" s="13"/>
      <c r="EB388" s="13"/>
      <c r="EC388" s="13"/>
      <c r="ED388" s="13"/>
      <c r="EE388" s="13"/>
      <c r="EF388" s="13"/>
      <c r="EG388" s="13"/>
      <c r="EH388" s="13"/>
      <c r="EI388" s="13"/>
      <c r="EJ388" s="13"/>
      <c r="EK388" s="13"/>
      <c r="EL388" s="13"/>
      <c r="EM388" s="13"/>
      <c r="EN388" s="13"/>
    </row>
    <row r="389" spans="3:144" x14ac:dyDescent="0.2">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13"/>
      <c r="DP389" s="13"/>
      <c r="DQ389" s="13"/>
      <c r="DR389" s="13"/>
      <c r="DS389" s="13"/>
      <c r="DT389" s="13"/>
      <c r="DU389" s="13"/>
      <c r="DV389" s="13"/>
      <c r="DW389" s="13"/>
      <c r="DX389" s="13"/>
      <c r="DY389" s="13"/>
      <c r="DZ389" s="13"/>
      <c r="EA389" s="13"/>
      <c r="EB389" s="13"/>
      <c r="EC389" s="13"/>
      <c r="ED389" s="13"/>
      <c r="EE389" s="13"/>
      <c r="EF389" s="13"/>
      <c r="EG389" s="13"/>
      <c r="EH389" s="13"/>
      <c r="EI389" s="13"/>
      <c r="EJ389" s="13"/>
      <c r="EK389" s="13"/>
      <c r="EL389" s="13"/>
      <c r="EM389" s="13"/>
      <c r="EN389" s="13"/>
    </row>
    <row r="390" spans="3:144" x14ac:dyDescent="0.2">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13"/>
      <c r="DP390" s="13"/>
      <c r="DQ390" s="13"/>
      <c r="DR390" s="13"/>
      <c r="DS390" s="13"/>
      <c r="DT390" s="13"/>
      <c r="DU390" s="13"/>
      <c r="DV390" s="13"/>
      <c r="DW390" s="13"/>
      <c r="DX390" s="13"/>
      <c r="DY390" s="13"/>
      <c r="DZ390" s="13"/>
      <c r="EA390" s="13"/>
      <c r="EB390" s="13"/>
      <c r="EC390" s="13"/>
      <c r="ED390" s="13"/>
      <c r="EE390" s="13"/>
      <c r="EF390" s="13"/>
      <c r="EG390" s="13"/>
      <c r="EH390" s="13"/>
      <c r="EI390" s="13"/>
      <c r="EJ390" s="13"/>
      <c r="EK390" s="13"/>
      <c r="EL390" s="13"/>
      <c r="EM390" s="13"/>
      <c r="EN390" s="13"/>
    </row>
    <row r="391" spans="3:144" x14ac:dyDescent="0.2">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13"/>
      <c r="DP391" s="13"/>
      <c r="DQ391" s="13"/>
      <c r="DR391" s="13"/>
      <c r="DS391" s="13"/>
      <c r="DT391" s="13"/>
      <c r="DU391" s="13"/>
      <c r="DV391" s="13"/>
      <c r="DW391" s="13"/>
      <c r="DX391" s="13"/>
      <c r="DY391" s="13"/>
      <c r="DZ391" s="13"/>
      <c r="EA391" s="13"/>
      <c r="EB391" s="13"/>
      <c r="EC391" s="13"/>
      <c r="ED391" s="13"/>
      <c r="EE391" s="13"/>
      <c r="EF391" s="13"/>
      <c r="EG391" s="13"/>
      <c r="EH391" s="13"/>
      <c r="EI391" s="13"/>
      <c r="EJ391" s="13"/>
      <c r="EK391" s="13"/>
      <c r="EL391" s="13"/>
      <c r="EM391" s="13"/>
      <c r="EN391" s="13"/>
    </row>
    <row r="392" spans="3:144" x14ac:dyDescent="0.2">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13"/>
      <c r="DP392" s="13"/>
      <c r="DQ392" s="13"/>
      <c r="DR392" s="13"/>
      <c r="DS392" s="13"/>
      <c r="DT392" s="13"/>
      <c r="DU392" s="13"/>
      <c r="DV392" s="13"/>
      <c r="DW392" s="13"/>
      <c r="DX392" s="13"/>
      <c r="DY392" s="13"/>
      <c r="DZ392" s="13"/>
      <c r="EA392" s="13"/>
      <c r="EB392" s="13"/>
      <c r="EC392" s="13"/>
      <c r="ED392" s="13"/>
      <c r="EE392" s="13"/>
      <c r="EF392" s="13"/>
      <c r="EG392" s="13"/>
      <c r="EH392" s="13"/>
      <c r="EI392" s="13"/>
      <c r="EJ392" s="13"/>
      <c r="EK392" s="13"/>
      <c r="EL392" s="13"/>
      <c r="EM392" s="13"/>
      <c r="EN392" s="13"/>
    </row>
    <row r="393" spans="3:144" x14ac:dyDescent="0.2">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13"/>
      <c r="DP393" s="13"/>
      <c r="DQ393" s="13"/>
      <c r="DR393" s="13"/>
      <c r="DS393" s="13"/>
      <c r="DT393" s="13"/>
      <c r="DU393" s="13"/>
      <c r="DV393" s="13"/>
      <c r="DW393" s="13"/>
      <c r="DX393" s="13"/>
      <c r="DY393" s="13"/>
      <c r="DZ393" s="13"/>
      <c r="EA393" s="13"/>
      <c r="EB393" s="13"/>
      <c r="EC393" s="13"/>
      <c r="ED393" s="13"/>
      <c r="EE393" s="13"/>
      <c r="EF393" s="13"/>
      <c r="EG393" s="13"/>
      <c r="EH393" s="13"/>
      <c r="EI393" s="13"/>
      <c r="EJ393" s="13"/>
      <c r="EK393" s="13"/>
      <c r="EL393" s="13"/>
      <c r="EM393" s="13"/>
      <c r="EN393" s="13"/>
    </row>
    <row r="394" spans="3:144" x14ac:dyDescent="0.2">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13"/>
      <c r="DP394" s="13"/>
      <c r="DQ394" s="13"/>
      <c r="DR394" s="13"/>
      <c r="DS394" s="13"/>
      <c r="DT394" s="13"/>
      <c r="DU394" s="13"/>
      <c r="DV394" s="13"/>
      <c r="DW394" s="13"/>
      <c r="DX394" s="13"/>
      <c r="DY394" s="13"/>
      <c r="DZ394" s="13"/>
      <c r="EA394" s="13"/>
      <c r="EB394" s="13"/>
      <c r="EC394" s="13"/>
      <c r="ED394" s="13"/>
      <c r="EE394" s="13"/>
      <c r="EF394" s="13"/>
      <c r="EG394" s="13"/>
      <c r="EH394" s="13"/>
      <c r="EI394" s="13"/>
      <c r="EJ394" s="13"/>
      <c r="EK394" s="13"/>
      <c r="EL394" s="13"/>
      <c r="EM394" s="13"/>
      <c r="EN394" s="13"/>
    </row>
    <row r="395" spans="3:144" x14ac:dyDescent="0.2">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c r="DO395" s="13"/>
      <c r="DP395" s="13"/>
      <c r="DQ395" s="13"/>
      <c r="DR395" s="13"/>
      <c r="DS395" s="13"/>
      <c r="DT395" s="13"/>
      <c r="DU395" s="13"/>
      <c r="DV395" s="13"/>
      <c r="DW395" s="13"/>
      <c r="DX395" s="13"/>
      <c r="DY395" s="13"/>
      <c r="DZ395" s="13"/>
      <c r="EA395" s="13"/>
      <c r="EB395" s="13"/>
      <c r="EC395" s="13"/>
      <c r="ED395" s="13"/>
      <c r="EE395" s="13"/>
      <c r="EF395" s="13"/>
      <c r="EG395" s="13"/>
      <c r="EH395" s="13"/>
      <c r="EI395" s="13"/>
      <c r="EJ395" s="13"/>
      <c r="EK395" s="13"/>
      <c r="EL395" s="13"/>
      <c r="EM395" s="13"/>
      <c r="EN395" s="13"/>
    </row>
    <row r="396" spans="3:144" x14ac:dyDescent="0.2">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c r="CV396" s="13"/>
      <c r="CW396" s="13"/>
      <c r="CX396" s="13"/>
      <c r="CY396" s="13"/>
      <c r="CZ396" s="13"/>
      <c r="DA396" s="13"/>
      <c r="DB396" s="13"/>
      <c r="DC396" s="13"/>
      <c r="DD396" s="13"/>
      <c r="DE396" s="13"/>
      <c r="DF396" s="13"/>
      <c r="DG396" s="13"/>
      <c r="DH396" s="13"/>
      <c r="DI396" s="13"/>
      <c r="DJ396" s="13"/>
      <c r="DK396" s="13"/>
      <c r="DL396" s="13"/>
      <c r="DM396" s="13"/>
      <c r="DN396" s="13"/>
      <c r="DO396" s="13"/>
      <c r="DP396" s="13"/>
      <c r="DQ396" s="13"/>
      <c r="DR396" s="13"/>
      <c r="DS396" s="13"/>
      <c r="DT396" s="13"/>
      <c r="DU396" s="13"/>
      <c r="DV396" s="13"/>
      <c r="DW396" s="13"/>
      <c r="DX396" s="13"/>
      <c r="DY396" s="13"/>
      <c r="DZ396" s="13"/>
      <c r="EA396" s="13"/>
      <c r="EB396" s="13"/>
      <c r="EC396" s="13"/>
      <c r="ED396" s="13"/>
      <c r="EE396" s="13"/>
      <c r="EF396" s="13"/>
      <c r="EG396" s="13"/>
      <c r="EH396" s="13"/>
      <c r="EI396" s="13"/>
      <c r="EJ396" s="13"/>
      <c r="EK396" s="13"/>
      <c r="EL396" s="13"/>
      <c r="EM396" s="13"/>
      <c r="EN396" s="13"/>
    </row>
    <row r="397" spans="3:144" x14ac:dyDescent="0.2">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c r="DN397" s="13"/>
      <c r="DO397" s="13"/>
      <c r="DP397" s="13"/>
      <c r="DQ397" s="13"/>
      <c r="DR397" s="13"/>
      <c r="DS397" s="13"/>
      <c r="DT397" s="13"/>
      <c r="DU397" s="13"/>
      <c r="DV397" s="13"/>
      <c r="DW397" s="13"/>
      <c r="DX397" s="13"/>
      <c r="DY397" s="13"/>
      <c r="DZ397" s="13"/>
      <c r="EA397" s="13"/>
      <c r="EB397" s="13"/>
      <c r="EC397" s="13"/>
      <c r="ED397" s="13"/>
      <c r="EE397" s="13"/>
      <c r="EF397" s="13"/>
      <c r="EG397" s="13"/>
      <c r="EH397" s="13"/>
      <c r="EI397" s="13"/>
      <c r="EJ397" s="13"/>
      <c r="EK397" s="13"/>
      <c r="EL397" s="13"/>
      <c r="EM397" s="13"/>
      <c r="EN397" s="13"/>
    </row>
    <row r="398" spans="3:144" x14ac:dyDescent="0.2">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c r="DO398" s="13"/>
      <c r="DP398" s="13"/>
      <c r="DQ398" s="13"/>
      <c r="DR398" s="13"/>
      <c r="DS398" s="13"/>
      <c r="DT398" s="13"/>
      <c r="DU398" s="13"/>
      <c r="DV398" s="13"/>
      <c r="DW398" s="13"/>
      <c r="DX398" s="13"/>
      <c r="DY398" s="13"/>
      <c r="DZ398" s="13"/>
      <c r="EA398" s="13"/>
      <c r="EB398" s="13"/>
      <c r="EC398" s="13"/>
      <c r="ED398" s="13"/>
      <c r="EE398" s="13"/>
      <c r="EF398" s="13"/>
      <c r="EG398" s="13"/>
      <c r="EH398" s="13"/>
      <c r="EI398" s="13"/>
      <c r="EJ398" s="13"/>
      <c r="EK398" s="13"/>
      <c r="EL398" s="13"/>
      <c r="EM398" s="13"/>
      <c r="EN398" s="13"/>
    </row>
    <row r="399" spans="3:144" x14ac:dyDescent="0.2">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13"/>
      <c r="DJ399" s="13"/>
      <c r="DK399" s="13"/>
      <c r="DL399" s="13"/>
      <c r="DM399" s="13"/>
      <c r="DN399" s="13"/>
      <c r="DO399" s="13"/>
      <c r="DP399" s="13"/>
      <c r="DQ399" s="13"/>
      <c r="DR399" s="13"/>
      <c r="DS399" s="13"/>
      <c r="DT399" s="13"/>
      <c r="DU399" s="13"/>
      <c r="DV399" s="13"/>
      <c r="DW399" s="13"/>
      <c r="DX399" s="13"/>
      <c r="DY399" s="13"/>
      <c r="DZ399" s="13"/>
      <c r="EA399" s="13"/>
      <c r="EB399" s="13"/>
      <c r="EC399" s="13"/>
      <c r="ED399" s="13"/>
      <c r="EE399" s="13"/>
      <c r="EF399" s="13"/>
      <c r="EG399" s="13"/>
      <c r="EH399" s="13"/>
      <c r="EI399" s="13"/>
      <c r="EJ399" s="13"/>
      <c r="EK399" s="13"/>
      <c r="EL399" s="13"/>
      <c r="EM399" s="13"/>
      <c r="EN399" s="13"/>
    </row>
    <row r="400" spans="3:144" x14ac:dyDescent="0.2">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13"/>
      <c r="DJ400" s="13"/>
      <c r="DK400" s="13"/>
      <c r="DL400" s="13"/>
      <c r="DM400" s="13"/>
      <c r="DN400" s="13"/>
      <c r="DO400" s="13"/>
      <c r="DP400" s="13"/>
      <c r="DQ400" s="13"/>
      <c r="DR400" s="13"/>
      <c r="DS400" s="13"/>
      <c r="DT400" s="13"/>
      <c r="DU400" s="13"/>
      <c r="DV400" s="13"/>
      <c r="DW400" s="13"/>
      <c r="DX400" s="13"/>
      <c r="DY400" s="13"/>
      <c r="DZ400" s="13"/>
      <c r="EA400" s="13"/>
      <c r="EB400" s="13"/>
      <c r="EC400" s="13"/>
      <c r="ED400" s="13"/>
      <c r="EE400" s="13"/>
      <c r="EF400" s="13"/>
      <c r="EG400" s="13"/>
      <c r="EH400" s="13"/>
      <c r="EI400" s="13"/>
      <c r="EJ400" s="13"/>
      <c r="EK400" s="13"/>
      <c r="EL400" s="13"/>
      <c r="EM400" s="13"/>
      <c r="EN400" s="13"/>
    </row>
    <row r="401" spans="3:144" x14ac:dyDescent="0.2">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13"/>
      <c r="DJ401" s="13"/>
      <c r="DK401" s="13"/>
      <c r="DL401" s="13"/>
      <c r="DM401" s="13"/>
      <c r="DN401" s="13"/>
      <c r="DO401" s="13"/>
      <c r="DP401" s="13"/>
      <c r="DQ401" s="13"/>
      <c r="DR401" s="13"/>
      <c r="DS401" s="13"/>
      <c r="DT401" s="13"/>
      <c r="DU401" s="13"/>
      <c r="DV401" s="13"/>
      <c r="DW401" s="13"/>
      <c r="DX401" s="13"/>
      <c r="DY401" s="13"/>
      <c r="DZ401" s="13"/>
      <c r="EA401" s="13"/>
      <c r="EB401" s="13"/>
      <c r="EC401" s="13"/>
      <c r="ED401" s="13"/>
      <c r="EE401" s="13"/>
      <c r="EF401" s="13"/>
      <c r="EG401" s="13"/>
      <c r="EH401" s="13"/>
      <c r="EI401" s="13"/>
      <c r="EJ401" s="13"/>
      <c r="EK401" s="13"/>
      <c r="EL401" s="13"/>
      <c r="EM401" s="13"/>
      <c r="EN401" s="13"/>
    </row>
    <row r="402" spans="3:144" x14ac:dyDescent="0.2">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c r="DK402" s="13"/>
      <c r="DL402" s="13"/>
      <c r="DM402" s="13"/>
      <c r="DN402" s="13"/>
      <c r="DO402" s="13"/>
      <c r="DP402" s="13"/>
      <c r="DQ402" s="13"/>
      <c r="DR402" s="13"/>
      <c r="DS402" s="13"/>
      <c r="DT402" s="13"/>
      <c r="DU402" s="13"/>
      <c r="DV402" s="13"/>
      <c r="DW402" s="13"/>
      <c r="DX402" s="13"/>
      <c r="DY402" s="13"/>
      <c r="DZ402" s="13"/>
      <c r="EA402" s="13"/>
      <c r="EB402" s="13"/>
      <c r="EC402" s="13"/>
      <c r="ED402" s="13"/>
      <c r="EE402" s="13"/>
      <c r="EF402" s="13"/>
      <c r="EG402" s="13"/>
      <c r="EH402" s="13"/>
      <c r="EI402" s="13"/>
      <c r="EJ402" s="13"/>
      <c r="EK402" s="13"/>
      <c r="EL402" s="13"/>
      <c r="EM402" s="13"/>
      <c r="EN402" s="13"/>
    </row>
    <row r="403" spans="3:144" x14ac:dyDescent="0.2">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13"/>
      <c r="DJ403" s="13"/>
      <c r="DK403" s="13"/>
      <c r="DL403" s="13"/>
      <c r="DM403" s="13"/>
      <c r="DN403" s="13"/>
      <c r="DO403" s="13"/>
      <c r="DP403" s="13"/>
      <c r="DQ403" s="13"/>
      <c r="DR403" s="13"/>
      <c r="DS403" s="13"/>
      <c r="DT403" s="13"/>
      <c r="DU403" s="13"/>
      <c r="DV403" s="13"/>
      <c r="DW403" s="13"/>
      <c r="DX403" s="13"/>
      <c r="DY403" s="13"/>
      <c r="DZ403" s="13"/>
      <c r="EA403" s="13"/>
      <c r="EB403" s="13"/>
      <c r="EC403" s="13"/>
      <c r="ED403" s="13"/>
      <c r="EE403" s="13"/>
      <c r="EF403" s="13"/>
      <c r="EG403" s="13"/>
      <c r="EH403" s="13"/>
      <c r="EI403" s="13"/>
      <c r="EJ403" s="13"/>
      <c r="EK403" s="13"/>
      <c r="EL403" s="13"/>
      <c r="EM403" s="13"/>
      <c r="EN403" s="13"/>
    </row>
    <row r="404" spans="3:144" x14ac:dyDescent="0.2">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13"/>
      <c r="DP404" s="13"/>
      <c r="DQ404" s="13"/>
      <c r="DR404" s="13"/>
      <c r="DS404" s="13"/>
      <c r="DT404" s="13"/>
      <c r="DU404" s="13"/>
      <c r="DV404" s="13"/>
      <c r="DW404" s="13"/>
      <c r="DX404" s="13"/>
      <c r="DY404" s="13"/>
      <c r="DZ404" s="13"/>
      <c r="EA404" s="13"/>
      <c r="EB404" s="13"/>
      <c r="EC404" s="13"/>
      <c r="ED404" s="13"/>
      <c r="EE404" s="13"/>
      <c r="EF404" s="13"/>
      <c r="EG404" s="13"/>
      <c r="EH404" s="13"/>
      <c r="EI404" s="13"/>
      <c r="EJ404" s="13"/>
      <c r="EK404" s="13"/>
      <c r="EL404" s="13"/>
      <c r="EM404" s="13"/>
      <c r="EN404" s="13"/>
    </row>
    <row r="405" spans="3:144" x14ac:dyDescent="0.2">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13"/>
      <c r="DP405" s="13"/>
      <c r="DQ405" s="13"/>
      <c r="DR405" s="13"/>
      <c r="DS405" s="13"/>
      <c r="DT405" s="13"/>
      <c r="DU405" s="13"/>
      <c r="DV405" s="13"/>
      <c r="DW405" s="13"/>
      <c r="DX405" s="13"/>
      <c r="DY405" s="13"/>
      <c r="DZ405" s="13"/>
      <c r="EA405" s="13"/>
      <c r="EB405" s="13"/>
      <c r="EC405" s="13"/>
      <c r="ED405" s="13"/>
      <c r="EE405" s="13"/>
      <c r="EF405" s="13"/>
      <c r="EG405" s="13"/>
      <c r="EH405" s="13"/>
      <c r="EI405" s="13"/>
      <c r="EJ405" s="13"/>
      <c r="EK405" s="13"/>
      <c r="EL405" s="13"/>
      <c r="EM405" s="13"/>
      <c r="EN405" s="13"/>
    </row>
    <row r="406" spans="3:144" x14ac:dyDescent="0.2">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13"/>
      <c r="DP406" s="13"/>
      <c r="DQ406" s="13"/>
      <c r="DR406" s="13"/>
      <c r="DS406" s="13"/>
      <c r="DT406" s="13"/>
      <c r="DU406" s="13"/>
      <c r="DV406" s="13"/>
      <c r="DW406" s="13"/>
      <c r="DX406" s="13"/>
      <c r="DY406" s="13"/>
      <c r="DZ406" s="13"/>
      <c r="EA406" s="13"/>
      <c r="EB406" s="13"/>
      <c r="EC406" s="13"/>
      <c r="ED406" s="13"/>
      <c r="EE406" s="13"/>
      <c r="EF406" s="13"/>
      <c r="EG406" s="13"/>
      <c r="EH406" s="13"/>
      <c r="EI406" s="13"/>
      <c r="EJ406" s="13"/>
      <c r="EK406" s="13"/>
      <c r="EL406" s="13"/>
      <c r="EM406" s="13"/>
      <c r="EN406" s="13"/>
    </row>
    <row r="407" spans="3:144" x14ac:dyDescent="0.2">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13"/>
      <c r="DP407" s="13"/>
      <c r="DQ407" s="13"/>
      <c r="DR407" s="13"/>
      <c r="DS407" s="13"/>
      <c r="DT407" s="13"/>
      <c r="DU407" s="13"/>
      <c r="DV407" s="13"/>
      <c r="DW407" s="13"/>
      <c r="DX407" s="13"/>
      <c r="DY407" s="13"/>
      <c r="DZ407" s="13"/>
      <c r="EA407" s="13"/>
      <c r="EB407" s="13"/>
      <c r="EC407" s="13"/>
      <c r="ED407" s="13"/>
      <c r="EE407" s="13"/>
      <c r="EF407" s="13"/>
      <c r="EG407" s="13"/>
      <c r="EH407" s="13"/>
      <c r="EI407" s="13"/>
      <c r="EJ407" s="13"/>
      <c r="EK407" s="13"/>
      <c r="EL407" s="13"/>
      <c r="EM407" s="13"/>
      <c r="EN407" s="13"/>
    </row>
    <row r="408" spans="3:144" x14ac:dyDescent="0.2">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row>
    <row r="409" spans="3:144" x14ac:dyDescent="0.2">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c r="DU409" s="13"/>
      <c r="DV409" s="13"/>
      <c r="DW409" s="13"/>
      <c r="DX409" s="13"/>
      <c r="DY409" s="13"/>
      <c r="DZ409" s="13"/>
      <c r="EA409" s="13"/>
      <c r="EB409" s="13"/>
      <c r="EC409" s="13"/>
      <c r="ED409" s="13"/>
      <c r="EE409" s="13"/>
      <c r="EF409" s="13"/>
      <c r="EG409" s="13"/>
      <c r="EH409" s="13"/>
      <c r="EI409" s="13"/>
      <c r="EJ409" s="13"/>
      <c r="EK409" s="13"/>
      <c r="EL409" s="13"/>
      <c r="EM409" s="13"/>
      <c r="EN409" s="13"/>
    </row>
    <row r="410" spans="3:144" x14ac:dyDescent="0.2">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row>
    <row r="411" spans="3:144" x14ac:dyDescent="0.2">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13"/>
      <c r="CT411" s="13"/>
      <c r="CU411" s="13"/>
      <c r="CV411" s="13"/>
      <c r="CW411" s="13"/>
      <c r="CX411" s="13"/>
      <c r="CY411" s="13"/>
      <c r="CZ411" s="13"/>
      <c r="DA411" s="13"/>
      <c r="DB411" s="13"/>
      <c r="DC411" s="13"/>
      <c r="DD411" s="13"/>
      <c r="DE411" s="13"/>
      <c r="DF411" s="13"/>
      <c r="DG411" s="13"/>
      <c r="DH411" s="13"/>
      <c r="DI411" s="13"/>
      <c r="DJ411" s="13"/>
      <c r="DK411" s="13"/>
      <c r="DL411" s="13"/>
      <c r="DM411" s="13"/>
      <c r="DN411" s="13"/>
      <c r="DO411" s="13"/>
      <c r="DP411" s="13"/>
      <c r="DQ411" s="13"/>
      <c r="DR411" s="13"/>
      <c r="DS411" s="13"/>
      <c r="DT411" s="13"/>
      <c r="DU411" s="13"/>
      <c r="DV411" s="13"/>
      <c r="DW411" s="13"/>
      <c r="DX411" s="13"/>
      <c r="DY411" s="13"/>
      <c r="DZ411" s="13"/>
      <c r="EA411" s="13"/>
      <c r="EB411" s="13"/>
      <c r="EC411" s="13"/>
      <c r="ED411" s="13"/>
      <c r="EE411" s="13"/>
      <c r="EF411" s="13"/>
      <c r="EG411" s="13"/>
      <c r="EH411" s="13"/>
      <c r="EI411" s="13"/>
      <c r="EJ411" s="13"/>
      <c r="EK411" s="13"/>
      <c r="EL411" s="13"/>
      <c r="EM411" s="13"/>
      <c r="EN411" s="13"/>
    </row>
    <row r="412" spans="3:144" x14ac:dyDescent="0.2">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CY412" s="13"/>
      <c r="CZ412" s="13"/>
      <c r="DA412" s="13"/>
      <c r="DB412" s="13"/>
      <c r="DC412" s="13"/>
      <c r="DD412" s="13"/>
      <c r="DE412" s="13"/>
      <c r="DF412" s="13"/>
      <c r="DG412" s="13"/>
      <c r="DH412" s="13"/>
      <c r="DI412" s="13"/>
      <c r="DJ412" s="13"/>
      <c r="DK412" s="13"/>
      <c r="DL412" s="13"/>
      <c r="DM412" s="13"/>
      <c r="DN412" s="13"/>
      <c r="DO412" s="13"/>
      <c r="DP412" s="13"/>
      <c r="DQ412" s="13"/>
      <c r="DR412" s="13"/>
      <c r="DS412" s="13"/>
      <c r="DT412" s="13"/>
      <c r="DU412" s="13"/>
      <c r="DV412" s="13"/>
      <c r="DW412" s="13"/>
      <c r="DX412" s="13"/>
      <c r="DY412" s="13"/>
      <c r="DZ412" s="13"/>
      <c r="EA412" s="13"/>
      <c r="EB412" s="13"/>
      <c r="EC412" s="13"/>
      <c r="ED412" s="13"/>
      <c r="EE412" s="13"/>
      <c r="EF412" s="13"/>
      <c r="EG412" s="13"/>
      <c r="EH412" s="13"/>
      <c r="EI412" s="13"/>
      <c r="EJ412" s="13"/>
      <c r="EK412" s="13"/>
      <c r="EL412" s="13"/>
      <c r="EM412" s="13"/>
      <c r="EN412" s="13"/>
    </row>
    <row r="413" spans="3:144" x14ac:dyDescent="0.2">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13"/>
      <c r="CT413" s="13"/>
      <c r="CU413" s="13"/>
      <c r="CV413" s="13"/>
      <c r="CW413" s="13"/>
      <c r="CX413" s="13"/>
      <c r="CY413" s="13"/>
      <c r="CZ413" s="13"/>
      <c r="DA413" s="13"/>
      <c r="DB413" s="13"/>
      <c r="DC413" s="13"/>
      <c r="DD413" s="13"/>
      <c r="DE413" s="13"/>
      <c r="DF413" s="13"/>
      <c r="DG413" s="13"/>
      <c r="DH413" s="13"/>
      <c r="DI413" s="13"/>
      <c r="DJ413" s="13"/>
      <c r="DK413" s="13"/>
      <c r="DL413" s="13"/>
      <c r="DM413" s="13"/>
      <c r="DN413" s="13"/>
      <c r="DO413" s="13"/>
      <c r="DP413" s="13"/>
      <c r="DQ413" s="13"/>
      <c r="DR413" s="13"/>
      <c r="DS413" s="13"/>
      <c r="DT413" s="13"/>
      <c r="DU413" s="13"/>
      <c r="DV413" s="13"/>
      <c r="DW413" s="13"/>
      <c r="DX413" s="13"/>
      <c r="DY413" s="13"/>
      <c r="DZ413" s="13"/>
      <c r="EA413" s="13"/>
      <c r="EB413" s="13"/>
      <c r="EC413" s="13"/>
      <c r="ED413" s="13"/>
      <c r="EE413" s="13"/>
      <c r="EF413" s="13"/>
      <c r="EG413" s="13"/>
      <c r="EH413" s="13"/>
      <c r="EI413" s="13"/>
      <c r="EJ413" s="13"/>
      <c r="EK413" s="13"/>
      <c r="EL413" s="13"/>
      <c r="EM413" s="13"/>
      <c r="EN413" s="13"/>
    </row>
  </sheetData>
  <printOptions gridLines="1"/>
  <pageMargins left="0" right="0" top="0.25" bottom="0" header="0" footer="0.25"/>
  <pageSetup scale="87" orientation="landscape" horizontalDpi="4294967292" r:id="rId1"/>
  <headerFooter alignWithMargins="0">
    <oddFooter>&amp;R&amp;"Times New Roman,Italic"&amp;8Capital Reocvery
&amp;F
&amp;D</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7"/>
  <sheetViews>
    <sheetView zoomScale="60" zoomScaleNormal="60" workbookViewId="0">
      <pane xSplit="4" ySplit="11" topLeftCell="E348" activePane="bottomRight" state="frozen"/>
      <selection pane="topRight" activeCell="E1" sqref="E1"/>
      <selection pane="bottomLeft" activeCell="A12" sqref="A12"/>
      <selection pane="bottomRight" activeCell="O309" sqref="O309"/>
    </sheetView>
  </sheetViews>
  <sheetFormatPr defaultColWidth="12.5703125" defaultRowHeight="15" x14ac:dyDescent="0.2"/>
  <cols>
    <col min="1" max="1" width="9.42578125" style="66" bestFit="1" customWidth="1"/>
    <col min="2" max="2" width="3.5703125" style="66" customWidth="1"/>
    <col min="3" max="3" width="93.5703125" style="66" customWidth="1"/>
    <col min="4" max="4" width="2" style="66" customWidth="1"/>
    <col min="5" max="5" width="16.42578125" style="85" bestFit="1" customWidth="1"/>
    <col min="6" max="6" width="2" style="66" customWidth="1"/>
    <col min="7" max="7" width="20.28515625" style="66" bestFit="1" customWidth="1"/>
    <col min="8" max="8" width="2.140625" style="66" bestFit="1" customWidth="1"/>
    <col min="9" max="9" width="12.5703125" style="86" bestFit="1" customWidth="1"/>
    <col min="10" max="10" width="2" style="66" customWidth="1"/>
    <col min="11" max="11" width="28" style="66" bestFit="1" customWidth="1"/>
    <col min="12" max="12" width="2" style="66" customWidth="1"/>
    <col min="13" max="13" width="22.7109375" style="82" bestFit="1" customWidth="1"/>
    <col min="14" max="14" width="2" style="82" customWidth="1"/>
    <col min="15" max="15" width="22.7109375" style="82" bestFit="1" customWidth="1"/>
    <col min="16" max="16" width="2" style="82" customWidth="1"/>
    <col min="17" max="17" width="20.140625" style="82" bestFit="1" customWidth="1"/>
    <col min="18" max="18" width="3.85546875" style="66" bestFit="1" customWidth="1"/>
    <col min="19" max="19" width="12.7109375" style="66" bestFit="1" customWidth="1"/>
    <col min="20" max="20" width="3" style="66" bestFit="1" customWidth="1"/>
    <col min="21" max="21" width="15" style="66" bestFit="1" customWidth="1"/>
    <col min="22" max="22" width="12.5703125" style="66"/>
    <col min="23" max="23" width="59.85546875" style="66" bestFit="1" customWidth="1"/>
    <col min="24" max="16384" width="12.5703125" style="66"/>
  </cols>
  <sheetData>
    <row r="1" spans="1:22" ht="15.75" x14ac:dyDescent="0.25">
      <c r="A1" s="64" t="s">
        <v>17</v>
      </c>
      <c r="B1" s="64"/>
      <c r="C1" s="64"/>
      <c r="D1" s="64"/>
      <c r="E1" s="64"/>
      <c r="F1" s="64"/>
      <c r="G1" s="64"/>
      <c r="H1" s="64"/>
      <c r="I1" s="64"/>
      <c r="J1" s="64"/>
      <c r="K1" s="64"/>
      <c r="L1" s="64"/>
      <c r="M1" s="64"/>
      <c r="N1" s="64"/>
      <c r="O1" s="64"/>
      <c r="P1" s="64"/>
      <c r="Q1" s="64"/>
      <c r="R1" s="64"/>
      <c r="S1" s="64"/>
      <c r="T1" s="64"/>
      <c r="U1" s="64"/>
      <c r="V1" s="65"/>
    </row>
    <row r="2" spans="1:22" ht="15.75" x14ac:dyDescent="0.25">
      <c r="A2" s="64" t="s">
        <v>449</v>
      </c>
      <c r="B2" s="64"/>
      <c r="C2" s="64"/>
      <c r="D2" s="64"/>
      <c r="E2" s="64"/>
      <c r="F2" s="64"/>
      <c r="G2" s="64"/>
      <c r="H2" s="64"/>
      <c r="I2" s="64"/>
      <c r="J2" s="64"/>
      <c r="K2" s="64"/>
      <c r="L2" s="64"/>
      <c r="M2" s="64"/>
      <c r="N2" s="64"/>
      <c r="O2" s="64"/>
      <c r="P2" s="64"/>
      <c r="Q2" s="64"/>
      <c r="R2" s="64"/>
      <c r="S2" s="64"/>
      <c r="T2" s="64"/>
      <c r="U2" s="64"/>
      <c r="V2" s="65"/>
    </row>
    <row r="3" spans="1:22" ht="15.75" x14ac:dyDescent="0.25">
      <c r="A3" s="442" t="s">
        <v>450</v>
      </c>
      <c r="B3" s="442"/>
      <c r="C3" s="442"/>
      <c r="D3" s="442"/>
      <c r="E3" s="442"/>
      <c r="F3" s="442"/>
      <c r="G3" s="442"/>
      <c r="H3" s="442"/>
      <c r="I3" s="442"/>
      <c r="J3" s="442"/>
      <c r="K3" s="442"/>
      <c r="L3" s="442"/>
      <c r="M3" s="442"/>
      <c r="N3" s="442"/>
      <c r="O3" s="442"/>
      <c r="P3" s="442"/>
      <c r="Q3" s="442"/>
      <c r="R3" s="442"/>
      <c r="S3" s="442"/>
      <c r="T3" s="442"/>
      <c r="U3" s="442"/>
      <c r="V3" s="65"/>
    </row>
    <row r="4" spans="1:22" ht="15.75" x14ac:dyDescent="0.25">
      <c r="A4" s="64" t="s">
        <v>448</v>
      </c>
      <c r="B4" s="64"/>
      <c r="C4" s="64"/>
      <c r="D4" s="64"/>
      <c r="E4" s="64"/>
      <c r="F4" s="64"/>
      <c r="G4" s="64"/>
      <c r="H4" s="64"/>
      <c r="I4" s="64"/>
      <c r="J4" s="64"/>
      <c r="K4" s="64"/>
      <c r="L4" s="64"/>
      <c r="M4" s="64"/>
      <c r="N4" s="64"/>
      <c r="O4" s="64"/>
      <c r="P4" s="64"/>
      <c r="Q4" s="64"/>
      <c r="R4" s="64"/>
      <c r="S4" s="64"/>
      <c r="T4" s="64"/>
      <c r="U4" s="64"/>
      <c r="V4" s="65"/>
    </row>
    <row r="5" spans="1:22" ht="15.75" x14ac:dyDescent="0.25">
      <c r="A5" s="64" t="s">
        <v>447</v>
      </c>
      <c r="B5" s="64"/>
      <c r="C5" s="64"/>
      <c r="D5" s="64"/>
      <c r="E5" s="64"/>
      <c r="F5" s="64"/>
      <c r="G5" s="64"/>
      <c r="H5" s="64"/>
      <c r="I5" s="64"/>
      <c r="J5" s="64"/>
      <c r="K5" s="64"/>
      <c r="L5" s="64"/>
      <c r="M5" s="64"/>
      <c r="N5" s="64"/>
      <c r="O5" s="64"/>
      <c r="P5" s="64"/>
      <c r="Q5" s="64"/>
      <c r="R5" s="64"/>
      <c r="S5" s="64"/>
      <c r="T5" s="64"/>
      <c r="U5" s="64"/>
      <c r="V5" s="65"/>
    </row>
    <row r="6" spans="1:22" ht="15.75" x14ac:dyDescent="0.25">
      <c r="A6" s="64" t="s">
        <v>446</v>
      </c>
      <c r="B6" s="64"/>
      <c r="C6" s="64"/>
      <c r="D6" s="64"/>
      <c r="E6" s="64"/>
      <c r="F6" s="64"/>
      <c r="G6" s="64"/>
      <c r="H6" s="64"/>
      <c r="I6" s="64"/>
      <c r="J6" s="64"/>
      <c r="K6" s="64"/>
      <c r="L6" s="64"/>
      <c r="M6" s="64"/>
      <c r="N6" s="64"/>
      <c r="O6" s="64"/>
      <c r="P6" s="64"/>
      <c r="Q6" s="64"/>
      <c r="R6" s="64"/>
      <c r="S6" s="64"/>
      <c r="T6" s="64"/>
      <c r="U6" s="64"/>
      <c r="V6" s="65"/>
    </row>
    <row r="7" spans="1:22" ht="15.75" x14ac:dyDescent="0.25">
      <c r="A7" s="64"/>
      <c r="B7" s="64"/>
      <c r="C7" s="64"/>
      <c r="D7" s="64"/>
      <c r="E7" s="64"/>
      <c r="F7" s="64"/>
      <c r="G7" s="64"/>
      <c r="H7" s="64"/>
      <c r="I7" s="64"/>
      <c r="J7" s="64"/>
      <c r="K7" s="64"/>
      <c r="L7" s="64"/>
      <c r="M7" s="64"/>
      <c r="N7" s="64"/>
      <c r="O7" s="64"/>
      <c r="P7" s="64"/>
      <c r="Q7" s="64"/>
      <c r="R7" s="64"/>
      <c r="S7" s="64"/>
      <c r="T7" s="64"/>
      <c r="U7" s="64"/>
      <c r="V7" s="65"/>
    </row>
    <row r="8" spans="1:22" ht="15.75" x14ac:dyDescent="0.25">
      <c r="A8" s="65"/>
      <c r="B8" s="67"/>
      <c r="C8" s="68"/>
      <c r="D8" s="69"/>
      <c r="E8" s="70" t="s">
        <v>445</v>
      </c>
      <c r="F8" s="69"/>
      <c r="G8" s="69"/>
      <c r="H8" s="69"/>
      <c r="I8" s="71" t="s">
        <v>444</v>
      </c>
      <c r="J8" s="69"/>
      <c r="K8" s="69" t="s">
        <v>443</v>
      </c>
      <c r="L8" s="69"/>
      <c r="M8" s="72" t="s">
        <v>442</v>
      </c>
      <c r="N8" s="72"/>
      <c r="O8" s="72"/>
      <c r="P8" s="72"/>
      <c r="Q8" s="73" t="s">
        <v>441</v>
      </c>
      <c r="R8" s="74"/>
      <c r="S8" s="74"/>
      <c r="T8" s="75"/>
      <c r="U8" s="69" t="s">
        <v>440</v>
      </c>
      <c r="V8" s="65"/>
    </row>
    <row r="9" spans="1:22" ht="15.75" x14ac:dyDescent="0.25">
      <c r="A9" s="65"/>
      <c r="B9" s="67"/>
      <c r="C9" s="69"/>
      <c r="D9" s="69"/>
      <c r="E9" s="70" t="s">
        <v>439</v>
      </c>
      <c r="F9" s="69"/>
      <c r="G9" s="69" t="s">
        <v>438</v>
      </c>
      <c r="H9" s="69"/>
      <c r="I9" s="71" t="s">
        <v>437</v>
      </c>
      <c r="J9" s="69"/>
      <c r="K9" s="69" t="s">
        <v>436</v>
      </c>
      <c r="L9" s="69"/>
      <c r="M9" s="72" t="s">
        <v>435</v>
      </c>
      <c r="N9" s="72"/>
      <c r="O9" s="72" t="s">
        <v>434</v>
      </c>
      <c r="P9" s="72"/>
      <c r="Q9" s="76" t="s">
        <v>433</v>
      </c>
      <c r="R9" s="77"/>
      <c r="S9" s="78" t="s">
        <v>432</v>
      </c>
      <c r="T9" s="75"/>
      <c r="U9" s="69" t="s">
        <v>431</v>
      </c>
      <c r="V9" s="65"/>
    </row>
    <row r="10" spans="1:22" ht="15.75" x14ac:dyDescent="0.25">
      <c r="A10" s="65"/>
      <c r="B10" s="67"/>
      <c r="C10" s="69" t="s">
        <v>430</v>
      </c>
      <c r="D10" s="69"/>
      <c r="E10" s="79" t="s">
        <v>429</v>
      </c>
      <c r="F10" s="69"/>
      <c r="G10" s="69" t="s">
        <v>428</v>
      </c>
      <c r="H10" s="69"/>
      <c r="I10" s="71" t="s">
        <v>427</v>
      </c>
      <c r="J10" s="69"/>
      <c r="K10" s="443" t="s">
        <v>426</v>
      </c>
      <c r="L10" s="69"/>
      <c r="M10" s="72" t="s">
        <v>425</v>
      </c>
      <c r="N10" s="72"/>
      <c r="O10" s="72" t="s">
        <v>424</v>
      </c>
      <c r="P10" s="72"/>
      <c r="Q10" s="72" t="s">
        <v>423</v>
      </c>
      <c r="R10" s="69"/>
      <c r="S10" s="68" t="s">
        <v>422</v>
      </c>
      <c r="T10" s="75"/>
      <c r="U10" s="69" t="s">
        <v>421</v>
      </c>
      <c r="V10" s="65"/>
    </row>
    <row r="11" spans="1:22" ht="15.75" x14ac:dyDescent="0.25">
      <c r="A11" s="65"/>
      <c r="B11" s="67"/>
      <c r="C11" s="76">
        <v>-1</v>
      </c>
      <c r="D11" s="80"/>
      <c r="E11" s="76">
        <v>-2</v>
      </c>
      <c r="F11" s="80"/>
      <c r="G11" s="81">
        <v>-3</v>
      </c>
      <c r="H11" s="80"/>
      <c r="I11" s="76">
        <v>-4</v>
      </c>
      <c r="J11" s="80"/>
      <c r="K11" s="76">
        <v>-5</v>
      </c>
      <c r="L11" s="72"/>
      <c r="M11" s="76">
        <v>-6</v>
      </c>
      <c r="N11" s="72"/>
      <c r="O11" s="76">
        <v>-7</v>
      </c>
      <c r="Q11" s="76">
        <v>-8</v>
      </c>
      <c r="R11" s="80"/>
      <c r="S11" s="83" t="s">
        <v>420</v>
      </c>
      <c r="U11" s="83" t="s">
        <v>419</v>
      </c>
      <c r="V11" s="65"/>
    </row>
    <row r="12" spans="1:22" ht="15.75" x14ac:dyDescent="0.25">
      <c r="A12" s="65"/>
      <c r="B12" s="67"/>
      <c r="C12" s="80"/>
      <c r="D12" s="80"/>
      <c r="E12" s="80"/>
      <c r="F12" s="80"/>
      <c r="G12" s="80"/>
      <c r="H12" s="80"/>
      <c r="I12" s="71"/>
      <c r="J12" s="80"/>
      <c r="K12" s="80"/>
      <c r="L12" s="80"/>
      <c r="M12" s="72"/>
      <c r="N12" s="72"/>
      <c r="O12" s="72"/>
      <c r="P12" s="72"/>
      <c r="Q12" s="72"/>
      <c r="R12" s="80"/>
      <c r="S12" s="80"/>
      <c r="U12" s="80"/>
      <c r="V12" s="65"/>
    </row>
    <row r="13" spans="1:22" ht="15.75" x14ac:dyDescent="0.25">
      <c r="A13" s="65"/>
      <c r="C13" s="84" t="s">
        <v>418</v>
      </c>
      <c r="M13" s="87"/>
      <c r="N13" s="87"/>
      <c r="O13" s="87"/>
      <c r="P13" s="87"/>
      <c r="Q13" s="87"/>
      <c r="V13" s="65"/>
    </row>
    <row r="14" spans="1:22" x14ac:dyDescent="0.2">
      <c r="A14" s="65"/>
      <c r="M14" s="87"/>
      <c r="N14" s="87"/>
      <c r="O14" s="87"/>
      <c r="P14" s="87"/>
      <c r="Q14" s="87"/>
      <c r="V14" s="65"/>
    </row>
    <row r="15" spans="1:22" ht="15.75" x14ac:dyDescent="0.25">
      <c r="A15" s="65"/>
      <c r="C15" s="68" t="s">
        <v>417</v>
      </c>
      <c r="M15" s="87"/>
      <c r="N15" s="87"/>
      <c r="O15" s="87"/>
      <c r="P15" s="87"/>
      <c r="Q15" s="87"/>
      <c r="S15" s="88"/>
      <c r="U15" s="89"/>
      <c r="V15" s="65"/>
    </row>
    <row r="16" spans="1:22" ht="15.75" x14ac:dyDescent="0.25">
      <c r="A16" s="65"/>
      <c r="C16" s="78"/>
      <c r="M16" s="87"/>
      <c r="N16" s="87"/>
      <c r="O16" s="87"/>
      <c r="P16" s="87"/>
      <c r="Q16" s="87"/>
      <c r="S16" s="90"/>
      <c r="U16" s="91"/>
      <c r="V16" s="65"/>
    </row>
    <row r="17" spans="1:22" s="97" customFormat="1" x14ac:dyDescent="0.2">
      <c r="A17" s="92">
        <v>311</v>
      </c>
      <c r="B17" s="93"/>
      <c r="C17" s="93" t="s">
        <v>355</v>
      </c>
      <c r="D17" s="93"/>
      <c r="E17" s="94"/>
      <c r="F17" s="93"/>
      <c r="G17" s="93"/>
      <c r="H17" s="93"/>
      <c r="I17" s="95"/>
      <c r="J17" s="93"/>
      <c r="K17" s="93"/>
      <c r="L17" s="93"/>
      <c r="M17" s="96"/>
      <c r="N17" s="96"/>
      <c r="O17" s="96"/>
      <c r="P17" s="96"/>
      <c r="Q17" s="96"/>
      <c r="S17" s="98"/>
      <c r="U17" s="99"/>
      <c r="V17" s="100"/>
    </row>
    <row r="18" spans="1:22" s="97" customFormat="1" x14ac:dyDescent="0.2">
      <c r="A18" s="92"/>
      <c r="B18" s="93"/>
      <c r="C18" s="101" t="s">
        <v>416</v>
      </c>
      <c r="D18" s="93"/>
      <c r="E18" s="102">
        <v>46022</v>
      </c>
      <c r="F18" s="93"/>
      <c r="G18" s="103" t="s">
        <v>413</v>
      </c>
      <c r="H18" s="103" t="s">
        <v>193</v>
      </c>
      <c r="I18" s="104">
        <v>0</v>
      </c>
      <c r="J18" s="93"/>
      <c r="K18" s="105">
        <v>31220750.77</v>
      </c>
      <c r="L18" s="106"/>
      <c r="M18" s="107">
        <v>24571089.539999999</v>
      </c>
      <c r="N18" s="107"/>
      <c r="O18" s="107">
        <v>6649661</v>
      </c>
      <c r="P18" s="107"/>
      <c r="Q18" s="107">
        <v>1488010</v>
      </c>
      <c r="S18" s="108">
        <v>4.7699999999999996</v>
      </c>
      <c r="U18" s="109">
        <v>4.5</v>
      </c>
      <c r="V18" s="100"/>
    </row>
    <row r="19" spans="1:22" s="97" customFormat="1" x14ac:dyDescent="0.2">
      <c r="A19" s="92"/>
      <c r="B19" s="93"/>
      <c r="C19" s="101" t="s">
        <v>415</v>
      </c>
      <c r="D19" s="93"/>
      <c r="E19" s="102">
        <v>46022</v>
      </c>
      <c r="F19" s="93"/>
      <c r="G19" s="103" t="s">
        <v>413</v>
      </c>
      <c r="H19" s="103" t="s">
        <v>193</v>
      </c>
      <c r="I19" s="104">
        <v>0</v>
      </c>
      <c r="J19" s="93"/>
      <c r="K19" s="105">
        <v>28704588.48</v>
      </c>
      <c r="L19" s="106"/>
      <c r="M19" s="107">
        <v>22351463.23</v>
      </c>
      <c r="N19" s="107"/>
      <c r="O19" s="107">
        <v>6353125</v>
      </c>
      <c r="P19" s="107"/>
      <c r="Q19" s="107">
        <v>1422180</v>
      </c>
      <c r="S19" s="108">
        <v>4.95</v>
      </c>
      <c r="U19" s="109">
        <v>4.5</v>
      </c>
      <c r="V19" s="100"/>
    </row>
    <row r="20" spans="1:22" s="97" customFormat="1" x14ac:dyDescent="0.2">
      <c r="A20" s="92"/>
      <c r="B20" s="93"/>
      <c r="C20" s="101" t="s">
        <v>414</v>
      </c>
      <c r="D20" s="93"/>
      <c r="E20" s="102">
        <v>46022</v>
      </c>
      <c r="F20" s="93"/>
      <c r="G20" s="103" t="s">
        <v>413</v>
      </c>
      <c r="H20" s="103" t="s">
        <v>193</v>
      </c>
      <c r="I20" s="104">
        <v>0</v>
      </c>
      <c r="J20" s="93"/>
      <c r="K20" s="105">
        <v>70365075.150000006</v>
      </c>
      <c r="L20" s="106"/>
      <c r="M20" s="107">
        <v>64854198.880000003</v>
      </c>
      <c r="N20" s="107"/>
      <c r="O20" s="107">
        <v>5510876</v>
      </c>
      <c r="P20" s="107"/>
      <c r="Q20" s="107">
        <v>1234553</v>
      </c>
      <c r="S20" s="108">
        <v>1.75</v>
      </c>
      <c r="U20" s="109">
        <v>4.5</v>
      </c>
      <c r="V20" s="100"/>
    </row>
    <row r="21" spans="1:22" s="97" customFormat="1" x14ac:dyDescent="0.2">
      <c r="A21" s="92"/>
      <c r="B21" s="93"/>
      <c r="C21" s="101" t="s">
        <v>308</v>
      </c>
      <c r="D21" s="93"/>
      <c r="E21" s="102">
        <v>52047</v>
      </c>
      <c r="F21" s="93"/>
      <c r="G21" s="103" t="s">
        <v>413</v>
      </c>
      <c r="H21" s="103" t="s">
        <v>193</v>
      </c>
      <c r="I21" s="104">
        <v>-5</v>
      </c>
      <c r="J21" s="93"/>
      <c r="K21" s="105">
        <v>403636</v>
      </c>
      <c r="L21" s="106"/>
      <c r="M21" s="107">
        <v>82795.8</v>
      </c>
      <c r="N21" s="107"/>
      <c r="O21" s="107">
        <v>341022</v>
      </c>
      <c r="P21" s="107"/>
      <c r="Q21" s="107">
        <v>16668</v>
      </c>
      <c r="S21" s="108">
        <v>4.13</v>
      </c>
      <c r="U21" s="109">
        <v>20.5</v>
      </c>
      <c r="V21" s="100"/>
    </row>
    <row r="22" spans="1:22" s="97" customFormat="1" x14ac:dyDescent="0.2">
      <c r="A22" s="92"/>
      <c r="B22" s="93"/>
      <c r="C22" s="101" t="s">
        <v>307</v>
      </c>
      <c r="D22" s="93"/>
      <c r="E22" s="102">
        <v>52778</v>
      </c>
      <c r="F22" s="93"/>
      <c r="G22" s="103" t="s">
        <v>413</v>
      </c>
      <c r="H22" s="103" t="s">
        <v>193</v>
      </c>
      <c r="I22" s="104">
        <v>-5</v>
      </c>
      <c r="J22" s="93"/>
      <c r="K22" s="105">
        <v>2850759.83</v>
      </c>
      <c r="L22" s="106"/>
      <c r="M22" s="107">
        <v>1634803.63</v>
      </c>
      <c r="N22" s="107"/>
      <c r="O22" s="107">
        <v>1358494</v>
      </c>
      <c r="P22" s="107"/>
      <c r="Q22" s="107">
        <v>60390</v>
      </c>
      <c r="S22" s="108">
        <v>2.12</v>
      </c>
      <c r="U22" s="109">
        <v>22.5</v>
      </c>
      <c r="V22" s="100"/>
    </row>
    <row r="23" spans="1:22" s="97" customFormat="1" x14ac:dyDescent="0.2">
      <c r="A23" s="92"/>
      <c r="B23" s="93"/>
      <c r="C23" s="101" t="s">
        <v>306</v>
      </c>
      <c r="D23" s="93"/>
      <c r="E23" s="102">
        <v>53143</v>
      </c>
      <c r="F23" s="93"/>
      <c r="G23" s="103" t="s">
        <v>413</v>
      </c>
      <c r="H23" s="103" t="s">
        <v>193</v>
      </c>
      <c r="I23" s="104">
        <v>-5</v>
      </c>
      <c r="J23" s="93"/>
      <c r="K23" s="105">
        <v>572646.40000000002</v>
      </c>
      <c r="L23" s="106"/>
      <c r="M23" s="107">
        <v>183557.45</v>
      </c>
      <c r="N23" s="107"/>
      <c r="O23" s="107">
        <v>417721</v>
      </c>
      <c r="P23" s="107"/>
      <c r="Q23" s="107">
        <v>17843</v>
      </c>
      <c r="S23" s="108">
        <v>3.12</v>
      </c>
      <c r="U23" s="109">
        <v>23.4</v>
      </c>
      <c r="V23" s="100"/>
    </row>
    <row r="24" spans="1:22" s="97" customFormat="1" x14ac:dyDescent="0.2">
      <c r="A24" s="92"/>
      <c r="B24" s="93"/>
      <c r="C24" s="101" t="s">
        <v>305</v>
      </c>
      <c r="D24" s="93"/>
      <c r="E24" s="102">
        <v>48760</v>
      </c>
      <c r="F24" s="93"/>
      <c r="G24" s="103" t="s">
        <v>413</v>
      </c>
      <c r="H24" s="103" t="s">
        <v>193</v>
      </c>
      <c r="I24" s="104">
        <v>-5</v>
      </c>
      <c r="J24" s="93"/>
      <c r="K24" s="105">
        <v>1978196.66</v>
      </c>
      <c r="L24" s="106"/>
      <c r="M24" s="107">
        <v>1326576.57</v>
      </c>
      <c r="N24" s="107"/>
      <c r="O24" s="107">
        <v>750530</v>
      </c>
      <c r="P24" s="107"/>
      <c r="Q24" s="107">
        <v>63177</v>
      </c>
      <c r="S24" s="108">
        <v>3.19</v>
      </c>
      <c r="U24" s="109">
        <v>11.9</v>
      </c>
      <c r="V24" s="100"/>
    </row>
    <row r="25" spans="1:22" s="97" customFormat="1" x14ac:dyDescent="0.2">
      <c r="A25" s="92"/>
      <c r="B25" s="93"/>
      <c r="C25" s="101" t="s">
        <v>300</v>
      </c>
      <c r="D25" s="93"/>
      <c r="E25" s="102">
        <v>49125</v>
      </c>
      <c r="F25" s="93"/>
      <c r="G25" s="103" t="s">
        <v>413</v>
      </c>
      <c r="H25" s="103" t="s">
        <v>193</v>
      </c>
      <c r="I25" s="104">
        <v>-5</v>
      </c>
      <c r="J25" s="93"/>
      <c r="K25" s="110">
        <v>608933.94999999995</v>
      </c>
      <c r="L25" s="106"/>
      <c r="M25" s="111">
        <v>428038.51</v>
      </c>
      <c r="N25" s="107"/>
      <c r="O25" s="111">
        <v>211342</v>
      </c>
      <c r="P25" s="107"/>
      <c r="Q25" s="111">
        <v>16431</v>
      </c>
      <c r="S25" s="108">
        <v>2.7</v>
      </c>
      <c r="U25" s="109">
        <v>12.9</v>
      </c>
      <c r="V25" s="100"/>
    </row>
    <row r="26" spans="1:22" s="97" customFormat="1" x14ac:dyDescent="0.2">
      <c r="A26" s="92"/>
      <c r="B26" s="93"/>
      <c r="C26" s="101"/>
      <c r="D26" s="93"/>
      <c r="E26" s="102"/>
      <c r="F26" s="93"/>
      <c r="G26" s="103"/>
      <c r="H26" s="103"/>
      <c r="I26" s="104"/>
      <c r="J26" s="93"/>
      <c r="K26" s="105"/>
      <c r="L26" s="106"/>
      <c r="M26" s="107"/>
      <c r="N26" s="107"/>
      <c r="O26" s="107"/>
      <c r="P26" s="107"/>
      <c r="Q26" s="107"/>
      <c r="S26" s="108"/>
      <c r="U26" s="109"/>
      <c r="V26" s="100"/>
    </row>
    <row r="27" spans="1:22" s="97" customFormat="1" x14ac:dyDescent="0.2">
      <c r="A27" s="92"/>
      <c r="B27" s="93"/>
      <c r="C27" s="101" t="s">
        <v>220</v>
      </c>
      <c r="D27" s="93"/>
      <c r="E27" s="94"/>
      <c r="F27" s="93"/>
      <c r="G27" s="103"/>
      <c r="H27" s="103"/>
      <c r="I27" s="104"/>
      <c r="J27" s="93"/>
      <c r="K27" s="105">
        <f>+SUBTOTAL(9,K18:K25)</f>
        <v>136704587.24000001</v>
      </c>
      <c r="L27" s="106"/>
      <c r="M27" s="107">
        <f>+SUBTOTAL(9,M18:M25)</f>
        <v>115432523.61</v>
      </c>
      <c r="N27" s="107"/>
      <c r="O27" s="107">
        <f>+SUBTOTAL(9,O18:O25)</f>
        <v>21592771</v>
      </c>
      <c r="P27" s="107"/>
      <c r="Q27" s="107">
        <f>+SUBTOTAL(9,Q18:Q25)</f>
        <v>4319252</v>
      </c>
      <c r="S27" s="108">
        <f>Q27/K27*100</f>
        <v>3.1595516194471776</v>
      </c>
      <c r="U27" s="109"/>
      <c r="V27" s="100"/>
    </row>
    <row r="28" spans="1:22" s="97" customFormat="1" x14ac:dyDescent="0.2">
      <c r="A28" s="92"/>
      <c r="B28" s="93"/>
      <c r="C28" s="101"/>
      <c r="D28" s="93"/>
      <c r="E28" s="94"/>
      <c r="F28" s="93"/>
      <c r="G28" s="103"/>
      <c r="H28" s="103"/>
      <c r="I28" s="104"/>
      <c r="J28" s="93"/>
      <c r="K28" s="105"/>
      <c r="L28" s="106"/>
      <c r="M28" s="107"/>
      <c r="N28" s="107"/>
      <c r="O28" s="107"/>
      <c r="P28" s="107"/>
      <c r="Q28" s="107"/>
      <c r="S28" s="108"/>
      <c r="U28" s="109"/>
      <c r="V28" s="100"/>
    </row>
    <row r="29" spans="1:22" s="97" customFormat="1" x14ac:dyDescent="0.2">
      <c r="A29" s="92">
        <v>312</v>
      </c>
      <c r="B29" s="93"/>
      <c r="C29" s="101" t="s">
        <v>412</v>
      </c>
      <c r="D29" s="93"/>
      <c r="E29" s="94"/>
      <c r="F29" s="93"/>
      <c r="G29" s="103"/>
      <c r="H29" s="103"/>
      <c r="I29" s="104"/>
      <c r="J29" s="93"/>
      <c r="K29" s="105"/>
      <c r="L29" s="106"/>
      <c r="M29" s="107"/>
      <c r="N29" s="107"/>
      <c r="O29" s="107"/>
      <c r="P29" s="107"/>
      <c r="Q29" s="107"/>
      <c r="S29" s="108"/>
      <c r="U29" s="109"/>
      <c r="V29" s="100"/>
    </row>
    <row r="30" spans="1:22" s="97" customFormat="1" x14ac:dyDescent="0.2">
      <c r="A30" s="92"/>
      <c r="B30" s="93"/>
      <c r="C30" s="101" t="s">
        <v>411</v>
      </c>
      <c r="D30" s="93"/>
      <c r="E30" s="102">
        <v>46022</v>
      </c>
      <c r="F30" s="93"/>
      <c r="G30" s="103" t="s">
        <v>408</v>
      </c>
      <c r="H30" s="103" t="s">
        <v>193</v>
      </c>
      <c r="I30" s="104">
        <v>0</v>
      </c>
      <c r="J30" s="93"/>
      <c r="K30" s="105">
        <v>145963650.44</v>
      </c>
      <c r="L30" s="106"/>
      <c r="M30" s="107">
        <v>107762509.66</v>
      </c>
      <c r="N30" s="107"/>
      <c r="O30" s="107">
        <v>38201141</v>
      </c>
      <c r="P30" s="107"/>
      <c r="Q30" s="107">
        <v>8586194</v>
      </c>
      <c r="S30" s="108">
        <v>5.88</v>
      </c>
      <c r="U30" s="109">
        <v>4.4000000000000004</v>
      </c>
      <c r="V30" s="100"/>
    </row>
    <row r="31" spans="1:22" s="97" customFormat="1" x14ac:dyDescent="0.2">
      <c r="A31" s="92"/>
      <c r="B31" s="93"/>
      <c r="C31" s="101" t="s">
        <v>410</v>
      </c>
      <c r="D31" s="93"/>
      <c r="E31" s="102">
        <v>46022</v>
      </c>
      <c r="F31" s="93"/>
      <c r="G31" s="103" t="s">
        <v>408</v>
      </c>
      <c r="H31" s="103" t="s">
        <v>193</v>
      </c>
      <c r="I31" s="104">
        <v>0</v>
      </c>
      <c r="J31" s="93"/>
      <c r="K31" s="105">
        <v>131206325.87</v>
      </c>
      <c r="L31" s="106"/>
      <c r="M31" s="107">
        <v>94321093.340000004</v>
      </c>
      <c r="N31" s="107"/>
      <c r="O31" s="107">
        <v>36885233</v>
      </c>
      <c r="P31" s="107"/>
      <c r="Q31" s="107">
        <v>8282865</v>
      </c>
      <c r="S31" s="108">
        <v>6.31</v>
      </c>
      <c r="U31" s="109">
        <v>4.5</v>
      </c>
      <c r="V31" s="100"/>
    </row>
    <row r="32" spans="1:22" s="97" customFormat="1" x14ac:dyDescent="0.2">
      <c r="A32" s="92"/>
      <c r="B32" s="93"/>
      <c r="C32" s="93" t="s">
        <v>409</v>
      </c>
      <c r="D32" s="93"/>
      <c r="E32" s="102">
        <v>46022</v>
      </c>
      <c r="F32" s="93"/>
      <c r="G32" s="103" t="s">
        <v>408</v>
      </c>
      <c r="H32" s="103" t="s">
        <v>193</v>
      </c>
      <c r="I32" s="104">
        <v>0</v>
      </c>
      <c r="J32" s="93"/>
      <c r="K32" s="105">
        <v>18328450.760000002</v>
      </c>
      <c r="L32" s="106"/>
      <c r="M32" s="107">
        <v>10797174.439999999</v>
      </c>
      <c r="N32" s="107"/>
      <c r="O32" s="107">
        <v>7531276</v>
      </c>
      <c r="P32" s="107"/>
      <c r="Q32" s="107">
        <v>1691004</v>
      </c>
      <c r="S32" s="108">
        <v>9.23</v>
      </c>
      <c r="U32" s="109">
        <v>4.5</v>
      </c>
      <c r="V32" s="100"/>
    </row>
    <row r="33" spans="1:22" s="97" customFormat="1" x14ac:dyDescent="0.2">
      <c r="A33" s="92"/>
      <c r="B33" s="93"/>
      <c r="C33" s="101" t="s">
        <v>399</v>
      </c>
      <c r="D33" s="93"/>
      <c r="E33" s="102">
        <v>48760</v>
      </c>
      <c r="F33" s="93"/>
      <c r="G33" s="103" t="s">
        <v>408</v>
      </c>
      <c r="H33" s="103" t="s">
        <v>193</v>
      </c>
      <c r="I33" s="104">
        <v>-5</v>
      </c>
      <c r="J33" s="93"/>
      <c r="K33" s="105">
        <v>43145544.880000003</v>
      </c>
      <c r="L33" s="106"/>
      <c r="M33" s="107">
        <v>35913090.170000002</v>
      </c>
      <c r="N33" s="107"/>
      <c r="O33" s="107">
        <v>9389732</v>
      </c>
      <c r="P33" s="107"/>
      <c r="Q33" s="107">
        <v>802250</v>
      </c>
      <c r="S33" s="108">
        <v>1.86</v>
      </c>
      <c r="U33" s="109">
        <v>11.7</v>
      </c>
      <c r="V33" s="100"/>
    </row>
    <row r="34" spans="1:22" s="97" customFormat="1" x14ac:dyDescent="0.2">
      <c r="A34" s="92"/>
      <c r="B34" s="93"/>
      <c r="C34" s="101" t="s">
        <v>308</v>
      </c>
      <c r="D34" s="93"/>
      <c r="E34" s="102">
        <v>52047</v>
      </c>
      <c r="F34" s="93"/>
      <c r="G34" s="103" t="s">
        <v>408</v>
      </c>
      <c r="H34" s="103" t="s">
        <v>193</v>
      </c>
      <c r="I34" s="104">
        <v>-5</v>
      </c>
      <c r="J34" s="93"/>
      <c r="K34" s="105">
        <v>18138531.280000001</v>
      </c>
      <c r="L34" s="106"/>
      <c r="M34" s="107">
        <v>10061264.380000001</v>
      </c>
      <c r="N34" s="107"/>
      <c r="O34" s="107">
        <v>8984193</v>
      </c>
      <c r="P34" s="107"/>
      <c r="Q34" s="107">
        <v>448271</v>
      </c>
      <c r="S34" s="108">
        <v>2.4700000000000002</v>
      </c>
      <c r="U34" s="109">
        <v>20</v>
      </c>
      <c r="V34" s="100"/>
    </row>
    <row r="35" spans="1:22" s="97" customFormat="1" x14ac:dyDescent="0.2">
      <c r="A35" s="92"/>
      <c r="B35" s="93"/>
      <c r="C35" s="101" t="s">
        <v>307</v>
      </c>
      <c r="D35" s="93"/>
      <c r="E35" s="102">
        <v>52778</v>
      </c>
      <c r="F35" s="93"/>
      <c r="G35" s="103" t="s">
        <v>408</v>
      </c>
      <c r="H35" s="103" t="s">
        <v>193</v>
      </c>
      <c r="I35" s="104">
        <v>-5</v>
      </c>
      <c r="J35" s="93"/>
      <c r="K35" s="105">
        <v>86640662.870000005</v>
      </c>
      <c r="L35" s="106"/>
      <c r="M35" s="107">
        <v>71087378.810000002</v>
      </c>
      <c r="N35" s="107"/>
      <c r="O35" s="107">
        <v>19885317</v>
      </c>
      <c r="P35" s="107"/>
      <c r="Q35" s="107">
        <v>906669</v>
      </c>
      <c r="S35" s="108">
        <v>1.05</v>
      </c>
      <c r="U35" s="109">
        <v>21.9</v>
      </c>
      <c r="V35" s="100"/>
    </row>
    <row r="36" spans="1:22" s="97" customFormat="1" x14ac:dyDescent="0.2">
      <c r="A36" s="92"/>
      <c r="B36" s="93"/>
      <c r="C36" s="101" t="s">
        <v>306</v>
      </c>
      <c r="D36" s="93"/>
      <c r="E36" s="102">
        <v>53143</v>
      </c>
      <c r="F36" s="93"/>
      <c r="G36" s="103" t="s">
        <v>408</v>
      </c>
      <c r="H36" s="103" t="s">
        <v>193</v>
      </c>
      <c r="I36" s="104">
        <v>-5</v>
      </c>
      <c r="J36" s="93"/>
      <c r="K36" s="105">
        <v>27136035.440000001</v>
      </c>
      <c r="L36" s="106"/>
      <c r="M36" s="107">
        <v>7013130.5</v>
      </c>
      <c r="N36" s="107"/>
      <c r="O36" s="107">
        <v>21479707</v>
      </c>
      <c r="P36" s="107"/>
      <c r="Q36" s="107">
        <v>939144</v>
      </c>
      <c r="S36" s="108">
        <v>3.46</v>
      </c>
      <c r="U36" s="109">
        <v>22.9</v>
      </c>
      <c r="V36" s="100"/>
    </row>
    <row r="37" spans="1:22" s="97" customFormat="1" x14ac:dyDescent="0.2">
      <c r="A37" s="92"/>
      <c r="B37" s="93"/>
      <c r="C37" s="101" t="s">
        <v>305</v>
      </c>
      <c r="D37" s="93"/>
      <c r="E37" s="102">
        <v>48760</v>
      </c>
      <c r="F37" s="93"/>
      <c r="G37" s="103" t="s">
        <v>408</v>
      </c>
      <c r="H37" s="103" t="s">
        <v>193</v>
      </c>
      <c r="I37" s="104">
        <v>-5</v>
      </c>
      <c r="J37" s="93"/>
      <c r="K37" s="105">
        <v>16510305.77</v>
      </c>
      <c r="L37" s="106"/>
      <c r="M37" s="107">
        <v>14786151.16</v>
      </c>
      <c r="N37" s="107"/>
      <c r="O37" s="107">
        <v>2549670</v>
      </c>
      <c r="P37" s="107"/>
      <c r="Q37" s="107">
        <v>216849</v>
      </c>
      <c r="S37" s="108">
        <v>1.31</v>
      </c>
      <c r="U37" s="109">
        <v>11.8</v>
      </c>
      <c r="V37" s="100"/>
    </row>
    <row r="38" spans="1:22" s="97" customFormat="1" x14ac:dyDescent="0.2">
      <c r="A38" s="92"/>
      <c r="B38" s="93"/>
      <c r="C38" s="93" t="s">
        <v>300</v>
      </c>
      <c r="D38" s="93"/>
      <c r="E38" s="102">
        <v>49125</v>
      </c>
      <c r="F38" s="93"/>
      <c r="G38" s="103" t="s">
        <v>408</v>
      </c>
      <c r="H38" s="103" t="s">
        <v>193</v>
      </c>
      <c r="I38" s="104">
        <v>-5</v>
      </c>
      <c r="J38" s="93"/>
      <c r="K38" s="110">
        <v>44549418.75</v>
      </c>
      <c r="L38" s="106"/>
      <c r="M38" s="111">
        <v>34507216.350000001</v>
      </c>
      <c r="N38" s="107"/>
      <c r="O38" s="111">
        <v>12269673</v>
      </c>
      <c r="P38" s="107"/>
      <c r="Q38" s="111">
        <v>964566</v>
      </c>
      <c r="S38" s="108">
        <v>2.17</v>
      </c>
      <c r="U38" s="109">
        <v>12.7</v>
      </c>
      <c r="V38" s="100"/>
    </row>
    <row r="39" spans="1:22" s="97" customFormat="1" x14ac:dyDescent="0.2">
      <c r="A39" s="92"/>
      <c r="B39" s="93"/>
      <c r="C39" s="93"/>
      <c r="D39" s="93"/>
      <c r="E39" s="94"/>
      <c r="F39" s="93"/>
      <c r="G39" s="93"/>
      <c r="H39" s="93"/>
      <c r="I39" s="95"/>
      <c r="J39" s="93"/>
      <c r="K39" s="105"/>
      <c r="L39" s="93"/>
      <c r="M39" s="96"/>
      <c r="N39" s="96"/>
      <c r="O39" s="96"/>
      <c r="P39" s="96"/>
      <c r="Q39" s="96"/>
      <c r="S39" s="108"/>
      <c r="U39" s="109"/>
      <c r="V39" s="100"/>
    </row>
    <row r="40" spans="1:22" s="97" customFormat="1" x14ac:dyDescent="0.2">
      <c r="A40" s="92"/>
      <c r="B40" s="93"/>
      <c r="C40" s="101" t="s">
        <v>407</v>
      </c>
      <c r="D40" s="93"/>
      <c r="E40" s="94"/>
      <c r="F40" s="93"/>
      <c r="G40" s="103"/>
      <c r="H40" s="103"/>
      <c r="I40" s="104"/>
      <c r="J40" s="93"/>
      <c r="K40" s="105">
        <f>+SUBTOTAL(9,K30:K38)</f>
        <v>531618926.06</v>
      </c>
      <c r="L40" s="106"/>
      <c r="M40" s="107">
        <f>+SUBTOTAL(9,M30:M38)</f>
        <v>386249008.81000006</v>
      </c>
      <c r="N40" s="107"/>
      <c r="O40" s="107">
        <f>+SUBTOTAL(9,O30:O38)</f>
        <v>157175942</v>
      </c>
      <c r="P40" s="107"/>
      <c r="Q40" s="107">
        <f>+SUBTOTAL(9,Q30:Q38)</f>
        <v>22837812</v>
      </c>
      <c r="S40" s="108">
        <f>Q40/K40*100</f>
        <v>4.29589897584317</v>
      </c>
      <c r="U40" s="109"/>
      <c r="V40" s="100"/>
    </row>
    <row r="41" spans="1:22" s="97" customFormat="1" x14ac:dyDescent="0.2">
      <c r="A41" s="92"/>
      <c r="B41" s="93"/>
      <c r="C41" s="101"/>
      <c r="D41" s="93"/>
      <c r="E41" s="94"/>
      <c r="F41" s="93"/>
      <c r="G41" s="103"/>
      <c r="H41" s="103"/>
      <c r="I41" s="104"/>
      <c r="J41" s="93"/>
      <c r="K41" s="105"/>
      <c r="L41" s="106"/>
      <c r="M41" s="107"/>
      <c r="N41" s="107"/>
      <c r="O41" s="107"/>
      <c r="P41" s="107"/>
      <c r="Q41" s="107"/>
      <c r="S41" s="108"/>
      <c r="U41" s="109"/>
      <c r="V41" s="100"/>
    </row>
    <row r="42" spans="1:22" s="97" customFormat="1" x14ac:dyDescent="0.2">
      <c r="A42" s="92">
        <v>314</v>
      </c>
      <c r="B42" s="93"/>
      <c r="C42" s="101" t="s">
        <v>406</v>
      </c>
      <c r="D42" s="93"/>
      <c r="E42" s="94"/>
      <c r="F42" s="93"/>
      <c r="G42" s="103"/>
      <c r="H42" s="103"/>
      <c r="I42" s="104"/>
      <c r="J42" s="93"/>
      <c r="K42" s="105"/>
      <c r="L42" s="106"/>
      <c r="M42" s="107"/>
      <c r="N42" s="107"/>
      <c r="O42" s="107"/>
      <c r="P42" s="107"/>
      <c r="Q42" s="107"/>
      <c r="S42" s="108"/>
      <c r="U42" s="109"/>
      <c r="V42" s="100"/>
    </row>
    <row r="43" spans="1:22" s="97" customFormat="1" x14ac:dyDescent="0.2">
      <c r="A43" s="92"/>
      <c r="B43" s="93"/>
      <c r="C43" s="101" t="s">
        <v>405</v>
      </c>
      <c r="D43" s="93"/>
      <c r="E43" s="102">
        <v>46022</v>
      </c>
      <c r="F43" s="93"/>
      <c r="G43" s="103" t="s">
        <v>394</v>
      </c>
      <c r="H43" s="103" t="s">
        <v>193</v>
      </c>
      <c r="I43" s="104">
        <v>0</v>
      </c>
      <c r="J43" s="93"/>
      <c r="K43" s="105">
        <v>43120404.939999998</v>
      </c>
      <c r="L43" s="106"/>
      <c r="M43" s="107">
        <v>23475034.899999999</v>
      </c>
      <c r="N43" s="107"/>
      <c r="O43" s="107">
        <v>19645370</v>
      </c>
      <c r="P43" s="107"/>
      <c r="Q43" s="107">
        <v>4479125</v>
      </c>
      <c r="S43" s="108">
        <v>10.39</v>
      </c>
      <c r="U43" s="109">
        <v>4.4000000000000004</v>
      </c>
      <c r="V43" s="100"/>
    </row>
    <row r="44" spans="1:22" s="97" customFormat="1" x14ac:dyDescent="0.2">
      <c r="A44" s="92"/>
      <c r="B44" s="93"/>
      <c r="C44" s="101" t="s">
        <v>404</v>
      </c>
      <c r="D44" s="93"/>
      <c r="E44" s="102">
        <v>46022</v>
      </c>
      <c r="F44" s="93"/>
      <c r="G44" s="103" t="s">
        <v>394</v>
      </c>
      <c r="H44" s="103" t="s">
        <v>193</v>
      </c>
      <c r="I44" s="104">
        <v>0</v>
      </c>
      <c r="J44" s="93"/>
      <c r="K44" s="105">
        <v>43450528.780000001</v>
      </c>
      <c r="L44" s="106"/>
      <c r="M44" s="107">
        <v>24138156.890000001</v>
      </c>
      <c r="N44" s="107"/>
      <c r="O44" s="107">
        <v>19312372</v>
      </c>
      <c r="P44" s="107"/>
      <c r="Q44" s="107">
        <v>4386873</v>
      </c>
      <c r="S44" s="108">
        <v>10.1</v>
      </c>
      <c r="U44" s="109">
        <v>4.4000000000000004</v>
      </c>
      <c r="V44" s="100"/>
    </row>
    <row r="45" spans="1:22" s="97" customFormat="1" x14ac:dyDescent="0.2">
      <c r="A45" s="92"/>
      <c r="B45" s="93"/>
      <c r="C45" s="101" t="s">
        <v>399</v>
      </c>
      <c r="D45" s="93"/>
      <c r="E45" s="102">
        <v>48760</v>
      </c>
      <c r="F45" s="93"/>
      <c r="G45" s="103" t="s">
        <v>394</v>
      </c>
      <c r="H45" s="103" t="s">
        <v>193</v>
      </c>
      <c r="I45" s="104">
        <v>-5</v>
      </c>
      <c r="J45" s="93"/>
      <c r="K45" s="105">
        <v>23061354.719999999</v>
      </c>
      <c r="L45" s="106"/>
      <c r="M45" s="107">
        <v>18567898</v>
      </c>
      <c r="N45" s="107"/>
      <c r="O45" s="107">
        <v>5646524</v>
      </c>
      <c r="P45" s="107"/>
      <c r="Q45" s="107">
        <v>493212</v>
      </c>
      <c r="S45" s="108">
        <v>2.14</v>
      </c>
      <c r="U45" s="109">
        <v>11.4</v>
      </c>
      <c r="V45" s="100"/>
    </row>
    <row r="46" spans="1:22" s="97" customFormat="1" x14ac:dyDescent="0.2">
      <c r="A46" s="92"/>
      <c r="B46" s="93"/>
      <c r="C46" s="101" t="s">
        <v>308</v>
      </c>
      <c r="D46" s="93"/>
      <c r="E46" s="102">
        <v>52047</v>
      </c>
      <c r="F46" s="93"/>
      <c r="G46" s="103" t="s">
        <v>394</v>
      </c>
      <c r="H46" s="103" t="s">
        <v>193</v>
      </c>
      <c r="I46" s="104">
        <v>-5</v>
      </c>
      <c r="J46" s="93"/>
      <c r="K46" s="105">
        <v>16211252.08</v>
      </c>
      <c r="L46" s="106"/>
      <c r="M46" s="107">
        <v>8649797.5700000003</v>
      </c>
      <c r="N46" s="107"/>
      <c r="O46" s="107">
        <v>8372017</v>
      </c>
      <c r="P46" s="107"/>
      <c r="Q46" s="107">
        <v>439610</v>
      </c>
      <c r="S46" s="108">
        <v>2.71</v>
      </c>
      <c r="U46" s="109">
        <v>19</v>
      </c>
      <c r="V46" s="100"/>
    </row>
    <row r="47" spans="1:22" s="97" customFormat="1" x14ac:dyDescent="0.2">
      <c r="A47" s="92"/>
      <c r="B47" s="93"/>
      <c r="C47" s="101" t="s">
        <v>307</v>
      </c>
      <c r="D47" s="93"/>
      <c r="E47" s="102">
        <v>52778</v>
      </c>
      <c r="F47" s="93"/>
      <c r="G47" s="103" t="s">
        <v>394</v>
      </c>
      <c r="H47" s="103" t="s">
        <v>193</v>
      </c>
      <c r="I47" s="104">
        <v>-5</v>
      </c>
      <c r="J47" s="93"/>
      <c r="K47" s="105">
        <v>90282533.519999996</v>
      </c>
      <c r="L47" s="106"/>
      <c r="M47" s="107">
        <v>74104150.189999998</v>
      </c>
      <c r="N47" s="107"/>
      <c r="O47" s="107">
        <v>20692510</v>
      </c>
      <c r="P47" s="107"/>
      <c r="Q47" s="107">
        <v>990459</v>
      </c>
      <c r="S47" s="108">
        <v>1.1000000000000001</v>
      </c>
      <c r="U47" s="109">
        <v>20.9</v>
      </c>
      <c r="V47" s="100"/>
    </row>
    <row r="48" spans="1:22" s="97" customFormat="1" x14ac:dyDescent="0.2">
      <c r="A48" s="92"/>
      <c r="B48" s="93"/>
      <c r="C48" s="101" t="s">
        <v>306</v>
      </c>
      <c r="D48" s="93"/>
      <c r="E48" s="102">
        <v>53143</v>
      </c>
      <c r="F48" s="93"/>
      <c r="G48" s="103" t="s">
        <v>394</v>
      </c>
      <c r="H48" s="103" t="s">
        <v>193</v>
      </c>
      <c r="I48" s="104">
        <v>-5</v>
      </c>
      <c r="J48" s="93"/>
      <c r="K48" s="105">
        <v>25596100.379999999</v>
      </c>
      <c r="L48" s="106"/>
      <c r="M48" s="107">
        <v>9769886.5299999993</v>
      </c>
      <c r="N48" s="107"/>
      <c r="O48" s="107">
        <v>17106019</v>
      </c>
      <c r="P48" s="107"/>
      <c r="Q48" s="107">
        <v>786003</v>
      </c>
      <c r="S48" s="108">
        <v>3.07</v>
      </c>
      <c r="U48" s="109">
        <v>21.8</v>
      </c>
      <c r="V48" s="100"/>
    </row>
    <row r="49" spans="1:22" s="97" customFormat="1" x14ac:dyDescent="0.2">
      <c r="A49" s="92"/>
      <c r="B49" s="93"/>
      <c r="C49" s="101" t="s">
        <v>305</v>
      </c>
      <c r="D49" s="93"/>
      <c r="E49" s="102">
        <v>48760</v>
      </c>
      <c r="F49" s="93"/>
      <c r="G49" s="103" t="s">
        <v>394</v>
      </c>
      <c r="H49" s="103" t="s">
        <v>193</v>
      </c>
      <c r="I49" s="104">
        <v>-5</v>
      </c>
      <c r="J49" s="93"/>
      <c r="K49" s="105">
        <v>24747396.809999999</v>
      </c>
      <c r="L49" s="106"/>
      <c r="M49" s="107">
        <v>19566553.879999999</v>
      </c>
      <c r="N49" s="107"/>
      <c r="O49" s="107">
        <v>6418213</v>
      </c>
      <c r="P49" s="107"/>
      <c r="Q49" s="107">
        <v>554775</v>
      </c>
      <c r="S49" s="108">
        <v>2.2400000000000002</v>
      </c>
      <c r="U49" s="109">
        <v>11.6</v>
      </c>
      <c r="V49" s="100"/>
    </row>
    <row r="50" spans="1:22" s="97" customFormat="1" x14ac:dyDescent="0.2">
      <c r="A50" s="92"/>
      <c r="B50" s="93"/>
      <c r="C50" s="101" t="s">
        <v>300</v>
      </c>
      <c r="D50" s="93"/>
      <c r="E50" s="102">
        <v>49125</v>
      </c>
      <c r="F50" s="93"/>
      <c r="G50" s="103" t="s">
        <v>394</v>
      </c>
      <c r="H50" s="103" t="s">
        <v>193</v>
      </c>
      <c r="I50" s="104">
        <v>-5</v>
      </c>
      <c r="J50" s="93"/>
      <c r="K50" s="110">
        <v>18845310.170000002</v>
      </c>
      <c r="L50" s="106"/>
      <c r="M50" s="111">
        <v>13625562.41</v>
      </c>
      <c r="N50" s="107"/>
      <c r="O50" s="111">
        <v>6162013</v>
      </c>
      <c r="P50" s="107"/>
      <c r="Q50" s="111">
        <v>492599</v>
      </c>
      <c r="S50" s="108">
        <v>2.61</v>
      </c>
      <c r="U50" s="109">
        <v>12.5</v>
      </c>
      <c r="V50" s="100"/>
    </row>
    <row r="51" spans="1:22" s="97" customFormat="1" x14ac:dyDescent="0.2">
      <c r="A51" s="92"/>
      <c r="B51" s="93"/>
      <c r="C51" s="101"/>
      <c r="D51" s="93"/>
      <c r="E51" s="94"/>
      <c r="F51" s="93"/>
      <c r="G51" s="103"/>
      <c r="H51" s="103"/>
      <c r="I51" s="104"/>
      <c r="J51" s="93"/>
      <c r="K51" s="105"/>
      <c r="L51" s="106"/>
      <c r="M51" s="107"/>
      <c r="N51" s="107"/>
      <c r="O51" s="107"/>
      <c r="P51" s="107"/>
      <c r="Q51" s="107"/>
      <c r="S51" s="108"/>
      <c r="U51" s="109"/>
      <c r="V51" s="100"/>
    </row>
    <row r="52" spans="1:22" s="97" customFormat="1" x14ac:dyDescent="0.2">
      <c r="A52" s="92"/>
      <c r="B52" s="93"/>
      <c r="C52" s="101" t="s">
        <v>403</v>
      </c>
      <c r="D52" s="93"/>
      <c r="E52" s="94"/>
      <c r="F52" s="93"/>
      <c r="G52" s="103"/>
      <c r="H52" s="103"/>
      <c r="I52" s="104"/>
      <c r="J52" s="93"/>
      <c r="K52" s="105">
        <f>+SUBTOTAL(9,K43:K50)</f>
        <v>285314881.39999998</v>
      </c>
      <c r="L52" s="106"/>
      <c r="M52" s="107">
        <f>+SUBTOTAL(9,M43:M50)</f>
        <v>191897040.37</v>
      </c>
      <c r="N52" s="107"/>
      <c r="O52" s="107">
        <f>+SUBTOTAL(9,O43:O50)</f>
        <v>103355038</v>
      </c>
      <c r="P52" s="107"/>
      <c r="Q52" s="107">
        <f>+SUBTOTAL(9,Q43:Q50)</f>
        <v>12622656</v>
      </c>
      <c r="S52" s="108">
        <f>Q52/K52*100</f>
        <v>4.4241141359547749</v>
      </c>
      <c r="U52" s="109"/>
      <c r="V52" s="100"/>
    </row>
    <row r="53" spans="1:22" s="97" customFormat="1" x14ac:dyDescent="0.2">
      <c r="A53" s="92"/>
      <c r="B53" s="93"/>
      <c r="C53" s="101"/>
      <c r="D53" s="93"/>
      <c r="E53" s="94"/>
      <c r="F53" s="93"/>
      <c r="G53" s="103"/>
      <c r="H53" s="103"/>
      <c r="I53" s="104"/>
      <c r="J53" s="93"/>
      <c r="K53" s="105"/>
      <c r="L53" s="106"/>
      <c r="M53" s="107"/>
      <c r="N53" s="107"/>
      <c r="O53" s="107"/>
      <c r="P53" s="107"/>
      <c r="Q53" s="107"/>
      <c r="S53" s="108"/>
      <c r="U53" s="109"/>
      <c r="V53" s="100"/>
    </row>
    <row r="54" spans="1:22" s="97" customFormat="1" x14ac:dyDescent="0.2">
      <c r="A54" s="92">
        <v>315</v>
      </c>
      <c r="B54" s="93"/>
      <c r="C54" s="101" t="s">
        <v>326</v>
      </c>
      <c r="D54" s="93"/>
      <c r="E54" s="94"/>
      <c r="F54" s="93"/>
      <c r="G54" s="103"/>
      <c r="H54" s="103"/>
      <c r="I54" s="104"/>
      <c r="J54" s="93"/>
      <c r="K54" s="105"/>
      <c r="L54" s="106"/>
      <c r="M54" s="107"/>
      <c r="N54" s="107"/>
      <c r="O54" s="107"/>
      <c r="P54" s="107"/>
      <c r="Q54" s="107"/>
      <c r="S54" s="108"/>
      <c r="U54" s="109"/>
      <c r="V54" s="100"/>
    </row>
    <row r="55" spans="1:22" s="97" customFormat="1" x14ac:dyDescent="0.2">
      <c r="A55" s="92"/>
      <c r="B55" s="93"/>
      <c r="C55" s="101" t="s">
        <v>402</v>
      </c>
      <c r="D55" s="93"/>
      <c r="E55" s="102">
        <v>46022</v>
      </c>
      <c r="F55" s="93"/>
      <c r="G55" s="103" t="s">
        <v>398</v>
      </c>
      <c r="H55" s="103" t="s">
        <v>193</v>
      </c>
      <c r="I55" s="104">
        <v>0</v>
      </c>
      <c r="J55" s="93"/>
      <c r="K55" s="105">
        <v>8165679.5099999998</v>
      </c>
      <c r="L55" s="106"/>
      <c r="M55" s="107">
        <v>5120002.55</v>
      </c>
      <c r="N55" s="107"/>
      <c r="O55" s="107">
        <v>3045677</v>
      </c>
      <c r="P55" s="107"/>
      <c r="Q55" s="107">
        <v>686398</v>
      </c>
      <c r="S55" s="108">
        <v>8.41</v>
      </c>
      <c r="U55" s="109">
        <v>4.4000000000000004</v>
      </c>
      <c r="V55" s="100"/>
    </row>
    <row r="56" spans="1:22" s="97" customFormat="1" x14ac:dyDescent="0.2">
      <c r="A56" s="92"/>
      <c r="B56" s="93"/>
      <c r="C56" s="101" t="s">
        <v>401</v>
      </c>
      <c r="D56" s="93"/>
      <c r="E56" s="102">
        <v>46022</v>
      </c>
      <c r="F56" s="93"/>
      <c r="G56" s="103" t="s">
        <v>398</v>
      </c>
      <c r="H56" s="103" t="s">
        <v>193</v>
      </c>
      <c r="I56" s="104">
        <v>0</v>
      </c>
      <c r="J56" s="93"/>
      <c r="K56" s="105">
        <v>7963019.0099999998</v>
      </c>
      <c r="L56" s="106"/>
      <c r="M56" s="107">
        <v>4523410.42</v>
      </c>
      <c r="N56" s="107"/>
      <c r="O56" s="107">
        <v>3439609</v>
      </c>
      <c r="P56" s="107"/>
      <c r="Q56" s="107">
        <v>772646</v>
      </c>
      <c r="S56" s="108">
        <v>9.6999999999999993</v>
      </c>
      <c r="U56" s="109">
        <v>4.5</v>
      </c>
      <c r="V56" s="100"/>
    </row>
    <row r="57" spans="1:22" s="97" customFormat="1" x14ac:dyDescent="0.2">
      <c r="B57" s="93"/>
      <c r="C57" s="101" t="s">
        <v>400</v>
      </c>
      <c r="D57" s="93"/>
      <c r="E57" s="102">
        <v>46022</v>
      </c>
      <c r="F57" s="93"/>
      <c r="G57" s="103" t="s">
        <v>398</v>
      </c>
      <c r="H57" s="103" t="s">
        <v>193</v>
      </c>
      <c r="I57" s="104">
        <v>0</v>
      </c>
      <c r="J57" s="93"/>
      <c r="K57" s="105">
        <v>7881899</v>
      </c>
      <c r="L57" s="106"/>
      <c r="M57" s="107">
        <v>6516081.4000000004</v>
      </c>
      <c r="N57" s="107"/>
      <c r="O57" s="107">
        <v>1365818</v>
      </c>
      <c r="P57" s="107"/>
      <c r="Q57" s="107">
        <v>310695</v>
      </c>
      <c r="S57" s="108">
        <v>3.94</v>
      </c>
      <c r="U57" s="109">
        <v>4.4000000000000004</v>
      </c>
      <c r="V57" s="100"/>
    </row>
    <row r="58" spans="1:22" s="97" customFormat="1" x14ac:dyDescent="0.2">
      <c r="A58" s="92"/>
      <c r="B58" s="93"/>
      <c r="C58" s="101" t="s">
        <v>399</v>
      </c>
      <c r="D58" s="93"/>
      <c r="E58" s="102">
        <v>48760</v>
      </c>
      <c r="F58" s="93"/>
      <c r="G58" s="103" t="s">
        <v>398</v>
      </c>
      <c r="H58" s="103" t="s">
        <v>193</v>
      </c>
      <c r="I58" s="104">
        <v>0</v>
      </c>
      <c r="J58" s="93"/>
      <c r="K58" s="105">
        <v>1678558.68</v>
      </c>
      <c r="L58" s="106"/>
      <c r="M58" s="107">
        <v>1443116.97</v>
      </c>
      <c r="N58" s="107"/>
      <c r="O58" s="107">
        <v>235442</v>
      </c>
      <c r="P58" s="107"/>
      <c r="Q58" s="107">
        <v>20158</v>
      </c>
      <c r="S58" s="108">
        <v>1.2</v>
      </c>
      <c r="U58" s="109">
        <v>11.7</v>
      </c>
      <c r="V58" s="100"/>
    </row>
    <row r="59" spans="1:22" s="97" customFormat="1" x14ac:dyDescent="0.2">
      <c r="A59" s="92"/>
      <c r="B59" s="93"/>
      <c r="C59" s="101" t="s">
        <v>308</v>
      </c>
      <c r="D59" s="93"/>
      <c r="E59" s="102">
        <v>52047</v>
      </c>
      <c r="F59" s="93"/>
      <c r="G59" s="103" t="s">
        <v>398</v>
      </c>
      <c r="H59" s="103" t="s">
        <v>193</v>
      </c>
      <c r="I59" s="104">
        <v>0</v>
      </c>
      <c r="J59" s="93"/>
      <c r="K59" s="105">
        <v>962486.71</v>
      </c>
      <c r="L59" s="106"/>
      <c r="M59" s="107">
        <v>478273.93</v>
      </c>
      <c r="N59" s="107"/>
      <c r="O59" s="107">
        <v>484213</v>
      </c>
      <c r="P59" s="107"/>
      <c r="Q59" s="107">
        <v>24102</v>
      </c>
      <c r="S59" s="108">
        <v>2.5</v>
      </c>
      <c r="U59" s="109">
        <v>20.100000000000001</v>
      </c>
      <c r="V59" s="100"/>
    </row>
    <row r="60" spans="1:22" s="97" customFormat="1" x14ac:dyDescent="0.2">
      <c r="A60" s="92"/>
      <c r="B60" s="93"/>
      <c r="C60" s="101" t="s">
        <v>307</v>
      </c>
      <c r="D60" s="93"/>
      <c r="E60" s="102">
        <v>52778</v>
      </c>
      <c r="F60" s="93"/>
      <c r="G60" s="103" t="s">
        <v>398</v>
      </c>
      <c r="H60" s="103" t="s">
        <v>193</v>
      </c>
      <c r="I60" s="104">
        <v>0</v>
      </c>
      <c r="J60" s="93"/>
      <c r="K60" s="105">
        <v>7300879</v>
      </c>
      <c r="L60" s="106"/>
      <c r="M60" s="107">
        <v>6060947.8700000001</v>
      </c>
      <c r="N60" s="107"/>
      <c r="O60" s="107">
        <v>1239931</v>
      </c>
      <c r="P60" s="107"/>
      <c r="Q60" s="107">
        <v>55979</v>
      </c>
      <c r="S60" s="108">
        <v>0.77</v>
      </c>
      <c r="U60" s="109">
        <v>22.1</v>
      </c>
      <c r="V60" s="100"/>
    </row>
    <row r="61" spans="1:22" s="97" customFormat="1" x14ac:dyDescent="0.2">
      <c r="A61" s="92"/>
      <c r="B61" s="93"/>
      <c r="C61" s="101" t="s">
        <v>306</v>
      </c>
      <c r="D61" s="93"/>
      <c r="E61" s="102">
        <v>53143</v>
      </c>
      <c r="F61" s="93"/>
      <c r="G61" s="103" t="s">
        <v>398</v>
      </c>
      <c r="H61" s="103" t="s">
        <v>193</v>
      </c>
      <c r="I61" s="104">
        <v>0</v>
      </c>
      <c r="J61" s="93"/>
      <c r="K61" s="105">
        <v>2199936</v>
      </c>
      <c r="L61" s="106"/>
      <c r="M61" s="107">
        <v>854486.62</v>
      </c>
      <c r="N61" s="107"/>
      <c r="O61" s="107">
        <v>1345449</v>
      </c>
      <c r="P61" s="107"/>
      <c r="Q61" s="107">
        <v>58169</v>
      </c>
      <c r="S61" s="108">
        <v>2.64</v>
      </c>
      <c r="U61" s="109">
        <v>23.1</v>
      </c>
      <c r="V61" s="100"/>
    </row>
    <row r="62" spans="1:22" s="97" customFormat="1" x14ac:dyDescent="0.2">
      <c r="A62" s="92"/>
      <c r="B62" s="93"/>
      <c r="C62" s="101" t="s">
        <v>305</v>
      </c>
      <c r="D62" s="93"/>
      <c r="E62" s="102">
        <v>48760</v>
      </c>
      <c r="F62" s="93"/>
      <c r="G62" s="103" t="s">
        <v>398</v>
      </c>
      <c r="H62" s="103" t="s">
        <v>193</v>
      </c>
      <c r="I62" s="104">
        <v>0</v>
      </c>
      <c r="J62" s="93"/>
      <c r="K62" s="105">
        <v>738473.77</v>
      </c>
      <c r="L62" s="106"/>
      <c r="M62" s="107">
        <v>614123.49</v>
      </c>
      <c r="N62" s="107"/>
      <c r="O62" s="107">
        <v>124350</v>
      </c>
      <c r="P62" s="107"/>
      <c r="Q62" s="107">
        <v>10426</v>
      </c>
      <c r="S62" s="108">
        <v>1.41</v>
      </c>
      <c r="U62" s="109">
        <v>11.9</v>
      </c>
      <c r="V62" s="100"/>
    </row>
    <row r="63" spans="1:22" s="97" customFormat="1" x14ac:dyDescent="0.2">
      <c r="A63" s="92"/>
      <c r="B63" s="93"/>
      <c r="C63" s="101" t="s">
        <v>300</v>
      </c>
      <c r="D63" s="93"/>
      <c r="E63" s="102">
        <v>49125</v>
      </c>
      <c r="F63" s="93"/>
      <c r="G63" s="103" t="s">
        <v>398</v>
      </c>
      <c r="H63" s="103" t="s">
        <v>193</v>
      </c>
      <c r="I63" s="104">
        <v>0</v>
      </c>
      <c r="J63" s="93"/>
      <c r="K63" s="110">
        <v>1412094.5</v>
      </c>
      <c r="L63" s="106"/>
      <c r="M63" s="111">
        <v>979360.9</v>
      </c>
      <c r="N63" s="107"/>
      <c r="O63" s="111">
        <v>432734</v>
      </c>
      <c r="P63" s="107"/>
      <c r="Q63" s="111">
        <v>33423</v>
      </c>
      <c r="S63" s="108">
        <v>2.37</v>
      </c>
      <c r="U63" s="109">
        <v>12.9</v>
      </c>
      <c r="V63" s="100"/>
    </row>
    <row r="64" spans="1:22" s="97" customFormat="1" x14ac:dyDescent="0.2">
      <c r="A64" s="92"/>
      <c r="B64" s="93"/>
      <c r="C64" s="101"/>
      <c r="D64" s="93"/>
      <c r="E64" s="94"/>
      <c r="F64" s="93"/>
      <c r="G64" s="103"/>
      <c r="H64" s="103"/>
      <c r="I64" s="104"/>
      <c r="J64" s="93"/>
      <c r="K64" s="105"/>
      <c r="L64" s="106"/>
      <c r="M64" s="107"/>
      <c r="N64" s="107"/>
      <c r="O64" s="107"/>
      <c r="P64" s="107"/>
      <c r="Q64" s="107"/>
      <c r="S64" s="108"/>
      <c r="U64" s="109"/>
      <c r="V64" s="100"/>
    </row>
    <row r="65" spans="1:22" s="97" customFormat="1" x14ac:dyDescent="0.2">
      <c r="A65" s="92"/>
      <c r="B65" s="93"/>
      <c r="C65" s="101" t="s">
        <v>323</v>
      </c>
      <c r="D65" s="93"/>
      <c r="E65" s="94"/>
      <c r="F65" s="93"/>
      <c r="G65" s="103"/>
      <c r="H65" s="103"/>
      <c r="I65" s="104"/>
      <c r="J65" s="93"/>
      <c r="K65" s="105">
        <f>+SUBTOTAL(9,K55:K63)</f>
        <v>38303026.18</v>
      </c>
      <c r="L65" s="106"/>
      <c r="M65" s="107">
        <f>+SUBTOTAL(9,M55:M63)</f>
        <v>26589804.149999999</v>
      </c>
      <c r="N65" s="107"/>
      <c r="O65" s="107">
        <f>+SUBTOTAL(9,O55:O63)</f>
        <v>11713223</v>
      </c>
      <c r="P65" s="107"/>
      <c r="Q65" s="107">
        <f>+SUBTOTAL(9,Q55:Q63)</f>
        <v>1971996</v>
      </c>
      <c r="S65" s="108">
        <f>Q65/K65*100</f>
        <v>5.1484078326680143</v>
      </c>
      <c r="U65" s="109"/>
      <c r="V65" s="100"/>
    </row>
    <row r="66" spans="1:22" s="97" customFormat="1" x14ac:dyDescent="0.2">
      <c r="A66" s="92"/>
      <c r="B66" s="93"/>
      <c r="C66" s="101"/>
      <c r="D66" s="93"/>
      <c r="E66" s="94"/>
      <c r="F66" s="93"/>
      <c r="G66" s="103"/>
      <c r="H66" s="103"/>
      <c r="I66" s="104"/>
      <c r="J66" s="93"/>
      <c r="K66" s="105"/>
      <c r="L66" s="93"/>
      <c r="M66" s="96"/>
      <c r="N66" s="96"/>
      <c r="O66" s="96"/>
      <c r="P66" s="96"/>
      <c r="Q66" s="96"/>
      <c r="S66" s="108"/>
      <c r="U66" s="109"/>
      <c r="V66" s="100"/>
    </row>
    <row r="67" spans="1:22" s="97" customFormat="1" x14ac:dyDescent="0.2">
      <c r="A67" s="92">
        <v>316</v>
      </c>
      <c r="B67" s="93"/>
      <c r="C67" s="101" t="s">
        <v>319</v>
      </c>
      <c r="D67" s="93"/>
      <c r="E67" s="94"/>
      <c r="F67" s="93"/>
      <c r="G67" s="103"/>
      <c r="H67" s="103"/>
      <c r="I67" s="104"/>
      <c r="J67" s="93"/>
      <c r="K67" s="105"/>
      <c r="L67" s="93"/>
      <c r="M67" s="96"/>
      <c r="N67" s="96"/>
      <c r="O67" s="96"/>
      <c r="P67" s="96"/>
      <c r="Q67" s="96"/>
      <c r="S67" s="108"/>
      <c r="U67" s="109"/>
      <c r="V67" s="100"/>
    </row>
    <row r="68" spans="1:22" s="97" customFormat="1" x14ac:dyDescent="0.2">
      <c r="A68" s="92"/>
      <c r="B68" s="93"/>
      <c r="C68" s="101" t="s">
        <v>397</v>
      </c>
      <c r="D68" s="93"/>
      <c r="E68" s="102">
        <v>46022</v>
      </c>
      <c r="F68" s="93"/>
      <c r="G68" s="103" t="s">
        <v>394</v>
      </c>
      <c r="H68" s="103" t="s">
        <v>193</v>
      </c>
      <c r="I68" s="104">
        <v>0</v>
      </c>
      <c r="J68" s="93"/>
      <c r="K68" s="105">
        <v>1069833.53</v>
      </c>
      <c r="L68" s="106"/>
      <c r="M68" s="107">
        <v>647936.13</v>
      </c>
      <c r="N68" s="107"/>
      <c r="O68" s="107">
        <v>421897</v>
      </c>
      <c r="P68" s="107"/>
      <c r="Q68" s="107">
        <v>95601</v>
      </c>
      <c r="S68" s="108">
        <v>8.94</v>
      </c>
      <c r="U68" s="109">
        <v>4.4000000000000004</v>
      </c>
      <c r="V68" s="100"/>
    </row>
    <row r="69" spans="1:22" s="97" customFormat="1" x14ac:dyDescent="0.2">
      <c r="A69" s="92"/>
      <c r="B69" s="93"/>
      <c r="C69" s="101" t="s">
        <v>396</v>
      </c>
      <c r="D69" s="93"/>
      <c r="E69" s="102">
        <v>46022</v>
      </c>
      <c r="F69" s="93"/>
      <c r="G69" s="103" t="s">
        <v>394</v>
      </c>
      <c r="H69" s="103" t="s">
        <v>193</v>
      </c>
      <c r="I69" s="104">
        <v>0</v>
      </c>
      <c r="J69" s="93"/>
      <c r="K69" s="105">
        <v>1191523.74</v>
      </c>
      <c r="L69" s="106"/>
      <c r="M69" s="107">
        <v>721368.19</v>
      </c>
      <c r="N69" s="107"/>
      <c r="O69" s="107">
        <v>470156</v>
      </c>
      <c r="P69" s="107"/>
      <c r="Q69" s="107">
        <v>106690</v>
      </c>
      <c r="S69" s="108">
        <v>8.9499999999999993</v>
      </c>
      <c r="U69" s="109">
        <v>4.4000000000000004</v>
      </c>
      <c r="V69" s="100"/>
    </row>
    <row r="70" spans="1:22" s="97" customFormat="1" x14ac:dyDescent="0.2">
      <c r="A70" s="92"/>
      <c r="B70" s="93"/>
      <c r="C70" s="101" t="s">
        <v>395</v>
      </c>
      <c r="D70" s="93"/>
      <c r="E70" s="102">
        <v>46022</v>
      </c>
      <c r="F70" s="93"/>
      <c r="G70" s="103" t="s">
        <v>394</v>
      </c>
      <c r="H70" s="103" t="s">
        <v>193</v>
      </c>
      <c r="I70" s="104">
        <v>0</v>
      </c>
      <c r="J70" s="93"/>
      <c r="K70" s="105">
        <v>4577171.93</v>
      </c>
      <c r="L70" s="106"/>
      <c r="M70" s="107">
        <v>3730928.71</v>
      </c>
      <c r="N70" s="107"/>
      <c r="O70" s="107">
        <v>846243</v>
      </c>
      <c r="P70" s="107"/>
      <c r="Q70" s="107">
        <v>194456</v>
      </c>
      <c r="S70" s="108">
        <v>4.25</v>
      </c>
      <c r="U70" s="109">
        <v>4.4000000000000004</v>
      </c>
      <c r="V70" s="100"/>
    </row>
    <row r="71" spans="1:22" s="97" customFormat="1" x14ac:dyDescent="0.2">
      <c r="A71" s="92"/>
      <c r="B71" s="93"/>
      <c r="C71" s="101" t="s">
        <v>308</v>
      </c>
      <c r="D71" s="93"/>
      <c r="E71" s="102">
        <v>52047</v>
      </c>
      <c r="F71" s="93"/>
      <c r="G71" s="103" t="s">
        <v>394</v>
      </c>
      <c r="H71" s="103" t="s">
        <v>193</v>
      </c>
      <c r="I71" s="104">
        <v>0</v>
      </c>
      <c r="J71" s="93"/>
      <c r="K71" s="105">
        <v>336377.91</v>
      </c>
      <c r="L71" s="106"/>
      <c r="M71" s="107">
        <v>182272.27</v>
      </c>
      <c r="N71" s="107"/>
      <c r="O71" s="107">
        <v>154106</v>
      </c>
      <c r="P71" s="107"/>
      <c r="Q71" s="107">
        <v>8107</v>
      </c>
      <c r="S71" s="108">
        <v>2.41</v>
      </c>
      <c r="U71" s="109">
        <v>19</v>
      </c>
      <c r="V71" s="100"/>
    </row>
    <row r="72" spans="1:22" s="97" customFormat="1" x14ac:dyDescent="0.2">
      <c r="A72" s="92"/>
      <c r="B72" s="93"/>
      <c r="C72" s="101" t="s">
        <v>307</v>
      </c>
      <c r="D72" s="93"/>
      <c r="E72" s="102">
        <v>52778</v>
      </c>
      <c r="F72" s="93"/>
      <c r="G72" s="103" t="s">
        <v>394</v>
      </c>
      <c r="H72" s="103" t="s">
        <v>193</v>
      </c>
      <c r="I72" s="104">
        <v>0</v>
      </c>
      <c r="J72" s="93"/>
      <c r="K72" s="105">
        <v>6163</v>
      </c>
      <c r="L72" s="106"/>
      <c r="M72" s="107">
        <v>5131.42</v>
      </c>
      <c r="N72" s="107"/>
      <c r="O72" s="107">
        <v>1032</v>
      </c>
      <c r="P72" s="107"/>
      <c r="Q72" s="107">
        <v>50</v>
      </c>
      <c r="S72" s="108">
        <v>0.81</v>
      </c>
      <c r="U72" s="109">
        <v>20.6</v>
      </c>
      <c r="V72" s="100"/>
    </row>
    <row r="73" spans="1:22" s="97" customFormat="1" x14ac:dyDescent="0.2">
      <c r="A73" s="92"/>
      <c r="B73" s="93"/>
      <c r="C73" s="101" t="s">
        <v>306</v>
      </c>
      <c r="D73" s="93"/>
      <c r="E73" s="102">
        <v>53143</v>
      </c>
      <c r="F73" s="93"/>
      <c r="G73" s="103" t="s">
        <v>394</v>
      </c>
      <c r="H73" s="103" t="s">
        <v>193</v>
      </c>
      <c r="I73" s="104">
        <v>0</v>
      </c>
      <c r="J73" s="93"/>
      <c r="K73" s="105">
        <v>163675.98000000001</v>
      </c>
      <c r="L73" s="106"/>
      <c r="M73" s="107">
        <v>59592.06</v>
      </c>
      <c r="N73" s="107"/>
      <c r="O73" s="107">
        <v>104084</v>
      </c>
      <c r="P73" s="107"/>
      <c r="Q73" s="107">
        <v>4780</v>
      </c>
      <c r="S73" s="108">
        <v>2.92</v>
      </c>
      <c r="U73" s="109">
        <v>21.8</v>
      </c>
      <c r="V73" s="100"/>
    </row>
    <row r="74" spans="1:22" s="97" customFormat="1" x14ac:dyDescent="0.2">
      <c r="A74" s="92"/>
      <c r="B74" s="93"/>
      <c r="C74" s="101" t="s">
        <v>305</v>
      </c>
      <c r="D74" s="93"/>
      <c r="E74" s="102">
        <v>48760</v>
      </c>
      <c r="F74" s="93"/>
      <c r="G74" s="103" t="s">
        <v>394</v>
      </c>
      <c r="H74" s="103" t="s">
        <v>193</v>
      </c>
      <c r="I74" s="104">
        <v>0</v>
      </c>
      <c r="J74" s="93"/>
      <c r="K74" s="105">
        <v>182443.03</v>
      </c>
      <c r="L74" s="106"/>
      <c r="M74" s="107">
        <v>104350.19</v>
      </c>
      <c r="N74" s="107"/>
      <c r="O74" s="107">
        <v>78093</v>
      </c>
      <c r="P74" s="107"/>
      <c r="Q74" s="107">
        <v>6736</v>
      </c>
      <c r="S74" s="108">
        <v>3.69</v>
      </c>
      <c r="U74" s="109">
        <v>11.6</v>
      </c>
      <c r="V74" s="100"/>
    </row>
    <row r="75" spans="1:22" s="97" customFormat="1" x14ac:dyDescent="0.2">
      <c r="A75" s="92"/>
      <c r="B75" s="93"/>
      <c r="C75" s="101" t="s">
        <v>300</v>
      </c>
      <c r="D75" s="93"/>
      <c r="E75" s="102">
        <v>49125</v>
      </c>
      <c r="F75" s="93"/>
      <c r="G75" s="103" t="s">
        <v>394</v>
      </c>
      <c r="H75" s="103" t="s">
        <v>193</v>
      </c>
      <c r="I75" s="104">
        <v>0</v>
      </c>
      <c r="J75" s="93"/>
      <c r="K75" s="110">
        <v>62866</v>
      </c>
      <c r="L75" s="106"/>
      <c r="M75" s="111">
        <v>48318.18</v>
      </c>
      <c r="N75" s="107"/>
      <c r="O75" s="111">
        <v>14548</v>
      </c>
      <c r="P75" s="107"/>
      <c r="Q75" s="111">
        <v>1164</v>
      </c>
      <c r="S75" s="108">
        <v>1.85</v>
      </c>
      <c r="U75" s="109">
        <v>12.5</v>
      </c>
      <c r="V75" s="100"/>
    </row>
    <row r="76" spans="1:22" s="97" customFormat="1" x14ac:dyDescent="0.2">
      <c r="A76" s="92"/>
      <c r="B76" s="93"/>
      <c r="C76" s="101"/>
      <c r="D76" s="93"/>
      <c r="E76" s="94"/>
      <c r="F76" s="93"/>
      <c r="G76" s="103"/>
      <c r="H76" s="103"/>
      <c r="I76" s="104"/>
      <c r="J76" s="93"/>
      <c r="K76" s="105"/>
      <c r="L76" s="106"/>
      <c r="M76" s="107"/>
      <c r="N76" s="107"/>
      <c r="O76" s="107"/>
      <c r="P76" s="107"/>
      <c r="Q76" s="107"/>
      <c r="S76" s="108"/>
      <c r="U76" s="109"/>
      <c r="V76" s="100"/>
    </row>
    <row r="77" spans="1:22" s="97" customFormat="1" x14ac:dyDescent="0.2">
      <c r="A77" s="92"/>
      <c r="B77" s="93"/>
      <c r="C77" s="101" t="s">
        <v>314</v>
      </c>
      <c r="D77" s="93"/>
      <c r="E77" s="94"/>
      <c r="F77" s="93"/>
      <c r="G77" s="103"/>
      <c r="H77" s="103"/>
      <c r="I77" s="104"/>
      <c r="J77" s="93"/>
      <c r="K77" s="110">
        <f>+SUBTOTAL(9,K68:K75)</f>
        <v>7590055.1200000001</v>
      </c>
      <c r="L77" s="106"/>
      <c r="M77" s="111">
        <f>+SUBTOTAL(9,M68:M75)</f>
        <v>5499897.1499999985</v>
      </c>
      <c r="N77" s="107"/>
      <c r="O77" s="111">
        <f>+SUBTOTAL(9,O68:O75)</f>
        <v>2090159</v>
      </c>
      <c r="P77" s="107"/>
      <c r="Q77" s="111">
        <f>+SUBTOTAL(9,Q68:Q75)</f>
        <v>417584</v>
      </c>
      <c r="S77" s="108">
        <f>Q77/K77*100</f>
        <v>5.5017255263358349</v>
      </c>
      <c r="U77" s="109"/>
      <c r="V77" s="100"/>
    </row>
    <row r="78" spans="1:22" s="97" customFormat="1" x14ac:dyDescent="0.2">
      <c r="A78" s="92"/>
      <c r="B78" s="112"/>
      <c r="C78" s="101"/>
      <c r="D78" s="113"/>
      <c r="E78" s="94"/>
      <c r="F78" s="113"/>
      <c r="G78" s="103"/>
      <c r="H78" s="103"/>
      <c r="I78" s="104"/>
      <c r="J78" s="113"/>
      <c r="K78" s="105"/>
      <c r="L78" s="106"/>
      <c r="M78" s="107"/>
      <c r="N78" s="107"/>
      <c r="O78" s="107"/>
      <c r="P78" s="107"/>
      <c r="Q78" s="107"/>
      <c r="R78" s="100"/>
      <c r="S78" s="108"/>
      <c r="T78" s="100"/>
      <c r="U78" s="109"/>
      <c r="V78" s="100"/>
    </row>
    <row r="79" spans="1:22" ht="15.75" x14ac:dyDescent="0.25">
      <c r="A79" s="89"/>
      <c r="C79" s="84" t="s">
        <v>393</v>
      </c>
      <c r="G79" s="114"/>
      <c r="H79" s="114"/>
      <c r="I79" s="115"/>
      <c r="K79" s="58">
        <f>SUBTOTAL(9,K17:K77)</f>
        <v>999531475.99999976</v>
      </c>
      <c r="L79" s="116"/>
      <c r="M79" s="63">
        <f>SUBTOTAL(9,M17:M77)</f>
        <v>725668274.08999979</v>
      </c>
      <c r="N79" s="117"/>
      <c r="O79" s="63">
        <f>SUBTOTAL(9,O17:O77)</f>
        <v>295927133</v>
      </c>
      <c r="P79" s="117"/>
      <c r="Q79" s="63">
        <f>SUBTOTAL(9,Q17:Q77)</f>
        <v>42169300</v>
      </c>
      <c r="S79" s="118">
        <f>ROUND(Q79/K79*100,2)</f>
        <v>4.22</v>
      </c>
      <c r="U79" s="91"/>
      <c r="V79" s="65"/>
    </row>
    <row r="80" spans="1:22" s="97" customFormat="1" x14ac:dyDescent="0.2">
      <c r="A80" s="119"/>
      <c r="C80" s="120"/>
      <c r="E80" s="75"/>
      <c r="G80" s="114"/>
      <c r="H80" s="114"/>
      <c r="I80" s="115"/>
      <c r="K80" s="121"/>
      <c r="M80" s="122"/>
      <c r="N80" s="122"/>
      <c r="O80" s="122"/>
      <c r="P80" s="122"/>
      <c r="Q80" s="122"/>
      <c r="S80" s="108"/>
      <c r="U80" s="109"/>
      <c r="V80" s="100"/>
    </row>
    <row r="81" spans="1:22" s="97" customFormat="1" ht="15.75" x14ac:dyDescent="0.25">
      <c r="A81" s="119"/>
      <c r="C81" s="123" t="s">
        <v>392</v>
      </c>
      <c r="E81" s="75"/>
      <c r="G81" s="114"/>
      <c r="H81" s="114"/>
      <c r="I81" s="115"/>
      <c r="K81" s="121"/>
      <c r="M81" s="122"/>
      <c r="N81" s="122"/>
      <c r="O81" s="122"/>
      <c r="P81" s="122"/>
      <c r="Q81" s="122"/>
      <c r="S81" s="108"/>
      <c r="U81" s="109"/>
      <c r="V81" s="100"/>
    </row>
    <row r="82" spans="1:22" s="97" customFormat="1" x14ac:dyDescent="0.2">
      <c r="A82" s="119"/>
      <c r="C82" s="120"/>
      <c r="E82" s="75"/>
      <c r="G82" s="114"/>
      <c r="H82" s="114"/>
      <c r="I82" s="115"/>
      <c r="K82" s="121"/>
      <c r="M82" s="122"/>
      <c r="N82" s="122"/>
      <c r="O82" s="122"/>
      <c r="P82" s="122"/>
      <c r="Q82" s="122"/>
      <c r="S82" s="108"/>
      <c r="U82" s="109"/>
      <c r="V82" s="100"/>
    </row>
    <row r="83" spans="1:22" s="97" customFormat="1" x14ac:dyDescent="0.2">
      <c r="A83" s="119">
        <v>330.1</v>
      </c>
      <c r="C83" s="120" t="s">
        <v>252</v>
      </c>
      <c r="E83" s="102">
        <v>54604</v>
      </c>
      <c r="G83" s="103" t="s">
        <v>356</v>
      </c>
      <c r="H83" s="103" t="s">
        <v>193</v>
      </c>
      <c r="I83" s="104">
        <v>0</v>
      </c>
      <c r="J83" s="93"/>
      <c r="K83" s="105">
        <v>32898.730000000003</v>
      </c>
      <c r="L83" s="106"/>
      <c r="M83" s="107">
        <v>14687</v>
      </c>
      <c r="N83" s="107"/>
      <c r="O83" s="107">
        <v>18212</v>
      </c>
      <c r="P83" s="107"/>
      <c r="Q83" s="107">
        <v>650</v>
      </c>
      <c r="S83" s="108">
        <v>1.98</v>
      </c>
      <c r="U83" s="109">
        <v>28</v>
      </c>
      <c r="V83" s="100"/>
    </row>
    <row r="84" spans="1:22" s="97" customFormat="1" x14ac:dyDescent="0.2">
      <c r="A84" s="119"/>
      <c r="C84" s="120"/>
      <c r="E84" s="102"/>
      <c r="G84" s="103"/>
      <c r="H84" s="103"/>
      <c r="I84" s="104"/>
      <c r="J84" s="93"/>
      <c r="K84" s="105"/>
      <c r="L84" s="106"/>
      <c r="M84" s="107"/>
      <c r="N84" s="107"/>
      <c r="O84" s="107"/>
      <c r="P84" s="107"/>
      <c r="Q84" s="107"/>
      <c r="S84" s="108"/>
      <c r="U84" s="109"/>
      <c r="V84" s="100"/>
    </row>
    <row r="85" spans="1:22" s="97" customFormat="1" x14ac:dyDescent="0.2">
      <c r="A85" s="119">
        <v>331</v>
      </c>
      <c r="C85" s="120" t="s">
        <v>355</v>
      </c>
      <c r="E85" s="75"/>
      <c r="G85" s="114"/>
      <c r="H85" s="114"/>
      <c r="I85" s="115"/>
      <c r="K85" s="121"/>
      <c r="M85" s="122"/>
      <c r="N85" s="122"/>
      <c r="O85" s="122"/>
      <c r="P85" s="122"/>
      <c r="Q85" s="122"/>
      <c r="S85" s="108"/>
      <c r="U85" s="109"/>
      <c r="V85" s="100"/>
    </row>
    <row r="86" spans="1:22" s="97" customFormat="1" x14ac:dyDescent="0.2">
      <c r="A86" s="119"/>
      <c r="C86" s="120" t="s">
        <v>391</v>
      </c>
      <c r="E86" s="102">
        <v>58014</v>
      </c>
      <c r="G86" s="103" t="s">
        <v>387</v>
      </c>
      <c r="H86" s="103" t="s">
        <v>193</v>
      </c>
      <c r="I86" s="104">
        <v>-4</v>
      </c>
      <c r="J86" s="93"/>
      <c r="K86" s="105">
        <v>35883750.280000001</v>
      </c>
      <c r="L86" s="106"/>
      <c r="M86" s="107">
        <v>9978799.0199999996</v>
      </c>
      <c r="N86" s="107"/>
      <c r="O86" s="107">
        <v>27340301</v>
      </c>
      <c r="P86" s="107"/>
      <c r="Q86" s="107">
        <v>774710</v>
      </c>
      <c r="S86" s="108">
        <v>2.16</v>
      </c>
      <c r="U86" s="109">
        <v>35.299999999999997</v>
      </c>
      <c r="V86" s="100"/>
    </row>
    <row r="87" spans="1:22" s="97" customFormat="1" x14ac:dyDescent="0.2">
      <c r="A87" s="119"/>
      <c r="C87" s="120" t="s">
        <v>390</v>
      </c>
      <c r="E87" s="102">
        <v>58014</v>
      </c>
      <c r="G87" s="103" t="s">
        <v>387</v>
      </c>
      <c r="H87" s="103" t="s">
        <v>193</v>
      </c>
      <c r="I87" s="104">
        <v>-6</v>
      </c>
      <c r="J87" s="93"/>
      <c r="K87" s="105">
        <v>16276752.119999999</v>
      </c>
      <c r="L87" s="106"/>
      <c r="M87" s="107">
        <v>7583233.0199999996</v>
      </c>
      <c r="N87" s="107"/>
      <c r="O87" s="107">
        <v>9670124</v>
      </c>
      <c r="P87" s="107"/>
      <c r="Q87" s="107">
        <v>276704</v>
      </c>
      <c r="S87" s="108">
        <v>1.7</v>
      </c>
      <c r="U87" s="109">
        <v>34.9</v>
      </c>
      <c r="V87" s="100"/>
    </row>
    <row r="88" spans="1:22" s="97" customFormat="1" x14ac:dyDescent="0.2">
      <c r="A88" s="119"/>
      <c r="C88" s="120" t="s">
        <v>389</v>
      </c>
      <c r="E88" s="102">
        <v>52778</v>
      </c>
      <c r="G88" s="103" t="s">
        <v>387</v>
      </c>
      <c r="H88" s="103" t="s">
        <v>193</v>
      </c>
      <c r="I88" s="104">
        <v>-1</v>
      </c>
      <c r="J88" s="93"/>
      <c r="K88" s="105">
        <v>61281757.590000004</v>
      </c>
      <c r="L88" s="106"/>
      <c r="M88" s="107">
        <v>14911916.98</v>
      </c>
      <c r="N88" s="107"/>
      <c r="O88" s="107">
        <v>46982658</v>
      </c>
      <c r="P88" s="107"/>
      <c r="Q88" s="107">
        <v>2099888</v>
      </c>
      <c r="S88" s="108">
        <v>3.43</v>
      </c>
      <c r="U88" s="109">
        <v>22.4</v>
      </c>
      <c r="V88" s="100"/>
    </row>
    <row r="89" spans="1:22" s="97" customFormat="1" x14ac:dyDescent="0.2">
      <c r="A89" s="119"/>
      <c r="C89" s="120" t="s">
        <v>388</v>
      </c>
      <c r="E89" s="102">
        <v>52778</v>
      </c>
      <c r="G89" s="103" t="s">
        <v>387</v>
      </c>
      <c r="H89" s="103" t="s">
        <v>193</v>
      </c>
      <c r="I89" s="104">
        <v>-2</v>
      </c>
      <c r="J89" s="93"/>
      <c r="K89" s="110">
        <v>54932201.539999999</v>
      </c>
      <c r="L89" s="106"/>
      <c r="M89" s="111">
        <v>14547691.689999999</v>
      </c>
      <c r="N89" s="107"/>
      <c r="O89" s="111">
        <v>41483154</v>
      </c>
      <c r="P89" s="107"/>
      <c r="Q89" s="111">
        <v>1851099</v>
      </c>
      <c r="S89" s="108">
        <v>3.37</v>
      </c>
      <c r="U89" s="109">
        <v>22.4</v>
      </c>
      <c r="V89" s="100"/>
    </row>
    <row r="90" spans="1:22" s="97" customFormat="1" x14ac:dyDescent="0.2">
      <c r="A90" s="119"/>
      <c r="C90" s="120"/>
      <c r="E90" s="75"/>
      <c r="G90" s="114"/>
      <c r="H90" s="114"/>
      <c r="I90" s="115"/>
      <c r="K90" s="121"/>
      <c r="M90" s="122"/>
      <c r="N90" s="122"/>
      <c r="O90" s="122"/>
      <c r="P90" s="122"/>
      <c r="Q90" s="122"/>
      <c r="S90" s="108"/>
      <c r="U90" s="109"/>
      <c r="V90" s="100"/>
    </row>
    <row r="91" spans="1:22" s="97" customFormat="1" x14ac:dyDescent="0.2">
      <c r="A91" s="119"/>
      <c r="C91" s="120" t="s">
        <v>220</v>
      </c>
      <c r="E91" s="75"/>
      <c r="G91" s="114"/>
      <c r="H91" s="114"/>
      <c r="I91" s="115"/>
      <c r="K91" s="105">
        <f>+SUBTOTAL(9,K86:K89)</f>
        <v>168374461.53</v>
      </c>
      <c r="M91" s="107">
        <f>+SUBTOTAL(9,M86:M89)</f>
        <v>47021640.710000001</v>
      </c>
      <c r="N91" s="122"/>
      <c r="O91" s="107">
        <f>+SUBTOTAL(9,O86:O89)</f>
        <v>125476237</v>
      </c>
      <c r="P91" s="122"/>
      <c r="Q91" s="107">
        <f>+SUBTOTAL(9,Q86:Q89)</f>
        <v>5002401</v>
      </c>
      <c r="S91" s="108">
        <f>Q91/K91*100</f>
        <v>2.9709974746429708</v>
      </c>
      <c r="U91" s="109"/>
      <c r="V91" s="100"/>
    </row>
    <row r="92" spans="1:22" s="97" customFormat="1" x14ac:dyDescent="0.2">
      <c r="A92" s="119"/>
      <c r="C92" s="120"/>
      <c r="E92" s="75"/>
      <c r="G92" s="114"/>
      <c r="H92" s="114"/>
      <c r="I92" s="115"/>
      <c r="K92" s="121"/>
      <c r="M92" s="122"/>
      <c r="N92" s="122"/>
      <c r="O92" s="122"/>
      <c r="P92" s="122"/>
      <c r="Q92" s="122"/>
      <c r="S92" s="108"/>
      <c r="U92" s="109"/>
      <c r="V92" s="100"/>
    </row>
    <row r="93" spans="1:22" s="97" customFormat="1" x14ac:dyDescent="0.2">
      <c r="A93" s="119">
        <v>332</v>
      </c>
      <c r="C93" s="120" t="s">
        <v>386</v>
      </c>
      <c r="E93" s="75"/>
      <c r="G93" s="114"/>
      <c r="H93" s="114"/>
      <c r="I93" s="115"/>
      <c r="K93" s="121"/>
      <c r="M93" s="122"/>
      <c r="N93" s="122"/>
      <c r="O93" s="122"/>
      <c r="P93" s="122"/>
      <c r="Q93" s="122"/>
      <c r="S93" s="108"/>
      <c r="U93" s="109"/>
      <c r="V93" s="100"/>
    </row>
    <row r="94" spans="1:22" s="97" customFormat="1" x14ac:dyDescent="0.2">
      <c r="A94" s="119"/>
      <c r="C94" s="120" t="s">
        <v>364</v>
      </c>
      <c r="E94" s="102">
        <v>58014</v>
      </c>
      <c r="G94" s="103" t="s">
        <v>382</v>
      </c>
      <c r="H94" s="103" t="s">
        <v>193</v>
      </c>
      <c r="I94" s="104">
        <v>-9</v>
      </c>
      <c r="J94" s="93"/>
      <c r="K94" s="105">
        <v>122778022.09999999</v>
      </c>
      <c r="L94" s="106"/>
      <c r="M94" s="107">
        <v>34019934.859999999</v>
      </c>
      <c r="N94" s="107"/>
      <c r="O94" s="107">
        <v>99808109</v>
      </c>
      <c r="P94" s="107"/>
      <c r="Q94" s="107">
        <v>2858468</v>
      </c>
      <c r="S94" s="108">
        <v>2.33</v>
      </c>
      <c r="U94" s="109">
        <v>34.9</v>
      </c>
      <c r="V94" s="100"/>
    </row>
    <row r="95" spans="1:22" s="97" customFormat="1" x14ac:dyDescent="0.2">
      <c r="A95" s="119"/>
      <c r="C95" s="120" t="s">
        <v>385</v>
      </c>
      <c r="E95" s="102">
        <v>58014</v>
      </c>
      <c r="G95" s="103" t="s">
        <v>382</v>
      </c>
      <c r="H95" s="103" t="s">
        <v>193</v>
      </c>
      <c r="I95" s="104">
        <v>-11</v>
      </c>
      <c r="J95" s="93"/>
      <c r="K95" s="105">
        <v>123036933.84</v>
      </c>
      <c r="L95" s="106"/>
      <c r="M95" s="107">
        <v>66698894.25</v>
      </c>
      <c r="N95" s="107"/>
      <c r="O95" s="107">
        <v>69872102</v>
      </c>
      <c r="P95" s="107"/>
      <c r="Q95" s="107">
        <v>2020290</v>
      </c>
      <c r="S95" s="108">
        <v>1.64</v>
      </c>
      <c r="U95" s="109">
        <v>34.6</v>
      </c>
      <c r="V95" s="100"/>
    </row>
    <row r="96" spans="1:22" s="97" customFormat="1" x14ac:dyDescent="0.2">
      <c r="A96" s="119"/>
      <c r="C96" s="120" t="s">
        <v>384</v>
      </c>
      <c r="E96" s="102">
        <v>52778</v>
      </c>
      <c r="G96" s="103" t="s">
        <v>382</v>
      </c>
      <c r="H96" s="103" t="s">
        <v>193</v>
      </c>
      <c r="I96" s="104">
        <v>-3</v>
      </c>
      <c r="J96" s="93"/>
      <c r="K96" s="105">
        <v>54366878.960000001</v>
      </c>
      <c r="L96" s="106"/>
      <c r="M96" s="107">
        <v>13694157.609999999</v>
      </c>
      <c r="N96" s="107"/>
      <c r="O96" s="107">
        <v>42303728</v>
      </c>
      <c r="P96" s="107"/>
      <c r="Q96" s="107">
        <v>1899075</v>
      </c>
      <c r="S96" s="108">
        <v>3.49</v>
      </c>
      <c r="U96" s="109">
        <v>22.3</v>
      </c>
      <c r="V96" s="100"/>
    </row>
    <row r="97" spans="1:22" s="97" customFormat="1" x14ac:dyDescent="0.2">
      <c r="A97" s="119"/>
      <c r="C97" s="120" t="s">
        <v>383</v>
      </c>
      <c r="E97" s="102">
        <v>52778</v>
      </c>
      <c r="G97" s="103" t="s">
        <v>382</v>
      </c>
      <c r="H97" s="103" t="s">
        <v>193</v>
      </c>
      <c r="I97" s="104">
        <v>-3</v>
      </c>
      <c r="J97" s="93"/>
      <c r="K97" s="110">
        <v>61366323.549999997</v>
      </c>
      <c r="L97" s="106"/>
      <c r="M97" s="111">
        <v>14721020.32</v>
      </c>
      <c r="N97" s="107"/>
      <c r="O97" s="111">
        <v>48486293</v>
      </c>
      <c r="P97" s="107"/>
      <c r="Q97" s="111">
        <v>2177083</v>
      </c>
      <c r="S97" s="108">
        <v>3.55</v>
      </c>
      <c r="U97" s="109">
        <v>22.3</v>
      </c>
      <c r="V97" s="100"/>
    </row>
    <row r="98" spans="1:22" s="97" customFormat="1" x14ac:dyDescent="0.2">
      <c r="A98" s="119"/>
      <c r="C98" s="120"/>
      <c r="E98" s="75"/>
      <c r="G98" s="114"/>
      <c r="H98" s="114"/>
      <c r="I98" s="115"/>
      <c r="K98" s="121"/>
      <c r="M98" s="122"/>
      <c r="N98" s="122"/>
      <c r="O98" s="122"/>
      <c r="P98" s="122"/>
      <c r="Q98" s="122"/>
      <c r="S98" s="108"/>
      <c r="U98" s="109"/>
      <c r="V98" s="100"/>
    </row>
    <row r="99" spans="1:22" s="97" customFormat="1" x14ac:dyDescent="0.2">
      <c r="A99" s="119"/>
      <c r="C99" s="120" t="s">
        <v>381</v>
      </c>
      <c r="E99" s="75"/>
      <c r="G99" s="114"/>
      <c r="H99" s="114"/>
      <c r="I99" s="115"/>
      <c r="K99" s="105">
        <f>+SUBTOTAL(9,K94:K97)</f>
        <v>361548158.44999999</v>
      </c>
      <c r="M99" s="107">
        <f>+SUBTOTAL(9,M94:M97)</f>
        <v>129134007.03999999</v>
      </c>
      <c r="N99" s="122"/>
      <c r="O99" s="107">
        <f>+SUBTOTAL(9,O94:O97)</f>
        <v>260470232</v>
      </c>
      <c r="P99" s="122"/>
      <c r="Q99" s="107">
        <f>+SUBTOTAL(9,Q94:Q97)</f>
        <v>8954916</v>
      </c>
      <c r="S99" s="108">
        <f>Q99/K99*100</f>
        <v>2.4768252280389951</v>
      </c>
      <c r="U99" s="109"/>
      <c r="V99" s="100"/>
    </row>
    <row r="100" spans="1:22" s="97" customFormat="1" x14ac:dyDescent="0.2">
      <c r="A100" s="119"/>
      <c r="C100" s="120"/>
      <c r="E100" s="75"/>
      <c r="G100" s="114"/>
      <c r="H100" s="114"/>
      <c r="I100" s="115"/>
      <c r="K100" s="121"/>
      <c r="M100" s="122"/>
      <c r="N100" s="122"/>
      <c r="O100" s="122"/>
      <c r="P100" s="122"/>
      <c r="Q100" s="122"/>
      <c r="S100" s="108"/>
      <c r="U100" s="109"/>
      <c r="V100" s="100"/>
    </row>
    <row r="101" spans="1:22" s="97" customFormat="1" x14ac:dyDescent="0.2">
      <c r="A101" s="119">
        <v>333</v>
      </c>
      <c r="C101" s="120" t="s">
        <v>380</v>
      </c>
      <c r="E101" s="75"/>
      <c r="G101" s="114"/>
      <c r="H101" s="114"/>
      <c r="I101" s="115"/>
      <c r="K101" s="121"/>
      <c r="M101" s="122"/>
      <c r="N101" s="122"/>
      <c r="O101" s="122"/>
      <c r="P101" s="122"/>
      <c r="Q101" s="122"/>
      <c r="S101" s="108"/>
      <c r="U101" s="109"/>
      <c r="V101" s="100"/>
    </row>
    <row r="102" spans="1:22" s="97" customFormat="1" x14ac:dyDescent="0.2">
      <c r="A102" s="119"/>
      <c r="C102" s="120" t="s">
        <v>372</v>
      </c>
      <c r="E102" s="102">
        <v>58014</v>
      </c>
      <c r="G102" s="103" t="s">
        <v>379</v>
      </c>
      <c r="H102" s="103" t="s">
        <v>193</v>
      </c>
      <c r="I102" s="104">
        <v>-5</v>
      </c>
      <c r="J102" s="93"/>
      <c r="K102" s="105">
        <v>42630437.979999997</v>
      </c>
      <c r="L102" s="106"/>
      <c r="M102" s="107">
        <v>10070815.279999999</v>
      </c>
      <c r="N102" s="107"/>
      <c r="O102" s="107">
        <v>34691145</v>
      </c>
      <c r="P102" s="107"/>
      <c r="Q102" s="107">
        <v>1001223</v>
      </c>
      <c r="S102" s="108">
        <v>2.35</v>
      </c>
      <c r="U102" s="109">
        <v>34.6</v>
      </c>
      <c r="V102" s="100"/>
    </row>
    <row r="103" spans="1:22" s="97" customFormat="1" x14ac:dyDescent="0.2">
      <c r="A103" s="119"/>
      <c r="C103" s="120" t="s">
        <v>363</v>
      </c>
      <c r="E103" s="102">
        <v>58014</v>
      </c>
      <c r="G103" s="103" t="s">
        <v>379</v>
      </c>
      <c r="H103" s="103" t="s">
        <v>193</v>
      </c>
      <c r="I103" s="104">
        <v>-8</v>
      </c>
      <c r="J103" s="93"/>
      <c r="K103" s="105">
        <v>13128270.76</v>
      </c>
      <c r="L103" s="106"/>
      <c r="M103" s="107">
        <v>9672664.0700000003</v>
      </c>
      <c r="N103" s="107"/>
      <c r="O103" s="107">
        <v>4505868</v>
      </c>
      <c r="P103" s="107"/>
      <c r="Q103" s="107">
        <v>127764</v>
      </c>
      <c r="S103" s="108">
        <v>0.97</v>
      </c>
      <c r="U103" s="109">
        <v>35.299999999999997</v>
      </c>
      <c r="V103" s="100"/>
    </row>
    <row r="104" spans="1:22" s="97" customFormat="1" x14ac:dyDescent="0.2">
      <c r="A104" s="119"/>
      <c r="C104" s="120" t="s">
        <v>371</v>
      </c>
      <c r="E104" s="102">
        <v>52778</v>
      </c>
      <c r="G104" s="103" t="s">
        <v>378</v>
      </c>
      <c r="H104" s="103" t="s">
        <v>193</v>
      </c>
      <c r="I104" s="104">
        <v>-2</v>
      </c>
      <c r="J104" s="93"/>
      <c r="K104" s="105">
        <v>38815523.090000004</v>
      </c>
      <c r="L104" s="106"/>
      <c r="M104" s="107">
        <v>8330572.6200000001</v>
      </c>
      <c r="N104" s="107"/>
      <c r="O104" s="107">
        <v>31261261</v>
      </c>
      <c r="P104" s="107"/>
      <c r="Q104" s="107">
        <v>1400315</v>
      </c>
      <c r="S104" s="108">
        <v>3.61</v>
      </c>
      <c r="U104" s="109">
        <v>22.3</v>
      </c>
      <c r="V104" s="100"/>
    </row>
    <row r="105" spans="1:22" s="97" customFormat="1" x14ac:dyDescent="0.2">
      <c r="A105" s="119"/>
      <c r="C105" s="120" t="s">
        <v>361</v>
      </c>
      <c r="E105" s="102">
        <v>52778</v>
      </c>
      <c r="G105" s="103" t="s">
        <v>378</v>
      </c>
      <c r="H105" s="103" t="s">
        <v>193</v>
      </c>
      <c r="I105" s="104">
        <v>-2</v>
      </c>
      <c r="J105" s="93"/>
      <c r="K105" s="110">
        <v>35271582.530000001</v>
      </c>
      <c r="L105" s="106"/>
      <c r="M105" s="111">
        <v>7214498.3899999997</v>
      </c>
      <c r="N105" s="107"/>
      <c r="O105" s="111">
        <v>28762516</v>
      </c>
      <c r="P105" s="107"/>
      <c r="Q105" s="111">
        <v>1296216</v>
      </c>
      <c r="S105" s="108">
        <v>3.67</v>
      </c>
      <c r="U105" s="109">
        <v>22.2</v>
      </c>
      <c r="V105" s="100"/>
    </row>
    <row r="106" spans="1:22" s="97" customFormat="1" x14ac:dyDescent="0.2">
      <c r="A106" s="119"/>
      <c r="C106" s="120"/>
      <c r="E106" s="75"/>
      <c r="G106" s="114"/>
      <c r="H106" s="114"/>
      <c r="I106" s="115"/>
      <c r="K106" s="121"/>
      <c r="M106" s="122"/>
      <c r="N106" s="122"/>
      <c r="O106" s="122"/>
      <c r="P106" s="122"/>
      <c r="Q106" s="122"/>
      <c r="S106" s="108"/>
      <c r="U106" s="109"/>
      <c r="V106" s="100"/>
    </row>
    <row r="107" spans="1:22" s="97" customFormat="1" x14ac:dyDescent="0.2">
      <c r="A107" s="119"/>
      <c r="C107" s="120" t="s">
        <v>377</v>
      </c>
      <c r="E107" s="75"/>
      <c r="G107" s="114"/>
      <c r="H107" s="114"/>
      <c r="I107" s="115"/>
      <c r="K107" s="105">
        <f>+SUBTOTAL(9,K102:K105)</f>
        <v>129845814.36</v>
      </c>
      <c r="M107" s="107">
        <f>+SUBTOTAL(9,M102:M105)</f>
        <v>35288550.359999999</v>
      </c>
      <c r="N107" s="122"/>
      <c r="O107" s="107">
        <f>+SUBTOTAL(9,O102:O105)</f>
        <v>99220790</v>
      </c>
      <c r="P107" s="122"/>
      <c r="Q107" s="107">
        <f>+SUBTOTAL(9,Q102:Q105)</f>
        <v>3825518</v>
      </c>
      <c r="S107" s="108">
        <f>Q107/K107*100</f>
        <v>2.9462004754297881</v>
      </c>
      <c r="U107" s="109"/>
      <c r="V107" s="100"/>
    </row>
    <row r="108" spans="1:22" s="97" customFormat="1" x14ac:dyDescent="0.2">
      <c r="A108" s="119"/>
      <c r="C108" s="120"/>
      <c r="E108" s="75"/>
      <c r="G108" s="114"/>
      <c r="H108" s="114"/>
      <c r="I108" s="115"/>
      <c r="K108" s="121"/>
      <c r="M108" s="122"/>
      <c r="N108" s="122"/>
      <c r="O108" s="122"/>
      <c r="P108" s="122"/>
      <c r="Q108" s="122"/>
      <c r="S108" s="108"/>
      <c r="U108" s="109"/>
      <c r="V108" s="100"/>
    </row>
    <row r="109" spans="1:22" s="97" customFormat="1" x14ac:dyDescent="0.2">
      <c r="A109" s="119">
        <v>334</v>
      </c>
      <c r="C109" s="120" t="s">
        <v>326</v>
      </c>
      <c r="E109" s="75"/>
      <c r="G109" s="114"/>
      <c r="H109" s="114"/>
      <c r="I109" s="115"/>
      <c r="K109" s="121"/>
      <c r="M109" s="122"/>
      <c r="N109" s="122"/>
      <c r="O109" s="122"/>
      <c r="P109" s="122"/>
      <c r="Q109" s="122"/>
      <c r="S109" s="108"/>
      <c r="U109" s="109"/>
      <c r="V109" s="100"/>
    </row>
    <row r="110" spans="1:22" s="97" customFormat="1" x14ac:dyDescent="0.2">
      <c r="A110" s="119"/>
      <c r="C110" s="120" t="s">
        <v>376</v>
      </c>
      <c r="E110" s="102">
        <v>58014</v>
      </c>
      <c r="G110" s="103" t="s">
        <v>373</v>
      </c>
      <c r="H110" s="103" t="s">
        <v>193</v>
      </c>
      <c r="I110" s="104">
        <v>-3</v>
      </c>
      <c r="J110" s="93"/>
      <c r="K110" s="105">
        <v>15578198.470000001</v>
      </c>
      <c r="L110" s="106"/>
      <c r="M110" s="107">
        <v>4259188</v>
      </c>
      <c r="N110" s="107"/>
      <c r="O110" s="107">
        <v>11786356</v>
      </c>
      <c r="P110" s="107"/>
      <c r="Q110" s="107">
        <v>357521</v>
      </c>
      <c r="S110" s="108">
        <v>2.2999999999999998</v>
      </c>
      <c r="U110" s="109">
        <v>33</v>
      </c>
      <c r="V110" s="100"/>
    </row>
    <row r="111" spans="1:22" s="97" customFormat="1" x14ac:dyDescent="0.2">
      <c r="A111" s="119"/>
      <c r="C111" s="120" t="s">
        <v>363</v>
      </c>
      <c r="E111" s="102">
        <v>58014</v>
      </c>
      <c r="G111" s="103" t="s">
        <v>373</v>
      </c>
      <c r="H111" s="103" t="s">
        <v>193</v>
      </c>
      <c r="I111" s="104">
        <v>-4</v>
      </c>
      <c r="J111" s="93"/>
      <c r="K111" s="105">
        <v>2722091.66</v>
      </c>
      <c r="L111" s="106"/>
      <c r="M111" s="107">
        <v>1496067.55</v>
      </c>
      <c r="N111" s="107"/>
      <c r="O111" s="107">
        <v>1334908</v>
      </c>
      <c r="P111" s="107"/>
      <c r="Q111" s="107">
        <v>41619</v>
      </c>
      <c r="S111" s="108">
        <v>1.53</v>
      </c>
      <c r="U111" s="109">
        <v>32.1</v>
      </c>
      <c r="V111" s="100"/>
    </row>
    <row r="112" spans="1:22" s="97" customFormat="1" x14ac:dyDescent="0.2">
      <c r="A112" s="119"/>
      <c r="C112" s="120" t="s">
        <v>375</v>
      </c>
      <c r="E112" s="102">
        <v>52778</v>
      </c>
      <c r="G112" s="103" t="s">
        <v>373</v>
      </c>
      <c r="H112" s="103" t="s">
        <v>193</v>
      </c>
      <c r="I112" s="104">
        <v>-1</v>
      </c>
      <c r="J112" s="93"/>
      <c r="K112" s="105">
        <v>16462783.439999999</v>
      </c>
      <c r="L112" s="106"/>
      <c r="M112" s="107">
        <v>3879150.85</v>
      </c>
      <c r="N112" s="107"/>
      <c r="O112" s="107">
        <v>12748260</v>
      </c>
      <c r="P112" s="107"/>
      <c r="Q112" s="107">
        <v>583177</v>
      </c>
      <c r="S112" s="108">
        <v>3.54</v>
      </c>
      <c r="U112" s="109">
        <v>21.9</v>
      </c>
      <c r="V112" s="100"/>
    </row>
    <row r="113" spans="1:22" s="97" customFormat="1" x14ac:dyDescent="0.2">
      <c r="A113" s="119"/>
      <c r="C113" s="120" t="s">
        <v>374</v>
      </c>
      <c r="E113" s="102">
        <v>52778</v>
      </c>
      <c r="G113" s="103" t="s">
        <v>373</v>
      </c>
      <c r="H113" s="103" t="s">
        <v>193</v>
      </c>
      <c r="I113" s="104">
        <v>-1</v>
      </c>
      <c r="J113" s="93"/>
      <c r="K113" s="110">
        <v>11127908.5</v>
      </c>
      <c r="L113" s="106"/>
      <c r="M113" s="111">
        <v>2534857.5499999998</v>
      </c>
      <c r="N113" s="107"/>
      <c r="O113" s="111">
        <v>8704330</v>
      </c>
      <c r="P113" s="107"/>
      <c r="Q113" s="111">
        <v>398185</v>
      </c>
      <c r="S113" s="108">
        <v>3.58</v>
      </c>
      <c r="U113" s="109">
        <v>21.9</v>
      </c>
      <c r="V113" s="100"/>
    </row>
    <row r="114" spans="1:22" s="97" customFormat="1" x14ac:dyDescent="0.2">
      <c r="A114" s="119"/>
      <c r="C114" s="120"/>
      <c r="E114" s="75"/>
      <c r="G114" s="114"/>
      <c r="H114" s="114"/>
      <c r="I114" s="115"/>
      <c r="K114" s="121"/>
      <c r="M114" s="122"/>
      <c r="N114" s="122"/>
      <c r="O114" s="122"/>
      <c r="P114" s="122"/>
      <c r="Q114" s="122"/>
      <c r="S114" s="108"/>
      <c r="U114" s="109"/>
      <c r="V114" s="100"/>
    </row>
    <row r="115" spans="1:22" s="97" customFormat="1" x14ac:dyDescent="0.2">
      <c r="A115" s="119"/>
      <c r="C115" s="120" t="s">
        <v>323</v>
      </c>
      <c r="E115" s="75"/>
      <c r="G115" s="114"/>
      <c r="H115" s="114"/>
      <c r="I115" s="115"/>
      <c r="K115" s="105">
        <f>+SUBTOTAL(9,K110:K113)</f>
        <v>45890982.07</v>
      </c>
      <c r="M115" s="107">
        <f>+SUBTOTAL(9,M110:M113)</f>
        <v>12169263.949999999</v>
      </c>
      <c r="N115" s="122"/>
      <c r="O115" s="107">
        <f>+SUBTOTAL(9,O110:O113)</f>
        <v>34573854</v>
      </c>
      <c r="P115" s="122"/>
      <c r="Q115" s="107">
        <f>+SUBTOTAL(9,Q110:Q113)</f>
        <v>1380502</v>
      </c>
      <c r="S115" s="108">
        <f>Q115/K115*100</f>
        <v>3.008220651922954</v>
      </c>
      <c r="U115" s="109"/>
      <c r="V115" s="100"/>
    </row>
    <row r="116" spans="1:22" s="97" customFormat="1" x14ac:dyDescent="0.2">
      <c r="A116" s="119"/>
      <c r="C116" s="120"/>
      <c r="E116" s="75"/>
      <c r="G116" s="114"/>
      <c r="H116" s="114"/>
      <c r="I116" s="115"/>
      <c r="K116" s="121"/>
      <c r="M116" s="122"/>
      <c r="N116" s="122"/>
      <c r="O116" s="122"/>
      <c r="P116" s="122"/>
      <c r="Q116" s="122"/>
      <c r="S116" s="108"/>
      <c r="U116" s="109"/>
      <c r="V116" s="100"/>
    </row>
    <row r="117" spans="1:22" s="97" customFormat="1" x14ac:dyDescent="0.2">
      <c r="A117" s="119">
        <v>335</v>
      </c>
      <c r="C117" s="120" t="s">
        <v>319</v>
      </c>
      <c r="E117" s="75"/>
      <c r="G117" s="114"/>
      <c r="H117" s="114"/>
      <c r="I117" s="115"/>
      <c r="K117" s="121"/>
      <c r="M117" s="122"/>
      <c r="N117" s="122"/>
      <c r="O117" s="122"/>
      <c r="P117" s="122"/>
      <c r="Q117" s="122"/>
      <c r="S117" s="108"/>
      <c r="U117" s="109"/>
      <c r="V117" s="100"/>
    </row>
    <row r="118" spans="1:22" s="97" customFormat="1" x14ac:dyDescent="0.2">
      <c r="A118" s="119"/>
      <c r="C118" s="120" t="s">
        <v>372</v>
      </c>
      <c r="E118" s="102">
        <v>58014</v>
      </c>
      <c r="G118" s="103" t="s">
        <v>370</v>
      </c>
      <c r="H118" s="103" t="s">
        <v>193</v>
      </c>
      <c r="I118" s="104">
        <v>-3</v>
      </c>
      <c r="J118" s="93"/>
      <c r="K118" s="105">
        <v>8012780.46</v>
      </c>
      <c r="L118" s="106"/>
      <c r="M118" s="107">
        <v>2024605.68</v>
      </c>
      <c r="N118" s="107"/>
      <c r="O118" s="107">
        <v>6228558</v>
      </c>
      <c r="P118" s="107"/>
      <c r="Q118" s="107">
        <v>213247</v>
      </c>
      <c r="S118" s="108">
        <v>2.66</v>
      </c>
      <c r="U118" s="109">
        <v>29.2</v>
      </c>
      <c r="V118" s="100"/>
    </row>
    <row r="119" spans="1:22" s="97" customFormat="1" x14ac:dyDescent="0.2">
      <c r="A119" s="119"/>
      <c r="C119" s="120" t="s">
        <v>363</v>
      </c>
      <c r="E119" s="102">
        <v>58014</v>
      </c>
      <c r="G119" s="103" t="s">
        <v>370</v>
      </c>
      <c r="H119" s="103" t="s">
        <v>193</v>
      </c>
      <c r="I119" s="104">
        <v>-4</v>
      </c>
      <c r="J119" s="93"/>
      <c r="K119" s="105">
        <v>2078637</v>
      </c>
      <c r="L119" s="106"/>
      <c r="M119" s="107">
        <v>606486.74</v>
      </c>
      <c r="N119" s="107"/>
      <c r="O119" s="107">
        <v>1555296</v>
      </c>
      <c r="P119" s="107"/>
      <c r="Q119" s="107">
        <v>52285</v>
      </c>
      <c r="S119" s="108">
        <v>2.52</v>
      </c>
      <c r="U119" s="109">
        <v>29.7</v>
      </c>
      <c r="V119" s="100"/>
    </row>
    <row r="120" spans="1:22" s="97" customFormat="1" x14ac:dyDescent="0.2">
      <c r="A120" s="119"/>
      <c r="C120" s="120" t="s">
        <v>371</v>
      </c>
      <c r="E120" s="102">
        <v>52778</v>
      </c>
      <c r="G120" s="103" t="s">
        <v>370</v>
      </c>
      <c r="H120" s="103" t="s">
        <v>193</v>
      </c>
      <c r="I120" s="104">
        <v>-1</v>
      </c>
      <c r="J120" s="93"/>
      <c r="K120" s="105">
        <v>1576196.7</v>
      </c>
      <c r="L120" s="106"/>
      <c r="M120" s="107">
        <v>386557.7</v>
      </c>
      <c r="N120" s="107"/>
      <c r="O120" s="107">
        <v>1205401</v>
      </c>
      <c r="P120" s="107"/>
      <c r="Q120" s="107">
        <v>57329</v>
      </c>
      <c r="S120" s="108">
        <v>3.64</v>
      </c>
      <c r="U120" s="109">
        <v>21</v>
      </c>
      <c r="V120" s="100"/>
    </row>
    <row r="121" spans="1:22" s="97" customFormat="1" x14ac:dyDescent="0.2">
      <c r="A121" s="119"/>
      <c r="C121" s="120" t="s">
        <v>361</v>
      </c>
      <c r="E121" s="102">
        <v>52778</v>
      </c>
      <c r="G121" s="103" t="s">
        <v>370</v>
      </c>
      <c r="H121" s="103" t="s">
        <v>193</v>
      </c>
      <c r="I121" s="104">
        <v>-1</v>
      </c>
      <c r="J121" s="93"/>
      <c r="K121" s="110">
        <v>1602686.22</v>
      </c>
      <c r="L121" s="106"/>
      <c r="M121" s="111">
        <v>436697.27</v>
      </c>
      <c r="N121" s="107"/>
      <c r="O121" s="111">
        <v>1182016</v>
      </c>
      <c r="P121" s="107"/>
      <c r="Q121" s="111">
        <v>56201</v>
      </c>
      <c r="S121" s="108">
        <v>3.51</v>
      </c>
      <c r="U121" s="109">
        <v>21</v>
      </c>
      <c r="V121" s="100"/>
    </row>
    <row r="122" spans="1:22" s="97" customFormat="1" x14ac:dyDescent="0.2">
      <c r="A122" s="119"/>
      <c r="C122" s="120"/>
      <c r="E122" s="75"/>
      <c r="G122" s="114"/>
      <c r="H122" s="114"/>
      <c r="I122" s="115"/>
      <c r="K122" s="121"/>
      <c r="M122" s="122"/>
      <c r="N122" s="122"/>
      <c r="O122" s="122"/>
      <c r="P122" s="122"/>
      <c r="Q122" s="122"/>
      <c r="S122" s="108"/>
      <c r="U122" s="109"/>
      <c r="V122" s="100"/>
    </row>
    <row r="123" spans="1:22" s="97" customFormat="1" x14ac:dyDescent="0.2">
      <c r="A123" s="119"/>
      <c r="C123" s="120" t="s">
        <v>314</v>
      </c>
      <c r="E123" s="75"/>
      <c r="G123" s="114"/>
      <c r="H123" s="114"/>
      <c r="I123" s="115"/>
      <c r="K123" s="105">
        <f>+SUBTOTAL(9,K118:K121)</f>
        <v>13270300.380000001</v>
      </c>
      <c r="M123" s="107">
        <f>+SUBTOTAL(9,M118:M121)</f>
        <v>3454347.39</v>
      </c>
      <c r="N123" s="122"/>
      <c r="O123" s="107">
        <f>+SUBTOTAL(9,O118:O121)</f>
        <v>10171271</v>
      </c>
      <c r="P123" s="122"/>
      <c r="Q123" s="107">
        <f>+SUBTOTAL(9,Q118:Q121)</f>
        <v>379062</v>
      </c>
      <c r="S123" s="108">
        <f>Q123/K123*100</f>
        <v>2.8564688751981362</v>
      </c>
      <c r="U123" s="109"/>
      <c r="V123" s="100"/>
    </row>
    <row r="124" spans="1:22" s="97" customFormat="1" x14ac:dyDescent="0.2">
      <c r="A124" s="119"/>
      <c r="C124" s="120"/>
      <c r="E124" s="75"/>
      <c r="G124" s="114"/>
      <c r="H124" s="114"/>
      <c r="I124" s="115"/>
      <c r="K124" s="121"/>
      <c r="M124" s="122"/>
      <c r="N124" s="122"/>
      <c r="O124" s="122"/>
      <c r="P124" s="122"/>
      <c r="Q124" s="122"/>
      <c r="S124" s="108"/>
      <c r="U124" s="109"/>
      <c r="V124" s="100"/>
    </row>
    <row r="125" spans="1:22" s="97" customFormat="1" x14ac:dyDescent="0.2">
      <c r="A125" s="119">
        <v>335.1</v>
      </c>
      <c r="C125" s="120" t="s">
        <v>310</v>
      </c>
      <c r="E125" s="75"/>
      <c r="G125" s="114"/>
      <c r="H125" s="114"/>
      <c r="I125" s="115"/>
      <c r="K125" s="121"/>
      <c r="M125" s="122"/>
      <c r="N125" s="122"/>
      <c r="O125" s="122"/>
      <c r="P125" s="122"/>
      <c r="Q125" s="122"/>
      <c r="S125" s="108"/>
      <c r="U125" s="109"/>
      <c r="V125" s="100"/>
    </row>
    <row r="126" spans="1:22" s="97" customFormat="1" x14ac:dyDescent="0.2">
      <c r="A126" s="119"/>
      <c r="C126" s="120" t="s">
        <v>369</v>
      </c>
      <c r="E126" s="102">
        <v>58014</v>
      </c>
      <c r="G126" s="103" t="s">
        <v>294</v>
      </c>
      <c r="H126" s="103" t="s">
        <v>193</v>
      </c>
      <c r="I126" s="104">
        <v>0</v>
      </c>
      <c r="J126" s="93"/>
      <c r="K126" s="105">
        <v>1356862.28</v>
      </c>
      <c r="L126" s="106"/>
      <c r="M126" s="107">
        <v>757633.63</v>
      </c>
      <c r="N126" s="107"/>
      <c r="O126" s="107">
        <v>599229</v>
      </c>
      <c r="P126" s="107"/>
      <c r="Q126" s="107">
        <v>43928</v>
      </c>
      <c r="S126" s="108">
        <v>3.24</v>
      </c>
      <c r="U126" s="109">
        <v>13.6</v>
      </c>
      <c r="V126" s="100"/>
    </row>
    <row r="127" spans="1:22" s="97" customFormat="1" x14ac:dyDescent="0.2">
      <c r="A127" s="119"/>
      <c r="C127" s="120" t="s">
        <v>368</v>
      </c>
      <c r="E127" s="102">
        <v>58014</v>
      </c>
      <c r="G127" s="103" t="s">
        <v>294</v>
      </c>
      <c r="H127" s="103" t="s">
        <v>193</v>
      </c>
      <c r="I127" s="104">
        <v>0</v>
      </c>
      <c r="J127" s="93"/>
      <c r="K127" s="105">
        <v>924673.15</v>
      </c>
      <c r="L127" s="106"/>
      <c r="M127" s="107">
        <v>453025.06</v>
      </c>
      <c r="N127" s="107"/>
      <c r="O127" s="107">
        <v>471648</v>
      </c>
      <c r="P127" s="107"/>
      <c r="Q127" s="107">
        <v>32803</v>
      </c>
      <c r="S127" s="108">
        <v>3.55</v>
      </c>
      <c r="U127" s="109">
        <v>14.4</v>
      </c>
      <c r="V127" s="100"/>
    </row>
    <row r="128" spans="1:22" s="97" customFormat="1" x14ac:dyDescent="0.2">
      <c r="A128" s="119"/>
      <c r="C128" s="120" t="s">
        <v>367</v>
      </c>
      <c r="E128" s="102">
        <v>52778</v>
      </c>
      <c r="G128" s="103" t="s">
        <v>294</v>
      </c>
      <c r="H128" s="103" t="s">
        <v>193</v>
      </c>
      <c r="I128" s="104">
        <v>0</v>
      </c>
      <c r="J128" s="93"/>
      <c r="K128" s="105">
        <v>836511.44</v>
      </c>
      <c r="L128" s="106"/>
      <c r="M128" s="107">
        <v>605573.97</v>
      </c>
      <c r="N128" s="107"/>
      <c r="O128" s="107">
        <v>230937</v>
      </c>
      <c r="P128" s="107"/>
      <c r="Q128" s="107">
        <v>16331</v>
      </c>
      <c r="S128" s="108">
        <v>1.95</v>
      </c>
      <c r="U128" s="109">
        <v>14.1</v>
      </c>
      <c r="V128" s="100"/>
    </row>
    <row r="129" spans="1:25" s="97" customFormat="1" x14ac:dyDescent="0.2">
      <c r="A129" s="119"/>
      <c r="C129" s="120" t="s">
        <v>366</v>
      </c>
      <c r="E129" s="102">
        <v>52778</v>
      </c>
      <c r="G129" s="103" t="s">
        <v>294</v>
      </c>
      <c r="H129" s="103" t="s">
        <v>193</v>
      </c>
      <c r="I129" s="104">
        <v>0</v>
      </c>
      <c r="J129" s="93"/>
      <c r="K129" s="110">
        <v>80300.259999999995</v>
      </c>
      <c r="L129" s="106"/>
      <c r="M129" s="111">
        <v>88979.54</v>
      </c>
      <c r="N129" s="107"/>
      <c r="O129" s="111">
        <v>-8679</v>
      </c>
      <c r="P129" s="107"/>
      <c r="Q129" s="111">
        <v>0</v>
      </c>
      <c r="S129" s="124">
        <v>0</v>
      </c>
      <c r="U129" s="125">
        <v>0</v>
      </c>
      <c r="V129" s="100"/>
    </row>
    <row r="130" spans="1:25" s="97" customFormat="1" x14ac:dyDescent="0.2">
      <c r="A130" s="119"/>
      <c r="C130" s="120"/>
      <c r="E130" s="75"/>
      <c r="G130" s="114"/>
      <c r="H130" s="114"/>
      <c r="I130" s="115"/>
      <c r="K130" s="121"/>
      <c r="M130" s="122"/>
      <c r="N130" s="122"/>
      <c r="O130" s="122"/>
      <c r="P130" s="122"/>
      <c r="Q130" s="122"/>
      <c r="S130" s="108"/>
      <c r="U130" s="109"/>
      <c r="V130" s="100"/>
    </row>
    <row r="131" spans="1:25" s="97" customFormat="1" x14ac:dyDescent="0.2">
      <c r="A131" s="119"/>
      <c r="C131" s="120" t="s">
        <v>299</v>
      </c>
      <c r="E131" s="75"/>
      <c r="G131" s="114"/>
      <c r="H131" s="114"/>
      <c r="I131" s="115"/>
      <c r="K131" s="105">
        <f>+SUBTOTAL(9,K126:K129)</f>
        <v>3198347.13</v>
      </c>
      <c r="M131" s="107">
        <f>+SUBTOTAL(9,M126:M129)</f>
        <v>1905212.2</v>
      </c>
      <c r="N131" s="122"/>
      <c r="O131" s="107">
        <f>+SUBTOTAL(9,O126:O129)</f>
        <v>1293135</v>
      </c>
      <c r="P131" s="122"/>
      <c r="Q131" s="107">
        <f>+SUBTOTAL(9,Q126:Q129)</f>
        <v>93062</v>
      </c>
      <c r="S131" s="108">
        <f>Q131/K131*100</f>
        <v>2.9096904187507628</v>
      </c>
      <c r="U131" s="109"/>
      <c r="V131" s="100"/>
    </row>
    <row r="132" spans="1:25" s="97" customFormat="1" x14ac:dyDescent="0.2">
      <c r="A132" s="119"/>
      <c r="C132" s="120"/>
      <c r="E132" s="75"/>
      <c r="G132" s="114"/>
      <c r="H132" s="114"/>
      <c r="I132" s="115"/>
      <c r="K132" s="121"/>
      <c r="M132" s="122"/>
      <c r="N132" s="122"/>
      <c r="O132" s="122"/>
      <c r="P132" s="122"/>
      <c r="Q132" s="122"/>
      <c r="S132" s="108"/>
      <c r="U132" s="109"/>
      <c r="V132" s="100"/>
    </row>
    <row r="133" spans="1:25" s="97" customFormat="1" x14ac:dyDescent="0.2">
      <c r="A133" s="119">
        <v>336</v>
      </c>
      <c r="C133" s="120" t="s">
        <v>365</v>
      </c>
      <c r="E133" s="75"/>
      <c r="G133" s="114"/>
      <c r="H133" s="114"/>
      <c r="I133" s="115"/>
      <c r="K133" s="121"/>
      <c r="M133" s="122"/>
      <c r="N133" s="122"/>
      <c r="O133" s="122"/>
      <c r="P133" s="122"/>
      <c r="Q133" s="122"/>
      <c r="S133" s="108"/>
      <c r="U133" s="109"/>
      <c r="V133" s="100"/>
    </row>
    <row r="134" spans="1:25" s="97" customFormat="1" x14ac:dyDescent="0.2">
      <c r="A134" s="119"/>
      <c r="C134" s="120" t="s">
        <v>364</v>
      </c>
      <c r="E134" s="102">
        <v>58014</v>
      </c>
      <c r="G134" s="103" t="s">
        <v>360</v>
      </c>
      <c r="H134" s="103" t="s">
        <v>193</v>
      </c>
      <c r="I134" s="104">
        <v>-1</v>
      </c>
      <c r="J134" s="93"/>
      <c r="K134" s="105">
        <v>1588315.74</v>
      </c>
      <c r="L134" s="106"/>
      <c r="M134" s="107">
        <v>357769.69</v>
      </c>
      <c r="N134" s="107"/>
      <c r="O134" s="107">
        <v>1246429</v>
      </c>
      <c r="P134" s="107"/>
      <c r="Q134" s="107">
        <v>36384</v>
      </c>
      <c r="S134" s="108">
        <v>2.29</v>
      </c>
      <c r="U134" s="109">
        <v>34.299999999999997</v>
      </c>
      <c r="V134" s="100"/>
    </row>
    <row r="135" spans="1:25" s="97" customFormat="1" x14ac:dyDescent="0.2">
      <c r="A135" s="119"/>
      <c r="C135" s="120" t="s">
        <v>363</v>
      </c>
      <c r="E135" s="102">
        <v>58014</v>
      </c>
      <c r="G135" s="103" t="s">
        <v>360</v>
      </c>
      <c r="H135" s="103" t="s">
        <v>193</v>
      </c>
      <c r="I135" s="104">
        <v>-1</v>
      </c>
      <c r="J135" s="93"/>
      <c r="K135" s="105">
        <v>2648181.67</v>
      </c>
      <c r="L135" s="106"/>
      <c r="M135" s="107">
        <v>482410.96</v>
      </c>
      <c r="N135" s="107"/>
      <c r="O135" s="107">
        <v>2192253</v>
      </c>
      <c r="P135" s="107"/>
      <c r="Q135" s="107">
        <v>67100</v>
      </c>
      <c r="S135" s="108">
        <v>2.5299999999999998</v>
      </c>
      <c r="U135" s="109">
        <v>32.700000000000003</v>
      </c>
      <c r="V135" s="100"/>
    </row>
    <row r="136" spans="1:25" s="97" customFormat="1" x14ac:dyDescent="0.2">
      <c r="A136" s="119"/>
      <c r="C136" s="120" t="s">
        <v>362</v>
      </c>
      <c r="E136" s="102">
        <v>52778</v>
      </c>
      <c r="G136" s="103" t="s">
        <v>360</v>
      </c>
      <c r="H136" s="103" t="s">
        <v>193</v>
      </c>
      <c r="I136" s="104">
        <v>0</v>
      </c>
      <c r="J136" s="93"/>
      <c r="K136" s="105">
        <v>649594.13</v>
      </c>
      <c r="L136" s="106"/>
      <c r="M136" s="107">
        <v>163275.1</v>
      </c>
      <c r="N136" s="107"/>
      <c r="O136" s="107">
        <v>486319</v>
      </c>
      <c r="P136" s="107"/>
      <c r="Q136" s="107">
        <v>21966</v>
      </c>
      <c r="S136" s="108">
        <v>3.38</v>
      </c>
      <c r="U136" s="109">
        <v>22.1</v>
      </c>
      <c r="V136" s="100"/>
    </row>
    <row r="137" spans="1:25" s="97" customFormat="1" x14ac:dyDescent="0.2">
      <c r="A137" s="119"/>
      <c r="C137" s="120" t="s">
        <v>361</v>
      </c>
      <c r="E137" s="102">
        <v>52778</v>
      </c>
      <c r="G137" s="103" t="s">
        <v>360</v>
      </c>
      <c r="H137" s="103" t="s">
        <v>193</v>
      </c>
      <c r="I137" s="104">
        <v>0</v>
      </c>
      <c r="J137" s="93"/>
      <c r="K137" s="110">
        <v>158971.10999999999</v>
      </c>
      <c r="L137" s="106"/>
      <c r="M137" s="111">
        <v>40173.74</v>
      </c>
      <c r="N137" s="107"/>
      <c r="O137" s="111">
        <v>118797</v>
      </c>
      <c r="P137" s="107"/>
      <c r="Q137" s="111">
        <v>5365</v>
      </c>
      <c r="S137" s="108">
        <v>3.37</v>
      </c>
      <c r="U137" s="109">
        <v>22.1</v>
      </c>
      <c r="V137" s="100"/>
    </row>
    <row r="138" spans="1:25" s="97" customFormat="1" x14ac:dyDescent="0.2">
      <c r="A138" s="119"/>
      <c r="C138" s="120"/>
      <c r="E138" s="75"/>
      <c r="G138" s="114"/>
      <c r="H138" s="114"/>
      <c r="I138" s="115"/>
      <c r="K138" s="121"/>
      <c r="M138" s="122"/>
      <c r="N138" s="122"/>
      <c r="O138" s="122"/>
      <c r="P138" s="122"/>
      <c r="Q138" s="122"/>
      <c r="S138" s="108"/>
      <c r="U138" s="109"/>
      <c r="V138" s="100"/>
    </row>
    <row r="139" spans="1:25" s="97" customFormat="1" x14ac:dyDescent="0.2">
      <c r="A139" s="119"/>
      <c r="C139" s="120" t="s">
        <v>359</v>
      </c>
      <c r="E139" s="75"/>
      <c r="G139" s="114"/>
      <c r="H139" s="114"/>
      <c r="I139" s="115"/>
      <c r="K139" s="110">
        <f>+SUBTOTAL(9,K134:K137)</f>
        <v>5045062.6500000004</v>
      </c>
      <c r="M139" s="111">
        <f>+SUBTOTAL(9,M134:M137)</f>
        <v>1043629.49</v>
      </c>
      <c r="N139" s="122"/>
      <c r="O139" s="111">
        <f>+SUBTOTAL(9,O134:O137)</f>
        <v>4043798</v>
      </c>
      <c r="P139" s="122"/>
      <c r="Q139" s="111">
        <f>+SUBTOTAL(9,Q134:Q137)</f>
        <v>130815</v>
      </c>
      <c r="S139" s="108">
        <f>Q139/K139*100</f>
        <v>2.5929311303993416</v>
      </c>
      <c r="U139" s="109"/>
      <c r="V139" s="100"/>
      <c r="W139" s="126"/>
    </row>
    <row r="140" spans="1:25" s="97" customFormat="1" x14ac:dyDescent="0.2">
      <c r="A140" s="119"/>
      <c r="C140" s="120"/>
      <c r="E140" s="75"/>
      <c r="G140" s="114"/>
      <c r="H140" s="114"/>
      <c r="I140" s="115"/>
      <c r="K140" s="121"/>
      <c r="M140" s="122"/>
      <c r="N140" s="122"/>
      <c r="O140" s="122"/>
      <c r="P140" s="122"/>
      <c r="Q140" s="122"/>
      <c r="S140" s="108"/>
      <c r="U140" s="109"/>
      <c r="V140" s="100"/>
    </row>
    <row r="141" spans="1:25" s="67" customFormat="1" ht="15.75" x14ac:dyDescent="0.25">
      <c r="A141" s="127"/>
      <c r="C141" s="84" t="s">
        <v>358</v>
      </c>
      <c r="E141" s="69"/>
      <c r="G141" s="68"/>
      <c r="H141" s="68"/>
      <c r="I141" s="71"/>
      <c r="K141" s="58">
        <f>SUBTOTAL(9,K82:K139)</f>
        <v>727206025.30000019</v>
      </c>
      <c r="L141" s="116"/>
      <c r="M141" s="63">
        <f>SUBTOTAL(9,M82:M139)</f>
        <v>230031338.14000002</v>
      </c>
      <c r="N141" s="117"/>
      <c r="O141" s="63">
        <f>SUBTOTAL(9,O82:O139)</f>
        <v>535267529</v>
      </c>
      <c r="P141" s="117"/>
      <c r="Q141" s="63">
        <f>SUBTOTAL(9,Q82:Q139)</f>
        <v>19766926</v>
      </c>
      <c r="S141" s="118">
        <f>ROUND(Q141/K141*100,2)</f>
        <v>2.72</v>
      </c>
      <c r="U141" s="128"/>
      <c r="V141" s="129"/>
      <c r="X141" s="97"/>
      <c r="Y141" s="97"/>
    </row>
    <row r="142" spans="1:25" s="97" customFormat="1" ht="15.75" x14ac:dyDescent="0.25">
      <c r="A142" s="119"/>
      <c r="C142" s="120"/>
      <c r="E142" s="75"/>
      <c r="G142" s="114"/>
      <c r="H142" s="114"/>
      <c r="I142" s="115"/>
      <c r="K142" s="60"/>
      <c r="M142" s="122"/>
      <c r="N142" s="122"/>
      <c r="O142" s="122"/>
      <c r="P142" s="122"/>
      <c r="Q142" s="122"/>
      <c r="S142" s="108"/>
      <c r="U142" s="109"/>
      <c r="V142" s="100"/>
    </row>
    <row r="143" spans="1:25" ht="15.75" x14ac:dyDescent="0.25">
      <c r="A143" s="89"/>
      <c r="B143" s="65"/>
      <c r="C143" s="68" t="s">
        <v>357</v>
      </c>
      <c r="D143" s="65"/>
      <c r="F143" s="65"/>
      <c r="G143" s="114"/>
      <c r="H143" s="114"/>
      <c r="I143" s="115"/>
      <c r="J143" s="65"/>
      <c r="K143" s="121"/>
      <c r="L143" s="65"/>
      <c r="M143" s="87"/>
      <c r="N143" s="87"/>
      <c r="O143" s="87"/>
      <c r="P143" s="87"/>
      <c r="Q143" s="87"/>
      <c r="R143" s="65"/>
      <c r="S143" s="90"/>
      <c r="T143" s="65"/>
      <c r="U143" s="91"/>
      <c r="V143" s="65"/>
    </row>
    <row r="144" spans="1:25" x14ac:dyDescent="0.2">
      <c r="A144" s="89"/>
      <c r="C144" s="130"/>
      <c r="G144" s="114"/>
      <c r="H144" s="114"/>
      <c r="I144" s="115"/>
      <c r="K144" s="121"/>
      <c r="M144" s="87"/>
      <c r="N144" s="87"/>
      <c r="O144" s="87"/>
      <c r="P144" s="87"/>
      <c r="Q144" s="87"/>
      <c r="S144" s="90"/>
      <c r="U144" s="91"/>
      <c r="V144" s="65"/>
    </row>
    <row r="145" spans="1:23" x14ac:dyDescent="0.2">
      <c r="A145" s="119">
        <v>340.1</v>
      </c>
      <c r="B145" s="97"/>
      <c r="C145" s="120" t="s">
        <v>252</v>
      </c>
      <c r="E145" s="102">
        <v>47664</v>
      </c>
      <c r="G145" s="103" t="s">
        <v>356</v>
      </c>
      <c r="H145" s="103" t="s">
        <v>193</v>
      </c>
      <c r="I145" s="104">
        <v>-5</v>
      </c>
      <c r="J145" s="93"/>
      <c r="K145" s="105">
        <v>221928.75</v>
      </c>
      <c r="L145" s="106"/>
      <c r="M145" s="107">
        <v>216904.38</v>
      </c>
      <c r="N145" s="107"/>
      <c r="O145" s="107">
        <v>16121</v>
      </c>
      <c r="P145" s="107"/>
      <c r="Q145" s="107">
        <v>1791</v>
      </c>
      <c r="R145" s="97"/>
      <c r="S145" s="108">
        <v>0.81</v>
      </c>
      <c r="T145" s="97"/>
      <c r="U145" s="109">
        <v>9</v>
      </c>
      <c r="V145" s="65"/>
      <c r="W145" s="126"/>
    </row>
    <row r="146" spans="1:23" x14ac:dyDescent="0.2">
      <c r="A146" s="119"/>
      <c r="B146" s="97"/>
      <c r="C146" s="120"/>
      <c r="E146" s="102"/>
      <c r="G146" s="103"/>
      <c r="H146" s="103"/>
      <c r="I146" s="104"/>
      <c r="J146" s="93"/>
      <c r="K146" s="105"/>
      <c r="L146" s="106"/>
      <c r="M146" s="107"/>
      <c r="N146" s="107"/>
      <c r="O146" s="107"/>
      <c r="P146" s="107"/>
      <c r="Q146" s="107"/>
      <c r="R146" s="97"/>
      <c r="S146" s="108"/>
      <c r="T146" s="97"/>
      <c r="U146" s="109"/>
      <c r="V146" s="65"/>
      <c r="W146" s="126"/>
    </row>
    <row r="147" spans="1:23" s="97" customFormat="1" x14ac:dyDescent="0.2">
      <c r="A147" s="92">
        <v>341</v>
      </c>
      <c r="B147" s="93"/>
      <c r="C147" s="101" t="s">
        <v>355</v>
      </c>
      <c r="D147" s="93"/>
      <c r="E147" s="94"/>
      <c r="F147" s="93"/>
      <c r="G147" s="93"/>
      <c r="H147" s="93"/>
      <c r="I147" s="95"/>
      <c r="J147" s="93"/>
      <c r="K147" s="105" t="s">
        <v>168</v>
      </c>
      <c r="L147" s="106"/>
      <c r="M147" s="107" t="s">
        <v>168</v>
      </c>
      <c r="N147" s="107"/>
      <c r="O147" s="107" t="s">
        <v>168</v>
      </c>
      <c r="P147" s="107"/>
      <c r="Q147" s="107" t="s">
        <v>168</v>
      </c>
      <c r="R147" s="93"/>
      <c r="S147" s="131"/>
      <c r="T147" s="93"/>
      <c r="U147" s="132"/>
      <c r="V147" s="100"/>
    </row>
    <row r="148" spans="1:23" s="97" customFormat="1" x14ac:dyDescent="0.2">
      <c r="A148" s="92"/>
      <c r="B148" s="93"/>
      <c r="C148" s="101" t="s">
        <v>354</v>
      </c>
      <c r="D148" s="93"/>
      <c r="E148" s="102">
        <v>48760</v>
      </c>
      <c r="F148" s="93"/>
      <c r="G148" s="103" t="s">
        <v>259</v>
      </c>
      <c r="H148" s="103" t="s">
        <v>193</v>
      </c>
      <c r="I148" s="104">
        <v>-5</v>
      </c>
      <c r="J148" s="93"/>
      <c r="K148" s="105">
        <v>9568293.5899999999</v>
      </c>
      <c r="L148" s="106"/>
      <c r="M148" s="107">
        <v>6934308</v>
      </c>
      <c r="N148" s="107"/>
      <c r="O148" s="107">
        <v>3112400</v>
      </c>
      <c r="P148" s="107"/>
      <c r="Q148" s="107">
        <v>261668</v>
      </c>
      <c r="S148" s="108">
        <v>2.73</v>
      </c>
      <c r="U148" s="109">
        <v>11.9</v>
      </c>
      <c r="V148" s="100"/>
    </row>
    <row r="149" spans="1:23" s="97" customFormat="1" x14ac:dyDescent="0.2">
      <c r="A149" s="92"/>
      <c r="B149" s="93"/>
      <c r="C149" s="101" t="s">
        <v>308</v>
      </c>
      <c r="D149" s="93"/>
      <c r="E149" s="102">
        <v>52047</v>
      </c>
      <c r="F149" s="93"/>
      <c r="G149" s="103" t="s">
        <v>259</v>
      </c>
      <c r="H149" s="103" t="s">
        <v>193</v>
      </c>
      <c r="I149" s="104">
        <v>-5</v>
      </c>
      <c r="J149" s="93"/>
      <c r="K149" s="105">
        <v>5774386.75</v>
      </c>
      <c r="L149" s="106"/>
      <c r="M149" s="107">
        <v>3469117.7</v>
      </c>
      <c r="N149" s="107"/>
      <c r="O149" s="107">
        <v>2593988</v>
      </c>
      <c r="P149" s="107"/>
      <c r="Q149" s="107">
        <v>126598</v>
      </c>
      <c r="S149" s="108">
        <v>2.19</v>
      </c>
      <c r="U149" s="109">
        <v>20.5</v>
      </c>
      <c r="V149" s="100"/>
    </row>
    <row r="150" spans="1:23" s="97" customFormat="1" x14ac:dyDescent="0.2">
      <c r="A150" s="92"/>
      <c r="B150" s="93"/>
      <c r="C150" s="101" t="s">
        <v>307</v>
      </c>
      <c r="D150" s="93"/>
      <c r="E150" s="102">
        <v>52778</v>
      </c>
      <c r="F150" s="93"/>
      <c r="G150" s="103" t="s">
        <v>259</v>
      </c>
      <c r="H150" s="103" t="s">
        <v>193</v>
      </c>
      <c r="I150" s="104">
        <v>-5</v>
      </c>
      <c r="J150" s="93"/>
      <c r="K150" s="105">
        <v>34330868.909999996</v>
      </c>
      <c r="L150" s="106"/>
      <c r="M150" s="107">
        <v>28540306.66</v>
      </c>
      <c r="N150" s="107"/>
      <c r="O150" s="107">
        <v>7507106</v>
      </c>
      <c r="P150" s="107"/>
      <c r="Q150" s="107">
        <v>333195</v>
      </c>
      <c r="S150" s="108">
        <v>0.97</v>
      </c>
      <c r="U150" s="109">
        <v>22.5</v>
      </c>
      <c r="V150" s="100"/>
    </row>
    <row r="151" spans="1:23" s="97" customFormat="1" x14ac:dyDescent="0.2">
      <c r="A151" s="92"/>
      <c r="B151" s="93"/>
      <c r="C151" s="101" t="s">
        <v>306</v>
      </c>
      <c r="D151" s="93"/>
      <c r="E151" s="102">
        <v>53143</v>
      </c>
      <c r="F151" s="93"/>
      <c r="G151" s="103" t="s">
        <v>259</v>
      </c>
      <c r="H151" s="103" t="s">
        <v>193</v>
      </c>
      <c r="I151" s="104">
        <v>-5</v>
      </c>
      <c r="J151" s="93"/>
      <c r="K151" s="105">
        <v>11453403.279999999</v>
      </c>
      <c r="L151" s="106"/>
      <c r="M151" s="107">
        <v>4405211.0999999996</v>
      </c>
      <c r="N151" s="107"/>
      <c r="O151" s="107">
        <v>7620862</v>
      </c>
      <c r="P151" s="107"/>
      <c r="Q151" s="107">
        <v>323517</v>
      </c>
      <c r="S151" s="108">
        <v>2.82</v>
      </c>
      <c r="U151" s="109">
        <v>23.6</v>
      </c>
      <c r="V151" s="100"/>
    </row>
    <row r="152" spans="1:23" s="97" customFormat="1" x14ac:dyDescent="0.2">
      <c r="A152" s="92"/>
      <c r="B152" s="93"/>
      <c r="C152" s="101" t="s">
        <v>305</v>
      </c>
      <c r="D152" s="93"/>
      <c r="E152" s="102">
        <v>48760</v>
      </c>
      <c r="F152" s="93"/>
      <c r="G152" s="103" t="s">
        <v>259</v>
      </c>
      <c r="H152" s="103" t="s">
        <v>193</v>
      </c>
      <c r="I152" s="104">
        <v>-5</v>
      </c>
      <c r="J152" s="93"/>
      <c r="K152" s="105">
        <v>3718808.01</v>
      </c>
      <c r="L152" s="106"/>
      <c r="M152" s="107">
        <v>2590875.96</v>
      </c>
      <c r="N152" s="107"/>
      <c r="O152" s="107">
        <v>1313872</v>
      </c>
      <c r="P152" s="107"/>
      <c r="Q152" s="107">
        <v>109790</v>
      </c>
      <c r="S152" s="108">
        <v>2.95</v>
      </c>
      <c r="U152" s="109">
        <v>12</v>
      </c>
      <c r="V152" s="100"/>
    </row>
    <row r="153" spans="1:23" s="97" customFormat="1" x14ac:dyDescent="0.2">
      <c r="A153" s="92"/>
      <c r="B153" s="93"/>
      <c r="C153" s="101" t="s">
        <v>353</v>
      </c>
      <c r="D153" s="93"/>
      <c r="E153" s="102">
        <v>46934</v>
      </c>
      <c r="F153" s="93"/>
      <c r="G153" s="103" t="s">
        <v>259</v>
      </c>
      <c r="H153" s="103" t="s">
        <v>193</v>
      </c>
      <c r="I153" s="104">
        <v>-5</v>
      </c>
      <c r="J153" s="93"/>
      <c r="K153" s="105">
        <v>811209.69</v>
      </c>
      <c r="L153" s="106"/>
      <c r="M153" s="107">
        <v>783511.24</v>
      </c>
      <c r="N153" s="107"/>
      <c r="O153" s="107">
        <v>68259</v>
      </c>
      <c r="P153" s="107"/>
      <c r="Q153" s="107">
        <v>9765</v>
      </c>
      <c r="S153" s="108">
        <v>1.2</v>
      </c>
      <c r="U153" s="109">
        <v>7</v>
      </c>
      <c r="V153" s="100"/>
    </row>
    <row r="154" spans="1:23" s="97" customFormat="1" x14ac:dyDescent="0.2">
      <c r="A154" s="92"/>
      <c r="B154" s="93"/>
      <c r="C154" s="101" t="s">
        <v>352</v>
      </c>
      <c r="D154" s="93"/>
      <c r="E154" s="102">
        <v>47664</v>
      </c>
      <c r="F154" s="93"/>
      <c r="G154" s="103" t="s">
        <v>259</v>
      </c>
      <c r="H154" s="103" t="s">
        <v>193</v>
      </c>
      <c r="I154" s="104">
        <v>-5</v>
      </c>
      <c r="J154" s="93"/>
      <c r="K154" s="105">
        <v>5675496.75</v>
      </c>
      <c r="L154" s="106"/>
      <c r="M154" s="107">
        <v>4539500.5599999996</v>
      </c>
      <c r="N154" s="107"/>
      <c r="O154" s="107">
        <v>1419771</v>
      </c>
      <c r="P154" s="107"/>
      <c r="Q154" s="107">
        <v>159514</v>
      </c>
      <c r="S154" s="108">
        <v>2.81</v>
      </c>
      <c r="U154" s="109">
        <v>8.9</v>
      </c>
      <c r="V154" s="100"/>
    </row>
    <row r="155" spans="1:23" s="97" customFormat="1" x14ac:dyDescent="0.2">
      <c r="A155" s="92"/>
      <c r="B155" s="93"/>
      <c r="C155" s="101" t="s">
        <v>351</v>
      </c>
      <c r="D155" s="93"/>
      <c r="E155" s="102">
        <v>47664</v>
      </c>
      <c r="F155" s="93"/>
      <c r="G155" s="103" t="s">
        <v>259</v>
      </c>
      <c r="H155" s="103" t="s">
        <v>193</v>
      </c>
      <c r="I155" s="104">
        <v>-5</v>
      </c>
      <c r="J155" s="93"/>
      <c r="K155" s="105">
        <v>3110828.3</v>
      </c>
      <c r="L155" s="106"/>
      <c r="M155" s="107">
        <v>2739066.75</v>
      </c>
      <c r="N155" s="107"/>
      <c r="O155" s="107">
        <v>527303</v>
      </c>
      <c r="P155" s="107"/>
      <c r="Q155" s="107">
        <v>58761</v>
      </c>
      <c r="S155" s="108">
        <v>1.89</v>
      </c>
      <c r="U155" s="109">
        <v>9</v>
      </c>
      <c r="V155" s="100"/>
    </row>
    <row r="156" spans="1:23" s="97" customFormat="1" x14ac:dyDescent="0.2">
      <c r="A156" s="92"/>
      <c r="B156" s="93"/>
      <c r="C156" s="101" t="s">
        <v>350</v>
      </c>
      <c r="D156" s="93"/>
      <c r="E156" s="102">
        <v>50586</v>
      </c>
      <c r="F156" s="93"/>
      <c r="G156" s="103" t="s">
        <v>259</v>
      </c>
      <c r="H156" s="103" t="s">
        <v>193</v>
      </c>
      <c r="I156" s="104">
        <v>-5</v>
      </c>
      <c r="J156" s="93"/>
      <c r="K156" s="105">
        <v>1519163.5</v>
      </c>
      <c r="L156" s="106"/>
      <c r="M156" s="107">
        <v>693731.21</v>
      </c>
      <c r="N156" s="107"/>
      <c r="O156" s="107">
        <v>901390</v>
      </c>
      <c r="P156" s="107"/>
      <c r="Q156" s="107">
        <v>53225</v>
      </c>
      <c r="S156" s="108">
        <v>3.5</v>
      </c>
      <c r="U156" s="109">
        <v>16.899999999999999</v>
      </c>
      <c r="V156" s="100"/>
    </row>
    <row r="157" spans="1:23" s="97" customFormat="1" x14ac:dyDescent="0.2">
      <c r="A157" s="92"/>
      <c r="B157" s="93"/>
      <c r="C157" s="101" t="s">
        <v>300</v>
      </c>
      <c r="D157" s="93"/>
      <c r="E157" s="102">
        <v>49125</v>
      </c>
      <c r="F157" s="93"/>
      <c r="G157" s="103" t="s">
        <v>259</v>
      </c>
      <c r="H157" s="103" t="s">
        <v>193</v>
      </c>
      <c r="I157" s="104">
        <v>-5</v>
      </c>
      <c r="J157" s="93"/>
      <c r="K157" s="110">
        <v>5985702.5</v>
      </c>
      <c r="L157" s="106"/>
      <c r="M157" s="111">
        <v>4678748.0999999996</v>
      </c>
      <c r="N157" s="107"/>
      <c r="O157" s="111">
        <v>1606240</v>
      </c>
      <c r="P157" s="107"/>
      <c r="Q157" s="111">
        <v>123837</v>
      </c>
      <c r="S157" s="108">
        <v>2.0699999999999998</v>
      </c>
      <c r="U157" s="109">
        <v>13</v>
      </c>
      <c r="V157" s="100"/>
    </row>
    <row r="158" spans="1:23" s="97" customFormat="1" x14ac:dyDescent="0.2">
      <c r="A158" s="92"/>
      <c r="B158" s="93"/>
      <c r="C158" s="101"/>
      <c r="D158" s="93"/>
      <c r="E158" s="94"/>
      <c r="F158" s="93"/>
      <c r="G158" s="103"/>
      <c r="H158" s="103"/>
      <c r="I158" s="104"/>
      <c r="J158" s="93"/>
      <c r="K158" s="105"/>
      <c r="L158" s="106"/>
      <c r="M158" s="107"/>
      <c r="N158" s="107"/>
      <c r="O158" s="107"/>
      <c r="P158" s="107"/>
      <c r="Q158" s="107"/>
      <c r="R158" s="93"/>
      <c r="S158" s="133"/>
      <c r="T158" s="93"/>
      <c r="U158" s="134"/>
      <c r="V158" s="100"/>
    </row>
    <row r="159" spans="1:23" s="97" customFormat="1" x14ac:dyDescent="0.2">
      <c r="A159" s="92"/>
      <c r="B159" s="93"/>
      <c r="C159" s="101" t="s">
        <v>220</v>
      </c>
      <c r="D159" s="93"/>
      <c r="E159" s="94"/>
      <c r="F159" s="93"/>
      <c r="G159" s="103"/>
      <c r="H159" s="103"/>
      <c r="I159" s="104"/>
      <c r="J159" s="93"/>
      <c r="K159" s="105">
        <f>+SUBTOTAL(9,K148:K157)</f>
        <v>81948161.279999986</v>
      </c>
      <c r="L159" s="106"/>
      <c r="M159" s="107">
        <f>+SUBTOTAL(9,M148:M157)</f>
        <v>59374377.280000009</v>
      </c>
      <c r="N159" s="107"/>
      <c r="O159" s="107">
        <f>+SUBTOTAL(9,O148:O157)</f>
        <v>26671191</v>
      </c>
      <c r="P159" s="107"/>
      <c r="Q159" s="107">
        <f>+SUBTOTAL(9,Q148:Q157)</f>
        <v>1559870</v>
      </c>
      <c r="R159" s="93"/>
      <c r="S159" s="108">
        <f>Q159/K159*100</f>
        <v>1.9034838312848115</v>
      </c>
      <c r="U159" s="109"/>
      <c r="V159" s="100"/>
      <c r="W159" s="126"/>
    </row>
    <row r="160" spans="1:23" s="97" customFormat="1" x14ac:dyDescent="0.2">
      <c r="A160" s="92"/>
      <c r="B160" s="93"/>
      <c r="C160" s="101"/>
      <c r="D160" s="93"/>
      <c r="E160" s="94"/>
      <c r="F160" s="93"/>
      <c r="G160" s="103"/>
      <c r="H160" s="103"/>
      <c r="I160" s="104"/>
      <c r="J160" s="93"/>
      <c r="K160" s="105"/>
      <c r="L160" s="106"/>
      <c r="M160" s="107"/>
      <c r="N160" s="107"/>
      <c r="O160" s="107"/>
      <c r="P160" s="107"/>
      <c r="Q160" s="107"/>
      <c r="R160" s="93"/>
      <c r="S160" s="108"/>
      <c r="U160" s="109"/>
      <c r="V160" s="100"/>
    </row>
    <row r="161" spans="1:23" s="97" customFormat="1" x14ac:dyDescent="0.2">
      <c r="A161" s="92">
        <v>341.01</v>
      </c>
      <c r="B161" s="93"/>
      <c r="C161" s="101" t="s">
        <v>349</v>
      </c>
      <c r="D161" s="93"/>
      <c r="E161" s="94"/>
      <c r="F161" s="93"/>
      <c r="G161" s="103"/>
      <c r="H161" s="103"/>
      <c r="I161" s="104"/>
      <c r="J161" s="93"/>
      <c r="K161" s="105"/>
      <c r="L161" s="106"/>
      <c r="M161" s="107"/>
      <c r="N161" s="107"/>
      <c r="O161" s="107"/>
      <c r="P161" s="107"/>
      <c r="Q161" s="107"/>
      <c r="R161" s="93"/>
      <c r="S161" s="108"/>
      <c r="U161" s="109"/>
      <c r="V161" s="100"/>
    </row>
    <row r="162" spans="1:23" s="97" customFormat="1" x14ac:dyDescent="0.2">
      <c r="A162" s="92"/>
      <c r="B162" s="93"/>
      <c r="C162" s="101" t="s">
        <v>297</v>
      </c>
      <c r="D162" s="93"/>
      <c r="E162" s="102">
        <v>50221</v>
      </c>
      <c r="F162" s="93"/>
      <c r="G162" s="103" t="s">
        <v>259</v>
      </c>
      <c r="H162" s="103" t="s">
        <v>193</v>
      </c>
      <c r="I162" s="104">
        <v>-5</v>
      </c>
      <c r="J162" s="93"/>
      <c r="K162" s="105">
        <v>31393624.359999999</v>
      </c>
      <c r="L162" s="106"/>
      <c r="M162" s="107">
        <v>11159075.289999999</v>
      </c>
      <c r="N162" s="107"/>
      <c r="O162" s="107">
        <v>21804230</v>
      </c>
      <c r="P162" s="107"/>
      <c r="Q162" s="107">
        <v>1367894</v>
      </c>
      <c r="R162" s="93"/>
      <c r="S162" s="108">
        <v>4.3600000000000003</v>
      </c>
      <c r="U162" s="109">
        <v>15.9</v>
      </c>
      <c r="V162" s="100"/>
    </row>
    <row r="163" spans="1:23" s="97" customFormat="1" x14ac:dyDescent="0.2">
      <c r="A163" s="92"/>
      <c r="B163" s="93"/>
      <c r="C163" s="101" t="s">
        <v>296</v>
      </c>
      <c r="D163" s="93"/>
      <c r="E163" s="102">
        <v>47664</v>
      </c>
      <c r="F163" s="93"/>
      <c r="G163" s="103" t="s">
        <v>259</v>
      </c>
      <c r="H163" s="103" t="s">
        <v>193</v>
      </c>
      <c r="I163" s="104">
        <v>-5</v>
      </c>
      <c r="J163" s="93"/>
      <c r="K163" s="105">
        <v>3413471.97</v>
      </c>
      <c r="L163" s="106"/>
      <c r="M163" s="107">
        <v>969824.12</v>
      </c>
      <c r="N163" s="107"/>
      <c r="O163" s="107">
        <v>2614321</v>
      </c>
      <c r="P163" s="107"/>
      <c r="Q163" s="107">
        <v>291489</v>
      </c>
      <c r="R163" s="93"/>
      <c r="S163" s="108">
        <v>8.5399999999999991</v>
      </c>
      <c r="U163" s="109">
        <v>9</v>
      </c>
      <c r="V163" s="100"/>
    </row>
    <row r="164" spans="1:23" s="97" customFormat="1" x14ac:dyDescent="0.2">
      <c r="A164" s="92"/>
      <c r="B164" s="93"/>
      <c r="C164" s="101" t="s">
        <v>295</v>
      </c>
      <c r="D164" s="93"/>
      <c r="E164" s="102">
        <v>48029</v>
      </c>
      <c r="F164" s="93"/>
      <c r="G164" s="103" t="s">
        <v>259</v>
      </c>
      <c r="H164" s="103" t="s">
        <v>193</v>
      </c>
      <c r="I164" s="104">
        <v>-5</v>
      </c>
      <c r="J164" s="93"/>
      <c r="K164" s="110">
        <v>15081340.710000001</v>
      </c>
      <c r="L164" s="106"/>
      <c r="M164" s="111">
        <v>6344406.3200000003</v>
      </c>
      <c r="N164" s="107"/>
      <c r="O164" s="111">
        <v>9491001</v>
      </c>
      <c r="P164" s="107"/>
      <c r="Q164" s="111">
        <v>952396</v>
      </c>
      <c r="R164" s="93"/>
      <c r="S164" s="108">
        <v>6.32</v>
      </c>
      <c r="U164" s="109">
        <v>10</v>
      </c>
      <c r="V164" s="100"/>
    </row>
    <row r="165" spans="1:23" s="97" customFormat="1" x14ac:dyDescent="0.2">
      <c r="A165" s="92"/>
      <c r="B165" s="93"/>
      <c r="C165" s="101"/>
      <c r="D165" s="93"/>
      <c r="E165" s="102"/>
      <c r="F165" s="93"/>
      <c r="G165" s="103"/>
      <c r="H165" s="103"/>
      <c r="I165" s="104"/>
      <c r="J165" s="93"/>
      <c r="K165" s="105"/>
      <c r="L165" s="106"/>
      <c r="M165" s="107"/>
      <c r="N165" s="107"/>
      <c r="O165" s="107"/>
      <c r="P165" s="107"/>
      <c r="Q165" s="107"/>
      <c r="R165" s="93"/>
      <c r="S165" s="108"/>
      <c r="U165" s="109"/>
      <c r="V165" s="100"/>
    </row>
    <row r="166" spans="1:23" s="97" customFormat="1" x14ac:dyDescent="0.2">
      <c r="A166" s="92"/>
      <c r="B166" s="93"/>
      <c r="C166" s="101" t="s">
        <v>348</v>
      </c>
      <c r="D166" s="93"/>
      <c r="E166" s="94"/>
      <c r="F166" s="93"/>
      <c r="G166" s="103"/>
      <c r="H166" s="103"/>
      <c r="I166" s="104"/>
      <c r="J166" s="93"/>
      <c r="K166" s="105">
        <f>+SUBTOTAL(9,K162:K164)</f>
        <v>49888437.039999999</v>
      </c>
      <c r="L166" s="106"/>
      <c r="M166" s="107">
        <f>+SUBTOTAL(9,M162:M164)</f>
        <v>18473305.729999997</v>
      </c>
      <c r="N166" s="107"/>
      <c r="O166" s="107">
        <f>+SUBTOTAL(9,O162:O164)</f>
        <v>33909552</v>
      </c>
      <c r="P166" s="107"/>
      <c r="Q166" s="107">
        <f>+SUBTOTAL(9,Q162:Q164)</f>
        <v>2611779</v>
      </c>
      <c r="R166" s="93"/>
      <c r="S166" s="108">
        <f>Q166/K166*100</f>
        <v>5.2352391755747014</v>
      </c>
      <c r="U166" s="109"/>
      <c r="V166" s="100"/>
      <c r="W166" s="126"/>
    </row>
    <row r="167" spans="1:23" s="97" customFormat="1" x14ac:dyDescent="0.2">
      <c r="A167" s="92"/>
      <c r="B167" s="93"/>
      <c r="C167" s="101"/>
      <c r="D167" s="93"/>
      <c r="E167" s="94"/>
      <c r="F167" s="93"/>
      <c r="G167" s="103"/>
      <c r="H167" s="103"/>
      <c r="I167" s="104"/>
      <c r="J167" s="93"/>
      <c r="K167" s="105"/>
      <c r="L167" s="106"/>
      <c r="M167" s="107"/>
      <c r="N167" s="107"/>
      <c r="O167" s="107"/>
      <c r="P167" s="107"/>
      <c r="Q167" s="107"/>
      <c r="R167" s="93"/>
      <c r="S167" s="108"/>
      <c r="U167" s="109"/>
      <c r="V167" s="100"/>
    </row>
    <row r="168" spans="1:23" s="97" customFormat="1" x14ac:dyDescent="0.2">
      <c r="A168" s="92">
        <v>342</v>
      </c>
      <c r="B168" s="93"/>
      <c r="C168" s="101" t="s">
        <v>347</v>
      </c>
      <c r="D168" s="93"/>
      <c r="E168" s="94"/>
      <c r="F168" s="93"/>
      <c r="G168" s="103"/>
      <c r="H168" s="103"/>
      <c r="I168" s="104"/>
      <c r="J168" s="93"/>
      <c r="K168" s="105" t="s">
        <v>168</v>
      </c>
      <c r="L168" s="93"/>
      <c r="M168" s="96" t="s">
        <v>168</v>
      </c>
      <c r="N168" s="96"/>
      <c r="O168" s="96" t="s">
        <v>168</v>
      </c>
      <c r="P168" s="96"/>
      <c r="Q168" s="96" t="s">
        <v>168</v>
      </c>
      <c r="R168" s="93"/>
      <c r="S168" s="135"/>
      <c r="T168" s="93"/>
      <c r="U168" s="136"/>
      <c r="V168" s="100"/>
    </row>
    <row r="169" spans="1:23" s="97" customFormat="1" x14ac:dyDescent="0.2">
      <c r="A169" s="92"/>
      <c r="B169" s="93"/>
      <c r="C169" s="101" t="s">
        <v>346</v>
      </c>
      <c r="D169" s="93"/>
      <c r="E169" s="102">
        <v>48760</v>
      </c>
      <c r="F169" s="93"/>
      <c r="G169" s="103" t="s">
        <v>341</v>
      </c>
      <c r="H169" s="103" t="s">
        <v>193</v>
      </c>
      <c r="I169" s="104">
        <v>-5</v>
      </c>
      <c r="J169" s="93"/>
      <c r="K169" s="105">
        <v>8348184.6799999997</v>
      </c>
      <c r="L169" s="106"/>
      <c r="M169" s="107">
        <v>7196705.1299999999</v>
      </c>
      <c r="N169" s="107"/>
      <c r="O169" s="107">
        <v>1568889</v>
      </c>
      <c r="P169" s="107"/>
      <c r="Q169" s="107">
        <v>137199</v>
      </c>
      <c r="S169" s="108">
        <v>1.64</v>
      </c>
      <c r="U169" s="109">
        <v>11.4</v>
      </c>
      <c r="V169" s="100"/>
    </row>
    <row r="170" spans="1:23" s="97" customFormat="1" x14ac:dyDescent="0.2">
      <c r="A170" s="92"/>
      <c r="B170" s="93"/>
      <c r="C170" s="101" t="s">
        <v>308</v>
      </c>
      <c r="D170" s="93"/>
      <c r="E170" s="102">
        <v>52047</v>
      </c>
      <c r="F170" s="93"/>
      <c r="G170" s="103" t="s">
        <v>341</v>
      </c>
      <c r="H170" s="103" t="s">
        <v>193</v>
      </c>
      <c r="I170" s="104">
        <v>-5</v>
      </c>
      <c r="J170" s="93"/>
      <c r="K170" s="105">
        <v>1804662.8</v>
      </c>
      <c r="L170" s="106"/>
      <c r="M170" s="107">
        <v>942631.16</v>
      </c>
      <c r="N170" s="107"/>
      <c r="O170" s="107">
        <v>952265</v>
      </c>
      <c r="P170" s="107"/>
      <c r="Q170" s="107">
        <v>49727</v>
      </c>
      <c r="S170" s="108">
        <v>2.76</v>
      </c>
      <c r="U170" s="109">
        <v>19.100000000000001</v>
      </c>
      <c r="V170" s="100"/>
    </row>
    <row r="171" spans="1:23" s="97" customFormat="1" x14ac:dyDescent="0.2">
      <c r="A171" s="92"/>
      <c r="B171" s="93"/>
      <c r="C171" s="101" t="s">
        <v>307</v>
      </c>
      <c r="D171" s="93"/>
      <c r="E171" s="102">
        <v>52778</v>
      </c>
      <c r="F171" s="93"/>
      <c r="G171" s="103" t="s">
        <v>341</v>
      </c>
      <c r="H171" s="103" t="s">
        <v>193</v>
      </c>
      <c r="I171" s="104">
        <v>-5</v>
      </c>
      <c r="J171" s="93"/>
      <c r="K171" s="105">
        <v>1887875</v>
      </c>
      <c r="L171" s="106"/>
      <c r="M171" s="107">
        <v>1582606.97</v>
      </c>
      <c r="N171" s="107"/>
      <c r="O171" s="107">
        <v>399662</v>
      </c>
      <c r="P171" s="107"/>
      <c r="Q171" s="107">
        <v>18861</v>
      </c>
      <c r="S171" s="108">
        <v>1</v>
      </c>
      <c r="U171" s="109">
        <v>21.2</v>
      </c>
      <c r="V171" s="100"/>
    </row>
    <row r="172" spans="1:23" s="97" customFormat="1" x14ac:dyDescent="0.2">
      <c r="A172" s="92"/>
      <c r="B172" s="93"/>
      <c r="C172" s="101" t="s">
        <v>306</v>
      </c>
      <c r="D172" s="93"/>
      <c r="E172" s="102">
        <v>53143</v>
      </c>
      <c r="F172" s="93"/>
      <c r="G172" s="103" t="s">
        <v>341</v>
      </c>
      <c r="H172" s="103" t="s">
        <v>193</v>
      </c>
      <c r="I172" s="104">
        <v>-5</v>
      </c>
      <c r="J172" s="93"/>
      <c r="K172" s="105">
        <v>1577944.93</v>
      </c>
      <c r="L172" s="106"/>
      <c r="M172" s="107">
        <v>610770.5</v>
      </c>
      <c r="N172" s="107"/>
      <c r="O172" s="107">
        <v>1046072</v>
      </c>
      <c r="P172" s="107"/>
      <c r="Q172" s="107">
        <v>46956</v>
      </c>
      <c r="S172" s="108">
        <v>2.98</v>
      </c>
      <c r="U172" s="109">
        <v>22.3</v>
      </c>
      <c r="V172" s="100"/>
    </row>
    <row r="173" spans="1:23" s="97" customFormat="1" x14ac:dyDescent="0.2">
      <c r="A173" s="92"/>
      <c r="B173" s="93"/>
      <c r="C173" s="101" t="s">
        <v>305</v>
      </c>
      <c r="D173" s="93"/>
      <c r="E173" s="102">
        <v>48760</v>
      </c>
      <c r="F173" s="93"/>
      <c r="G173" s="103" t="s">
        <v>341</v>
      </c>
      <c r="H173" s="103" t="s">
        <v>193</v>
      </c>
      <c r="I173" s="104">
        <v>-5</v>
      </c>
      <c r="J173" s="93"/>
      <c r="K173" s="105">
        <v>3889943.37</v>
      </c>
      <c r="L173" s="106"/>
      <c r="M173" s="107">
        <v>3670915.01</v>
      </c>
      <c r="N173" s="107"/>
      <c r="O173" s="107">
        <v>413526</v>
      </c>
      <c r="P173" s="107"/>
      <c r="Q173" s="107">
        <v>35314</v>
      </c>
      <c r="S173" s="108">
        <v>0.91</v>
      </c>
      <c r="U173" s="109">
        <v>11.7</v>
      </c>
      <c r="V173" s="100"/>
    </row>
    <row r="174" spans="1:23" s="97" customFormat="1" x14ac:dyDescent="0.2">
      <c r="A174" s="92"/>
      <c r="B174" s="93"/>
      <c r="C174" s="101" t="s">
        <v>345</v>
      </c>
      <c r="D174" s="93"/>
      <c r="E174" s="102">
        <v>46934</v>
      </c>
      <c r="F174" s="93"/>
      <c r="G174" s="103" t="s">
        <v>341</v>
      </c>
      <c r="H174" s="103" t="s">
        <v>193</v>
      </c>
      <c r="I174" s="104">
        <v>-5</v>
      </c>
      <c r="J174" s="93"/>
      <c r="K174" s="105">
        <v>476309.45</v>
      </c>
      <c r="L174" s="106"/>
      <c r="M174" s="107">
        <v>224270.67</v>
      </c>
      <c r="N174" s="107"/>
      <c r="O174" s="107">
        <v>275854</v>
      </c>
      <c r="P174" s="107"/>
      <c r="Q174" s="107">
        <v>39863</v>
      </c>
      <c r="S174" s="108">
        <v>8.3699999999999992</v>
      </c>
      <c r="U174" s="109">
        <v>6.9</v>
      </c>
      <c r="V174" s="100"/>
    </row>
    <row r="175" spans="1:23" s="97" customFormat="1" x14ac:dyDescent="0.2">
      <c r="A175" s="92"/>
      <c r="B175" s="93"/>
      <c r="C175" s="101" t="s">
        <v>344</v>
      </c>
      <c r="D175" s="93"/>
      <c r="E175" s="102">
        <v>47664</v>
      </c>
      <c r="F175" s="93"/>
      <c r="G175" s="103" t="s">
        <v>341</v>
      </c>
      <c r="H175" s="103" t="s">
        <v>193</v>
      </c>
      <c r="I175" s="104">
        <v>-5</v>
      </c>
      <c r="J175" s="93"/>
      <c r="K175" s="105">
        <v>3739991.62</v>
      </c>
      <c r="L175" s="106"/>
      <c r="M175" s="107">
        <v>3033383.3</v>
      </c>
      <c r="N175" s="107"/>
      <c r="O175" s="107">
        <v>893608</v>
      </c>
      <c r="P175" s="107"/>
      <c r="Q175" s="107">
        <v>108440</v>
      </c>
      <c r="S175" s="108">
        <v>2.9</v>
      </c>
      <c r="U175" s="109">
        <v>8.1999999999999993</v>
      </c>
      <c r="V175" s="100"/>
    </row>
    <row r="176" spans="1:23" s="97" customFormat="1" x14ac:dyDescent="0.2">
      <c r="A176" s="92"/>
      <c r="B176" s="93"/>
      <c r="C176" s="93" t="s">
        <v>343</v>
      </c>
      <c r="D176" s="93"/>
      <c r="E176" s="102">
        <v>47664</v>
      </c>
      <c r="F176" s="93"/>
      <c r="G176" s="103" t="s">
        <v>341</v>
      </c>
      <c r="H176" s="103" t="s">
        <v>193</v>
      </c>
      <c r="I176" s="104">
        <v>-5</v>
      </c>
      <c r="J176" s="93"/>
      <c r="K176" s="105">
        <v>3702107.48</v>
      </c>
      <c r="L176" s="106"/>
      <c r="M176" s="107">
        <v>4071914.05</v>
      </c>
      <c r="N176" s="107"/>
      <c r="O176" s="107">
        <v>-184701</v>
      </c>
      <c r="P176" s="107"/>
      <c r="Q176" s="107">
        <v>0</v>
      </c>
      <c r="S176" s="124">
        <v>0</v>
      </c>
      <c r="T176" s="137"/>
      <c r="U176" s="125">
        <v>0</v>
      </c>
      <c r="V176" s="100"/>
    </row>
    <row r="177" spans="1:23" s="97" customFormat="1" x14ac:dyDescent="0.2">
      <c r="A177" s="92"/>
      <c r="B177" s="93"/>
      <c r="C177" s="101" t="s">
        <v>342</v>
      </c>
      <c r="D177" s="93"/>
      <c r="E177" s="102">
        <v>50586</v>
      </c>
      <c r="F177" s="93"/>
      <c r="G177" s="103" t="s">
        <v>341</v>
      </c>
      <c r="H177" s="103" t="s">
        <v>193</v>
      </c>
      <c r="I177" s="104">
        <v>-5</v>
      </c>
      <c r="J177" s="93"/>
      <c r="K177" s="105">
        <v>134194.70000000001</v>
      </c>
      <c r="L177" s="106"/>
      <c r="M177" s="107">
        <v>155802.54</v>
      </c>
      <c r="N177" s="107"/>
      <c r="O177" s="107">
        <v>-14898</v>
      </c>
      <c r="P177" s="107"/>
      <c r="Q177" s="107">
        <v>0</v>
      </c>
      <c r="S177" s="124">
        <v>0</v>
      </c>
      <c r="T177" s="137"/>
      <c r="U177" s="125">
        <v>0</v>
      </c>
      <c r="V177" s="100"/>
    </row>
    <row r="178" spans="1:23" s="97" customFormat="1" x14ac:dyDescent="0.2">
      <c r="A178" s="92"/>
      <c r="B178" s="93"/>
      <c r="C178" s="101" t="s">
        <v>300</v>
      </c>
      <c r="D178" s="93"/>
      <c r="E178" s="102">
        <v>49125</v>
      </c>
      <c r="F178" s="93"/>
      <c r="G178" s="103" t="s">
        <v>341</v>
      </c>
      <c r="H178" s="103" t="s">
        <v>193</v>
      </c>
      <c r="I178" s="104">
        <v>-5</v>
      </c>
      <c r="J178" s="93"/>
      <c r="K178" s="110">
        <v>701742.86</v>
      </c>
      <c r="L178" s="106"/>
      <c r="M178" s="111">
        <v>301006.53000000003</v>
      </c>
      <c r="N178" s="107"/>
      <c r="O178" s="111">
        <v>435823</v>
      </c>
      <c r="P178" s="107"/>
      <c r="Q178" s="111">
        <v>33899</v>
      </c>
      <c r="S178" s="108">
        <v>4.83</v>
      </c>
      <c r="U178" s="109">
        <v>12.9</v>
      </c>
      <c r="V178" s="100"/>
    </row>
    <row r="179" spans="1:23" s="97" customFormat="1" x14ac:dyDescent="0.2">
      <c r="A179" s="92"/>
      <c r="B179" s="93"/>
      <c r="C179" s="101"/>
      <c r="D179" s="93"/>
      <c r="E179" s="94"/>
      <c r="F179" s="93"/>
      <c r="G179" s="103"/>
      <c r="H179" s="103"/>
      <c r="I179" s="104"/>
      <c r="J179" s="93"/>
      <c r="K179" s="105"/>
      <c r="L179" s="106"/>
      <c r="M179" s="107"/>
      <c r="N179" s="107"/>
      <c r="O179" s="107"/>
      <c r="P179" s="107"/>
      <c r="Q179" s="107"/>
      <c r="R179" s="93"/>
      <c r="S179" s="135"/>
      <c r="T179" s="93"/>
      <c r="U179" s="136"/>
      <c r="V179" s="100"/>
    </row>
    <row r="180" spans="1:23" s="97" customFormat="1" x14ac:dyDescent="0.2">
      <c r="A180" s="92"/>
      <c r="B180" s="93"/>
      <c r="C180" s="101" t="s">
        <v>340</v>
      </c>
      <c r="D180" s="93"/>
      <c r="E180" s="94"/>
      <c r="F180" s="93"/>
      <c r="G180" s="103"/>
      <c r="H180" s="103"/>
      <c r="I180" s="104"/>
      <c r="J180" s="93"/>
      <c r="K180" s="105">
        <f>+SUBTOTAL(9,K169:K178)</f>
        <v>26262956.890000001</v>
      </c>
      <c r="L180" s="106"/>
      <c r="M180" s="107">
        <f>+SUBTOTAL(9,M169:M178)</f>
        <v>21790005.859999999</v>
      </c>
      <c r="N180" s="107"/>
      <c r="O180" s="107">
        <f>+SUBTOTAL(9,O169:O178)</f>
        <v>5786100</v>
      </c>
      <c r="P180" s="107"/>
      <c r="Q180" s="107">
        <f>+SUBTOTAL(9,Q169:Q178)</f>
        <v>470259</v>
      </c>
      <c r="R180" s="93"/>
      <c r="S180" s="108">
        <f>Q180/K180*100</f>
        <v>1.7905790348346415</v>
      </c>
      <c r="U180" s="109"/>
      <c r="V180" s="100"/>
      <c r="W180" s="126"/>
    </row>
    <row r="181" spans="1:23" s="97" customFormat="1" x14ac:dyDescent="0.2">
      <c r="A181" s="92"/>
      <c r="B181" s="93"/>
      <c r="C181" s="101"/>
      <c r="D181" s="93"/>
      <c r="E181" s="94"/>
      <c r="F181" s="93"/>
      <c r="G181" s="103"/>
      <c r="H181" s="103"/>
      <c r="I181" s="104"/>
      <c r="J181" s="93"/>
      <c r="K181" s="105"/>
      <c r="L181" s="106"/>
      <c r="M181" s="107"/>
      <c r="N181" s="107"/>
      <c r="O181" s="107"/>
      <c r="P181" s="107"/>
      <c r="Q181" s="107"/>
      <c r="R181" s="93"/>
      <c r="S181" s="135"/>
      <c r="T181" s="93"/>
      <c r="U181" s="136"/>
      <c r="V181" s="100"/>
    </row>
    <row r="182" spans="1:23" s="97" customFormat="1" x14ac:dyDescent="0.2">
      <c r="A182" s="92">
        <v>344</v>
      </c>
      <c r="B182" s="93"/>
      <c r="C182" s="101" t="s">
        <v>339</v>
      </c>
      <c r="D182" s="93"/>
      <c r="E182" s="94"/>
      <c r="F182" s="93"/>
      <c r="G182" s="103"/>
      <c r="H182" s="103"/>
      <c r="I182" s="104"/>
      <c r="J182" s="93"/>
      <c r="K182" s="105" t="s">
        <v>168</v>
      </c>
      <c r="L182" s="106"/>
      <c r="M182" s="107" t="s">
        <v>168</v>
      </c>
      <c r="N182" s="107"/>
      <c r="O182" s="107" t="s">
        <v>168</v>
      </c>
      <c r="P182" s="107"/>
      <c r="Q182" s="107" t="s">
        <v>168</v>
      </c>
      <c r="R182" s="93"/>
      <c r="S182" s="108" t="s">
        <v>168</v>
      </c>
      <c r="U182" s="109" t="s">
        <v>168</v>
      </c>
      <c r="V182" s="100"/>
    </row>
    <row r="183" spans="1:23" s="97" customFormat="1" x14ac:dyDescent="0.2">
      <c r="A183" s="92"/>
      <c r="B183" s="93"/>
      <c r="C183" s="101" t="s">
        <v>338</v>
      </c>
      <c r="D183" s="93"/>
      <c r="E183" s="102">
        <v>46934</v>
      </c>
      <c r="F183" s="93"/>
      <c r="G183" s="103" t="s">
        <v>334</v>
      </c>
      <c r="H183" s="103" t="s">
        <v>193</v>
      </c>
      <c r="I183" s="104">
        <v>-5</v>
      </c>
      <c r="J183" s="93"/>
      <c r="K183" s="105">
        <v>575842.91</v>
      </c>
      <c r="L183" s="106"/>
      <c r="M183" s="107">
        <v>498169.88</v>
      </c>
      <c r="N183" s="107"/>
      <c r="O183" s="107">
        <v>106465</v>
      </c>
      <c r="P183" s="107"/>
      <c r="Q183" s="107">
        <v>15474</v>
      </c>
      <c r="S183" s="108">
        <v>2.69</v>
      </c>
      <c r="U183" s="109">
        <v>6.9</v>
      </c>
      <c r="V183" s="100"/>
    </row>
    <row r="184" spans="1:23" s="97" customFormat="1" x14ac:dyDescent="0.2">
      <c r="A184" s="92"/>
      <c r="B184" s="93"/>
      <c r="C184" s="101" t="s">
        <v>337</v>
      </c>
      <c r="D184" s="93"/>
      <c r="E184" s="102">
        <v>47664</v>
      </c>
      <c r="F184" s="93"/>
      <c r="G184" s="103" t="s">
        <v>334</v>
      </c>
      <c r="H184" s="103" t="s">
        <v>193</v>
      </c>
      <c r="I184" s="104">
        <v>-5</v>
      </c>
      <c r="J184" s="93"/>
      <c r="K184" s="105">
        <v>132727793.51000001</v>
      </c>
      <c r="L184" s="106"/>
      <c r="M184" s="107">
        <v>72475590.359999999</v>
      </c>
      <c r="N184" s="107"/>
      <c r="O184" s="107">
        <v>66888593</v>
      </c>
      <c r="P184" s="107"/>
      <c r="Q184" s="107">
        <v>7510044</v>
      </c>
      <c r="S184" s="108">
        <v>5.66</v>
      </c>
      <c r="U184" s="109">
        <v>8.9</v>
      </c>
      <c r="V184" s="100"/>
    </row>
    <row r="185" spans="1:23" s="97" customFormat="1" x14ac:dyDescent="0.2">
      <c r="A185" s="92"/>
      <c r="B185" s="93"/>
      <c r="C185" s="101" t="s">
        <v>336</v>
      </c>
      <c r="D185" s="93"/>
      <c r="E185" s="102">
        <v>47664</v>
      </c>
      <c r="F185" s="93"/>
      <c r="G185" s="103" t="s">
        <v>334</v>
      </c>
      <c r="H185" s="103" t="s">
        <v>193</v>
      </c>
      <c r="I185" s="104">
        <v>-5</v>
      </c>
      <c r="J185" s="93"/>
      <c r="K185" s="105">
        <v>29745266.309999999</v>
      </c>
      <c r="L185" s="106"/>
      <c r="M185" s="107">
        <v>25072139.050000001</v>
      </c>
      <c r="N185" s="107"/>
      <c r="O185" s="107">
        <v>6160391</v>
      </c>
      <c r="P185" s="107"/>
      <c r="Q185" s="107">
        <v>703631</v>
      </c>
      <c r="S185" s="108">
        <v>2.37</v>
      </c>
      <c r="U185" s="109">
        <v>8.8000000000000007</v>
      </c>
      <c r="V185" s="100"/>
    </row>
    <row r="186" spans="1:23" s="97" customFormat="1" x14ac:dyDescent="0.2">
      <c r="A186" s="92"/>
      <c r="B186" s="93"/>
      <c r="C186" s="101" t="s">
        <v>335</v>
      </c>
      <c r="D186" s="93"/>
      <c r="E186" s="102">
        <v>50586</v>
      </c>
      <c r="F186" s="93"/>
      <c r="G186" s="103" t="s">
        <v>334</v>
      </c>
      <c r="H186" s="103" t="s">
        <v>193</v>
      </c>
      <c r="I186" s="104">
        <v>-5</v>
      </c>
      <c r="J186" s="93"/>
      <c r="K186" s="110">
        <v>35814519.880000003</v>
      </c>
      <c r="L186" s="106"/>
      <c r="M186" s="111">
        <v>28760070.800000001</v>
      </c>
      <c r="N186" s="107"/>
      <c r="O186" s="111">
        <v>8845175</v>
      </c>
      <c r="P186" s="107"/>
      <c r="Q186" s="111">
        <v>530654</v>
      </c>
      <c r="S186" s="108">
        <v>1.48</v>
      </c>
      <c r="U186" s="109">
        <v>16.7</v>
      </c>
      <c r="V186" s="100"/>
    </row>
    <row r="187" spans="1:23" s="97" customFormat="1" x14ac:dyDescent="0.2">
      <c r="A187" s="92"/>
      <c r="B187" s="93"/>
      <c r="C187" s="101"/>
      <c r="D187" s="93"/>
      <c r="E187" s="94"/>
      <c r="F187" s="93"/>
      <c r="G187" s="103"/>
      <c r="H187" s="103"/>
      <c r="I187" s="104"/>
      <c r="J187" s="93"/>
      <c r="K187" s="105"/>
      <c r="L187" s="93"/>
      <c r="M187" s="96"/>
      <c r="N187" s="96"/>
      <c r="O187" s="96"/>
      <c r="P187" s="96"/>
      <c r="Q187" s="96"/>
      <c r="R187" s="93"/>
      <c r="S187" s="133"/>
      <c r="T187" s="93"/>
      <c r="U187" s="134"/>
      <c r="V187" s="100"/>
    </row>
    <row r="188" spans="1:23" s="97" customFormat="1" x14ac:dyDescent="0.2">
      <c r="A188" s="92"/>
      <c r="B188" s="93"/>
      <c r="C188" s="101" t="s">
        <v>333</v>
      </c>
      <c r="D188" s="93"/>
      <c r="E188" s="94"/>
      <c r="F188" s="93"/>
      <c r="G188" s="103"/>
      <c r="H188" s="103"/>
      <c r="I188" s="104"/>
      <c r="J188" s="93"/>
      <c r="K188" s="105">
        <f>+SUBTOTAL(9,K183:K186)</f>
        <v>198863422.60999998</v>
      </c>
      <c r="L188" s="93"/>
      <c r="M188" s="107">
        <f>+SUBTOTAL(9,M183:M186)</f>
        <v>126805970.08999999</v>
      </c>
      <c r="N188" s="96"/>
      <c r="O188" s="107">
        <f>+SUBTOTAL(9,O183:O186)</f>
        <v>82000624</v>
      </c>
      <c r="P188" s="96"/>
      <c r="Q188" s="107">
        <f>+SUBTOTAL(9,Q183:Q186)</f>
        <v>8759803</v>
      </c>
      <c r="R188" s="93"/>
      <c r="S188" s="108">
        <f>Q188/K188*100</f>
        <v>4.4049342433270109</v>
      </c>
      <c r="U188" s="109"/>
      <c r="V188" s="100"/>
    </row>
    <row r="189" spans="1:23" s="97" customFormat="1" x14ac:dyDescent="0.2">
      <c r="A189" s="92"/>
      <c r="B189" s="93"/>
      <c r="C189" s="101"/>
      <c r="D189" s="93"/>
      <c r="E189" s="94"/>
      <c r="F189" s="93"/>
      <c r="G189" s="103"/>
      <c r="H189" s="103"/>
      <c r="I189" s="104"/>
      <c r="J189" s="93"/>
      <c r="K189" s="105"/>
      <c r="L189" s="93"/>
      <c r="M189" s="96"/>
      <c r="N189" s="96"/>
      <c r="O189" s="96"/>
      <c r="P189" s="96"/>
      <c r="Q189" s="96"/>
      <c r="R189" s="93"/>
      <c r="S189" s="108"/>
      <c r="U189" s="109"/>
      <c r="V189" s="100"/>
    </row>
    <row r="190" spans="1:23" s="97" customFormat="1" x14ac:dyDescent="0.2">
      <c r="A190" s="92">
        <v>344.01</v>
      </c>
      <c r="B190" s="93"/>
      <c r="C190" s="101" t="s">
        <v>332</v>
      </c>
      <c r="D190" s="93"/>
      <c r="E190" s="94"/>
      <c r="F190" s="93"/>
      <c r="G190" s="103"/>
      <c r="H190" s="103"/>
      <c r="I190" s="104"/>
      <c r="J190" s="93"/>
      <c r="K190" s="105"/>
      <c r="L190" s="93"/>
      <c r="M190" s="96"/>
      <c r="N190" s="96"/>
      <c r="O190" s="96"/>
      <c r="P190" s="96"/>
      <c r="Q190" s="96"/>
      <c r="R190" s="93"/>
      <c r="S190" s="108"/>
      <c r="U190" s="109"/>
      <c r="V190" s="100"/>
    </row>
    <row r="191" spans="1:23" s="97" customFormat="1" x14ac:dyDescent="0.2">
      <c r="A191" s="92"/>
      <c r="B191" s="93"/>
      <c r="C191" s="101" t="s">
        <v>297</v>
      </c>
      <c r="D191" s="93"/>
      <c r="E191" s="102">
        <v>50221</v>
      </c>
      <c r="F191" s="93"/>
      <c r="G191" s="103" t="s">
        <v>331</v>
      </c>
      <c r="H191" s="103" t="s">
        <v>193</v>
      </c>
      <c r="I191" s="104">
        <v>-5</v>
      </c>
      <c r="J191" s="93"/>
      <c r="K191" s="105">
        <v>584893924.94000006</v>
      </c>
      <c r="L191" s="106"/>
      <c r="M191" s="107">
        <v>227056801.80000001</v>
      </c>
      <c r="N191" s="107"/>
      <c r="O191" s="107">
        <v>387081819</v>
      </c>
      <c r="P191" s="107"/>
      <c r="Q191" s="107">
        <v>25353733</v>
      </c>
      <c r="S191" s="108">
        <v>4.33</v>
      </c>
      <c r="U191" s="109">
        <v>15.3</v>
      </c>
      <c r="V191" s="100"/>
    </row>
    <row r="192" spans="1:23" s="97" customFormat="1" x14ac:dyDescent="0.2">
      <c r="A192" s="92"/>
      <c r="B192" s="93"/>
      <c r="C192" s="101" t="s">
        <v>296</v>
      </c>
      <c r="D192" s="93"/>
      <c r="E192" s="102">
        <v>47664</v>
      </c>
      <c r="F192" s="93"/>
      <c r="G192" s="103" t="s">
        <v>331</v>
      </c>
      <c r="H192" s="103" t="s">
        <v>193</v>
      </c>
      <c r="I192" s="104">
        <v>-5</v>
      </c>
      <c r="J192" s="93"/>
      <c r="K192" s="105">
        <v>153948464.88999999</v>
      </c>
      <c r="L192" s="106"/>
      <c r="M192" s="107">
        <v>94911586.760000005</v>
      </c>
      <c r="N192" s="107"/>
      <c r="O192" s="107">
        <v>66734301</v>
      </c>
      <c r="P192" s="107"/>
      <c r="Q192" s="107">
        <v>7688611</v>
      </c>
      <c r="S192" s="108">
        <v>4.99</v>
      </c>
      <c r="U192" s="109">
        <v>8.6999999999999993</v>
      </c>
      <c r="V192" s="100"/>
    </row>
    <row r="193" spans="1:23" s="97" customFormat="1" x14ac:dyDescent="0.2">
      <c r="A193" s="92"/>
      <c r="B193" s="93"/>
      <c r="C193" s="101" t="s">
        <v>295</v>
      </c>
      <c r="D193" s="93"/>
      <c r="E193" s="102">
        <v>48029</v>
      </c>
      <c r="F193" s="93"/>
      <c r="G193" s="103" t="s">
        <v>331</v>
      </c>
      <c r="H193" s="103" t="s">
        <v>193</v>
      </c>
      <c r="I193" s="104">
        <v>-5</v>
      </c>
      <c r="J193" s="93"/>
      <c r="K193" s="110">
        <v>372431395.79000002</v>
      </c>
      <c r="L193" s="106"/>
      <c r="M193" s="111">
        <v>201881688.53</v>
      </c>
      <c r="N193" s="107"/>
      <c r="O193" s="111">
        <v>189171277</v>
      </c>
      <c r="P193" s="107"/>
      <c r="Q193" s="111">
        <v>19610479</v>
      </c>
      <c r="S193" s="108">
        <v>5.27</v>
      </c>
      <c r="U193" s="109">
        <v>9.6</v>
      </c>
      <c r="V193" s="100"/>
    </row>
    <row r="194" spans="1:23" s="97" customFormat="1" x14ac:dyDescent="0.2">
      <c r="A194" s="92"/>
      <c r="B194" s="93"/>
      <c r="C194" s="101"/>
      <c r="D194" s="93"/>
      <c r="E194" s="94"/>
      <c r="F194" s="93"/>
      <c r="G194" s="103"/>
      <c r="H194" s="103"/>
      <c r="I194" s="104"/>
      <c r="J194" s="93"/>
      <c r="K194" s="105"/>
      <c r="L194" s="106"/>
      <c r="M194" s="107"/>
      <c r="N194" s="107"/>
      <c r="O194" s="107"/>
      <c r="P194" s="107"/>
      <c r="Q194" s="107"/>
      <c r="S194" s="108"/>
      <c r="U194" s="109"/>
      <c r="V194" s="100"/>
    </row>
    <row r="195" spans="1:23" s="97" customFormat="1" x14ac:dyDescent="0.2">
      <c r="A195" s="92"/>
      <c r="B195" s="93"/>
      <c r="C195" s="93" t="s">
        <v>330</v>
      </c>
      <c r="D195" s="93"/>
      <c r="E195" s="94"/>
      <c r="F195" s="93"/>
      <c r="G195" s="93"/>
      <c r="H195" s="93"/>
      <c r="I195" s="95"/>
      <c r="J195" s="93"/>
      <c r="K195" s="105">
        <f>+SUBTOTAL(9,K191:K193)</f>
        <v>1111273785.6200001</v>
      </c>
      <c r="L195" s="93"/>
      <c r="M195" s="107">
        <f>+SUBTOTAL(9,M191:M193)</f>
        <v>523850077.09000003</v>
      </c>
      <c r="N195" s="96"/>
      <c r="O195" s="107">
        <f>+SUBTOTAL(9,O191:O193)</f>
        <v>642987397</v>
      </c>
      <c r="P195" s="96"/>
      <c r="Q195" s="107">
        <f>+SUBTOTAL(9,Q191:Q193)</f>
        <v>52652823</v>
      </c>
      <c r="R195" s="93"/>
      <c r="S195" s="108">
        <f>Q195/K195*100</f>
        <v>4.7380603845184757</v>
      </c>
      <c r="U195" s="109"/>
      <c r="V195" s="100"/>
      <c r="W195" s="126"/>
    </row>
    <row r="196" spans="1:23" s="97" customFormat="1" x14ac:dyDescent="0.2">
      <c r="A196" s="92"/>
      <c r="B196" s="93"/>
      <c r="C196" s="93"/>
      <c r="D196" s="93"/>
      <c r="E196" s="94"/>
      <c r="F196" s="93"/>
      <c r="G196" s="93"/>
      <c r="H196" s="93"/>
      <c r="I196" s="95"/>
      <c r="J196" s="93"/>
      <c r="K196" s="105"/>
      <c r="L196" s="93"/>
      <c r="M196" s="105"/>
      <c r="N196" s="96"/>
      <c r="O196" s="105"/>
      <c r="P196" s="96"/>
      <c r="Q196" s="105"/>
      <c r="R196" s="93"/>
      <c r="S196" s="131"/>
      <c r="T196" s="93"/>
      <c r="U196" s="132"/>
      <c r="V196" s="100"/>
    </row>
    <row r="197" spans="1:23" s="97" customFormat="1" x14ac:dyDescent="0.2">
      <c r="A197" s="92">
        <v>344.2</v>
      </c>
      <c r="B197" s="93"/>
      <c r="C197" s="93" t="s">
        <v>329</v>
      </c>
      <c r="D197" s="93"/>
      <c r="E197" s="94"/>
      <c r="F197" s="93"/>
      <c r="G197" s="93"/>
      <c r="H197" s="93"/>
      <c r="I197" s="95"/>
      <c r="J197" s="93"/>
      <c r="K197" s="105"/>
      <c r="L197" s="93"/>
      <c r="M197" s="96"/>
      <c r="N197" s="96"/>
      <c r="O197" s="96"/>
      <c r="P197" s="96"/>
      <c r="Q197" s="96"/>
      <c r="R197" s="93"/>
      <c r="S197" s="131"/>
      <c r="T197" s="93"/>
      <c r="U197" s="132"/>
      <c r="V197" s="100"/>
    </row>
    <row r="198" spans="1:23" s="97" customFormat="1" x14ac:dyDescent="0.2">
      <c r="A198" s="92"/>
      <c r="B198" s="93"/>
      <c r="C198" s="101" t="s">
        <v>309</v>
      </c>
      <c r="D198" s="93"/>
      <c r="E198" s="102">
        <v>48760</v>
      </c>
      <c r="F198" s="93"/>
      <c r="G198" s="103" t="s">
        <v>328</v>
      </c>
      <c r="H198" s="103" t="s">
        <v>193</v>
      </c>
      <c r="I198" s="104">
        <v>15</v>
      </c>
      <c r="J198" s="93"/>
      <c r="K198" s="105">
        <v>76049182.780000001</v>
      </c>
      <c r="L198" s="106"/>
      <c r="M198" s="107">
        <v>59802615.68</v>
      </c>
      <c r="N198" s="107"/>
      <c r="O198" s="107">
        <v>4839190</v>
      </c>
      <c r="P198" s="107"/>
      <c r="Q198" s="107">
        <v>997446</v>
      </c>
      <c r="S198" s="108">
        <v>1.31</v>
      </c>
      <c r="U198" s="109">
        <v>4.9000000000000004</v>
      </c>
      <c r="V198" s="100"/>
    </row>
    <row r="199" spans="1:23" s="97" customFormat="1" x14ac:dyDescent="0.2">
      <c r="A199" s="92"/>
      <c r="B199" s="93"/>
      <c r="C199" s="101" t="s">
        <v>308</v>
      </c>
      <c r="D199" s="93"/>
      <c r="E199" s="102">
        <v>52047</v>
      </c>
      <c r="F199" s="93"/>
      <c r="G199" s="103" t="s">
        <v>328</v>
      </c>
      <c r="H199" s="103" t="s">
        <v>193</v>
      </c>
      <c r="I199" s="104">
        <v>15</v>
      </c>
      <c r="J199" s="93"/>
      <c r="K199" s="105">
        <v>23593820.399999999</v>
      </c>
      <c r="L199" s="106"/>
      <c r="M199" s="107">
        <v>684414.96</v>
      </c>
      <c r="N199" s="107"/>
      <c r="O199" s="107">
        <v>19370332</v>
      </c>
      <c r="P199" s="107"/>
      <c r="Q199" s="107">
        <v>3266331</v>
      </c>
      <c r="S199" s="108">
        <v>13.84</v>
      </c>
      <c r="U199" s="109">
        <v>5.9</v>
      </c>
      <c r="V199" s="100"/>
    </row>
    <row r="200" spans="1:23" s="97" customFormat="1" x14ac:dyDescent="0.2">
      <c r="A200" s="92"/>
      <c r="B200" s="93"/>
      <c r="C200" s="101" t="s">
        <v>307</v>
      </c>
      <c r="D200" s="93"/>
      <c r="E200" s="102">
        <v>52778</v>
      </c>
      <c r="F200" s="93"/>
      <c r="G200" s="103" t="s">
        <v>328</v>
      </c>
      <c r="H200" s="103" t="s">
        <v>193</v>
      </c>
      <c r="I200" s="104">
        <v>15</v>
      </c>
      <c r="J200" s="93"/>
      <c r="K200" s="105">
        <v>84159829.060000002</v>
      </c>
      <c r="L200" s="106"/>
      <c r="M200" s="107">
        <v>34233568.390000001</v>
      </c>
      <c r="N200" s="107"/>
      <c r="O200" s="107">
        <v>37302286</v>
      </c>
      <c r="P200" s="107"/>
      <c r="Q200" s="107">
        <v>5575209</v>
      </c>
      <c r="S200" s="108">
        <v>6.62</v>
      </c>
      <c r="U200" s="109">
        <v>6.7</v>
      </c>
      <c r="V200" s="100"/>
    </row>
    <row r="201" spans="1:23" s="97" customFormat="1" x14ac:dyDescent="0.2">
      <c r="A201" s="92"/>
      <c r="B201" s="93"/>
      <c r="C201" s="101" t="s">
        <v>306</v>
      </c>
      <c r="D201" s="93"/>
      <c r="E201" s="102">
        <v>53143</v>
      </c>
      <c r="F201" s="93"/>
      <c r="G201" s="103" t="s">
        <v>328</v>
      </c>
      <c r="H201" s="103" t="s">
        <v>193</v>
      </c>
      <c r="I201" s="104">
        <v>15</v>
      </c>
      <c r="J201" s="93"/>
      <c r="K201" s="105">
        <v>38398704.659999996</v>
      </c>
      <c r="L201" s="106"/>
      <c r="M201" s="107">
        <v>-1392089.42</v>
      </c>
      <c r="N201" s="107"/>
      <c r="O201" s="107">
        <v>34030988</v>
      </c>
      <c r="P201" s="107"/>
      <c r="Q201" s="107">
        <v>4500370</v>
      </c>
      <c r="S201" s="108">
        <v>11.72</v>
      </c>
      <c r="U201" s="109">
        <v>7.6</v>
      </c>
      <c r="V201" s="100"/>
    </row>
    <row r="202" spans="1:23" s="97" customFormat="1" x14ac:dyDescent="0.2">
      <c r="A202" s="92"/>
      <c r="B202" s="93"/>
      <c r="C202" s="101" t="s">
        <v>305</v>
      </c>
      <c r="D202" s="93"/>
      <c r="E202" s="102">
        <v>48760</v>
      </c>
      <c r="F202" s="93"/>
      <c r="G202" s="103" t="s">
        <v>328</v>
      </c>
      <c r="H202" s="103" t="s">
        <v>193</v>
      </c>
      <c r="I202" s="104">
        <v>15</v>
      </c>
      <c r="J202" s="93"/>
      <c r="K202" s="105">
        <v>27271841.850000001</v>
      </c>
      <c r="L202" s="106"/>
      <c r="M202" s="107">
        <v>13429752.5</v>
      </c>
      <c r="N202" s="107"/>
      <c r="O202" s="107">
        <v>9751313</v>
      </c>
      <c r="P202" s="107"/>
      <c r="Q202" s="107">
        <v>1521703</v>
      </c>
      <c r="S202" s="108">
        <v>5.58</v>
      </c>
      <c r="U202" s="109">
        <v>6.4</v>
      </c>
      <c r="V202" s="100"/>
    </row>
    <row r="203" spans="1:23" s="97" customFormat="1" x14ac:dyDescent="0.2">
      <c r="A203" s="92"/>
      <c r="B203" s="93"/>
      <c r="C203" s="101" t="s">
        <v>300</v>
      </c>
      <c r="D203" s="93"/>
      <c r="E203" s="102">
        <v>49125</v>
      </c>
      <c r="F203" s="93"/>
      <c r="G203" s="103" t="s">
        <v>328</v>
      </c>
      <c r="H203" s="103" t="s">
        <v>193</v>
      </c>
      <c r="I203" s="104">
        <v>15</v>
      </c>
      <c r="J203" s="93"/>
      <c r="K203" s="110">
        <v>49333643.950000003</v>
      </c>
      <c r="L203" s="106"/>
      <c r="M203" s="111">
        <v>22589859.359999999</v>
      </c>
      <c r="N203" s="107"/>
      <c r="O203" s="111">
        <v>19343738</v>
      </c>
      <c r="P203" s="107"/>
      <c r="Q203" s="111">
        <v>2738334</v>
      </c>
      <c r="S203" s="108">
        <v>5.55</v>
      </c>
      <c r="U203" s="109">
        <v>7.1</v>
      </c>
      <c r="V203" s="100"/>
    </row>
    <row r="204" spans="1:23" s="97" customFormat="1" x14ac:dyDescent="0.2">
      <c r="A204" s="92"/>
      <c r="B204" s="93"/>
      <c r="C204" s="93"/>
      <c r="D204" s="93"/>
      <c r="E204" s="94"/>
      <c r="F204" s="93"/>
      <c r="G204" s="93"/>
      <c r="H204" s="93"/>
      <c r="I204" s="95"/>
      <c r="J204" s="93"/>
      <c r="K204" s="105"/>
      <c r="L204" s="93"/>
      <c r="M204" s="96"/>
      <c r="N204" s="96"/>
      <c r="O204" s="96"/>
      <c r="P204" s="96"/>
      <c r="Q204" s="96"/>
      <c r="R204" s="93"/>
      <c r="S204" s="131"/>
      <c r="T204" s="93"/>
      <c r="U204" s="132"/>
      <c r="V204" s="100"/>
    </row>
    <row r="205" spans="1:23" s="97" customFormat="1" x14ac:dyDescent="0.2">
      <c r="A205" s="92"/>
      <c r="B205" s="93"/>
      <c r="C205" s="93" t="s">
        <v>327</v>
      </c>
      <c r="D205" s="93"/>
      <c r="E205" s="94"/>
      <c r="F205" s="93"/>
      <c r="G205" s="93"/>
      <c r="H205" s="93"/>
      <c r="I205" s="95"/>
      <c r="J205" s="93"/>
      <c r="K205" s="105">
        <f>+SUBTOTAL(9,K198:K203)</f>
        <v>298807022.69999999</v>
      </c>
      <c r="L205" s="106"/>
      <c r="M205" s="107">
        <f>+SUBTOTAL(9,M198:M203)</f>
        <v>129348121.47</v>
      </c>
      <c r="N205" s="107"/>
      <c r="O205" s="107">
        <f>+SUBTOTAL(9,O198:O203)</f>
        <v>124637847</v>
      </c>
      <c r="P205" s="107"/>
      <c r="Q205" s="107">
        <f>+SUBTOTAL(9,Q198:Q203)</f>
        <v>18599393</v>
      </c>
      <c r="R205" s="93"/>
      <c r="S205" s="108">
        <f>Q205/K205*100</f>
        <v>6.2245501567992436</v>
      </c>
      <c r="U205" s="109"/>
      <c r="V205" s="100"/>
      <c r="W205" s="126"/>
    </row>
    <row r="206" spans="1:23" s="97" customFormat="1" x14ac:dyDescent="0.2">
      <c r="A206" s="92"/>
      <c r="B206" s="93"/>
      <c r="C206" s="93"/>
      <c r="D206" s="93"/>
      <c r="E206" s="94"/>
      <c r="F206" s="93"/>
      <c r="G206" s="93"/>
      <c r="H206" s="93"/>
      <c r="I206" s="95"/>
      <c r="J206" s="93"/>
      <c r="K206" s="105"/>
      <c r="L206" s="93"/>
      <c r="M206" s="96"/>
      <c r="N206" s="96"/>
      <c r="O206" s="96"/>
      <c r="P206" s="96"/>
      <c r="Q206" s="96"/>
      <c r="R206" s="93"/>
      <c r="S206" s="131"/>
      <c r="T206" s="93"/>
      <c r="U206" s="132"/>
      <c r="V206" s="100"/>
    </row>
    <row r="207" spans="1:23" s="97" customFormat="1" x14ac:dyDescent="0.2">
      <c r="A207" s="92">
        <v>345</v>
      </c>
      <c r="B207" s="93"/>
      <c r="C207" s="101" t="s">
        <v>326</v>
      </c>
      <c r="D207" s="93"/>
      <c r="E207" s="94"/>
      <c r="F207" s="93"/>
      <c r="G207" s="103"/>
      <c r="H207" s="103"/>
      <c r="I207" s="104"/>
      <c r="J207" s="93"/>
      <c r="K207" s="105" t="s">
        <v>168</v>
      </c>
      <c r="L207" s="106"/>
      <c r="M207" s="107" t="s">
        <v>168</v>
      </c>
      <c r="N207" s="107"/>
      <c r="O207" s="107" t="s">
        <v>168</v>
      </c>
      <c r="P207" s="107"/>
      <c r="Q207" s="107" t="s">
        <v>168</v>
      </c>
      <c r="R207" s="93"/>
      <c r="S207" s="108" t="s">
        <v>168</v>
      </c>
      <c r="U207" s="109" t="s">
        <v>168</v>
      </c>
      <c r="V207" s="100"/>
    </row>
    <row r="208" spans="1:23" s="97" customFormat="1" x14ac:dyDescent="0.2">
      <c r="A208" s="92"/>
      <c r="B208" s="93"/>
      <c r="C208" s="101" t="s">
        <v>325</v>
      </c>
      <c r="D208" s="93"/>
      <c r="E208" s="102">
        <v>48760</v>
      </c>
      <c r="F208" s="93"/>
      <c r="G208" s="103" t="s">
        <v>324</v>
      </c>
      <c r="H208" s="103" t="s">
        <v>193</v>
      </c>
      <c r="I208" s="104">
        <v>-5</v>
      </c>
      <c r="J208" s="93"/>
      <c r="K208" s="105">
        <v>2142714.09</v>
      </c>
      <c r="L208" s="106"/>
      <c r="M208" s="107">
        <v>1783498.52</v>
      </c>
      <c r="N208" s="107"/>
      <c r="O208" s="107">
        <v>466351</v>
      </c>
      <c r="P208" s="107"/>
      <c r="Q208" s="107">
        <v>40892</v>
      </c>
      <c r="S208" s="108">
        <v>1.91</v>
      </c>
      <c r="U208" s="109">
        <v>11.4</v>
      </c>
      <c r="V208" s="100"/>
    </row>
    <row r="209" spans="1:23" s="97" customFormat="1" x14ac:dyDescent="0.2">
      <c r="A209" s="92"/>
      <c r="B209" s="93"/>
      <c r="C209" s="101" t="s">
        <v>308</v>
      </c>
      <c r="D209" s="93"/>
      <c r="E209" s="102">
        <v>52047</v>
      </c>
      <c r="F209" s="93"/>
      <c r="G209" s="103" t="s">
        <v>324</v>
      </c>
      <c r="H209" s="103" t="s">
        <v>193</v>
      </c>
      <c r="I209" s="104">
        <v>-5</v>
      </c>
      <c r="J209" s="93"/>
      <c r="K209" s="105">
        <v>296766.71999999997</v>
      </c>
      <c r="L209" s="106"/>
      <c r="M209" s="107">
        <v>152834.34</v>
      </c>
      <c r="N209" s="107"/>
      <c r="O209" s="107">
        <v>158771</v>
      </c>
      <c r="P209" s="107"/>
      <c r="Q209" s="107">
        <v>8365</v>
      </c>
      <c r="S209" s="108">
        <v>2.82</v>
      </c>
      <c r="U209" s="109">
        <v>19</v>
      </c>
      <c r="V209" s="100"/>
    </row>
    <row r="210" spans="1:23" s="97" customFormat="1" x14ac:dyDescent="0.2">
      <c r="A210" s="92"/>
      <c r="B210" s="93"/>
      <c r="C210" s="101" t="s">
        <v>307</v>
      </c>
      <c r="D210" s="93"/>
      <c r="E210" s="102">
        <v>52778</v>
      </c>
      <c r="F210" s="93"/>
      <c r="G210" s="103" t="s">
        <v>324</v>
      </c>
      <c r="H210" s="103" t="s">
        <v>193</v>
      </c>
      <c r="I210" s="104">
        <v>-5</v>
      </c>
      <c r="J210" s="93"/>
      <c r="K210" s="105">
        <v>9468135</v>
      </c>
      <c r="L210" s="106"/>
      <c r="M210" s="107">
        <v>7960733.1100000003</v>
      </c>
      <c r="N210" s="107"/>
      <c r="O210" s="107">
        <v>1980809</v>
      </c>
      <c r="P210" s="107"/>
      <c r="Q210" s="107">
        <v>94414</v>
      </c>
      <c r="S210" s="108">
        <v>1</v>
      </c>
      <c r="U210" s="109">
        <v>21</v>
      </c>
      <c r="V210" s="100"/>
    </row>
    <row r="211" spans="1:23" s="97" customFormat="1" x14ac:dyDescent="0.2">
      <c r="B211" s="93"/>
      <c r="C211" s="101" t="s">
        <v>306</v>
      </c>
      <c r="D211" s="93"/>
      <c r="E211" s="102">
        <v>53143</v>
      </c>
      <c r="F211" s="93"/>
      <c r="G211" s="103" t="s">
        <v>324</v>
      </c>
      <c r="H211" s="103" t="s">
        <v>193</v>
      </c>
      <c r="I211" s="104">
        <v>-5</v>
      </c>
      <c r="J211" s="93"/>
      <c r="K211" s="105">
        <v>3116823.01</v>
      </c>
      <c r="L211" s="106"/>
      <c r="M211" s="107">
        <v>1214933.6499999999</v>
      </c>
      <c r="N211" s="107"/>
      <c r="O211" s="107">
        <v>2057731</v>
      </c>
      <c r="P211" s="107"/>
      <c r="Q211" s="107">
        <v>93151</v>
      </c>
      <c r="S211" s="108">
        <v>2.99</v>
      </c>
      <c r="U211" s="109">
        <v>22.1</v>
      </c>
      <c r="V211" s="100"/>
    </row>
    <row r="212" spans="1:23" s="97" customFormat="1" x14ac:dyDescent="0.2">
      <c r="A212" s="92"/>
      <c r="B212" s="93"/>
      <c r="C212" s="101" t="s">
        <v>305</v>
      </c>
      <c r="D212" s="93"/>
      <c r="E212" s="102">
        <v>48760</v>
      </c>
      <c r="F212" s="93"/>
      <c r="G212" s="103" t="s">
        <v>324</v>
      </c>
      <c r="H212" s="103" t="s">
        <v>193</v>
      </c>
      <c r="I212" s="104">
        <v>-5</v>
      </c>
      <c r="J212" s="93"/>
      <c r="K212" s="105">
        <v>4444136.8499999996</v>
      </c>
      <c r="L212" s="106"/>
      <c r="M212" s="107">
        <v>3942039.34</v>
      </c>
      <c r="N212" s="107"/>
      <c r="O212" s="107">
        <v>724304</v>
      </c>
      <c r="P212" s="107"/>
      <c r="Q212" s="107">
        <v>61936</v>
      </c>
      <c r="S212" s="108">
        <v>1.39</v>
      </c>
      <c r="U212" s="109">
        <v>11.7</v>
      </c>
      <c r="V212" s="100"/>
    </row>
    <row r="213" spans="1:23" s="97" customFormat="1" x14ac:dyDescent="0.2">
      <c r="A213" s="92"/>
      <c r="B213" s="93"/>
      <c r="C213" s="101" t="s">
        <v>304</v>
      </c>
      <c r="D213" s="93"/>
      <c r="E213" s="102">
        <v>46934</v>
      </c>
      <c r="F213" s="93"/>
      <c r="G213" s="103" t="s">
        <v>324</v>
      </c>
      <c r="H213" s="103" t="s">
        <v>193</v>
      </c>
      <c r="I213" s="104">
        <v>-5</v>
      </c>
      <c r="J213" s="93"/>
      <c r="K213" s="105">
        <v>427409.45</v>
      </c>
      <c r="L213" s="106"/>
      <c r="M213" s="107">
        <v>291077.25</v>
      </c>
      <c r="N213" s="107"/>
      <c r="O213" s="107">
        <v>157703</v>
      </c>
      <c r="P213" s="107"/>
      <c r="Q213" s="107">
        <v>22891</v>
      </c>
      <c r="S213" s="108">
        <v>5.36</v>
      </c>
      <c r="U213" s="109">
        <v>6.9</v>
      </c>
      <c r="V213" s="100"/>
    </row>
    <row r="214" spans="1:23" s="97" customFormat="1" x14ac:dyDescent="0.2">
      <c r="A214" s="92"/>
      <c r="B214" s="93"/>
      <c r="C214" s="101" t="s">
        <v>303</v>
      </c>
      <c r="D214" s="93"/>
      <c r="E214" s="102">
        <v>47664</v>
      </c>
      <c r="F214" s="93"/>
      <c r="G214" s="103" t="s">
        <v>324</v>
      </c>
      <c r="H214" s="103" t="s">
        <v>193</v>
      </c>
      <c r="I214" s="104">
        <v>-5</v>
      </c>
      <c r="J214" s="93"/>
      <c r="K214" s="105">
        <v>8348529.6900000004</v>
      </c>
      <c r="L214" s="106"/>
      <c r="M214" s="107">
        <v>4659284.9000000004</v>
      </c>
      <c r="N214" s="107"/>
      <c r="O214" s="107">
        <v>4106671</v>
      </c>
      <c r="P214" s="107"/>
      <c r="Q214" s="107">
        <v>462150</v>
      </c>
      <c r="S214" s="108">
        <v>5.54</v>
      </c>
      <c r="U214" s="109">
        <v>8.9</v>
      </c>
      <c r="V214" s="100"/>
    </row>
    <row r="215" spans="1:23" s="97" customFormat="1" x14ac:dyDescent="0.2">
      <c r="A215" s="92"/>
      <c r="B215" s="93"/>
      <c r="C215" s="101" t="s">
        <v>302</v>
      </c>
      <c r="D215" s="93"/>
      <c r="E215" s="102">
        <v>47664</v>
      </c>
      <c r="F215" s="93"/>
      <c r="G215" s="103" t="s">
        <v>324</v>
      </c>
      <c r="H215" s="103" t="s">
        <v>193</v>
      </c>
      <c r="I215" s="104">
        <v>-5</v>
      </c>
      <c r="J215" s="93"/>
      <c r="K215" s="105">
        <v>2741656.12</v>
      </c>
      <c r="L215" s="106"/>
      <c r="M215" s="107">
        <v>2096368.66</v>
      </c>
      <c r="N215" s="107"/>
      <c r="O215" s="107">
        <v>782370</v>
      </c>
      <c r="P215" s="107"/>
      <c r="Q215" s="107">
        <v>88145</v>
      </c>
      <c r="S215" s="108">
        <v>3.22</v>
      </c>
      <c r="U215" s="109">
        <v>8.9</v>
      </c>
      <c r="V215" s="100"/>
    </row>
    <row r="216" spans="1:23" s="97" customFormat="1" x14ac:dyDescent="0.2">
      <c r="A216" s="92"/>
      <c r="B216" s="93"/>
      <c r="C216" s="101" t="s">
        <v>301</v>
      </c>
      <c r="D216" s="93"/>
      <c r="E216" s="102">
        <v>50586</v>
      </c>
      <c r="F216" s="93"/>
      <c r="G216" s="103" t="s">
        <v>324</v>
      </c>
      <c r="H216" s="103" t="s">
        <v>193</v>
      </c>
      <c r="I216" s="104">
        <v>-5</v>
      </c>
      <c r="J216" s="93"/>
      <c r="K216" s="105">
        <v>420312.34</v>
      </c>
      <c r="L216" s="106"/>
      <c r="M216" s="107">
        <v>302099.96000000002</v>
      </c>
      <c r="N216" s="107"/>
      <c r="O216" s="107">
        <v>139228</v>
      </c>
      <c r="P216" s="107"/>
      <c r="Q216" s="107">
        <v>8379</v>
      </c>
      <c r="S216" s="108">
        <v>1.99</v>
      </c>
      <c r="U216" s="109">
        <v>16.600000000000001</v>
      </c>
      <c r="V216" s="100"/>
    </row>
    <row r="217" spans="1:23" s="97" customFormat="1" x14ac:dyDescent="0.2">
      <c r="A217" s="92"/>
      <c r="B217" s="93"/>
      <c r="C217" s="101" t="s">
        <v>300</v>
      </c>
      <c r="D217" s="93"/>
      <c r="E217" s="102">
        <v>49125</v>
      </c>
      <c r="F217" s="93"/>
      <c r="G217" s="103" t="s">
        <v>324</v>
      </c>
      <c r="H217" s="103" t="s">
        <v>193</v>
      </c>
      <c r="I217" s="104">
        <v>-5</v>
      </c>
      <c r="J217" s="93"/>
      <c r="K217" s="110">
        <v>3746379.34</v>
      </c>
      <c r="L217" s="106"/>
      <c r="M217" s="111">
        <v>2736839.98</v>
      </c>
      <c r="N217" s="107"/>
      <c r="O217" s="111">
        <v>1196858</v>
      </c>
      <c r="P217" s="107"/>
      <c r="Q217" s="111">
        <v>93713</v>
      </c>
      <c r="S217" s="108">
        <v>2.5</v>
      </c>
      <c r="U217" s="109">
        <v>12.8</v>
      </c>
      <c r="V217" s="100"/>
    </row>
    <row r="218" spans="1:23" s="97" customFormat="1" x14ac:dyDescent="0.2">
      <c r="A218" s="92"/>
      <c r="B218" s="93"/>
      <c r="C218" s="101"/>
      <c r="D218" s="93"/>
      <c r="E218" s="94"/>
      <c r="F218" s="93"/>
      <c r="G218" s="103"/>
      <c r="H218" s="103"/>
      <c r="I218" s="104"/>
      <c r="J218" s="93"/>
      <c r="K218" s="105"/>
      <c r="L218" s="106"/>
      <c r="M218" s="107"/>
      <c r="N218" s="107"/>
      <c r="O218" s="107"/>
      <c r="P218" s="107"/>
      <c r="Q218" s="107"/>
      <c r="R218" s="93"/>
      <c r="S218" s="133"/>
      <c r="T218" s="93"/>
      <c r="U218" s="134"/>
      <c r="V218" s="100"/>
    </row>
    <row r="219" spans="1:23" s="97" customFormat="1" x14ac:dyDescent="0.2">
      <c r="A219" s="92"/>
      <c r="B219" s="93"/>
      <c r="C219" s="101" t="s">
        <v>323</v>
      </c>
      <c r="D219" s="93"/>
      <c r="E219" s="94"/>
      <c r="F219" s="93"/>
      <c r="G219" s="103"/>
      <c r="H219" s="103"/>
      <c r="I219" s="104"/>
      <c r="J219" s="93"/>
      <c r="K219" s="105">
        <f>+SUBTOTAL(9,K208:K217)</f>
        <v>35152862.609999999</v>
      </c>
      <c r="L219" s="106"/>
      <c r="M219" s="107">
        <f>+SUBTOTAL(9,M208:M217)</f>
        <v>25139709.710000001</v>
      </c>
      <c r="N219" s="107"/>
      <c r="O219" s="107">
        <f>+SUBTOTAL(9,O208:O217)</f>
        <v>11770796</v>
      </c>
      <c r="P219" s="107"/>
      <c r="Q219" s="107">
        <f>+SUBTOTAL(9,Q208:Q217)</f>
        <v>974036</v>
      </c>
      <c r="R219" s="93"/>
      <c r="S219" s="108">
        <f>Q219/K219*100</f>
        <v>2.7708582678069416</v>
      </c>
      <c r="U219" s="109"/>
      <c r="V219" s="100"/>
      <c r="W219" s="126"/>
    </row>
    <row r="220" spans="1:23" s="97" customFormat="1" x14ac:dyDescent="0.2">
      <c r="A220" s="92"/>
      <c r="B220" s="93"/>
      <c r="C220" s="101"/>
      <c r="D220" s="93"/>
      <c r="E220" s="94"/>
      <c r="F220" s="93"/>
      <c r="G220" s="103"/>
      <c r="H220" s="103"/>
      <c r="I220" s="104"/>
      <c r="J220" s="93"/>
      <c r="K220" s="105"/>
      <c r="L220" s="106"/>
      <c r="M220" s="107"/>
      <c r="N220" s="107"/>
      <c r="O220" s="107"/>
      <c r="P220" s="107"/>
      <c r="Q220" s="107"/>
      <c r="R220" s="93"/>
      <c r="S220" s="108"/>
      <c r="U220" s="109"/>
      <c r="V220" s="100"/>
    </row>
    <row r="221" spans="1:23" s="97" customFormat="1" x14ac:dyDescent="0.2">
      <c r="A221" s="92">
        <v>345.01</v>
      </c>
      <c r="B221" s="93"/>
      <c r="C221" s="101" t="s">
        <v>322</v>
      </c>
      <c r="D221" s="93"/>
      <c r="E221" s="94"/>
      <c r="F221" s="93"/>
      <c r="G221" s="103"/>
      <c r="H221" s="103"/>
      <c r="I221" s="104"/>
      <c r="J221" s="93"/>
      <c r="K221" s="105"/>
      <c r="L221" s="106"/>
      <c r="M221" s="107"/>
      <c r="N221" s="107"/>
      <c r="O221" s="107"/>
      <c r="P221" s="107"/>
      <c r="Q221" s="107"/>
      <c r="R221" s="93"/>
      <c r="S221" s="108"/>
      <c r="U221" s="109"/>
      <c r="V221" s="100"/>
    </row>
    <row r="222" spans="1:23" s="97" customFormat="1" x14ac:dyDescent="0.2">
      <c r="A222" s="92"/>
      <c r="B222" s="93"/>
      <c r="C222" s="101" t="s">
        <v>297</v>
      </c>
      <c r="D222" s="93"/>
      <c r="E222" s="102">
        <v>50221</v>
      </c>
      <c r="F222" s="93"/>
      <c r="G222" s="103" t="s">
        <v>321</v>
      </c>
      <c r="H222" s="103" t="s">
        <v>193</v>
      </c>
      <c r="I222" s="104">
        <v>-5</v>
      </c>
      <c r="J222" s="93"/>
      <c r="K222" s="105">
        <v>69319466.609999999</v>
      </c>
      <c r="L222" s="106"/>
      <c r="M222" s="107">
        <v>25107016.239999998</v>
      </c>
      <c r="N222" s="107"/>
      <c r="O222" s="107">
        <v>47678424</v>
      </c>
      <c r="P222" s="107"/>
      <c r="Q222" s="107">
        <v>3183875</v>
      </c>
      <c r="S222" s="108">
        <v>4.59</v>
      </c>
      <c r="U222" s="109">
        <v>15</v>
      </c>
      <c r="V222" s="100"/>
    </row>
    <row r="223" spans="1:23" s="97" customFormat="1" x14ac:dyDescent="0.2">
      <c r="A223" s="92"/>
      <c r="B223" s="93"/>
      <c r="C223" s="101" t="s">
        <v>296</v>
      </c>
      <c r="D223" s="93"/>
      <c r="E223" s="102">
        <v>47664</v>
      </c>
      <c r="F223" s="93"/>
      <c r="G223" s="103" t="s">
        <v>321</v>
      </c>
      <c r="H223" s="103" t="s">
        <v>193</v>
      </c>
      <c r="I223" s="104">
        <v>-5</v>
      </c>
      <c r="J223" s="93"/>
      <c r="K223" s="105">
        <v>13961494.550000001</v>
      </c>
      <c r="L223" s="106"/>
      <c r="M223" s="107">
        <v>7734781.3499999996</v>
      </c>
      <c r="N223" s="107"/>
      <c r="O223" s="107">
        <v>6924788</v>
      </c>
      <c r="P223" s="107"/>
      <c r="Q223" s="107">
        <v>806007</v>
      </c>
      <c r="S223" s="108">
        <v>5.77</v>
      </c>
      <c r="U223" s="109">
        <v>8.6</v>
      </c>
      <c r="V223" s="100"/>
    </row>
    <row r="224" spans="1:23" s="97" customFormat="1" x14ac:dyDescent="0.2">
      <c r="A224" s="92"/>
      <c r="B224" s="93"/>
      <c r="C224" s="101" t="s">
        <v>295</v>
      </c>
      <c r="D224" s="93"/>
      <c r="E224" s="102">
        <v>48029</v>
      </c>
      <c r="F224" s="93"/>
      <c r="G224" s="103" t="s">
        <v>321</v>
      </c>
      <c r="H224" s="103" t="s">
        <v>193</v>
      </c>
      <c r="I224" s="104">
        <v>-5</v>
      </c>
      <c r="J224" s="93"/>
      <c r="K224" s="110">
        <v>36882060.32</v>
      </c>
      <c r="L224" s="106"/>
      <c r="M224" s="111">
        <v>21278179</v>
      </c>
      <c r="N224" s="107"/>
      <c r="O224" s="111">
        <v>17447984</v>
      </c>
      <c r="P224" s="107"/>
      <c r="Q224" s="111">
        <v>1836738</v>
      </c>
      <c r="S224" s="108">
        <v>4.9800000000000004</v>
      </c>
      <c r="U224" s="109">
        <v>9.5</v>
      </c>
      <c r="V224" s="100"/>
    </row>
    <row r="225" spans="1:23" s="97" customFormat="1" x14ac:dyDescent="0.2">
      <c r="A225" s="92"/>
      <c r="B225" s="93"/>
      <c r="C225" s="101"/>
      <c r="D225" s="93"/>
      <c r="E225" s="94"/>
      <c r="F225" s="93"/>
      <c r="G225" s="103"/>
      <c r="H225" s="103"/>
      <c r="I225" s="104"/>
      <c r="J225" s="93"/>
      <c r="K225" s="105"/>
      <c r="L225" s="106"/>
      <c r="M225" s="107"/>
      <c r="N225" s="107"/>
      <c r="O225" s="107"/>
      <c r="P225" s="107"/>
      <c r="Q225" s="107"/>
      <c r="S225" s="108"/>
      <c r="U225" s="109"/>
      <c r="V225" s="100"/>
    </row>
    <row r="226" spans="1:23" s="97" customFormat="1" x14ac:dyDescent="0.2">
      <c r="A226" s="92"/>
      <c r="B226" s="93"/>
      <c r="C226" s="101" t="s">
        <v>320</v>
      </c>
      <c r="D226" s="93"/>
      <c r="E226" s="94"/>
      <c r="F226" s="93"/>
      <c r="G226" s="103"/>
      <c r="H226" s="103"/>
      <c r="I226" s="104"/>
      <c r="J226" s="93"/>
      <c r="K226" s="105">
        <f>+SUBTOTAL(9,K222:K224)</f>
        <v>120163021.47999999</v>
      </c>
      <c r="L226" s="106"/>
      <c r="M226" s="107">
        <f>+SUBTOTAL(9,M222:M224)</f>
        <v>54119976.589999996</v>
      </c>
      <c r="N226" s="107"/>
      <c r="O226" s="107">
        <f>+SUBTOTAL(9,O222:O224)</f>
        <v>72051196</v>
      </c>
      <c r="P226" s="107"/>
      <c r="Q226" s="107">
        <f>+SUBTOTAL(9,Q222:Q224)</f>
        <v>5826620</v>
      </c>
      <c r="R226" s="93"/>
      <c r="S226" s="108">
        <f>Q226/K226*100</f>
        <v>4.8489293363597605</v>
      </c>
      <c r="U226" s="109"/>
      <c r="V226" s="100"/>
      <c r="W226" s="126"/>
    </row>
    <row r="227" spans="1:23" s="97" customFormat="1" x14ac:dyDescent="0.2">
      <c r="A227" s="92"/>
      <c r="B227" s="93"/>
      <c r="C227" s="93"/>
      <c r="D227" s="93"/>
      <c r="E227" s="94"/>
      <c r="F227" s="93"/>
      <c r="G227" s="103"/>
      <c r="H227" s="103"/>
      <c r="I227" s="104"/>
      <c r="J227" s="93"/>
      <c r="K227" s="105"/>
      <c r="L227" s="106"/>
      <c r="M227" s="138"/>
      <c r="N227" s="107"/>
      <c r="O227" s="107"/>
      <c r="P227" s="107"/>
      <c r="Q227" s="107"/>
      <c r="R227" s="93"/>
      <c r="S227" s="133"/>
      <c r="T227" s="93"/>
      <c r="U227" s="134"/>
      <c r="V227" s="100"/>
    </row>
    <row r="228" spans="1:23" s="97" customFormat="1" x14ac:dyDescent="0.2">
      <c r="A228" s="92">
        <v>346</v>
      </c>
      <c r="B228" s="93"/>
      <c r="C228" s="101" t="s">
        <v>319</v>
      </c>
      <c r="D228" s="93"/>
      <c r="E228" s="94"/>
      <c r="F228" s="93"/>
      <c r="G228" s="103"/>
      <c r="H228" s="103"/>
      <c r="I228" s="104"/>
      <c r="J228" s="93"/>
      <c r="K228" s="105" t="s">
        <v>168</v>
      </c>
      <c r="L228" s="93"/>
      <c r="M228" s="96" t="s">
        <v>168</v>
      </c>
      <c r="N228" s="96"/>
      <c r="O228" s="96" t="s">
        <v>168</v>
      </c>
      <c r="P228" s="96"/>
      <c r="Q228" s="96" t="s">
        <v>168</v>
      </c>
      <c r="R228" s="93"/>
      <c r="S228" s="133"/>
      <c r="T228" s="93"/>
      <c r="U228" s="134"/>
      <c r="V228" s="100"/>
    </row>
    <row r="229" spans="1:23" s="97" customFormat="1" x14ac:dyDescent="0.2">
      <c r="A229" s="92"/>
      <c r="B229" s="93"/>
      <c r="C229" s="93" t="s">
        <v>318</v>
      </c>
      <c r="D229" s="93"/>
      <c r="E229" s="102">
        <v>48760</v>
      </c>
      <c r="F229" s="93"/>
      <c r="G229" s="103" t="s">
        <v>315</v>
      </c>
      <c r="H229" s="103" t="s">
        <v>193</v>
      </c>
      <c r="I229" s="104">
        <v>-5</v>
      </c>
      <c r="J229" s="93"/>
      <c r="K229" s="105">
        <v>792720.88</v>
      </c>
      <c r="L229" s="106"/>
      <c r="M229" s="107">
        <v>294445.15000000002</v>
      </c>
      <c r="N229" s="107"/>
      <c r="O229" s="107">
        <v>537912</v>
      </c>
      <c r="P229" s="107"/>
      <c r="Q229" s="107">
        <v>46968</v>
      </c>
      <c r="S229" s="108">
        <v>5.92</v>
      </c>
      <c r="U229" s="109">
        <v>11.5</v>
      </c>
      <c r="V229" s="100"/>
    </row>
    <row r="230" spans="1:23" s="97" customFormat="1" x14ac:dyDescent="0.2">
      <c r="A230" s="92"/>
      <c r="B230" s="93"/>
      <c r="C230" s="101" t="s">
        <v>307</v>
      </c>
      <c r="D230" s="93"/>
      <c r="E230" s="102">
        <v>52778</v>
      </c>
      <c r="F230" s="93"/>
      <c r="G230" s="103" t="s">
        <v>315</v>
      </c>
      <c r="H230" s="103" t="s">
        <v>193</v>
      </c>
      <c r="I230" s="104">
        <v>-5</v>
      </c>
      <c r="J230" s="93"/>
      <c r="K230" s="105">
        <v>2236679.35</v>
      </c>
      <c r="L230" s="106"/>
      <c r="M230" s="107">
        <v>1800184.27</v>
      </c>
      <c r="N230" s="107"/>
      <c r="O230" s="107">
        <v>548329</v>
      </c>
      <c r="P230" s="107"/>
      <c r="Q230" s="107">
        <v>26554</v>
      </c>
      <c r="S230" s="108">
        <v>1.19</v>
      </c>
      <c r="U230" s="109">
        <v>20.6</v>
      </c>
      <c r="V230" s="100"/>
    </row>
    <row r="231" spans="1:23" s="97" customFormat="1" x14ac:dyDescent="0.2">
      <c r="A231" s="92"/>
      <c r="B231" s="93"/>
      <c r="C231" s="101" t="s">
        <v>306</v>
      </c>
      <c r="D231" s="93"/>
      <c r="E231" s="102">
        <v>53143</v>
      </c>
      <c r="F231" s="93"/>
      <c r="G231" s="103" t="s">
        <v>315</v>
      </c>
      <c r="H231" s="103" t="s">
        <v>193</v>
      </c>
      <c r="I231" s="104">
        <v>-5</v>
      </c>
      <c r="J231" s="93"/>
      <c r="K231" s="105">
        <v>977846.7</v>
      </c>
      <c r="L231" s="106"/>
      <c r="M231" s="107">
        <v>315217.14</v>
      </c>
      <c r="N231" s="107"/>
      <c r="O231" s="107">
        <v>711522</v>
      </c>
      <c r="P231" s="107"/>
      <c r="Q231" s="107">
        <v>32580</v>
      </c>
      <c r="S231" s="108">
        <v>3.33</v>
      </c>
      <c r="U231" s="109">
        <v>21.8</v>
      </c>
      <c r="V231" s="100"/>
    </row>
    <row r="232" spans="1:23" s="97" customFormat="1" x14ac:dyDescent="0.2">
      <c r="A232" s="92"/>
      <c r="B232" s="93"/>
      <c r="C232" s="101" t="s">
        <v>305</v>
      </c>
      <c r="D232" s="93"/>
      <c r="E232" s="102">
        <v>48760</v>
      </c>
      <c r="F232" s="93"/>
      <c r="G232" s="103" t="s">
        <v>315</v>
      </c>
      <c r="H232" s="103" t="s">
        <v>193</v>
      </c>
      <c r="I232" s="104">
        <v>-5</v>
      </c>
      <c r="J232" s="93"/>
      <c r="K232" s="105">
        <v>2315037.5499999998</v>
      </c>
      <c r="L232" s="106"/>
      <c r="M232" s="107">
        <v>1898492.94</v>
      </c>
      <c r="N232" s="107"/>
      <c r="O232" s="107">
        <v>532296</v>
      </c>
      <c r="P232" s="107"/>
      <c r="Q232" s="107">
        <v>45798</v>
      </c>
      <c r="S232" s="108">
        <v>1.98</v>
      </c>
      <c r="U232" s="109">
        <v>11.6</v>
      </c>
      <c r="V232" s="100"/>
    </row>
    <row r="233" spans="1:23" s="97" customFormat="1" x14ac:dyDescent="0.2">
      <c r="A233" s="92"/>
      <c r="B233" s="93"/>
      <c r="C233" s="93" t="s">
        <v>317</v>
      </c>
      <c r="D233" s="93"/>
      <c r="E233" s="102">
        <v>47664</v>
      </c>
      <c r="F233" s="93"/>
      <c r="G233" s="103" t="s">
        <v>315</v>
      </c>
      <c r="H233" s="103" t="s">
        <v>193</v>
      </c>
      <c r="I233" s="104">
        <v>-5</v>
      </c>
      <c r="J233" s="93"/>
      <c r="K233" s="105">
        <v>353337.64</v>
      </c>
      <c r="L233" s="106"/>
      <c r="M233" s="107">
        <v>307108.24</v>
      </c>
      <c r="N233" s="107"/>
      <c r="O233" s="107">
        <v>63896</v>
      </c>
      <c r="P233" s="107"/>
      <c r="Q233" s="107">
        <v>7336</v>
      </c>
      <c r="S233" s="108">
        <v>2.08</v>
      </c>
      <c r="U233" s="109">
        <v>8.6999999999999993</v>
      </c>
      <c r="V233" s="100"/>
    </row>
    <row r="234" spans="1:23" s="97" customFormat="1" x14ac:dyDescent="0.2">
      <c r="A234" s="92"/>
      <c r="B234" s="93"/>
      <c r="C234" s="101" t="s">
        <v>316</v>
      </c>
      <c r="D234" s="93"/>
      <c r="E234" s="102">
        <v>47664</v>
      </c>
      <c r="F234" s="93"/>
      <c r="G234" s="103" t="s">
        <v>315</v>
      </c>
      <c r="H234" s="103" t="s">
        <v>193</v>
      </c>
      <c r="I234" s="104">
        <v>-5</v>
      </c>
      <c r="J234" s="93"/>
      <c r="K234" s="105">
        <v>156087.78</v>
      </c>
      <c r="L234" s="106"/>
      <c r="M234" s="107">
        <v>169068.43</v>
      </c>
      <c r="N234" s="107"/>
      <c r="O234" s="107">
        <v>-5176</v>
      </c>
      <c r="P234" s="107"/>
      <c r="Q234" s="107">
        <v>0</v>
      </c>
      <c r="S234" s="108">
        <v>0</v>
      </c>
      <c r="U234" s="109">
        <v>0</v>
      </c>
      <c r="V234" s="100"/>
    </row>
    <row r="235" spans="1:23" s="97" customFormat="1" x14ac:dyDescent="0.2">
      <c r="A235" s="92"/>
      <c r="B235" s="93"/>
      <c r="C235" s="101" t="s">
        <v>301</v>
      </c>
      <c r="D235" s="93"/>
      <c r="E235" s="102">
        <v>50586</v>
      </c>
      <c r="F235" s="93"/>
      <c r="G235" s="103" t="s">
        <v>315</v>
      </c>
      <c r="H235" s="103" t="s">
        <v>193</v>
      </c>
      <c r="I235" s="104">
        <v>-5</v>
      </c>
      <c r="J235" s="93"/>
      <c r="K235" s="105">
        <v>46462.34</v>
      </c>
      <c r="L235" s="106"/>
      <c r="M235" s="107">
        <v>35888.65</v>
      </c>
      <c r="N235" s="107"/>
      <c r="O235" s="107">
        <v>12897</v>
      </c>
      <c r="P235" s="107"/>
      <c r="Q235" s="107">
        <v>951</v>
      </c>
      <c r="S235" s="108">
        <v>2.0499999999999998</v>
      </c>
      <c r="U235" s="109">
        <v>13.6</v>
      </c>
      <c r="V235" s="100"/>
    </row>
    <row r="236" spans="1:23" s="97" customFormat="1" x14ac:dyDescent="0.2">
      <c r="A236" s="92"/>
      <c r="B236" s="93"/>
      <c r="C236" s="101" t="s">
        <v>300</v>
      </c>
      <c r="D236" s="93"/>
      <c r="E236" s="102">
        <v>49125</v>
      </c>
      <c r="F236" s="93"/>
      <c r="G236" s="103" t="s">
        <v>315</v>
      </c>
      <c r="H236" s="103" t="s">
        <v>193</v>
      </c>
      <c r="I236" s="104">
        <v>-5</v>
      </c>
      <c r="J236" s="93"/>
      <c r="K236" s="110">
        <v>665876</v>
      </c>
      <c r="L236" s="106"/>
      <c r="M236" s="111">
        <v>517671.09</v>
      </c>
      <c r="N236" s="107"/>
      <c r="O236" s="111">
        <v>181499</v>
      </c>
      <c r="P236" s="107"/>
      <c r="Q236" s="111">
        <v>14348</v>
      </c>
      <c r="S236" s="108">
        <v>2.15</v>
      </c>
      <c r="U236" s="109">
        <v>12.6</v>
      </c>
      <c r="V236" s="100"/>
    </row>
    <row r="237" spans="1:23" s="97" customFormat="1" x14ac:dyDescent="0.2">
      <c r="A237" s="92"/>
      <c r="B237" s="93"/>
      <c r="C237" s="101"/>
      <c r="D237" s="93"/>
      <c r="E237" s="94"/>
      <c r="F237" s="93"/>
      <c r="G237" s="103"/>
      <c r="H237" s="103"/>
      <c r="I237" s="104"/>
      <c r="J237" s="93"/>
      <c r="K237" s="105"/>
      <c r="L237" s="106"/>
      <c r="M237" s="107"/>
      <c r="N237" s="107"/>
      <c r="O237" s="107"/>
      <c r="P237" s="107"/>
      <c r="Q237" s="107"/>
      <c r="R237" s="93"/>
      <c r="S237" s="133"/>
      <c r="T237" s="93"/>
      <c r="U237" s="134"/>
      <c r="V237" s="100"/>
    </row>
    <row r="238" spans="1:23" s="97" customFormat="1" x14ac:dyDescent="0.2">
      <c r="A238" s="92"/>
      <c r="B238" s="93"/>
      <c r="C238" s="120" t="s">
        <v>314</v>
      </c>
      <c r="D238" s="93"/>
      <c r="E238" s="94"/>
      <c r="F238" s="93"/>
      <c r="G238" s="103"/>
      <c r="H238" s="103"/>
      <c r="I238" s="104"/>
      <c r="J238" s="93"/>
      <c r="K238" s="105">
        <f>+SUBTOTAL(9,K229:K236)</f>
        <v>7544048.2399999993</v>
      </c>
      <c r="L238" s="106"/>
      <c r="M238" s="107">
        <f>+SUBTOTAL(9,M229:M236)</f>
        <v>5338075.91</v>
      </c>
      <c r="N238" s="107"/>
      <c r="O238" s="107">
        <f>+SUBTOTAL(9,O229:O236)</f>
        <v>2583175</v>
      </c>
      <c r="P238" s="107"/>
      <c r="Q238" s="107">
        <f>+SUBTOTAL(9,Q229:Q236)</f>
        <v>174535</v>
      </c>
      <c r="R238" s="93"/>
      <c r="S238" s="108">
        <f>Q238/K238*100</f>
        <v>2.3135456514525155</v>
      </c>
      <c r="U238" s="109"/>
      <c r="V238" s="100"/>
      <c r="W238" s="126"/>
    </row>
    <row r="239" spans="1:23" s="97" customFormat="1" x14ac:dyDescent="0.2">
      <c r="A239" s="92"/>
      <c r="B239" s="93"/>
      <c r="C239" s="120"/>
      <c r="D239" s="93"/>
      <c r="E239" s="94"/>
      <c r="F239" s="93"/>
      <c r="G239" s="103"/>
      <c r="H239" s="103"/>
      <c r="I239" s="104"/>
      <c r="J239" s="93"/>
      <c r="K239" s="105"/>
      <c r="L239" s="106"/>
      <c r="M239" s="107"/>
      <c r="N239" s="107"/>
      <c r="O239" s="107"/>
      <c r="P239" s="107"/>
      <c r="Q239" s="107"/>
      <c r="R239" s="93"/>
      <c r="S239" s="108"/>
      <c r="U239" s="109"/>
      <c r="V239" s="100"/>
    </row>
    <row r="240" spans="1:23" s="97" customFormat="1" x14ac:dyDescent="0.2">
      <c r="A240" s="92">
        <v>346.01</v>
      </c>
      <c r="B240" s="93"/>
      <c r="C240" s="101" t="s">
        <v>313</v>
      </c>
      <c r="D240" s="93"/>
      <c r="E240" s="94"/>
      <c r="F240" s="93"/>
      <c r="G240" s="103"/>
      <c r="H240" s="103"/>
      <c r="I240" s="104"/>
      <c r="J240" s="93"/>
      <c r="K240" s="105"/>
      <c r="L240" s="106"/>
      <c r="M240" s="107"/>
      <c r="N240" s="107"/>
      <c r="O240" s="107"/>
      <c r="P240" s="107"/>
      <c r="Q240" s="107"/>
      <c r="R240" s="93"/>
      <c r="S240" s="108"/>
      <c r="U240" s="109"/>
      <c r="V240" s="100"/>
    </row>
    <row r="241" spans="1:23" s="97" customFormat="1" x14ac:dyDescent="0.2">
      <c r="A241" s="92"/>
      <c r="B241" s="93"/>
      <c r="C241" s="101" t="s">
        <v>297</v>
      </c>
      <c r="D241" s="93"/>
      <c r="E241" s="102">
        <v>50221</v>
      </c>
      <c r="F241" s="93"/>
      <c r="G241" s="103" t="s">
        <v>312</v>
      </c>
      <c r="H241" s="103" t="s">
        <v>193</v>
      </c>
      <c r="I241" s="104">
        <v>-5</v>
      </c>
      <c r="J241" s="93"/>
      <c r="K241" s="105">
        <v>2820158.96</v>
      </c>
      <c r="L241" s="106"/>
      <c r="M241" s="107">
        <v>1117388.1499999999</v>
      </c>
      <c r="N241" s="107"/>
      <c r="O241" s="107">
        <v>1843779</v>
      </c>
      <c r="P241" s="107"/>
      <c r="Q241" s="107">
        <v>118571</v>
      </c>
      <c r="S241" s="108">
        <v>4.2</v>
      </c>
      <c r="U241" s="109">
        <v>15.5</v>
      </c>
      <c r="V241" s="100"/>
    </row>
    <row r="242" spans="1:23" s="97" customFormat="1" x14ac:dyDescent="0.2">
      <c r="A242" s="92"/>
      <c r="B242" s="93"/>
      <c r="C242" s="101" t="s">
        <v>296</v>
      </c>
      <c r="D242" s="93"/>
      <c r="E242" s="102">
        <v>47664</v>
      </c>
      <c r="F242" s="93"/>
      <c r="G242" s="103" t="s">
        <v>312</v>
      </c>
      <c r="H242" s="103" t="s">
        <v>193</v>
      </c>
      <c r="I242" s="104">
        <v>-5</v>
      </c>
      <c r="J242" s="93"/>
      <c r="K242" s="105">
        <v>479164.8</v>
      </c>
      <c r="L242" s="106"/>
      <c r="M242" s="107">
        <v>245235.20000000001</v>
      </c>
      <c r="N242" s="107"/>
      <c r="O242" s="107">
        <v>257888</v>
      </c>
      <c r="P242" s="107"/>
      <c r="Q242" s="107">
        <v>29089</v>
      </c>
      <c r="S242" s="108">
        <v>6.07</v>
      </c>
      <c r="U242" s="109">
        <v>8.9</v>
      </c>
      <c r="V242" s="100"/>
    </row>
    <row r="243" spans="1:23" s="97" customFormat="1" x14ac:dyDescent="0.2">
      <c r="A243" s="92"/>
      <c r="B243" s="93"/>
      <c r="C243" s="101" t="s">
        <v>295</v>
      </c>
      <c r="D243" s="93"/>
      <c r="E243" s="102">
        <v>48029</v>
      </c>
      <c r="F243" s="93"/>
      <c r="G243" s="103" t="s">
        <v>312</v>
      </c>
      <c r="H243" s="103" t="s">
        <v>193</v>
      </c>
      <c r="I243" s="104">
        <v>-5</v>
      </c>
      <c r="J243" s="93"/>
      <c r="K243" s="110">
        <v>734215.18</v>
      </c>
      <c r="L243" s="106"/>
      <c r="M243" s="111">
        <v>344388.61</v>
      </c>
      <c r="N243" s="107"/>
      <c r="O243" s="111">
        <v>426537</v>
      </c>
      <c r="P243" s="107"/>
      <c r="Q243" s="111">
        <v>43330</v>
      </c>
      <c r="S243" s="108">
        <v>5.9</v>
      </c>
      <c r="U243" s="109">
        <v>9.8000000000000007</v>
      </c>
      <c r="V243" s="100"/>
    </row>
    <row r="244" spans="1:23" s="97" customFormat="1" x14ac:dyDescent="0.2">
      <c r="A244" s="92"/>
      <c r="B244" s="93"/>
      <c r="C244" s="120"/>
      <c r="D244" s="93"/>
      <c r="E244" s="94"/>
      <c r="F244" s="93"/>
      <c r="G244" s="103"/>
      <c r="H244" s="103"/>
      <c r="I244" s="104"/>
      <c r="J244" s="93"/>
      <c r="K244" s="105"/>
      <c r="L244" s="106"/>
      <c r="M244" s="107"/>
      <c r="N244" s="107"/>
      <c r="O244" s="107"/>
      <c r="P244" s="107"/>
      <c r="Q244" s="107"/>
      <c r="R244" s="93"/>
      <c r="S244" s="108"/>
      <c r="U244" s="109"/>
      <c r="V244" s="100"/>
    </row>
    <row r="245" spans="1:23" s="97" customFormat="1" x14ac:dyDescent="0.2">
      <c r="A245" s="92"/>
      <c r="B245" s="93"/>
      <c r="C245" s="120" t="s">
        <v>311</v>
      </c>
      <c r="D245" s="93"/>
      <c r="E245" s="94"/>
      <c r="F245" s="93"/>
      <c r="G245" s="103"/>
      <c r="H245" s="103"/>
      <c r="I245" s="104"/>
      <c r="J245" s="93"/>
      <c r="K245" s="105">
        <f>+SUBTOTAL(9,K241:K243)</f>
        <v>4033538.94</v>
      </c>
      <c r="L245" s="106"/>
      <c r="M245" s="107">
        <f>+SUBTOTAL(9,M241:M243)</f>
        <v>1707011.96</v>
      </c>
      <c r="N245" s="107"/>
      <c r="O245" s="107">
        <f>+SUBTOTAL(9,O241:O243)</f>
        <v>2528204</v>
      </c>
      <c r="P245" s="107"/>
      <c r="Q245" s="107">
        <f>+SUBTOTAL(9,Q241:Q243)</f>
        <v>190990</v>
      </c>
      <c r="R245" s="93"/>
      <c r="S245" s="108">
        <f>Q245/K245*100</f>
        <v>4.735047878327908</v>
      </c>
      <c r="U245" s="109"/>
      <c r="V245" s="100"/>
      <c r="W245" s="126"/>
    </row>
    <row r="246" spans="1:23" s="97" customFormat="1" x14ac:dyDescent="0.2">
      <c r="A246" s="92"/>
      <c r="B246" s="93"/>
      <c r="C246" s="101"/>
      <c r="D246" s="93"/>
      <c r="E246" s="94"/>
      <c r="F246" s="93"/>
      <c r="G246" s="103"/>
      <c r="H246" s="103"/>
      <c r="I246" s="104"/>
      <c r="J246" s="93"/>
      <c r="K246" s="105"/>
      <c r="L246" s="106"/>
      <c r="M246" s="107"/>
      <c r="N246" s="107"/>
      <c r="O246" s="107"/>
      <c r="P246" s="107"/>
      <c r="Q246" s="107"/>
      <c r="R246" s="93"/>
      <c r="S246" s="135"/>
      <c r="T246" s="93"/>
      <c r="U246" s="136"/>
      <c r="V246" s="100"/>
    </row>
    <row r="247" spans="1:23" s="97" customFormat="1" x14ac:dyDescent="0.2">
      <c r="A247" s="92">
        <v>346.1</v>
      </c>
      <c r="B247" s="93"/>
      <c r="C247" s="101" t="s">
        <v>310</v>
      </c>
      <c r="D247" s="93"/>
      <c r="E247" s="94"/>
      <c r="F247" s="93"/>
      <c r="G247" s="103"/>
      <c r="H247" s="103"/>
      <c r="I247" s="104"/>
      <c r="J247" s="93"/>
      <c r="K247" s="105" t="s">
        <v>168</v>
      </c>
      <c r="L247" s="106"/>
      <c r="M247" s="107" t="s">
        <v>168</v>
      </c>
      <c r="N247" s="107"/>
      <c r="O247" s="107" t="s">
        <v>168</v>
      </c>
      <c r="P247" s="107"/>
      <c r="Q247" s="107" t="s">
        <v>168</v>
      </c>
      <c r="R247" s="93"/>
      <c r="S247" s="133"/>
      <c r="T247" s="93"/>
      <c r="U247" s="134"/>
      <c r="V247" s="100"/>
    </row>
    <row r="248" spans="1:23" s="97" customFormat="1" x14ac:dyDescent="0.2">
      <c r="A248" s="92"/>
      <c r="B248" s="93"/>
      <c r="C248" s="101" t="s">
        <v>309</v>
      </c>
      <c r="D248" s="93"/>
      <c r="E248" s="102">
        <v>46934</v>
      </c>
      <c r="F248" s="93"/>
      <c r="G248" s="103" t="s">
        <v>294</v>
      </c>
      <c r="H248" s="103" t="s">
        <v>193</v>
      </c>
      <c r="I248" s="104">
        <v>0</v>
      </c>
      <c r="J248" s="93"/>
      <c r="K248" s="105">
        <v>536055.93000000005</v>
      </c>
      <c r="L248" s="106"/>
      <c r="M248" s="107">
        <v>292047.38</v>
      </c>
      <c r="N248" s="107"/>
      <c r="O248" s="107">
        <v>244009</v>
      </c>
      <c r="P248" s="107"/>
      <c r="Q248" s="107">
        <v>37337</v>
      </c>
      <c r="S248" s="108">
        <v>6.97</v>
      </c>
      <c r="U248" s="109">
        <v>6.5</v>
      </c>
      <c r="V248" s="100"/>
    </row>
    <row r="249" spans="1:23" s="97" customFormat="1" x14ac:dyDescent="0.2">
      <c r="A249" s="92"/>
      <c r="B249" s="93"/>
      <c r="C249" s="101" t="s">
        <v>308</v>
      </c>
      <c r="D249" s="93"/>
      <c r="E249" s="102">
        <v>52047</v>
      </c>
      <c r="F249" s="93"/>
      <c r="G249" s="103" t="s">
        <v>294</v>
      </c>
      <c r="H249" s="103" t="s">
        <v>193</v>
      </c>
      <c r="I249" s="104">
        <v>0</v>
      </c>
      <c r="J249" s="93"/>
      <c r="K249" s="105">
        <v>57975.360000000001</v>
      </c>
      <c r="L249" s="106"/>
      <c r="M249" s="107">
        <v>28335.65</v>
      </c>
      <c r="N249" s="107"/>
      <c r="O249" s="107">
        <v>29640</v>
      </c>
      <c r="P249" s="107"/>
      <c r="Q249" s="107">
        <v>2673</v>
      </c>
      <c r="S249" s="108">
        <v>4.6100000000000003</v>
      </c>
      <c r="U249" s="109">
        <v>11.1</v>
      </c>
      <c r="V249" s="100"/>
    </row>
    <row r="250" spans="1:23" s="97" customFormat="1" x14ac:dyDescent="0.2">
      <c r="A250" s="92"/>
      <c r="B250" s="93"/>
      <c r="C250" s="101" t="s">
        <v>307</v>
      </c>
      <c r="D250" s="93"/>
      <c r="E250" s="102">
        <v>52778</v>
      </c>
      <c r="F250" s="93"/>
      <c r="G250" s="103" t="s">
        <v>294</v>
      </c>
      <c r="H250" s="103" t="s">
        <v>193</v>
      </c>
      <c r="I250" s="104">
        <v>0</v>
      </c>
      <c r="J250" s="93"/>
      <c r="K250" s="105">
        <v>636867.42000000004</v>
      </c>
      <c r="L250" s="106"/>
      <c r="M250" s="107">
        <v>238484.48000000001</v>
      </c>
      <c r="N250" s="107"/>
      <c r="O250" s="107">
        <v>398383</v>
      </c>
      <c r="P250" s="107"/>
      <c r="Q250" s="107">
        <v>32249</v>
      </c>
      <c r="S250" s="108">
        <v>5.0599999999999996</v>
      </c>
      <c r="U250" s="109">
        <v>12.4</v>
      </c>
      <c r="V250" s="100"/>
    </row>
    <row r="251" spans="1:23" s="97" customFormat="1" x14ac:dyDescent="0.2">
      <c r="A251" s="92"/>
      <c r="B251" s="93"/>
      <c r="C251" s="101" t="s">
        <v>306</v>
      </c>
      <c r="D251" s="93"/>
      <c r="E251" s="102">
        <v>53143</v>
      </c>
      <c r="F251" s="93"/>
      <c r="G251" s="103" t="s">
        <v>294</v>
      </c>
      <c r="H251" s="103" t="s">
        <v>193</v>
      </c>
      <c r="I251" s="104">
        <v>0</v>
      </c>
      <c r="J251" s="93"/>
      <c r="K251" s="105">
        <v>691155.51</v>
      </c>
      <c r="L251" s="106"/>
      <c r="M251" s="107">
        <v>290318.43</v>
      </c>
      <c r="N251" s="107"/>
      <c r="O251" s="107">
        <v>400837</v>
      </c>
      <c r="P251" s="107"/>
      <c r="Q251" s="107">
        <v>29610</v>
      </c>
      <c r="S251" s="108">
        <v>4.28</v>
      </c>
      <c r="U251" s="109">
        <v>13.5</v>
      </c>
      <c r="V251" s="100"/>
    </row>
    <row r="252" spans="1:23" s="97" customFormat="1" x14ac:dyDescent="0.2">
      <c r="A252" s="92"/>
      <c r="B252" s="93"/>
      <c r="C252" s="101" t="s">
        <v>305</v>
      </c>
      <c r="D252" s="93"/>
      <c r="E252" s="102">
        <v>48760</v>
      </c>
      <c r="F252" s="93"/>
      <c r="G252" s="103" t="s">
        <v>294</v>
      </c>
      <c r="H252" s="103" t="s">
        <v>193</v>
      </c>
      <c r="I252" s="104">
        <v>0</v>
      </c>
      <c r="J252" s="93"/>
      <c r="K252" s="105">
        <v>420104.17</v>
      </c>
      <c r="L252" s="106"/>
      <c r="M252" s="107">
        <v>170084.59</v>
      </c>
      <c r="N252" s="107"/>
      <c r="O252" s="107">
        <v>250020</v>
      </c>
      <c r="P252" s="107"/>
      <c r="Q252" s="107">
        <v>24993</v>
      </c>
      <c r="S252" s="108">
        <v>5.95</v>
      </c>
      <c r="U252" s="109">
        <v>10</v>
      </c>
      <c r="V252" s="100"/>
    </row>
    <row r="253" spans="1:23" s="97" customFormat="1" x14ac:dyDescent="0.2">
      <c r="A253" s="92"/>
      <c r="B253" s="113"/>
      <c r="C253" s="101" t="s">
        <v>304</v>
      </c>
      <c r="D253" s="113"/>
      <c r="E253" s="102">
        <v>46934</v>
      </c>
      <c r="F253" s="113"/>
      <c r="G253" s="103" t="s">
        <v>294</v>
      </c>
      <c r="H253" s="103" t="s">
        <v>193</v>
      </c>
      <c r="I253" s="104">
        <v>0</v>
      </c>
      <c r="J253" s="93"/>
      <c r="K253" s="105">
        <v>10249.280000000001</v>
      </c>
      <c r="L253" s="106"/>
      <c r="M253" s="107">
        <v>10138.08</v>
      </c>
      <c r="N253" s="107"/>
      <c r="O253" s="107">
        <v>111</v>
      </c>
      <c r="P253" s="107"/>
      <c r="Q253" s="107">
        <v>19</v>
      </c>
      <c r="S253" s="108">
        <v>0.19</v>
      </c>
      <c r="U253" s="109">
        <v>5.8</v>
      </c>
      <c r="V253" s="100"/>
    </row>
    <row r="254" spans="1:23" s="97" customFormat="1" x14ac:dyDescent="0.2">
      <c r="A254" s="92"/>
      <c r="B254" s="93"/>
      <c r="C254" s="101" t="s">
        <v>303</v>
      </c>
      <c r="D254" s="93"/>
      <c r="E254" s="102">
        <v>47664</v>
      </c>
      <c r="F254" s="93"/>
      <c r="G254" s="103" t="s">
        <v>294</v>
      </c>
      <c r="H254" s="103" t="s">
        <v>193</v>
      </c>
      <c r="I254" s="104">
        <v>0</v>
      </c>
      <c r="J254" s="93"/>
      <c r="K254" s="105">
        <v>609967.99</v>
      </c>
      <c r="L254" s="106"/>
      <c r="M254" s="107">
        <v>501614.02</v>
      </c>
      <c r="N254" s="107"/>
      <c r="O254" s="107">
        <v>108354</v>
      </c>
      <c r="P254" s="107"/>
      <c r="Q254" s="107">
        <v>12610</v>
      </c>
      <c r="S254" s="108">
        <v>2.0699999999999998</v>
      </c>
      <c r="U254" s="109">
        <v>8.6</v>
      </c>
      <c r="V254" s="100"/>
    </row>
    <row r="255" spans="1:23" s="97" customFormat="1" x14ac:dyDescent="0.2">
      <c r="A255" s="92"/>
      <c r="B255" s="93"/>
      <c r="C255" s="101" t="s">
        <v>302</v>
      </c>
      <c r="D255" s="93"/>
      <c r="E255" s="102">
        <v>47664</v>
      </c>
      <c r="F255" s="93"/>
      <c r="G255" s="103" t="s">
        <v>294</v>
      </c>
      <c r="H255" s="103" t="s">
        <v>193</v>
      </c>
      <c r="I255" s="104">
        <v>0</v>
      </c>
      <c r="J255" s="93"/>
      <c r="K255" s="105">
        <v>410987.92</v>
      </c>
      <c r="L255" s="106"/>
      <c r="M255" s="107">
        <v>245862.56</v>
      </c>
      <c r="N255" s="107"/>
      <c r="O255" s="107">
        <v>165125</v>
      </c>
      <c r="P255" s="107"/>
      <c r="Q255" s="107">
        <v>21859</v>
      </c>
      <c r="S255" s="108">
        <v>5.32</v>
      </c>
      <c r="U255" s="109">
        <v>7.6</v>
      </c>
      <c r="V255" s="100"/>
    </row>
    <row r="256" spans="1:23" s="97" customFormat="1" x14ac:dyDescent="0.2">
      <c r="A256" s="92"/>
      <c r="B256" s="93"/>
      <c r="C256" s="101" t="s">
        <v>301</v>
      </c>
      <c r="D256" s="93"/>
      <c r="E256" s="102">
        <v>50586</v>
      </c>
      <c r="F256" s="93"/>
      <c r="G256" s="103" t="s">
        <v>294</v>
      </c>
      <c r="H256" s="103" t="s">
        <v>193</v>
      </c>
      <c r="I256" s="104">
        <v>0</v>
      </c>
      <c r="J256" s="93"/>
      <c r="K256" s="105">
        <v>347330.67</v>
      </c>
      <c r="L256" s="106"/>
      <c r="M256" s="107">
        <v>226319.3</v>
      </c>
      <c r="N256" s="107"/>
      <c r="O256" s="107">
        <v>121011</v>
      </c>
      <c r="P256" s="107"/>
      <c r="Q256" s="107">
        <v>9238</v>
      </c>
      <c r="S256" s="108">
        <v>2.66</v>
      </c>
      <c r="U256" s="109">
        <v>13.1</v>
      </c>
      <c r="V256" s="100"/>
    </row>
    <row r="257" spans="1:23" s="97" customFormat="1" x14ac:dyDescent="0.2">
      <c r="A257" s="92"/>
      <c r="B257" s="93"/>
      <c r="C257" s="101" t="s">
        <v>300</v>
      </c>
      <c r="D257" s="93"/>
      <c r="E257" s="102">
        <v>49125</v>
      </c>
      <c r="F257" s="93"/>
      <c r="G257" s="103" t="s">
        <v>294</v>
      </c>
      <c r="H257" s="103" t="s">
        <v>193</v>
      </c>
      <c r="I257" s="104">
        <v>0</v>
      </c>
      <c r="J257" s="93"/>
      <c r="K257" s="110">
        <v>49395.040000000001</v>
      </c>
      <c r="L257" s="106"/>
      <c r="M257" s="111">
        <v>10510.99</v>
      </c>
      <c r="N257" s="107"/>
      <c r="O257" s="111">
        <v>38884</v>
      </c>
      <c r="P257" s="107"/>
      <c r="Q257" s="111">
        <v>3103</v>
      </c>
      <c r="S257" s="108">
        <v>6.28</v>
      </c>
      <c r="U257" s="109">
        <v>12.5</v>
      </c>
      <c r="V257" s="100"/>
    </row>
    <row r="258" spans="1:23" s="97" customFormat="1" x14ac:dyDescent="0.2">
      <c r="A258" s="92"/>
      <c r="B258" s="93"/>
      <c r="C258" s="101"/>
      <c r="D258" s="93"/>
      <c r="E258" s="94"/>
      <c r="F258" s="93"/>
      <c r="G258" s="103"/>
      <c r="H258" s="103"/>
      <c r="I258" s="104"/>
      <c r="J258" s="93"/>
      <c r="K258" s="105"/>
      <c r="L258" s="93"/>
      <c r="M258" s="96"/>
      <c r="N258" s="96"/>
      <c r="O258" s="96"/>
      <c r="P258" s="96"/>
      <c r="Q258" s="96"/>
      <c r="R258" s="93"/>
      <c r="S258" s="133"/>
      <c r="T258" s="93"/>
      <c r="U258" s="134"/>
      <c r="V258" s="100"/>
    </row>
    <row r="259" spans="1:23" s="97" customFormat="1" x14ac:dyDescent="0.2">
      <c r="A259" s="92"/>
      <c r="B259" s="93"/>
      <c r="C259" s="101" t="s">
        <v>299</v>
      </c>
      <c r="D259" s="93"/>
      <c r="E259" s="94"/>
      <c r="F259" s="93"/>
      <c r="G259" s="103"/>
      <c r="H259" s="103"/>
      <c r="I259" s="104"/>
      <c r="J259" s="93"/>
      <c r="K259" s="105">
        <f>+SUBTOTAL(9,K248:K257)</f>
        <v>3770089.29</v>
      </c>
      <c r="L259" s="93"/>
      <c r="M259" s="107">
        <f>+SUBTOTAL(9,M248:M257)</f>
        <v>2013715.48</v>
      </c>
      <c r="N259" s="96"/>
      <c r="O259" s="107">
        <f>+SUBTOTAL(9,O248:O257)</f>
        <v>1756374</v>
      </c>
      <c r="P259" s="96"/>
      <c r="Q259" s="107">
        <f>+SUBTOTAL(9,Q248:Q257)</f>
        <v>173691</v>
      </c>
      <c r="R259" s="93"/>
      <c r="S259" s="108">
        <f>Q259/K259*100</f>
        <v>4.6070792132352922</v>
      </c>
      <c r="U259" s="109"/>
      <c r="V259" s="100"/>
      <c r="W259" s="126"/>
    </row>
    <row r="260" spans="1:23" s="97" customFormat="1" x14ac:dyDescent="0.2">
      <c r="A260" s="92"/>
      <c r="B260" s="93"/>
      <c r="C260" s="101"/>
      <c r="D260" s="93"/>
      <c r="E260" s="94"/>
      <c r="F260" s="93"/>
      <c r="G260" s="103"/>
      <c r="H260" s="103"/>
      <c r="I260" s="104"/>
      <c r="J260" s="93"/>
      <c r="K260" s="105"/>
      <c r="L260" s="93"/>
      <c r="M260" s="96"/>
      <c r="N260" s="96"/>
      <c r="O260" s="96"/>
      <c r="P260" s="96"/>
      <c r="Q260" s="96"/>
      <c r="R260" s="93"/>
      <c r="S260" s="108"/>
      <c r="U260" s="109"/>
      <c r="V260" s="100"/>
    </row>
    <row r="261" spans="1:23" s="97" customFormat="1" x14ac:dyDescent="0.2">
      <c r="A261" s="92">
        <v>346.11</v>
      </c>
      <c r="B261" s="93"/>
      <c r="C261" s="101" t="s">
        <v>298</v>
      </c>
      <c r="D261" s="93"/>
      <c r="E261" s="94"/>
      <c r="F261" s="93"/>
      <c r="G261" s="103"/>
      <c r="H261" s="103"/>
      <c r="I261" s="104"/>
      <c r="J261" s="93"/>
      <c r="K261" s="105"/>
      <c r="L261" s="93"/>
      <c r="M261" s="96"/>
      <c r="N261" s="96"/>
      <c r="O261" s="96"/>
      <c r="P261" s="96"/>
      <c r="Q261" s="96"/>
      <c r="R261" s="93"/>
      <c r="S261" s="108"/>
      <c r="U261" s="109"/>
      <c r="V261" s="100"/>
    </row>
    <row r="262" spans="1:23" s="97" customFormat="1" x14ac:dyDescent="0.2">
      <c r="A262" s="92"/>
      <c r="B262" s="93"/>
      <c r="C262" s="101" t="s">
        <v>297</v>
      </c>
      <c r="D262" s="93"/>
      <c r="E262" s="102">
        <v>50221</v>
      </c>
      <c r="F262" s="93"/>
      <c r="G262" s="103" t="s">
        <v>294</v>
      </c>
      <c r="H262" s="103" t="s">
        <v>193</v>
      </c>
      <c r="I262" s="104">
        <v>0</v>
      </c>
      <c r="J262" s="93"/>
      <c r="K262" s="105">
        <v>174368.54</v>
      </c>
      <c r="L262" s="106"/>
      <c r="M262" s="107">
        <v>51855.13</v>
      </c>
      <c r="N262" s="107"/>
      <c r="O262" s="107">
        <v>122513</v>
      </c>
      <c r="P262" s="107"/>
      <c r="Q262" s="107">
        <v>9026</v>
      </c>
      <c r="S262" s="108">
        <v>5.18</v>
      </c>
      <c r="U262" s="109">
        <v>13.6</v>
      </c>
      <c r="V262" s="100"/>
    </row>
    <row r="263" spans="1:23" s="97" customFormat="1" x14ac:dyDescent="0.2">
      <c r="A263" s="92"/>
      <c r="B263" s="93"/>
      <c r="C263" s="101" t="s">
        <v>296</v>
      </c>
      <c r="D263" s="93"/>
      <c r="E263" s="102">
        <v>47664</v>
      </c>
      <c r="F263" s="93"/>
      <c r="G263" s="103" t="s">
        <v>294</v>
      </c>
      <c r="H263" s="103" t="s">
        <v>193</v>
      </c>
      <c r="I263" s="104">
        <v>0</v>
      </c>
      <c r="J263" s="93"/>
      <c r="K263" s="105">
        <v>381207.72</v>
      </c>
      <c r="L263" s="106"/>
      <c r="M263" s="107">
        <v>233328.72</v>
      </c>
      <c r="N263" s="107"/>
      <c r="O263" s="107">
        <v>147879</v>
      </c>
      <c r="P263" s="107"/>
      <c r="Q263" s="107">
        <v>19129</v>
      </c>
      <c r="S263" s="108">
        <v>5.0199999999999996</v>
      </c>
      <c r="U263" s="109">
        <v>7.7</v>
      </c>
      <c r="V263" s="100"/>
    </row>
    <row r="264" spans="1:23" s="97" customFormat="1" x14ac:dyDescent="0.2">
      <c r="A264" s="92"/>
      <c r="B264" s="93"/>
      <c r="C264" s="101" t="s">
        <v>295</v>
      </c>
      <c r="D264" s="93"/>
      <c r="E264" s="102">
        <v>48029</v>
      </c>
      <c r="F264" s="93"/>
      <c r="G264" s="103" t="s">
        <v>294</v>
      </c>
      <c r="H264" s="103" t="s">
        <v>193</v>
      </c>
      <c r="I264" s="104">
        <v>0</v>
      </c>
      <c r="J264" s="93"/>
      <c r="K264" s="110">
        <v>348289.53</v>
      </c>
      <c r="L264" s="106"/>
      <c r="M264" s="111">
        <v>154830.44</v>
      </c>
      <c r="N264" s="107"/>
      <c r="O264" s="111">
        <v>193459</v>
      </c>
      <c r="P264" s="107"/>
      <c r="Q264" s="111">
        <v>21074</v>
      </c>
      <c r="S264" s="108">
        <v>6.05</v>
      </c>
      <c r="U264" s="109">
        <v>9.1999999999999993</v>
      </c>
      <c r="V264" s="100"/>
    </row>
    <row r="265" spans="1:23" s="97" customFormat="1" x14ac:dyDescent="0.2">
      <c r="A265" s="92"/>
      <c r="B265" s="93"/>
      <c r="C265" s="101"/>
      <c r="D265" s="93"/>
      <c r="E265" s="94"/>
      <c r="F265" s="93"/>
      <c r="G265" s="103"/>
      <c r="H265" s="103"/>
      <c r="I265" s="104"/>
      <c r="J265" s="93"/>
      <c r="K265" s="105"/>
      <c r="L265" s="93"/>
      <c r="M265" s="96"/>
      <c r="N265" s="96"/>
      <c r="O265" s="96"/>
      <c r="P265" s="96"/>
      <c r="Q265" s="96"/>
      <c r="R265" s="93"/>
      <c r="S265" s="108"/>
      <c r="U265" s="109"/>
      <c r="V265" s="100"/>
    </row>
    <row r="266" spans="1:23" s="97" customFormat="1" x14ac:dyDescent="0.2">
      <c r="A266" s="92"/>
      <c r="B266" s="93"/>
      <c r="C266" s="101" t="s">
        <v>293</v>
      </c>
      <c r="D266" s="93"/>
      <c r="E266" s="94"/>
      <c r="F266" s="93"/>
      <c r="G266" s="103"/>
      <c r="H266" s="103"/>
      <c r="I266" s="104"/>
      <c r="J266" s="93"/>
      <c r="K266" s="105">
        <f>+SUBTOTAL(9,K262:K264)</f>
        <v>903865.79</v>
      </c>
      <c r="L266" s="106"/>
      <c r="M266" s="107">
        <f>+SUBTOTAL(9,M262:M264)</f>
        <v>440014.29</v>
      </c>
      <c r="N266" s="107"/>
      <c r="O266" s="107">
        <f>+SUBTOTAL(9,O262:O264)</f>
        <v>463851</v>
      </c>
      <c r="P266" s="107"/>
      <c r="Q266" s="107">
        <f>+SUBTOTAL(9,Q262:Q264)</f>
        <v>49229</v>
      </c>
      <c r="R266" s="93"/>
      <c r="S266" s="108">
        <f>Q266/K266*100</f>
        <v>5.4464944402863171</v>
      </c>
      <c r="T266" s="93"/>
      <c r="U266" s="109"/>
      <c r="V266" s="100"/>
    </row>
    <row r="267" spans="1:23" s="97" customFormat="1" x14ac:dyDescent="0.2">
      <c r="A267" s="92"/>
      <c r="B267" s="93"/>
      <c r="C267" s="101"/>
      <c r="D267" s="93"/>
      <c r="E267" s="94"/>
      <c r="F267" s="93"/>
      <c r="G267" s="103"/>
      <c r="H267" s="103"/>
      <c r="I267" s="104"/>
      <c r="J267" s="93"/>
      <c r="K267" s="105"/>
      <c r="L267" s="106"/>
      <c r="M267" s="107"/>
      <c r="N267" s="107"/>
      <c r="O267" s="107"/>
      <c r="P267" s="107"/>
      <c r="Q267" s="107"/>
      <c r="R267" s="93"/>
      <c r="S267" s="108"/>
      <c r="T267" s="93"/>
      <c r="U267" s="109"/>
      <c r="V267" s="100"/>
    </row>
    <row r="268" spans="1:23" s="97" customFormat="1" x14ac:dyDescent="0.2">
      <c r="A268" s="92">
        <v>348</v>
      </c>
      <c r="B268" s="93"/>
      <c r="C268" s="101" t="s">
        <v>246</v>
      </c>
      <c r="D268" s="93"/>
      <c r="E268" s="102" t="s">
        <v>292</v>
      </c>
      <c r="F268" s="93"/>
      <c r="G268" s="103" t="s">
        <v>245</v>
      </c>
      <c r="H268" s="103"/>
      <c r="I268" s="104">
        <v>0</v>
      </c>
      <c r="J268" s="93"/>
      <c r="K268" s="110">
        <v>5025581.3</v>
      </c>
      <c r="L268" s="106"/>
      <c r="M268" s="111">
        <v>1273308.0900000001</v>
      </c>
      <c r="N268" s="107"/>
      <c r="O268" s="111">
        <v>3752273</v>
      </c>
      <c r="P268" s="107"/>
      <c r="Q268" s="111">
        <v>248906</v>
      </c>
      <c r="S268" s="108">
        <v>4.95</v>
      </c>
      <c r="U268" s="109">
        <v>15.1</v>
      </c>
      <c r="V268" s="100"/>
      <c r="W268" s="126"/>
    </row>
    <row r="269" spans="1:23" s="97" customFormat="1" x14ac:dyDescent="0.2">
      <c r="A269" s="92"/>
      <c r="B269" s="93"/>
      <c r="C269" s="101"/>
      <c r="D269" s="93"/>
      <c r="E269" s="94"/>
      <c r="F269" s="93"/>
      <c r="G269" s="103"/>
      <c r="H269" s="103"/>
      <c r="I269" s="104"/>
      <c r="J269" s="93"/>
      <c r="K269" s="105"/>
      <c r="L269" s="106"/>
      <c r="M269" s="107"/>
      <c r="N269" s="107"/>
      <c r="O269" s="107"/>
      <c r="P269" s="107"/>
      <c r="Q269" s="107"/>
      <c r="R269" s="93"/>
      <c r="S269" s="108"/>
      <c r="T269" s="93"/>
      <c r="U269" s="109"/>
      <c r="V269" s="100"/>
    </row>
    <row r="270" spans="1:23" ht="15.75" x14ac:dyDescent="0.25">
      <c r="A270" s="89"/>
      <c r="C270" s="139" t="s">
        <v>291</v>
      </c>
      <c r="G270" s="75"/>
      <c r="I270" s="71"/>
      <c r="J270" s="67"/>
      <c r="K270" s="58">
        <f>SUBTOTAL(9,K144:K268)</f>
        <v>1943858722.5399997</v>
      </c>
      <c r="L270" s="116"/>
      <c r="M270" s="63">
        <f>SUBTOTAL(9,M144:M268)</f>
        <v>969890573.93000019</v>
      </c>
      <c r="N270" s="117"/>
      <c r="O270" s="63">
        <f>SUBTOTAL(9,O144:O268)</f>
        <v>1010914701</v>
      </c>
      <c r="P270" s="117"/>
      <c r="Q270" s="63">
        <f>SUBTOTAL(9,Q144:Q268)</f>
        <v>92293725</v>
      </c>
      <c r="R270" s="67"/>
      <c r="S270" s="118">
        <f>ROUND(Q270/K270*100,2)</f>
        <v>4.75</v>
      </c>
      <c r="U270" s="91"/>
      <c r="V270" s="65"/>
    </row>
    <row r="271" spans="1:23" ht="15.75" x14ac:dyDescent="0.25">
      <c r="A271" s="89"/>
      <c r="C271" s="139"/>
      <c r="G271" s="75"/>
      <c r="I271" s="71"/>
      <c r="J271" s="67"/>
      <c r="K271" s="121"/>
      <c r="L271" s="67"/>
      <c r="M271" s="140"/>
      <c r="N271" s="140"/>
      <c r="O271" s="140"/>
      <c r="P271" s="140"/>
      <c r="Q271" s="140"/>
      <c r="R271" s="67"/>
      <c r="S271" s="90"/>
      <c r="U271" s="91"/>
      <c r="V271" s="65"/>
    </row>
    <row r="272" spans="1:23" ht="15.75" x14ac:dyDescent="0.25">
      <c r="A272" s="89"/>
      <c r="C272" s="68" t="s">
        <v>290</v>
      </c>
      <c r="G272" s="75"/>
      <c r="I272" s="115"/>
      <c r="K272" s="121"/>
      <c r="M272" s="87"/>
      <c r="N272" s="87"/>
      <c r="O272" s="87"/>
      <c r="P272" s="87"/>
      <c r="Q272" s="87"/>
      <c r="S272" s="90"/>
      <c r="U272" s="91"/>
      <c r="V272" s="65"/>
    </row>
    <row r="273" spans="1:23" ht="15.75" x14ac:dyDescent="0.25">
      <c r="A273" s="89"/>
      <c r="C273" s="78"/>
      <c r="G273" s="75"/>
      <c r="I273" s="115"/>
      <c r="K273" s="121"/>
      <c r="M273" s="87"/>
      <c r="N273" s="87"/>
      <c r="O273" s="87"/>
      <c r="P273" s="87"/>
      <c r="Q273" s="87"/>
      <c r="S273" s="90"/>
      <c r="U273" s="91"/>
      <c r="V273" s="65"/>
      <c r="W273" s="141"/>
    </row>
    <row r="274" spans="1:23" ht="15.75" x14ac:dyDescent="0.25">
      <c r="A274" s="89">
        <v>350.1</v>
      </c>
      <c r="C274" s="120" t="s">
        <v>252</v>
      </c>
      <c r="E274" s="102"/>
      <c r="G274" s="103" t="s">
        <v>273</v>
      </c>
      <c r="H274" s="103"/>
      <c r="I274" s="104">
        <v>0</v>
      </c>
      <c r="J274" s="93"/>
      <c r="K274" s="105">
        <v>18816782.690000001</v>
      </c>
      <c r="L274" s="106"/>
      <c r="M274" s="107">
        <v>4890463.59</v>
      </c>
      <c r="N274" s="107"/>
      <c r="O274" s="107">
        <v>13926319</v>
      </c>
      <c r="P274" s="107"/>
      <c r="Q274" s="107">
        <v>219808</v>
      </c>
      <c r="R274" s="97"/>
      <c r="S274" s="108">
        <v>1.17</v>
      </c>
      <c r="T274" s="97"/>
      <c r="U274" s="109">
        <v>63.4</v>
      </c>
      <c r="V274" s="65"/>
      <c r="W274" s="141"/>
    </row>
    <row r="275" spans="1:23" x14ac:dyDescent="0.2">
      <c r="A275" s="89">
        <v>350.16</v>
      </c>
      <c r="C275" s="120" t="s">
        <v>289</v>
      </c>
      <c r="E275" s="102"/>
      <c r="G275" s="103" t="s">
        <v>273</v>
      </c>
      <c r="H275" s="103"/>
      <c r="I275" s="104">
        <v>0</v>
      </c>
      <c r="J275" s="93"/>
      <c r="K275" s="105">
        <v>9126688.3200000003</v>
      </c>
      <c r="L275" s="106"/>
      <c r="M275" s="107">
        <v>556115.17000000004</v>
      </c>
      <c r="N275" s="107"/>
      <c r="O275" s="107">
        <v>8570573</v>
      </c>
      <c r="P275" s="107"/>
      <c r="Q275" s="107">
        <v>121393</v>
      </c>
      <c r="R275" s="97"/>
      <c r="S275" s="108">
        <v>1.33</v>
      </c>
      <c r="T275" s="97"/>
      <c r="U275" s="109">
        <v>70.599999999999994</v>
      </c>
      <c r="V275" s="65"/>
      <c r="W275" s="137"/>
    </row>
    <row r="276" spans="1:23" ht="15.75" x14ac:dyDescent="0.25">
      <c r="A276" s="89">
        <v>350.17</v>
      </c>
      <c r="C276" s="120" t="s">
        <v>288</v>
      </c>
      <c r="E276" s="102"/>
      <c r="G276" s="103" t="s">
        <v>273</v>
      </c>
      <c r="H276" s="103"/>
      <c r="I276" s="104">
        <v>0</v>
      </c>
      <c r="J276" s="93"/>
      <c r="K276" s="105">
        <v>20438119.84</v>
      </c>
      <c r="L276" s="106"/>
      <c r="M276" s="107">
        <v>9835618.4600000009</v>
      </c>
      <c r="N276" s="107"/>
      <c r="O276" s="107">
        <v>10602501</v>
      </c>
      <c r="P276" s="107"/>
      <c r="Q276" s="107">
        <v>225930</v>
      </c>
      <c r="R276" s="97"/>
      <c r="S276" s="108">
        <v>1.1100000000000001</v>
      </c>
      <c r="T276" s="97"/>
      <c r="U276" s="109">
        <v>46.9</v>
      </c>
      <c r="V276" s="65"/>
      <c r="W276" s="141"/>
    </row>
    <row r="277" spans="1:23" ht="15.75" x14ac:dyDescent="0.25">
      <c r="A277" s="89">
        <v>350.99</v>
      </c>
      <c r="C277" s="120" t="s">
        <v>287</v>
      </c>
      <c r="E277" s="102"/>
      <c r="G277" s="103" t="s">
        <v>273</v>
      </c>
      <c r="H277" s="103"/>
      <c r="I277" s="104">
        <v>0</v>
      </c>
      <c r="J277" s="93"/>
      <c r="K277" s="105">
        <v>168764.77</v>
      </c>
      <c r="L277" s="106"/>
      <c r="M277" s="107">
        <v>47702.82</v>
      </c>
      <c r="N277" s="107"/>
      <c r="O277" s="107">
        <v>121062</v>
      </c>
      <c r="P277" s="107"/>
      <c r="Q277" s="107">
        <v>2022</v>
      </c>
      <c r="R277" s="97"/>
      <c r="S277" s="108">
        <v>1.2</v>
      </c>
      <c r="T277" s="97"/>
      <c r="U277" s="109">
        <v>59.9</v>
      </c>
      <c r="V277" s="65"/>
      <c r="W277" s="141"/>
    </row>
    <row r="278" spans="1:23" ht="15.75" x14ac:dyDescent="0.25">
      <c r="A278" s="89">
        <v>352</v>
      </c>
      <c r="C278" s="97" t="s">
        <v>286</v>
      </c>
      <c r="E278" s="102"/>
      <c r="G278" s="103" t="s">
        <v>282</v>
      </c>
      <c r="H278" s="103"/>
      <c r="I278" s="104">
        <v>-5</v>
      </c>
      <c r="J278" s="93"/>
      <c r="K278" s="105">
        <v>6231393.7199999997</v>
      </c>
      <c r="L278" s="106"/>
      <c r="M278" s="107">
        <v>1568238.24</v>
      </c>
      <c r="N278" s="107"/>
      <c r="O278" s="107">
        <v>4974725</v>
      </c>
      <c r="P278" s="107"/>
      <c r="Q278" s="107">
        <v>97310</v>
      </c>
      <c r="R278" s="97"/>
      <c r="S278" s="108">
        <v>1.56</v>
      </c>
      <c r="T278" s="97"/>
      <c r="U278" s="109">
        <v>51.1</v>
      </c>
      <c r="V278" s="65"/>
      <c r="W278" s="141"/>
    </row>
    <row r="279" spans="1:23" x14ac:dyDescent="0.2">
      <c r="A279" s="89">
        <v>352.6</v>
      </c>
      <c r="C279" s="97" t="s">
        <v>285</v>
      </c>
      <c r="E279" s="102"/>
      <c r="G279" s="103" t="s">
        <v>282</v>
      </c>
      <c r="H279" s="103"/>
      <c r="I279" s="104">
        <v>-5</v>
      </c>
      <c r="J279" s="93"/>
      <c r="K279" s="105">
        <v>1759633.82</v>
      </c>
      <c r="L279" s="106"/>
      <c r="M279" s="107">
        <v>350940.77</v>
      </c>
      <c r="N279" s="107"/>
      <c r="O279" s="107">
        <v>1496675</v>
      </c>
      <c r="P279" s="107"/>
      <c r="Q279" s="107">
        <v>25431</v>
      </c>
      <c r="R279" s="97"/>
      <c r="S279" s="108">
        <v>1.45</v>
      </c>
      <c r="T279" s="97"/>
      <c r="U279" s="109">
        <v>58.9</v>
      </c>
      <c r="V279" s="65"/>
      <c r="W279" s="137"/>
    </row>
    <row r="280" spans="1:23" ht="15.75" x14ac:dyDescent="0.25">
      <c r="A280" s="89">
        <v>352.7</v>
      </c>
      <c r="C280" s="97" t="s">
        <v>284</v>
      </c>
      <c r="E280" s="102"/>
      <c r="G280" s="103" t="s">
        <v>282</v>
      </c>
      <c r="H280" s="103"/>
      <c r="I280" s="104">
        <v>-5</v>
      </c>
      <c r="J280" s="93"/>
      <c r="K280" s="105">
        <v>1930843.14</v>
      </c>
      <c r="L280" s="106"/>
      <c r="M280" s="107">
        <v>953285.28</v>
      </c>
      <c r="N280" s="107"/>
      <c r="O280" s="107">
        <v>1074100</v>
      </c>
      <c r="P280" s="107"/>
      <c r="Q280" s="107">
        <v>32231</v>
      </c>
      <c r="R280" s="97"/>
      <c r="S280" s="108">
        <v>1.67</v>
      </c>
      <c r="T280" s="97"/>
      <c r="U280" s="109">
        <v>33.299999999999997</v>
      </c>
      <c r="V280" s="65"/>
      <c r="W280" s="141"/>
    </row>
    <row r="281" spans="1:23" ht="15.75" x14ac:dyDescent="0.25">
      <c r="A281" s="89">
        <v>352.9</v>
      </c>
      <c r="C281" s="97" t="s">
        <v>283</v>
      </c>
      <c r="E281" s="102"/>
      <c r="G281" s="103" t="s">
        <v>282</v>
      </c>
      <c r="H281" s="103"/>
      <c r="I281" s="104">
        <v>-5</v>
      </c>
      <c r="J281" s="93"/>
      <c r="K281" s="105">
        <v>1956303.54</v>
      </c>
      <c r="L281" s="106"/>
      <c r="M281" s="107">
        <v>497152.78</v>
      </c>
      <c r="N281" s="107"/>
      <c r="O281" s="107">
        <v>1556966</v>
      </c>
      <c r="P281" s="107"/>
      <c r="Q281" s="107">
        <v>28196</v>
      </c>
      <c r="R281" s="97"/>
      <c r="S281" s="108">
        <v>1.44</v>
      </c>
      <c r="T281" s="97"/>
      <c r="U281" s="109">
        <v>55.2</v>
      </c>
      <c r="V281" s="65"/>
      <c r="W281" s="141"/>
    </row>
    <row r="282" spans="1:23" ht="15.75" x14ac:dyDescent="0.25">
      <c r="A282" s="89">
        <v>353</v>
      </c>
      <c r="C282" s="97" t="s">
        <v>248</v>
      </c>
      <c r="E282" s="102"/>
      <c r="G282" s="103" t="s">
        <v>277</v>
      </c>
      <c r="H282" s="103"/>
      <c r="I282" s="104">
        <v>-10</v>
      </c>
      <c r="J282" s="93"/>
      <c r="K282" s="105">
        <v>186594175.13999999</v>
      </c>
      <c r="L282" s="106"/>
      <c r="M282" s="107">
        <v>59566784.189999998</v>
      </c>
      <c r="N282" s="107"/>
      <c r="O282" s="107">
        <v>145686808</v>
      </c>
      <c r="P282" s="107"/>
      <c r="Q282" s="107">
        <v>4487238</v>
      </c>
      <c r="R282" s="97"/>
      <c r="S282" s="108">
        <v>2.4</v>
      </c>
      <c r="T282" s="97"/>
      <c r="U282" s="109">
        <v>32.5</v>
      </c>
      <c r="V282" s="65"/>
      <c r="W282" s="141"/>
    </row>
    <row r="283" spans="1:23" ht="15.75" x14ac:dyDescent="0.25">
      <c r="A283" s="89">
        <v>353.6</v>
      </c>
      <c r="C283" s="97" t="s">
        <v>281</v>
      </c>
      <c r="E283" s="102"/>
      <c r="G283" s="103" t="s">
        <v>277</v>
      </c>
      <c r="H283" s="103"/>
      <c r="I283" s="104">
        <v>-10</v>
      </c>
      <c r="J283" s="93"/>
      <c r="K283" s="105">
        <v>198099631.71000001</v>
      </c>
      <c r="L283" s="106"/>
      <c r="M283" s="107">
        <v>22188073.940000001</v>
      </c>
      <c r="N283" s="107"/>
      <c r="O283" s="107">
        <v>195721521</v>
      </c>
      <c r="P283" s="107"/>
      <c r="Q283" s="107">
        <v>4973262</v>
      </c>
      <c r="R283" s="97"/>
      <c r="S283" s="108">
        <v>2.5099999999999998</v>
      </c>
      <c r="T283" s="97"/>
      <c r="U283" s="109">
        <v>39.4</v>
      </c>
      <c r="V283" s="65"/>
      <c r="W283" s="141"/>
    </row>
    <row r="284" spans="1:23" ht="15.75" x14ac:dyDescent="0.25">
      <c r="A284" s="89">
        <v>353.7</v>
      </c>
      <c r="C284" s="97" t="s">
        <v>280</v>
      </c>
      <c r="E284" s="102"/>
      <c r="G284" s="103" t="s">
        <v>277</v>
      </c>
      <c r="H284" s="103"/>
      <c r="I284" s="104">
        <v>-10</v>
      </c>
      <c r="J284" s="93"/>
      <c r="K284" s="105">
        <v>181454063.94999999</v>
      </c>
      <c r="L284" s="106"/>
      <c r="M284" s="107">
        <v>68946327.510000005</v>
      </c>
      <c r="N284" s="107"/>
      <c r="O284" s="107">
        <v>130653143</v>
      </c>
      <c r="P284" s="107"/>
      <c r="Q284" s="107">
        <v>4891083</v>
      </c>
      <c r="R284" s="97"/>
      <c r="S284" s="108">
        <v>2.7</v>
      </c>
      <c r="T284" s="97"/>
      <c r="U284" s="109">
        <v>26.7</v>
      </c>
      <c r="V284" s="65"/>
      <c r="W284" s="141"/>
    </row>
    <row r="285" spans="1:23" ht="15.75" x14ac:dyDescent="0.25">
      <c r="A285" s="89">
        <v>353.8</v>
      </c>
      <c r="C285" s="97" t="s">
        <v>279</v>
      </c>
      <c r="E285" s="102"/>
      <c r="G285" s="103" t="s">
        <v>277</v>
      </c>
      <c r="H285" s="103"/>
      <c r="I285" s="104">
        <v>-10</v>
      </c>
      <c r="J285" s="93"/>
      <c r="K285" s="105">
        <v>405246.36</v>
      </c>
      <c r="L285" s="106"/>
      <c r="M285" s="107">
        <v>238913.93</v>
      </c>
      <c r="N285" s="107"/>
      <c r="O285" s="107">
        <v>206857</v>
      </c>
      <c r="P285" s="107"/>
      <c r="Q285" s="107">
        <v>9737</v>
      </c>
      <c r="R285" s="97"/>
      <c r="S285" s="108">
        <v>2.4</v>
      </c>
      <c r="T285" s="97"/>
      <c r="U285" s="109">
        <v>21.2</v>
      </c>
      <c r="V285" s="65"/>
      <c r="W285" s="141"/>
    </row>
    <row r="286" spans="1:23" ht="15.75" x14ac:dyDescent="0.25">
      <c r="A286" s="89">
        <v>353.9</v>
      </c>
      <c r="C286" s="97" t="s">
        <v>278</v>
      </c>
      <c r="E286" s="102"/>
      <c r="G286" s="103" t="s">
        <v>277</v>
      </c>
      <c r="H286" s="103"/>
      <c r="I286" s="104">
        <v>-10</v>
      </c>
      <c r="J286" s="93"/>
      <c r="K286" s="105">
        <v>128797320.38</v>
      </c>
      <c r="L286" s="106"/>
      <c r="M286" s="107">
        <v>50143904.700000003</v>
      </c>
      <c r="N286" s="107"/>
      <c r="O286" s="107">
        <v>91533148</v>
      </c>
      <c r="P286" s="107"/>
      <c r="Q286" s="107">
        <v>2693395</v>
      </c>
      <c r="R286" s="97"/>
      <c r="S286" s="108">
        <v>2.09</v>
      </c>
      <c r="T286" s="97"/>
      <c r="U286" s="109">
        <v>34</v>
      </c>
      <c r="V286" s="65"/>
      <c r="W286" s="141"/>
    </row>
    <row r="287" spans="1:23" ht="15.75" x14ac:dyDescent="0.25">
      <c r="A287" s="89">
        <v>354</v>
      </c>
      <c r="C287" s="97" t="s">
        <v>276</v>
      </c>
      <c r="E287" s="102"/>
      <c r="G287" s="103" t="s">
        <v>273</v>
      </c>
      <c r="H287" s="103"/>
      <c r="I287" s="104">
        <v>-10</v>
      </c>
      <c r="J287" s="93"/>
      <c r="K287" s="105">
        <v>90563275.939999998</v>
      </c>
      <c r="L287" s="106"/>
      <c r="M287" s="107">
        <v>49353540.780000001</v>
      </c>
      <c r="N287" s="107"/>
      <c r="O287" s="107">
        <v>50266063</v>
      </c>
      <c r="P287" s="107"/>
      <c r="Q287" s="107">
        <v>1023527</v>
      </c>
      <c r="R287" s="97"/>
      <c r="S287" s="108">
        <v>1.1299999999999999</v>
      </c>
      <c r="T287" s="97"/>
      <c r="U287" s="109">
        <v>49.1</v>
      </c>
      <c r="V287" s="65"/>
      <c r="W287" s="141"/>
    </row>
    <row r="288" spans="1:23" ht="15.75" x14ac:dyDescent="0.25">
      <c r="A288" s="89">
        <v>354.7</v>
      </c>
      <c r="C288" s="97" t="s">
        <v>275</v>
      </c>
      <c r="E288" s="102"/>
      <c r="G288" s="103" t="s">
        <v>273</v>
      </c>
      <c r="H288" s="103"/>
      <c r="I288" s="104">
        <v>-10</v>
      </c>
      <c r="J288" s="93"/>
      <c r="K288" s="105">
        <v>1503331.22</v>
      </c>
      <c r="L288" s="106"/>
      <c r="M288" s="107">
        <v>1009201.44</v>
      </c>
      <c r="N288" s="107"/>
      <c r="O288" s="107">
        <v>644463</v>
      </c>
      <c r="P288" s="107"/>
      <c r="Q288" s="107">
        <v>13530</v>
      </c>
      <c r="R288" s="97"/>
      <c r="S288" s="108">
        <v>0.9</v>
      </c>
      <c r="T288" s="97"/>
      <c r="U288" s="109">
        <v>47.6</v>
      </c>
      <c r="V288" s="65"/>
      <c r="W288" s="141"/>
    </row>
    <row r="289" spans="1:23" ht="15.75" x14ac:dyDescent="0.25">
      <c r="A289" s="89">
        <v>354.9</v>
      </c>
      <c r="C289" s="97" t="s">
        <v>274</v>
      </c>
      <c r="E289" s="102"/>
      <c r="G289" s="103" t="s">
        <v>273</v>
      </c>
      <c r="H289" s="103"/>
      <c r="I289" s="104">
        <v>-10</v>
      </c>
      <c r="J289" s="93"/>
      <c r="K289" s="105">
        <v>44822.33</v>
      </c>
      <c r="L289" s="106"/>
      <c r="M289" s="107">
        <v>32238.97</v>
      </c>
      <c r="N289" s="107"/>
      <c r="O289" s="107">
        <v>17066</v>
      </c>
      <c r="P289" s="107"/>
      <c r="Q289" s="107">
        <v>258</v>
      </c>
      <c r="R289" s="97"/>
      <c r="S289" s="108">
        <v>0.57999999999999996</v>
      </c>
      <c r="T289" s="97"/>
      <c r="U289" s="109">
        <v>66.099999999999994</v>
      </c>
      <c r="V289" s="65"/>
      <c r="W289" s="141"/>
    </row>
    <row r="290" spans="1:23" ht="15.75" x14ac:dyDescent="0.25">
      <c r="A290" s="89">
        <v>355</v>
      </c>
      <c r="C290" s="97" t="s">
        <v>272</v>
      </c>
      <c r="E290" s="102"/>
      <c r="G290" s="103" t="s">
        <v>268</v>
      </c>
      <c r="H290" s="103"/>
      <c r="I290" s="104">
        <v>-35</v>
      </c>
      <c r="J290" s="93"/>
      <c r="K290" s="105">
        <v>106712267.16</v>
      </c>
      <c r="L290" s="106"/>
      <c r="M290" s="107">
        <v>41422886.670000002</v>
      </c>
      <c r="N290" s="107"/>
      <c r="O290" s="107">
        <v>102638674</v>
      </c>
      <c r="P290" s="107"/>
      <c r="Q290" s="107">
        <v>2556239</v>
      </c>
      <c r="R290" s="97"/>
      <c r="S290" s="108">
        <v>2.4</v>
      </c>
      <c r="T290" s="97"/>
      <c r="U290" s="109">
        <v>40.200000000000003</v>
      </c>
      <c r="V290" s="65"/>
      <c r="W290" s="141"/>
    </row>
    <row r="291" spans="1:23" ht="15.75" x14ac:dyDescent="0.25">
      <c r="A291" s="89">
        <v>355.6</v>
      </c>
      <c r="C291" s="97" t="s">
        <v>271</v>
      </c>
      <c r="E291" s="102"/>
      <c r="G291" s="103" t="s">
        <v>268</v>
      </c>
      <c r="H291" s="103"/>
      <c r="I291" s="104">
        <v>-35</v>
      </c>
      <c r="J291" s="93"/>
      <c r="K291" s="105">
        <v>141114982.36000001</v>
      </c>
      <c r="L291" s="106"/>
      <c r="M291" s="107">
        <v>20688943.32</v>
      </c>
      <c r="N291" s="107"/>
      <c r="O291" s="107">
        <v>169816283</v>
      </c>
      <c r="P291" s="107"/>
      <c r="Q291" s="107">
        <v>3872501</v>
      </c>
      <c r="R291" s="97"/>
      <c r="S291" s="108">
        <v>2.74</v>
      </c>
      <c r="T291" s="97"/>
      <c r="U291" s="109">
        <v>43.9</v>
      </c>
      <c r="V291" s="65"/>
      <c r="W291" s="141"/>
    </row>
    <row r="292" spans="1:23" x14ac:dyDescent="0.2">
      <c r="A292" s="89">
        <v>355.7</v>
      </c>
      <c r="C292" s="97" t="s">
        <v>270</v>
      </c>
      <c r="E292" s="102"/>
      <c r="G292" s="103" t="s">
        <v>268</v>
      </c>
      <c r="H292" s="103"/>
      <c r="I292" s="104">
        <v>-35</v>
      </c>
      <c r="J292" s="93"/>
      <c r="K292" s="105">
        <v>168713517.33000001</v>
      </c>
      <c r="L292" s="106"/>
      <c r="M292" s="107">
        <v>71037481.859999999</v>
      </c>
      <c r="N292" s="107"/>
      <c r="O292" s="107">
        <v>156725767</v>
      </c>
      <c r="P292" s="107"/>
      <c r="Q292" s="107">
        <v>4609839</v>
      </c>
      <c r="R292" s="97"/>
      <c r="S292" s="108">
        <v>2.73</v>
      </c>
      <c r="T292" s="97"/>
      <c r="U292" s="109">
        <v>34</v>
      </c>
      <c r="V292" s="65"/>
      <c r="W292" s="137"/>
    </row>
    <row r="293" spans="1:23" ht="15.75" x14ac:dyDescent="0.25">
      <c r="A293" s="89">
        <v>355.9</v>
      </c>
      <c r="C293" s="97" t="s">
        <v>269</v>
      </c>
      <c r="E293" s="102"/>
      <c r="G293" s="103" t="s">
        <v>268</v>
      </c>
      <c r="H293" s="103"/>
      <c r="I293" s="104">
        <v>-35</v>
      </c>
      <c r="J293" s="93"/>
      <c r="K293" s="105">
        <v>8830274.3900000006</v>
      </c>
      <c r="L293" s="106"/>
      <c r="M293" s="107">
        <v>3397169.3</v>
      </c>
      <c r="N293" s="107"/>
      <c r="O293" s="107">
        <v>8523701</v>
      </c>
      <c r="P293" s="107"/>
      <c r="Q293" s="107">
        <v>221462</v>
      </c>
      <c r="R293" s="97"/>
      <c r="S293" s="108">
        <v>2.5099999999999998</v>
      </c>
      <c r="T293" s="97"/>
      <c r="U293" s="109">
        <v>38.5</v>
      </c>
      <c r="V293" s="65"/>
      <c r="W293" s="141"/>
    </row>
    <row r="294" spans="1:23" ht="15.75" x14ac:dyDescent="0.25">
      <c r="A294" s="89">
        <v>356</v>
      </c>
      <c r="C294" s="97" t="s">
        <v>242</v>
      </c>
      <c r="E294" s="102"/>
      <c r="G294" s="103" t="s">
        <v>264</v>
      </c>
      <c r="H294" s="103"/>
      <c r="I294" s="104">
        <v>-10</v>
      </c>
      <c r="J294" s="93"/>
      <c r="K294" s="105">
        <v>144699690.71000001</v>
      </c>
      <c r="L294" s="106"/>
      <c r="M294" s="107">
        <v>79256676.290000007</v>
      </c>
      <c r="N294" s="107"/>
      <c r="O294" s="107">
        <v>79912983</v>
      </c>
      <c r="P294" s="107"/>
      <c r="Q294" s="107">
        <v>1704078</v>
      </c>
      <c r="R294" s="97"/>
      <c r="S294" s="108">
        <v>1.18</v>
      </c>
      <c r="T294" s="97"/>
      <c r="U294" s="109">
        <v>46.9</v>
      </c>
      <c r="V294" s="65"/>
      <c r="W294" s="141"/>
    </row>
    <row r="295" spans="1:23" ht="15.75" x14ac:dyDescent="0.25">
      <c r="A295" s="89">
        <v>356.6</v>
      </c>
      <c r="C295" s="97" t="s">
        <v>267</v>
      </c>
      <c r="E295" s="102"/>
      <c r="G295" s="103" t="s">
        <v>264</v>
      </c>
      <c r="H295" s="103"/>
      <c r="I295" s="104">
        <v>-10</v>
      </c>
      <c r="J295" s="93"/>
      <c r="K295" s="105">
        <v>46552602.259999998</v>
      </c>
      <c r="L295" s="106"/>
      <c r="M295" s="107">
        <v>4556331.3600000003</v>
      </c>
      <c r="N295" s="107"/>
      <c r="O295" s="107">
        <v>46651531</v>
      </c>
      <c r="P295" s="107"/>
      <c r="Q295" s="107">
        <v>776484</v>
      </c>
      <c r="R295" s="97"/>
      <c r="S295" s="108">
        <v>1.67</v>
      </c>
      <c r="T295" s="97"/>
      <c r="U295" s="109">
        <v>60.1</v>
      </c>
      <c r="V295" s="65"/>
      <c r="W295" s="141"/>
    </row>
    <row r="296" spans="1:23" x14ac:dyDescent="0.2">
      <c r="A296" s="89">
        <v>356.7</v>
      </c>
      <c r="C296" s="97" t="s">
        <v>266</v>
      </c>
      <c r="E296" s="102"/>
      <c r="G296" s="103" t="s">
        <v>264</v>
      </c>
      <c r="H296" s="103"/>
      <c r="I296" s="104">
        <v>-10</v>
      </c>
      <c r="J296" s="93"/>
      <c r="K296" s="105">
        <v>132175518.93000001</v>
      </c>
      <c r="L296" s="106"/>
      <c r="M296" s="107">
        <v>79574644.299999997</v>
      </c>
      <c r="N296" s="107"/>
      <c r="O296" s="107">
        <v>65818427</v>
      </c>
      <c r="P296" s="107"/>
      <c r="Q296" s="107">
        <v>1473722</v>
      </c>
      <c r="R296" s="97"/>
      <c r="S296" s="108">
        <v>1.1100000000000001</v>
      </c>
      <c r="T296" s="97"/>
      <c r="U296" s="109">
        <v>44.7</v>
      </c>
      <c r="V296" s="65"/>
      <c r="W296" s="137"/>
    </row>
    <row r="297" spans="1:23" ht="15.75" x14ac:dyDescent="0.25">
      <c r="A297" s="89">
        <v>356.9</v>
      </c>
      <c r="C297" s="97" t="s">
        <v>265</v>
      </c>
      <c r="E297" s="102"/>
      <c r="G297" s="103" t="s">
        <v>264</v>
      </c>
      <c r="H297" s="103"/>
      <c r="I297" s="104">
        <v>-10</v>
      </c>
      <c r="J297" s="93"/>
      <c r="K297" s="105">
        <v>6055325.1200000001</v>
      </c>
      <c r="L297" s="106"/>
      <c r="M297" s="107">
        <v>2032378.2</v>
      </c>
      <c r="N297" s="107"/>
      <c r="O297" s="107">
        <v>4628479</v>
      </c>
      <c r="P297" s="107"/>
      <c r="Q297" s="107">
        <v>86069</v>
      </c>
      <c r="R297" s="97"/>
      <c r="S297" s="108">
        <v>1.42</v>
      </c>
      <c r="T297" s="97"/>
      <c r="U297" s="109">
        <v>53.8</v>
      </c>
      <c r="V297" s="65"/>
      <c r="W297" s="141"/>
    </row>
    <row r="298" spans="1:23" ht="15.75" x14ac:dyDescent="0.25">
      <c r="A298" s="89">
        <v>357.7</v>
      </c>
      <c r="C298" s="97" t="s">
        <v>263</v>
      </c>
      <c r="E298" s="102"/>
      <c r="G298" s="103" t="s">
        <v>259</v>
      </c>
      <c r="H298" s="103"/>
      <c r="I298" s="104">
        <v>0</v>
      </c>
      <c r="J298" s="93"/>
      <c r="K298" s="105">
        <v>700574.85</v>
      </c>
      <c r="L298" s="106"/>
      <c r="M298" s="107">
        <v>457854.32</v>
      </c>
      <c r="N298" s="107"/>
      <c r="O298" s="107">
        <v>242721</v>
      </c>
      <c r="P298" s="107"/>
      <c r="Q298" s="107">
        <v>16478</v>
      </c>
      <c r="R298" s="97"/>
      <c r="S298" s="108">
        <v>2.35</v>
      </c>
      <c r="T298" s="97"/>
      <c r="U298" s="109">
        <v>14.7</v>
      </c>
      <c r="V298" s="65"/>
      <c r="W298" s="141"/>
    </row>
    <row r="299" spans="1:23" ht="15.75" x14ac:dyDescent="0.25">
      <c r="A299" s="89">
        <v>357.9</v>
      </c>
      <c r="C299" s="97" t="s">
        <v>262</v>
      </c>
      <c r="E299" s="102"/>
      <c r="G299" s="103" t="s">
        <v>259</v>
      </c>
      <c r="H299" s="103"/>
      <c r="I299" s="104">
        <v>0</v>
      </c>
      <c r="J299" s="93"/>
      <c r="K299" s="105">
        <v>510284.37</v>
      </c>
      <c r="L299" s="106"/>
      <c r="M299" s="107">
        <v>159705.57999999999</v>
      </c>
      <c r="N299" s="107"/>
      <c r="O299" s="107">
        <v>350579</v>
      </c>
      <c r="P299" s="107"/>
      <c r="Q299" s="107">
        <v>8745</v>
      </c>
      <c r="R299" s="97"/>
      <c r="S299" s="108">
        <v>1.71</v>
      </c>
      <c r="T299" s="97"/>
      <c r="U299" s="109">
        <v>40.1</v>
      </c>
      <c r="V299" s="65"/>
      <c r="W299" s="141"/>
    </row>
    <row r="300" spans="1:23" ht="15.75" x14ac:dyDescent="0.25">
      <c r="A300" s="89">
        <v>358.7</v>
      </c>
      <c r="C300" s="97" t="s">
        <v>261</v>
      </c>
      <c r="E300" s="102"/>
      <c r="G300" s="103" t="s">
        <v>259</v>
      </c>
      <c r="H300" s="103"/>
      <c r="I300" s="104">
        <v>0</v>
      </c>
      <c r="J300" s="93"/>
      <c r="K300" s="105">
        <v>2932873.15</v>
      </c>
      <c r="L300" s="106"/>
      <c r="M300" s="107">
        <v>2718372.61</v>
      </c>
      <c r="N300" s="107"/>
      <c r="O300" s="107">
        <v>214501</v>
      </c>
      <c r="P300" s="107"/>
      <c r="Q300" s="107">
        <v>12087</v>
      </c>
      <c r="R300" s="97"/>
      <c r="S300" s="108">
        <v>0.41</v>
      </c>
      <c r="T300" s="97"/>
      <c r="U300" s="109">
        <v>17.7</v>
      </c>
      <c r="V300" s="65"/>
      <c r="W300" s="141"/>
    </row>
    <row r="301" spans="1:23" ht="15.75" x14ac:dyDescent="0.25">
      <c r="A301" s="89">
        <v>358.9</v>
      </c>
      <c r="C301" s="97" t="s">
        <v>260</v>
      </c>
      <c r="E301" s="102"/>
      <c r="G301" s="103" t="s">
        <v>259</v>
      </c>
      <c r="H301" s="103"/>
      <c r="I301" s="104">
        <v>0</v>
      </c>
      <c r="J301" s="93"/>
      <c r="K301" s="105">
        <v>34023856.659999996</v>
      </c>
      <c r="L301" s="106"/>
      <c r="M301" s="107">
        <v>11627480.99</v>
      </c>
      <c r="N301" s="107"/>
      <c r="O301" s="107">
        <v>22396376</v>
      </c>
      <c r="P301" s="107"/>
      <c r="Q301" s="107">
        <v>506115</v>
      </c>
      <c r="R301" s="97"/>
      <c r="S301" s="108">
        <v>1.49</v>
      </c>
      <c r="T301" s="97"/>
      <c r="U301" s="109">
        <v>44.3</v>
      </c>
      <c r="V301" s="65"/>
      <c r="W301" s="141"/>
    </row>
    <row r="302" spans="1:23" ht="15.75" x14ac:dyDescent="0.25">
      <c r="A302" s="89">
        <v>359</v>
      </c>
      <c r="C302" s="97" t="s">
        <v>258</v>
      </c>
      <c r="E302" s="102"/>
      <c r="G302" s="103" t="s">
        <v>255</v>
      </c>
      <c r="H302" s="103"/>
      <c r="I302" s="104">
        <v>0</v>
      </c>
      <c r="J302" s="93"/>
      <c r="K302" s="105">
        <v>1729934.16</v>
      </c>
      <c r="L302" s="106"/>
      <c r="M302" s="107">
        <v>501182.78</v>
      </c>
      <c r="N302" s="107"/>
      <c r="O302" s="107">
        <v>1228751</v>
      </c>
      <c r="P302" s="107"/>
      <c r="Q302" s="107">
        <v>22174</v>
      </c>
      <c r="R302" s="97"/>
      <c r="S302" s="108">
        <v>1.28</v>
      </c>
      <c r="T302" s="97"/>
      <c r="U302" s="109">
        <v>55.4</v>
      </c>
      <c r="V302" s="65"/>
      <c r="W302" s="141"/>
    </row>
    <row r="303" spans="1:23" ht="15.75" x14ac:dyDescent="0.25">
      <c r="A303" s="89">
        <v>359.7</v>
      </c>
      <c r="C303" s="97" t="s">
        <v>257</v>
      </c>
      <c r="E303" s="102"/>
      <c r="G303" s="103" t="s">
        <v>255</v>
      </c>
      <c r="H303" s="103"/>
      <c r="I303" s="104">
        <v>0</v>
      </c>
      <c r="J303" s="93"/>
      <c r="K303" s="105">
        <v>568185.43000000005</v>
      </c>
      <c r="L303" s="106"/>
      <c r="M303" s="107">
        <v>334742.2</v>
      </c>
      <c r="N303" s="107"/>
      <c r="O303" s="107">
        <v>233443</v>
      </c>
      <c r="P303" s="107"/>
      <c r="Q303" s="107">
        <v>7331</v>
      </c>
      <c r="R303" s="97"/>
      <c r="S303" s="108">
        <v>1.29</v>
      </c>
      <c r="T303" s="97"/>
      <c r="U303" s="109">
        <v>31.8</v>
      </c>
      <c r="V303" s="65"/>
      <c r="W303" s="141"/>
    </row>
    <row r="304" spans="1:23" ht="15.75" x14ac:dyDescent="0.25">
      <c r="A304" s="89">
        <v>359.99</v>
      </c>
      <c r="C304" s="97" t="s">
        <v>256</v>
      </c>
      <c r="E304" s="102"/>
      <c r="G304" s="103" t="s">
        <v>255</v>
      </c>
      <c r="H304" s="103"/>
      <c r="I304" s="104">
        <v>0</v>
      </c>
      <c r="J304" s="93"/>
      <c r="K304" s="110">
        <v>8020.92</v>
      </c>
      <c r="L304" s="106"/>
      <c r="M304" s="111">
        <v>4030.17</v>
      </c>
      <c r="N304" s="107"/>
      <c r="O304" s="111">
        <v>3991</v>
      </c>
      <c r="P304" s="107"/>
      <c r="Q304" s="111">
        <v>99</v>
      </c>
      <c r="R304" s="97"/>
      <c r="S304" s="108">
        <v>1.23</v>
      </c>
      <c r="T304" s="97"/>
      <c r="U304" s="109">
        <v>40.299999999999997</v>
      </c>
      <c r="V304" s="65"/>
      <c r="W304" s="141"/>
    </row>
    <row r="305" spans="1:23" ht="15.75" x14ac:dyDescent="0.25">
      <c r="A305" s="89"/>
      <c r="C305" s="97"/>
      <c r="G305" s="75"/>
      <c r="I305" s="115"/>
      <c r="K305" s="121"/>
      <c r="M305" s="142"/>
      <c r="N305" s="87"/>
      <c r="O305" s="142"/>
      <c r="P305" s="87"/>
      <c r="Q305" s="142"/>
      <c r="S305" s="90"/>
      <c r="U305" s="91"/>
      <c r="V305" s="65"/>
      <c r="W305" s="141"/>
    </row>
    <row r="306" spans="1:23" ht="15.75" x14ac:dyDescent="0.25">
      <c r="A306" s="89"/>
      <c r="C306" s="84" t="s">
        <v>254</v>
      </c>
      <c r="G306" s="69"/>
      <c r="H306" s="67"/>
      <c r="I306" s="71"/>
      <c r="J306" s="67"/>
      <c r="K306" s="58">
        <f>+SUBTOTAL(9,K274:K304)</f>
        <v>1643218304.6700001</v>
      </c>
      <c r="L306" s="116"/>
      <c r="M306" s="63">
        <f>+SUBTOTAL(9,M274:M304)</f>
        <v>587948382.52000022</v>
      </c>
      <c r="N306" s="117"/>
      <c r="O306" s="63">
        <f>+SUBTOTAL(9,O274:O304)</f>
        <v>1316438197</v>
      </c>
      <c r="P306" s="117"/>
      <c r="Q306" s="63">
        <f>+SUBTOTAL(9,Q274:Q304)</f>
        <v>34717774</v>
      </c>
      <c r="S306" s="118">
        <f>ROUND(Q306/K306*100,2)</f>
        <v>2.11</v>
      </c>
      <c r="U306" s="91"/>
      <c r="V306" s="65"/>
      <c r="W306" s="141"/>
    </row>
    <row r="307" spans="1:23" ht="15.75" x14ac:dyDescent="0.25">
      <c r="A307" s="89"/>
      <c r="C307" s="84"/>
      <c r="G307" s="69"/>
      <c r="H307" s="67"/>
      <c r="I307" s="71"/>
      <c r="J307" s="67"/>
      <c r="K307" s="121"/>
      <c r="L307" s="67"/>
      <c r="M307" s="140"/>
      <c r="N307" s="140"/>
      <c r="O307" s="140"/>
      <c r="P307" s="140"/>
      <c r="Q307" s="140"/>
      <c r="S307" s="90"/>
      <c r="U307" s="91"/>
      <c r="V307" s="65"/>
      <c r="W307" s="141"/>
    </row>
    <row r="308" spans="1:23" ht="15.75" x14ac:dyDescent="0.25">
      <c r="A308" s="89"/>
      <c r="B308" s="65"/>
      <c r="C308" s="68" t="s">
        <v>253</v>
      </c>
      <c r="D308" s="65"/>
      <c r="F308" s="65"/>
      <c r="G308" s="75"/>
      <c r="H308" s="65"/>
      <c r="I308" s="115"/>
      <c r="J308" s="65"/>
      <c r="K308" s="121"/>
      <c r="L308" s="65"/>
      <c r="M308" s="87"/>
      <c r="N308" s="87"/>
      <c r="O308" s="87"/>
      <c r="P308" s="87"/>
      <c r="Q308" s="87"/>
      <c r="R308" s="65"/>
      <c r="S308" s="90"/>
      <c r="T308" s="65"/>
      <c r="U308" s="91"/>
      <c r="V308" s="65"/>
      <c r="W308" s="141"/>
    </row>
    <row r="309" spans="1:23" ht="15.75" x14ac:dyDescent="0.25">
      <c r="A309" s="89"/>
      <c r="C309" s="78"/>
      <c r="G309" s="75"/>
      <c r="I309" s="115"/>
      <c r="K309" s="121"/>
      <c r="M309" s="87"/>
      <c r="N309" s="87"/>
      <c r="O309" s="87"/>
      <c r="P309" s="87"/>
      <c r="Q309" s="87"/>
      <c r="S309" s="90"/>
      <c r="U309" s="91"/>
      <c r="V309" s="65"/>
      <c r="W309" s="141"/>
    </row>
    <row r="310" spans="1:23" x14ac:dyDescent="0.2">
      <c r="A310" s="89">
        <v>360.1</v>
      </c>
      <c r="C310" s="120" t="s">
        <v>252</v>
      </c>
      <c r="E310" s="102"/>
      <c r="G310" s="103" t="s">
        <v>251</v>
      </c>
      <c r="H310" s="103"/>
      <c r="I310" s="104">
        <v>0</v>
      </c>
      <c r="J310" s="93"/>
      <c r="K310" s="105">
        <v>8652653.1500000004</v>
      </c>
      <c r="L310" s="106"/>
      <c r="M310" s="107">
        <v>3603683.51</v>
      </c>
      <c r="N310" s="107"/>
      <c r="O310" s="107">
        <v>5048970</v>
      </c>
      <c r="P310" s="107"/>
      <c r="Q310" s="107">
        <v>106160</v>
      </c>
      <c r="R310" s="97"/>
      <c r="S310" s="108">
        <v>1.23</v>
      </c>
      <c r="T310" s="97"/>
      <c r="U310" s="109">
        <v>47.6</v>
      </c>
      <c r="V310" s="65"/>
      <c r="W310" s="137"/>
    </row>
    <row r="311" spans="1:23" ht="15.75" x14ac:dyDescent="0.25">
      <c r="A311" s="89">
        <v>361</v>
      </c>
      <c r="C311" s="97" t="s">
        <v>250</v>
      </c>
      <c r="E311" s="102"/>
      <c r="G311" s="103" t="s">
        <v>249</v>
      </c>
      <c r="H311" s="103"/>
      <c r="I311" s="104">
        <v>-10</v>
      </c>
      <c r="J311" s="93"/>
      <c r="K311" s="105">
        <v>8141425.0899999999</v>
      </c>
      <c r="L311" s="106"/>
      <c r="M311" s="107">
        <v>2941784.74</v>
      </c>
      <c r="N311" s="107"/>
      <c r="O311" s="107">
        <v>6013783</v>
      </c>
      <c r="P311" s="107"/>
      <c r="Q311" s="107">
        <v>126627</v>
      </c>
      <c r="R311" s="97"/>
      <c r="S311" s="108">
        <v>1.56</v>
      </c>
      <c r="T311" s="97"/>
      <c r="U311" s="109">
        <v>47.5</v>
      </c>
      <c r="V311" s="65"/>
      <c r="W311" s="141"/>
    </row>
    <row r="312" spans="1:23" x14ac:dyDescent="0.2">
      <c r="A312" s="89">
        <v>362</v>
      </c>
      <c r="C312" s="97" t="s">
        <v>248</v>
      </c>
      <c r="E312" s="102"/>
      <c r="G312" s="103" t="s">
        <v>247</v>
      </c>
      <c r="H312" s="103"/>
      <c r="I312" s="104">
        <v>-15</v>
      </c>
      <c r="J312" s="93"/>
      <c r="K312" s="105">
        <v>500135447.47000003</v>
      </c>
      <c r="L312" s="106"/>
      <c r="M312" s="107">
        <v>150578855.11000001</v>
      </c>
      <c r="N312" s="107"/>
      <c r="O312" s="107">
        <v>424576909</v>
      </c>
      <c r="P312" s="107"/>
      <c r="Q312" s="107">
        <v>10397357</v>
      </c>
      <c r="R312" s="97"/>
      <c r="S312" s="108">
        <v>2.08</v>
      </c>
      <c r="T312" s="97"/>
      <c r="U312" s="109">
        <v>40.799999999999997</v>
      </c>
      <c r="V312" s="65"/>
      <c r="W312" s="126"/>
    </row>
    <row r="313" spans="1:23" x14ac:dyDescent="0.2">
      <c r="A313" s="89">
        <v>363</v>
      </c>
      <c r="C313" s="97" t="s">
        <v>246</v>
      </c>
      <c r="E313" s="102"/>
      <c r="G313" s="103" t="s">
        <v>245</v>
      </c>
      <c r="H313" s="103"/>
      <c r="I313" s="104">
        <v>0</v>
      </c>
      <c r="J313" s="93"/>
      <c r="K313" s="105">
        <v>1210115.18</v>
      </c>
      <c r="L313" s="106"/>
      <c r="M313" s="107">
        <v>281870.2</v>
      </c>
      <c r="N313" s="107"/>
      <c r="O313" s="107">
        <v>928245</v>
      </c>
      <c r="P313" s="107"/>
      <c r="Q313" s="107">
        <v>62201</v>
      </c>
      <c r="R313" s="97"/>
      <c r="S313" s="108">
        <v>5.14</v>
      </c>
      <c r="T313" s="97"/>
      <c r="U313" s="109">
        <v>14.9</v>
      </c>
      <c r="V313" s="65"/>
      <c r="W313" s="126"/>
    </row>
    <row r="314" spans="1:23" x14ac:dyDescent="0.2">
      <c r="A314" s="89">
        <v>364</v>
      </c>
      <c r="C314" s="97" t="s">
        <v>244</v>
      </c>
      <c r="E314" s="102"/>
      <c r="G314" s="103" t="s">
        <v>243</v>
      </c>
      <c r="H314" s="103"/>
      <c r="I314" s="104">
        <v>-60</v>
      </c>
      <c r="J314" s="93"/>
      <c r="K314" s="105">
        <v>450509600.74000001</v>
      </c>
      <c r="L314" s="106"/>
      <c r="M314" s="107">
        <v>182362465.15000001</v>
      </c>
      <c r="N314" s="107"/>
      <c r="O314" s="107">
        <v>538452896</v>
      </c>
      <c r="P314" s="107"/>
      <c r="Q314" s="107">
        <v>15390088</v>
      </c>
      <c r="R314" s="97"/>
      <c r="S314" s="108">
        <v>3.42</v>
      </c>
      <c r="T314" s="97"/>
      <c r="U314" s="109">
        <v>35</v>
      </c>
      <c r="V314" s="65"/>
      <c r="W314" s="126"/>
    </row>
    <row r="315" spans="1:23" x14ac:dyDescent="0.2">
      <c r="A315" s="89">
        <v>365</v>
      </c>
      <c r="C315" s="97" t="s">
        <v>242</v>
      </c>
      <c r="E315" s="102"/>
      <c r="G315" s="103" t="s">
        <v>239</v>
      </c>
      <c r="H315" s="103"/>
      <c r="I315" s="104">
        <v>-30</v>
      </c>
      <c r="J315" s="93"/>
      <c r="K315" s="105">
        <v>566191115.59000003</v>
      </c>
      <c r="L315" s="106"/>
      <c r="M315" s="107">
        <v>163235312.28999999</v>
      </c>
      <c r="N315" s="107"/>
      <c r="O315" s="107">
        <v>572813138</v>
      </c>
      <c r="P315" s="107"/>
      <c r="Q315" s="107">
        <v>21919962</v>
      </c>
      <c r="R315" s="97"/>
      <c r="S315" s="108">
        <v>3.87</v>
      </c>
      <c r="T315" s="97"/>
      <c r="U315" s="109">
        <v>26.1</v>
      </c>
      <c r="V315" s="65"/>
      <c r="W315" s="126"/>
    </row>
    <row r="316" spans="1:23" x14ac:dyDescent="0.2">
      <c r="A316" s="89">
        <v>366</v>
      </c>
      <c r="C316" s="97" t="s">
        <v>241</v>
      </c>
      <c r="E316" s="102"/>
      <c r="G316" s="103" t="s">
        <v>235</v>
      </c>
      <c r="H316" s="103"/>
      <c r="I316" s="104">
        <v>-20</v>
      </c>
      <c r="J316" s="93"/>
      <c r="K316" s="105">
        <v>815340331.62</v>
      </c>
      <c r="L316" s="106"/>
      <c r="M316" s="107">
        <v>319137595.05000001</v>
      </c>
      <c r="N316" s="107"/>
      <c r="O316" s="107">
        <v>659270803</v>
      </c>
      <c r="P316" s="107"/>
      <c r="Q316" s="107">
        <v>15041164</v>
      </c>
      <c r="R316" s="97"/>
      <c r="S316" s="108">
        <v>1.84</v>
      </c>
      <c r="T316" s="97"/>
      <c r="U316" s="109">
        <v>43.8</v>
      </c>
      <c r="V316" s="65"/>
      <c r="W316" s="126"/>
    </row>
    <row r="317" spans="1:23" x14ac:dyDescent="0.2">
      <c r="A317" s="89">
        <v>367</v>
      </c>
      <c r="C317" s="97" t="s">
        <v>240</v>
      </c>
      <c r="E317" s="102"/>
      <c r="G317" s="103" t="s">
        <v>239</v>
      </c>
      <c r="H317" s="103"/>
      <c r="I317" s="104">
        <v>-50</v>
      </c>
      <c r="J317" s="93"/>
      <c r="K317" s="105">
        <v>1126428409.4200001</v>
      </c>
      <c r="L317" s="106"/>
      <c r="M317" s="107">
        <v>461438379.10000002</v>
      </c>
      <c r="N317" s="107"/>
      <c r="O317" s="107">
        <v>1228204235</v>
      </c>
      <c r="P317" s="107"/>
      <c r="Q317" s="107">
        <v>49046290</v>
      </c>
      <c r="R317" s="97"/>
      <c r="S317" s="108">
        <v>4.3499999999999996</v>
      </c>
      <c r="T317" s="97"/>
      <c r="U317" s="109">
        <v>25</v>
      </c>
      <c r="V317" s="65"/>
      <c r="W317" s="126"/>
    </row>
    <row r="318" spans="1:23" x14ac:dyDescent="0.2">
      <c r="A318" s="89">
        <v>368</v>
      </c>
      <c r="C318" s="97" t="s">
        <v>238</v>
      </c>
      <c r="E318" s="102"/>
      <c r="G318" s="103" t="s">
        <v>237</v>
      </c>
      <c r="H318" s="103"/>
      <c r="I318" s="104">
        <v>-50</v>
      </c>
      <c r="J318" s="93"/>
      <c r="K318" s="105">
        <v>550014495.63999999</v>
      </c>
      <c r="L318" s="106"/>
      <c r="M318" s="107">
        <v>248060871.72</v>
      </c>
      <c r="N318" s="107"/>
      <c r="O318" s="107">
        <v>576960872</v>
      </c>
      <c r="P318" s="107"/>
      <c r="Q318" s="107">
        <v>18200892</v>
      </c>
      <c r="R318" s="97"/>
      <c r="S318" s="108">
        <v>3.31</v>
      </c>
      <c r="T318" s="97"/>
      <c r="U318" s="109">
        <v>31.7</v>
      </c>
      <c r="V318" s="65"/>
      <c r="W318" s="126"/>
    </row>
    <row r="319" spans="1:23" x14ac:dyDescent="0.2">
      <c r="A319" s="89">
        <v>369</v>
      </c>
      <c r="C319" s="97" t="s">
        <v>236</v>
      </c>
      <c r="G319" s="103" t="s">
        <v>235</v>
      </c>
      <c r="H319" s="103"/>
      <c r="I319" s="104">
        <v>-60</v>
      </c>
      <c r="J319" s="93"/>
      <c r="K319" s="105">
        <v>196813537.28999999</v>
      </c>
      <c r="L319" s="106"/>
      <c r="M319" s="107">
        <v>140392316.75999999</v>
      </c>
      <c r="N319" s="107"/>
      <c r="O319" s="107">
        <v>174509343</v>
      </c>
      <c r="P319" s="107"/>
      <c r="Q319" s="107">
        <v>5100325</v>
      </c>
      <c r="R319" s="97"/>
      <c r="S319" s="108">
        <v>2.59</v>
      </c>
      <c r="T319" s="97"/>
      <c r="U319" s="109">
        <v>34.200000000000003</v>
      </c>
      <c r="V319" s="65"/>
      <c r="W319" s="126"/>
    </row>
    <row r="320" spans="1:23" x14ac:dyDescent="0.2">
      <c r="A320" s="89">
        <v>370.1</v>
      </c>
      <c r="C320" s="97" t="s">
        <v>234</v>
      </c>
      <c r="E320" s="102"/>
      <c r="G320" s="103" t="s">
        <v>233</v>
      </c>
      <c r="H320" s="103"/>
      <c r="I320" s="104">
        <v>-10</v>
      </c>
      <c r="J320" s="93"/>
      <c r="K320" s="105">
        <v>157426932.03999999</v>
      </c>
      <c r="L320" s="106"/>
      <c r="M320" s="107">
        <v>13741815.279999999</v>
      </c>
      <c r="N320" s="107"/>
      <c r="O320" s="107">
        <v>159427810</v>
      </c>
      <c r="P320" s="107"/>
      <c r="Q320" s="107">
        <v>8773399</v>
      </c>
      <c r="R320" s="97"/>
      <c r="S320" s="108">
        <v>5.57</v>
      </c>
      <c r="T320" s="97"/>
      <c r="U320" s="109">
        <v>18.2</v>
      </c>
      <c r="V320" s="65"/>
      <c r="W320" s="126"/>
    </row>
    <row r="321" spans="1:23" x14ac:dyDescent="0.2">
      <c r="A321" s="89">
        <v>371.1</v>
      </c>
      <c r="C321" s="97" t="s">
        <v>232</v>
      </c>
      <c r="E321" s="102"/>
      <c r="G321" s="103" t="s">
        <v>231</v>
      </c>
      <c r="H321" s="103"/>
      <c r="I321" s="104">
        <v>0</v>
      </c>
      <c r="J321" s="93"/>
      <c r="K321" s="105">
        <v>854059.63</v>
      </c>
      <c r="L321" s="106"/>
      <c r="M321" s="107">
        <v>148049.96</v>
      </c>
      <c r="N321" s="107"/>
      <c r="O321" s="107">
        <v>706010</v>
      </c>
      <c r="P321" s="107"/>
      <c r="Q321" s="107">
        <v>122664</v>
      </c>
      <c r="R321" s="97"/>
      <c r="S321" s="108">
        <v>14.36</v>
      </c>
      <c r="T321" s="97"/>
      <c r="U321" s="109">
        <v>5.8</v>
      </c>
      <c r="V321" s="65"/>
      <c r="W321" s="126"/>
    </row>
    <row r="322" spans="1:23" x14ac:dyDescent="0.2">
      <c r="A322" s="89">
        <v>373</v>
      </c>
      <c r="C322" s="97" t="s">
        <v>230</v>
      </c>
      <c r="G322" s="103" t="s">
        <v>229</v>
      </c>
      <c r="H322" s="103"/>
      <c r="I322" s="104">
        <v>-25</v>
      </c>
      <c r="J322" s="93"/>
      <c r="K322" s="110">
        <v>61328340.140000001</v>
      </c>
      <c r="L322" s="106"/>
      <c r="M322" s="107">
        <v>26989953.739999998</v>
      </c>
      <c r="N322" s="107"/>
      <c r="O322" s="107">
        <v>49670471</v>
      </c>
      <c r="P322" s="107"/>
      <c r="Q322" s="107">
        <v>2385231</v>
      </c>
      <c r="R322" s="97"/>
      <c r="S322" s="108">
        <v>3.89</v>
      </c>
      <c r="T322" s="97"/>
      <c r="U322" s="109">
        <v>20.8</v>
      </c>
      <c r="V322" s="65"/>
      <c r="W322" s="126"/>
    </row>
    <row r="323" spans="1:23" x14ac:dyDescent="0.2">
      <c r="A323" s="89"/>
      <c r="C323" s="97"/>
      <c r="G323" s="75"/>
      <c r="I323" s="115"/>
      <c r="K323" s="121"/>
      <c r="M323" s="143"/>
      <c r="N323" s="87"/>
      <c r="O323" s="143"/>
      <c r="P323" s="87"/>
      <c r="Q323" s="143"/>
      <c r="S323" s="90"/>
      <c r="U323" s="91"/>
      <c r="V323" s="65"/>
    </row>
    <row r="324" spans="1:23" ht="15.75" x14ac:dyDescent="0.25">
      <c r="A324" s="89"/>
      <c r="C324" s="84" t="s">
        <v>228</v>
      </c>
      <c r="G324" s="69"/>
      <c r="H324" s="67"/>
      <c r="I324" s="71"/>
      <c r="J324" s="67"/>
      <c r="K324" s="58">
        <f>+SUBTOTAL(9,K310:K322)</f>
        <v>4443046463.000001</v>
      </c>
      <c r="L324" s="116"/>
      <c r="M324" s="63">
        <f>+SUBTOTAL(9,M310:M322)</f>
        <v>1712912952.6100001</v>
      </c>
      <c r="N324" s="117"/>
      <c r="O324" s="63">
        <f>+SUBTOTAL(9,O310:O322)</f>
        <v>4396583485</v>
      </c>
      <c r="P324" s="117"/>
      <c r="Q324" s="63">
        <f>+SUBTOTAL(9,Q310:Q322)</f>
        <v>146672360</v>
      </c>
      <c r="R324" s="67"/>
      <c r="S324" s="118">
        <f>ROUND(Q324/K324*100,2)</f>
        <v>3.3</v>
      </c>
      <c r="U324" s="144"/>
      <c r="V324" s="65"/>
    </row>
    <row r="325" spans="1:23" ht="15.75" x14ac:dyDescent="0.25">
      <c r="A325" s="89"/>
      <c r="C325" s="84"/>
      <c r="G325" s="69"/>
      <c r="H325" s="67"/>
      <c r="I325" s="71"/>
      <c r="J325" s="67"/>
      <c r="K325" s="121"/>
      <c r="L325" s="67"/>
      <c r="M325" s="140"/>
      <c r="N325" s="140"/>
      <c r="O325" s="140"/>
      <c r="P325" s="140"/>
      <c r="Q325" s="140"/>
      <c r="R325" s="67"/>
      <c r="S325" s="90"/>
      <c r="U325" s="144"/>
      <c r="V325" s="65"/>
    </row>
    <row r="326" spans="1:23" ht="15.75" x14ac:dyDescent="0.25">
      <c r="A326" s="89"/>
      <c r="C326" s="68" t="s">
        <v>227</v>
      </c>
      <c r="G326" s="75"/>
      <c r="I326" s="115"/>
      <c r="K326" s="121"/>
      <c r="M326" s="87"/>
      <c r="N326" s="87"/>
      <c r="O326" s="87"/>
      <c r="P326" s="87"/>
      <c r="Q326" s="87"/>
      <c r="S326" s="90"/>
      <c r="U326" s="91"/>
      <c r="V326" s="65"/>
    </row>
    <row r="327" spans="1:23" ht="15.75" x14ac:dyDescent="0.25">
      <c r="A327" s="89"/>
      <c r="C327" s="78"/>
      <c r="G327" s="75"/>
      <c r="I327" s="115"/>
      <c r="K327" s="121"/>
      <c r="M327" s="87"/>
      <c r="N327" s="87"/>
      <c r="O327" s="87"/>
      <c r="P327" s="87"/>
      <c r="Q327" s="87"/>
      <c r="S327" s="90"/>
      <c r="U327" s="91"/>
      <c r="V327" s="65"/>
    </row>
    <row r="328" spans="1:23" x14ac:dyDescent="0.2">
      <c r="A328" s="89">
        <v>390</v>
      </c>
      <c r="C328" s="120" t="s">
        <v>226</v>
      </c>
      <c r="G328" s="103"/>
      <c r="H328" s="103"/>
      <c r="I328" s="104"/>
      <c r="J328" s="93"/>
      <c r="K328" s="105"/>
      <c r="L328" s="106"/>
      <c r="M328" s="107"/>
      <c r="N328" s="107"/>
      <c r="O328" s="107"/>
      <c r="P328" s="107"/>
      <c r="Q328" s="107"/>
      <c r="R328" s="97"/>
      <c r="S328" s="108"/>
      <c r="T328" s="97"/>
      <c r="U328" s="109"/>
      <c r="V328" s="65"/>
    </row>
    <row r="329" spans="1:23" x14ac:dyDescent="0.2">
      <c r="A329" s="89"/>
      <c r="C329" s="120" t="s">
        <v>225</v>
      </c>
      <c r="E329" s="102">
        <v>57526</v>
      </c>
      <c r="G329" s="103" t="s">
        <v>223</v>
      </c>
      <c r="H329" s="103" t="s">
        <v>193</v>
      </c>
      <c r="I329" s="104">
        <v>-5</v>
      </c>
      <c r="J329" s="93"/>
      <c r="K329" s="105">
        <v>20917598.129999999</v>
      </c>
      <c r="L329" s="106"/>
      <c r="M329" s="107">
        <v>11071638.67</v>
      </c>
      <c r="N329" s="107"/>
      <c r="O329" s="107">
        <v>10891839</v>
      </c>
      <c r="P329" s="107"/>
      <c r="Q329" s="107">
        <v>322587</v>
      </c>
      <c r="R329" s="97"/>
      <c r="S329" s="108">
        <v>1.54</v>
      </c>
      <c r="T329" s="97"/>
      <c r="U329" s="109">
        <v>33.799999999999997</v>
      </c>
      <c r="V329" s="65"/>
    </row>
    <row r="330" spans="1:23" x14ac:dyDescent="0.2">
      <c r="A330" s="89"/>
      <c r="C330" s="120" t="s">
        <v>224</v>
      </c>
      <c r="E330" s="102">
        <v>61544</v>
      </c>
      <c r="G330" s="103" t="s">
        <v>223</v>
      </c>
      <c r="H330" s="103" t="s">
        <v>193</v>
      </c>
      <c r="I330" s="104">
        <v>-5</v>
      </c>
      <c r="J330" s="93"/>
      <c r="K330" s="105">
        <v>19969978.760000002</v>
      </c>
      <c r="L330" s="106"/>
      <c r="M330" s="107">
        <v>2926504.32</v>
      </c>
      <c r="N330" s="107"/>
      <c r="O330" s="107">
        <v>18041973</v>
      </c>
      <c r="P330" s="107"/>
      <c r="Q330" s="107">
        <v>406920</v>
      </c>
      <c r="R330" s="97"/>
      <c r="S330" s="108">
        <v>2.04</v>
      </c>
      <c r="T330" s="97"/>
      <c r="U330" s="109">
        <v>44.3</v>
      </c>
      <c r="V330" s="65"/>
    </row>
    <row r="331" spans="1:23" x14ac:dyDescent="0.2">
      <c r="A331" s="89"/>
      <c r="C331" s="120" t="s">
        <v>222</v>
      </c>
      <c r="E331" s="102"/>
      <c r="G331" s="103" t="s">
        <v>221</v>
      </c>
      <c r="H331" s="103"/>
      <c r="I331" s="104">
        <v>-5</v>
      </c>
      <c r="J331" s="93"/>
      <c r="K331" s="110">
        <v>28006349.02</v>
      </c>
      <c r="L331" s="106"/>
      <c r="M331" s="111">
        <v>17506602.25</v>
      </c>
      <c r="N331" s="107"/>
      <c r="O331" s="111">
        <v>11900064</v>
      </c>
      <c r="P331" s="107"/>
      <c r="Q331" s="111">
        <v>340870</v>
      </c>
      <c r="R331" s="97"/>
      <c r="S331" s="108">
        <v>1.22</v>
      </c>
      <c r="T331" s="97"/>
      <c r="U331" s="109">
        <v>34.9</v>
      </c>
      <c r="V331" s="65"/>
    </row>
    <row r="332" spans="1:23" x14ac:dyDescent="0.2">
      <c r="A332" s="89"/>
      <c r="C332" s="120"/>
      <c r="E332" s="102"/>
      <c r="G332" s="103"/>
      <c r="H332" s="103"/>
      <c r="I332" s="104"/>
      <c r="J332" s="93"/>
      <c r="K332" s="105"/>
      <c r="L332" s="106"/>
      <c r="M332" s="107"/>
      <c r="N332" s="107"/>
      <c r="O332" s="107"/>
      <c r="P332" s="107"/>
      <c r="Q332" s="107"/>
      <c r="R332" s="97"/>
      <c r="S332" s="108"/>
      <c r="T332" s="97"/>
      <c r="U332" s="109"/>
      <c r="V332" s="65"/>
    </row>
    <row r="333" spans="1:23" x14ac:dyDescent="0.2">
      <c r="A333" s="89"/>
      <c r="C333" s="120" t="s">
        <v>220</v>
      </c>
      <c r="E333" s="102"/>
      <c r="G333" s="103"/>
      <c r="H333" s="103"/>
      <c r="I333" s="104"/>
      <c r="J333" s="93"/>
      <c r="K333" s="121">
        <f>SUBTOTAL(9,K329:K331)</f>
        <v>68893925.909999996</v>
      </c>
      <c r="L333" s="106"/>
      <c r="M333" s="145">
        <f>SUBTOTAL(9,M329:M331)</f>
        <v>31504745.240000002</v>
      </c>
      <c r="N333" s="107"/>
      <c r="O333" s="145">
        <f>SUBTOTAL(9,O329:O331)</f>
        <v>40833876</v>
      </c>
      <c r="P333" s="107"/>
      <c r="Q333" s="145">
        <f>SUBTOTAL(9,Q329:Q331)</f>
        <v>1070377</v>
      </c>
      <c r="R333" s="97"/>
      <c r="S333" s="108">
        <f>+ROUND(Q333/K333*100,2)</f>
        <v>1.55</v>
      </c>
      <c r="T333" s="97"/>
      <c r="U333" s="109"/>
      <c r="V333" s="65"/>
    </row>
    <row r="334" spans="1:23" x14ac:dyDescent="0.2">
      <c r="A334" s="89"/>
      <c r="C334" s="120"/>
      <c r="E334" s="102"/>
      <c r="G334" s="103"/>
      <c r="H334" s="103"/>
      <c r="I334" s="104"/>
      <c r="J334" s="93"/>
      <c r="K334" s="105"/>
      <c r="L334" s="106"/>
      <c r="M334" s="107"/>
      <c r="N334" s="107"/>
      <c r="O334" s="107"/>
      <c r="P334" s="107"/>
      <c r="Q334" s="107"/>
      <c r="R334" s="97"/>
      <c r="S334" s="108"/>
      <c r="T334" s="97"/>
      <c r="U334" s="109"/>
      <c r="V334" s="65"/>
    </row>
    <row r="335" spans="1:23" x14ac:dyDescent="0.2">
      <c r="A335" s="89">
        <v>391.1</v>
      </c>
      <c r="C335" s="97" t="s">
        <v>219</v>
      </c>
      <c r="E335" s="102"/>
      <c r="G335" s="103" t="s">
        <v>211</v>
      </c>
      <c r="H335" s="103"/>
      <c r="I335" s="104">
        <v>0</v>
      </c>
      <c r="J335" s="93"/>
      <c r="K335" s="105">
        <v>3943482.67</v>
      </c>
      <c r="L335" s="106"/>
      <c r="M335" s="107">
        <v>651019.42000000004</v>
      </c>
      <c r="N335" s="107"/>
      <c r="O335" s="107">
        <v>3292463</v>
      </c>
      <c r="P335" s="107"/>
      <c r="Q335" s="107">
        <v>197174.13350000003</v>
      </c>
      <c r="R335" s="75" t="s">
        <v>191</v>
      </c>
      <c r="S335" s="108">
        <f>1/VALUE(LEFT(G335,2))*100</f>
        <v>5</v>
      </c>
      <c r="T335" s="97"/>
      <c r="U335" s="109">
        <v>7.5</v>
      </c>
      <c r="V335" s="65"/>
    </row>
    <row r="336" spans="1:23" x14ac:dyDescent="0.2">
      <c r="A336" s="89">
        <v>391.2</v>
      </c>
      <c r="C336" s="97" t="s">
        <v>218</v>
      </c>
      <c r="E336" s="102"/>
      <c r="G336" s="103" t="s">
        <v>217</v>
      </c>
      <c r="H336" s="103"/>
      <c r="I336" s="104">
        <v>0</v>
      </c>
      <c r="J336" s="93"/>
      <c r="K336" s="105">
        <v>27513630.309999999</v>
      </c>
      <c r="L336" s="106"/>
      <c r="M336" s="107">
        <v>11676567.58</v>
      </c>
      <c r="N336" s="107"/>
      <c r="O336" s="107">
        <v>15837063</v>
      </c>
      <c r="P336" s="107"/>
      <c r="Q336" s="107">
        <v>5502726.061999999</v>
      </c>
      <c r="R336" s="75" t="s">
        <v>191</v>
      </c>
      <c r="S336" s="108">
        <f>1/VALUE(LEFT(G336,1))*100</f>
        <v>20</v>
      </c>
      <c r="T336" s="97"/>
      <c r="U336" s="109">
        <v>2.7</v>
      </c>
      <c r="V336" s="65"/>
      <c r="W336" s="126"/>
    </row>
    <row r="337" spans="1:23" x14ac:dyDescent="0.2">
      <c r="A337" s="89">
        <v>392</v>
      </c>
      <c r="C337" s="120" t="s">
        <v>216</v>
      </c>
      <c r="E337" s="102"/>
      <c r="G337" s="103" t="s">
        <v>215</v>
      </c>
      <c r="H337" s="103"/>
      <c r="I337" s="104">
        <v>10</v>
      </c>
      <c r="J337" s="93"/>
      <c r="K337" s="105">
        <v>6535111.9000000004</v>
      </c>
      <c r="L337" s="106"/>
      <c r="M337" s="107">
        <v>3862314.11</v>
      </c>
      <c r="N337" s="107"/>
      <c r="O337" s="107">
        <v>2019287</v>
      </c>
      <c r="P337" s="107"/>
      <c r="Q337" s="107">
        <v>418875</v>
      </c>
      <c r="R337" s="75"/>
      <c r="S337" s="108">
        <v>6.41</v>
      </c>
      <c r="T337" s="97"/>
      <c r="U337" s="109">
        <v>4.8</v>
      </c>
      <c r="V337" s="65"/>
      <c r="W337" s="126"/>
    </row>
    <row r="338" spans="1:23" x14ac:dyDescent="0.2">
      <c r="A338" s="89">
        <v>393</v>
      </c>
      <c r="C338" s="120" t="s">
        <v>214</v>
      </c>
      <c r="E338" s="102"/>
      <c r="G338" s="103" t="s">
        <v>211</v>
      </c>
      <c r="H338" s="103"/>
      <c r="I338" s="104">
        <v>0</v>
      </c>
      <c r="J338" s="93"/>
      <c r="K338" s="105">
        <v>170596.46</v>
      </c>
      <c r="L338" s="106"/>
      <c r="M338" s="107">
        <v>70989.78</v>
      </c>
      <c r="N338" s="107"/>
      <c r="O338" s="107">
        <v>99607</v>
      </c>
      <c r="P338" s="107"/>
      <c r="Q338" s="107">
        <v>8529.8229999999985</v>
      </c>
      <c r="R338" s="75" t="s">
        <v>191</v>
      </c>
      <c r="S338" s="108">
        <f>1/VALUE(LEFT(G338,2))*100</f>
        <v>5</v>
      </c>
      <c r="T338" s="97"/>
      <c r="U338" s="109">
        <v>11.3</v>
      </c>
      <c r="V338" s="65"/>
    </row>
    <row r="339" spans="1:23" x14ac:dyDescent="0.2">
      <c r="A339" s="89">
        <v>394</v>
      </c>
      <c r="C339" s="120" t="s">
        <v>213</v>
      </c>
      <c r="E339" s="102"/>
      <c r="G339" s="103" t="s">
        <v>211</v>
      </c>
      <c r="H339" s="103"/>
      <c r="I339" s="104">
        <v>0</v>
      </c>
      <c r="J339" s="93"/>
      <c r="K339" s="105">
        <v>19341550.120000001</v>
      </c>
      <c r="L339" s="106"/>
      <c r="M339" s="107">
        <v>4648463.12</v>
      </c>
      <c r="N339" s="107"/>
      <c r="O339" s="107">
        <v>14693087</v>
      </c>
      <c r="P339" s="107"/>
      <c r="Q339" s="107">
        <v>967077.50600000005</v>
      </c>
      <c r="R339" s="75" t="s">
        <v>191</v>
      </c>
      <c r="S339" s="108">
        <f>1/VALUE(LEFT(G339,2))*100</f>
        <v>5</v>
      </c>
      <c r="T339" s="97"/>
      <c r="U339" s="109">
        <v>13.9</v>
      </c>
      <c r="V339" s="65"/>
    </row>
    <row r="340" spans="1:23" x14ac:dyDescent="0.2">
      <c r="A340" s="89">
        <v>395</v>
      </c>
      <c r="C340" s="120" t="s">
        <v>212</v>
      </c>
      <c r="E340" s="102"/>
      <c r="G340" s="103" t="s">
        <v>211</v>
      </c>
      <c r="H340" s="103"/>
      <c r="I340" s="104">
        <v>0</v>
      </c>
      <c r="J340" s="93"/>
      <c r="K340" s="105">
        <v>7681555.8799999999</v>
      </c>
      <c r="L340" s="106"/>
      <c r="M340" s="107">
        <v>1142681.57</v>
      </c>
      <c r="N340" s="107"/>
      <c r="O340" s="107">
        <v>6538874</v>
      </c>
      <c r="P340" s="107"/>
      <c r="Q340" s="107">
        <v>384077.79399999999</v>
      </c>
      <c r="R340" s="75" t="s">
        <v>191</v>
      </c>
      <c r="S340" s="108">
        <f>1/VALUE(LEFT(G340,2))*100</f>
        <v>5</v>
      </c>
      <c r="T340" s="97"/>
      <c r="U340" s="109">
        <v>5.3</v>
      </c>
      <c r="V340" s="65"/>
    </row>
    <row r="341" spans="1:23" x14ac:dyDescent="0.2">
      <c r="A341" s="89">
        <v>396</v>
      </c>
      <c r="C341" s="97" t="s">
        <v>210</v>
      </c>
      <c r="E341" s="102"/>
      <c r="G341" s="103" t="s">
        <v>209</v>
      </c>
      <c r="H341" s="103"/>
      <c r="I341" s="104">
        <v>10</v>
      </c>
      <c r="J341" s="93"/>
      <c r="K341" s="105">
        <v>4867993.71</v>
      </c>
      <c r="L341" s="106"/>
      <c r="M341" s="107">
        <v>2975887.13</v>
      </c>
      <c r="N341" s="107"/>
      <c r="O341" s="107">
        <v>1405307</v>
      </c>
      <c r="P341" s="107"/>
      <c r="Q341" s="107">
        <v>218566</v>
      </c>
      <c r="R341" s="75"/>
      <c r="S341" s="108">
        <v>4.49</v>
      </c>
      <c r="T341" s="97"/>
      <c r="U341" s="109">
        <v>6.4</v>
      </c>
      <c r="V341" s="65"/>
      <c r="W341" s="126"/>
    </row>
    <row r="342" spans="1:23" x14ac:dyDescent="0.2">
      <c r="A342" s="89">
        <v>397</v>
      </c>
      <c r="C342" s="97" t="s">
        <v>208</v>
      </c>
      <c r="E342" s="102"/>
      <c r="G342" s="103" t="s">
        <v>206</v>
      </c>
      <c r="H342" s="103"/>
      <c r="I342" s="104">
        <v>0</v>
      </c>
      <c r="J342" s="93"/>
      <c r="K342" s="105">
        <v>98531040.849999994</v>
      </c>
      <c r="L342" s="106"/>
      <c r="M342" s="107">
        <v>44906521.149999999</v>
      </c>
      <c r="N342" s="107"/>
      <c r="O342" s="107">
        <v>53624520</v>
      </c>
      <c r="P342" s="107"/>
      <c r="Q342" s="107">
        <v>6568736.0566666666</v>
      </c>
      <c r="R342" s="75" t="s">
        <v>191</v>
      </c>
      <c r="S342" s="108">
        <f>1/VALUE(LEFT(G342,2))*100</f>
        <v>6.666666666666667</v>
      </c>
      <c r="T342" s="97"/>
      <c r="U342" s="109">
        <v>6.5</v>
      </c>
      <c r="V342" s="65"/>
    </row>
    <row r="343" spans="1:23" x14ac:dyDescent="0.2">
      <c r="A343" s="89">
        <v>398</v>
      </c>
      <c r="C343" s="146" t="s">
        <v>207</v>
      </c>
      <c r="G343" s="103" t="s">
        <v>206</v>
      </c>
      <c r="H343" s="103"/>
      <c r="I343" s="104">
        <v>0</v>
      </c>
      <c r="J343" s="93"/>
      <c r="K343" s="110">
        <v>414575.88</v>
      </c>
      <c r="L343" s="106"/>
      <c r="M343" s="111">
        <v>95022.88</v>
      </c>
      <c r="N343" s="107"/>
      <c r="O343" s="111">
        <v>319553</v>
      </c>
      <c r="P343" s="107"/>
      <c r="Q343" s="111">
        <v>27638.392000000003</v>
      </c>
      <c r="R343" s="75" t="s">
        <v>191</v>
      </c>
      <c r="S343" s="108">
        <f>1/VALUE(LEFT(G343,2))*100</f>
        <v>6.666666666666667</v>
      </c>
      <c r="T343" s="97"/>
      <c r="U343" s="109">
        <v>8.6</v>
      </c>
      <c r="V343" s="65"/>
    </row>
    <row r="344" spans="1:23" x14ac:dyDescent="0.2">
      <c r="A344" s="89"/>
      <c r="C344" s="146"/>
      <c r="G344" s="147"/>
      <c r="I344" s="115"/>
      <c r="K344" s="105"/>
      <c r="L344" s="148"/>
      <c r="M344" s="142"/>
      <c r="N344" s="87"/>
      <c r="O344" s="142"/>
      <c r="P344" s="87"/>
      <c r="Q344" s="142"/>
      <c r="R344" s="148"/>
      <c r="S344" s="90"/>
      <c r="T344" s="85"/>
      <c r="U344" s="91"/>
      <c r="V344" s="65"/>
    </row>
    <row r="345" spans="1:23" ht="15.75" x14ac:dyDescent="0.25">
      <c r="A345" s="65"/>
      <c r="C345" s="84" t="s">
        <v>205</v>
      </c>
      <c r="G345" s="75"/>
      <c r="I345" s="115"/>
      <c r="K345" s="62">
        <f>SUBTOTAL(9,K329:K343)</f>
        <v>237893463.69</v>
      </c>
      <c r="L345" s="67"/>
      <c r="M345" s="61">
        <f>SUBTOTAL(9,M329:M343)</f>
        <v>101534211.97999999</v>
      </c>
      <c r="N345" s="140"/>
      <c r="O345" s="61">
        <f>SUBTOTAL(9,O329:O343)</f>
        <v>138663637</v>
      </c>
      <c r="P345" s="140"/>
      <c r="Q345" s="61">
        <f>SUBTOTAL(9,Q329:Q343)</f>
        <v>15363777.767166667</v>
      </c>
      <c r="R345" s="67"/>
      <c r="S345" s="118">
        <f>+ROUND(Q345/K345*100,2)</f>
        <v>6.46</v>
      </c>
      <c r="T345" s="67"/>
      <c r="U345" s="128"/>
      <c r="V345" s="65"/>
    </row>
    <row r="346" spans="1:23" ht="15.75" x14ac:dyDescent="0.25">
      <c r="A346" s="65"/>
      <c r="C346" s="84"/>
      <c r="G346" s="75"/>
      <c r="I346" s="115"/>
      <c r="K346" s="60"/>
      <c r="L346" s="67"/>
      <c r="M346" s="140"/>
      <c r="N346" s="140"/>
      <c r="O346" s="140"/>
      <c r="P346" s="140"/>
      <c r="Q346" s="140"/>
      <c r="R346" s="67"/>
      <c r="S346" s="118"/>
      <c r="T346" s="67"/>
      <c r="U346" s="144"/>
      <c r="V346" s="65"/>
    </row>
    <row r="347" spans="1:23" ht="16.5" thickBot="1" x14ac:dyDescent="0.3">
      <c r="A347" s="65"/>
      <c r="C347" s="84" t="s">
        <v>204</v>
      </c>
      <c r="G347" s="75"/>
      <c r="I347" s="115"/>
      <c r="K347" s="59">
        <f>+SUBTOTAL(9,K17:K346)</f>
        <v>9994754455.1999969</v>
      </c>
      <c r="L347" s="67"/>
      <c r="M347" s="149">
        <f>+SUBTOTAL(9,M17:M346)</f>
        <v>4327985733.2700014</v>
      </c>
      <c r="N347" s="140"/>
      <c r="O347" s="149">
        <f>+SUBTOTAL(9,O17:O346)</f>
        <v>7693794682</v>
      </c>
      <c r="P347" s="140"/>
      <c r="Q347" s="149">
        <f>+SUBTOTAL(9,Q17:Q346)</f>
        <v>350983862.76716667</v>
      </c>
      <c r="R347" s="67"/>
      <c r="S347" s="118">
        <f>+ROUND(Q347/K347*100,2)</f>
        <v>3.51</v>
      </c>
      <c r="T347" s="67"/>
      <c r="U347" s="128"/>
      <c r="V347" s="65"/>
    </row>
    <row r="348" spans="1:23" ht="16.5" thickTop="1" x14ac:dyDescent="0.25">
      <c r="A348" s="65"/>
      <c r="C348" s="84"/>
      <c r="G348" s="75"/>
      <c r="I348" s="115"/>
      <c r="K348" s="60"/>
      <c r="L348" s="67"/>
      <c r="M348" s="140"/>
      <c r="N348" s="140"/>
      <c r="O348" s="140"/>
      <c r="P348" s="140"/>
      <c r="Q348" s="140"/>
      <c r="R348" s="67"/>
      <c r="S348" s="90"/>
      <c r="U348" s="144"/>
      <c r="V348" s="65"/>
    </row>
    <row r="349" spans="1:23" ht="15.75" x14ac:dyDescent="0.25">
      <c r="A349" s="65"/>
      <c r="C349" s="123" t="s">
        <v>203</v>
      </c>
      <c r="G349" s="75"/>
      <c r="I349" s="115"/>
      <c r="K349" s="60"/>
      <c r="L349" s="67"/>
      <c r="M349" s="140"/>
      <c r="N349" s="140"/>
      <c r="O349" s="140"/>
      <c r="P349" s="140"/>
      <c r="Q349" s="140"/>
      <c r="R349" s="67"/>
      <c r="S349" s="90"/>
      <c r="U349" s="144"/>
      <c r="V349" s="65"/>
    </row>
    <row r="350" spans="1:23" ht="15.75" x14ac:dyDescent="0.25">
      <c r="A350" s="65"/>
      <c r="C350" s="67"/>
      <c r="G350" s="75"/>
      <c r="I350" s="115"/>
      <c r="K350" s="60"/>
      <c r="L350" s="67"/>
      <c r="M350" s="140"/>
      <c r="N350" s="140"/>
      <c r="O350" s="140"/>
      <c r="P350" s="140"/>
      <c r="Q350" s="140"/>
      <c r="R350" s="67"/>
      <c r="S350" s="90"/>
      <c r="U350" s="144"/>
      <c r="V350" s="65"/>
    </row>
    <row r="351" spans="1:23" ht="15.75" x14ac:dyDescent="0.25">
      <c r="A351" s="89">
        <v>301</v>
      </c>
      <c r="C351" s="97" t="s">
        <v>202</v>
      </c>
      <c r="G351" s="75"/>
      <c r="I351" s="115"/>
      <c r="K351" s="121">
        <v>114201.76</v>
      </c>
      <c r="L351" s="97"/>
      <c r="M351" s="150"/>
      <c r="N351" s="140"/>
      <c r="O351" s="140"/>
      <c r="P351" s="140"/>
      <c r="Q351" s="140"/>
      <c r="R351" s="67"/>
      <c r="S351" s="90"/>
      <c r="U351" s="144"/>
      <c r="V351" s="65"/>
    </row>
    <row r="352" spans="1:23" ht="15.75" x14ac:dyDescent="0.25">
      <c r="A352" s="89">
        <v>302</v>
      </c>
      <c r="C352" s="97" t="s">
        <v>201</v>
      </c>
      <c r="G352" s="75"/>
      <c r="I352" s="115"/>
      <c r="K352" s="121">
        <v>58674913.209999986</v>
      </c>
      <c r="L352" s="97"/>
      <c r="M352" s="150">
        <v>17076162.740000002</v>
      </c>
      <c r="N352" s="140"/>
      <c r="O352" s="140"/>
      <c r="P352" s="140"/>
      <c r="Q352" s="140"/>
      <c r="R352" s="67"/>
      <c r="S352" s="90"/>
      <c r="U352" s="144"/>
      <c r="V352" s="65"/>
    </row>
    <row r="353" spans="1:22" ht="15.75" x14ac:dyDescent="0.25">
      <c r="A353" s="89">
        <v>303</v>
      </c>
      <c r="C353" s="97" t="s">
        <v>200</v>
      </c>
      <c r="G353" s="75"/>
      <c r="I353" s="115"/>
      <c r="K353" s="121">
        <v>90655774.890000001</v>
      </c>
      <c r="L353" s="97"/>
      <c r="M353" s="150">
        <v>57731555.000000015</v>
      </c>
      <c r="N353" s="140"/>
      <c r="O353" s="140"/>
      <c r="P353" s="140">
        <v>53694645.590000004</v>
      </c>
      <c r="Q353" s="140"/>
      <c r="R353" s="67"/>
      <c r="S353" s="90"/>
      <c r="U353" s="144"/>
      <c r="V353" s="65"/>
    </row>
    <row r="354" spans="1:22" ht="15.75" x14ac:dyDescent="0.25">
      <c r="A354" s="89">
        <v>310</v>
      </c>
      <c r="C354" s="97" t="s">
        <v>197</v>
      </c>
      <c r="G354" s="75"/>
      <c r="I354" s="115"/>
      <c r="K354" s="121">
        <v>2788744.98</v>
      </c>
      <c r="L354" s="97"/>
      <c r="M354" s="150"/>
      <c r="N354" s="140"/>
      <c r="O354" s="140"/>
      <c r="P354" s="140"/>
      <c r="Q354" s="140"/>
      <c r="R354" s="67"/>
      <c r="S354" s="90"/>
      <c r="U354" s="144"/>
      <c r="V354" s="65"/>
    </row>
    <row r="355" spans="1:22" ht="15.75" x14ac:dyDescent="0.25">
      <c r="A355" s="89">
        <v>317</v>
      </c>
      <c r="C355" s="97" t="s">
        <v>198</v>
      </c>
      <c r="G355" s="75"/>
      <c r="I355" s="115"/>
      <c r="K355" s="121">
        <v>252964</v>
      </c>
      <c r="L355" s="97"/>
      <c r="M355" s="150">
        <v>95041.09</v>
      </c>
      <c r="N355" s="140"/>
      <c r="O355" s="140"/>
      <c r="P355" s="140"/>
      <c r="Q355" s="140"/>
      <c r="R355" s="67"/>
      <c r="S355" s="90"/>
      <c r="U355" s="144"/>
      <c r="V355" s="65"/>
    </row>
    <row r="356" spans="1:22" ht="15.75" x14ac:dyDescent="0.25">
      <c r="A356" s="89">
        <v>317.10000000000002</v>
      </c>
      <c r="C356" s="97" t="s">
        <v>198</v>
      </c>
      <c r="G356" s="75"/>
      <c r="I356" s="115"/>
      <c r="K356" s="121">
        <v>46629967.799999997</v>
      </c>
      <c r="L356" s="97"/>
      <c r="M356" s="150">
        <v>19218186.370000001</v>
      </c>
      <c r="N356" s="140"/>
      <c r="O356" s="140"/>
      <c r="P356" s="140"/>
      <c r="Q356" s="140"/>
      <c r="R356" s="67"/>
      <c r="S356" s="90"/>
      <c r="U356" s="144"/>
      <c r="V356" s="65"/>
    </row>
    <row r="357" spans="1:22" ht="15.75" x14ac:dyDescent="0.25">
      <c r="A357" s="89">
        <v>330</v>
      </c>
      <c r="C357" s="97" t="s">
        <v>197</v>
      </c>
      <c r="G357" s="75"/>
      <c r="I357" s="115"/>
      <c r="K357" s="121">
        <v>11274069.970000001</v>
      </c>
      <c r="L357" s="97"/>
      <c r="M357" s="150"/>
      <c r="N357" s="140"/>
      <c r="O357" s="140"/>
      <c r="P357" s="140"/>
      <c r="Q357" s="140"/>
      <c r="R357" s="67"/>
      <c r="S357" s="90"/>
      <c r="U357" s="144"/>
      <c r="V357" s="65"/>
    </row>
    <row r="358" spans="1:22" ht="15.75" x14ac:dyDescent="0.25">
      <c r="A358" s="89">
        <v>340</v>
      </c>
      <c r="C358" s="97" t="s">
        <v>197</v>
      </c>
      <c r="G358" s="75"/>
      <c r="I358" s="115"/>
      <c r="K358" s="121">
        <v>15794832.099999998</v>
      </c>
      <c r="L358" s="97"/>
      <c r="M358" s="150"/>
      <c r="N358" s="140"/>
      <c r="O358" s="140"/>
      <c r="P358" s="140"/>
      <c r="Q358" s="140"/>
      <c r="R358" s="67"/>
      <c r="S358" s="90"/>
      <c r="U358" s="144"/>
      <c r="V358" s="65"/>
    </row>
    <row r="359" spans="1:22" ht="15.75" x14ac:dyDescent="0.25">
      <c r="A359" s="89">
        <v>347</v>
      </c>
      <c r="C359" s="97" t="s">
        <v>198</v>
      </c>
      <c r="G359" s="75"/>
      <c r="I359" s="115"/>
      <c r="K359" s="121">
        <v>53575909.109999999</v>
      </c>
      <c r="L359" s="97"/>
      <c r="M359" s="150">
        <v>18062917</v>
      </c>
      <c r="N359" s="140"/>
      <c r="O359" s="140"/>
      <c r="P359" s="140"/>
      <c r="Q359" s="140"/>
      <c r="R359" s="67"/>
      <c r="S359" s="90"/>
      <c r="U359" s="144"/>
      <c r="V359" s="65"/>
    </row>
    <row r="360" spans="1:22" ht="15.75" x14ac:dyDescent="0.25">
      <c r="A360" s="89">
        <v>350</v>
      </c>
      <c r="C360" s="97" t="s">
        <v>197</v>
      </c>
      <c r="G360" s="75"/>
      <c r="I360" s="115"/>
      <c r="K360" s="121">
        <v>3269417.8600000008</v>
      </c>
      <c r="L360" s="97"/>
      <c r="M360" s="150">
        <v>0.01</v>
      </c>
      <c r="N360" s="140"/>
      <c r="O360" s="140"/>
      <c r="P360" s="140"/>
      <c r="Q360" s="140"/>
      <c r="R360" s="67"/>
      <c r="S360" s="90"/>
      <c r="U360" s="144"/>
      <c r="V360" s="65"/>
    </row>
    <row r="361" spans="1:22" ht="15.75" x14ac:dyDescent="0.25">
      <c r="A361" s="89">
        <v>350.6</v>
      </c>
      <c r="C361" s="97" t="s">
        <v>197</v>
      </c>
      <c r="G361" s="75"/>
      <c r="I361" s="115"/>
      <c r="K361" s="121">
        <v>952460.66</v>
      </c>
      <c r="L361" s="97"/>
      <c r="M361" s="150"/>
      <c r="N361" s="140"/>
      <c r="O361" s="140"/>
      <c r="P361" s="140"/>
      <c r="Q361" s="140"/>
      <c r="R361" s="67"/>
      <c r="S361" s="90"/>
      <c r="U361" s="144"/>
      <c r="V361" s="65"/>
    </row>
    <row r="362" spans="1:22" ht="15.75" x14ac:dyDescent="0.25">
      <c r="A362" s="89">
        <v>350.7</v>
      </c>
      <c r="C362" s="97" t="s">
        <v>197</v>
      </c>
      <c r="G362" s="75"/>
      <c r="I362" s="115"/>
      <c r="K362" s="121">
        <v>11089835.500000004</v>
      </c>
      <c r="L362" s="97"/>
      <c r="M362" s="150"/>
      <c r="N362" s="140"/>
      <c r="O362" s="140"/>
      <c r="P362" s="140"/>
      <c r="Q362" s="140"/>
      <c r="R362" s="67"/>
      <c r="S362" s="90"/>
      <c r="U362" s="144"/>
      <c r="V362" s="65"/>
    </row>
    <row r="363" spans="1:22" ht="15.75" x14ac:dyDescent="0.25">
      <c r="A363" s="89">
        <v>350.9</v>
      </c>
      <c r="C363" s="97" t="s">
        <v>197</v>
      </c>
      <c r="G363" s="75"/>
      <c r="I363" s="115"/>
      <c r="K363" s="121">
        <v>1908.09</v>
      </c>
      <c r="L363" s="97"/>
      <c r="M363" s="150"/>
      <c r="N363" s="140"/>
      <c r="O363" s="140"/>
      <c r="P363" s="140"/>
      <c r="Q363" s="140"/>
      <c r="R363" s="67"/>
      <c r="S363" s="90"/>
      <c r="U363" s="144"/>
      <c r="V363" s="65"/>
    </row>
    <row r="364" spans="1:22" ht="15.75" x14ac:dyDescent="0.25">
      <c r="A364" s="89">
        <v>359.9</v>
      </c>
      <c r="C364" s="97" t="s">
        <v>198</v>
      </c>
      <c r="G364" s="75"/>
      <c r="I364" s="115"/>
      <c r="K364" s="121">
        <v>1600636.74</v>
      </c>
      <c r="L364" s="97"/>
      <c r="M364" s="150">
        <v>469026.84</v>
      </c>
      <c r="N364" s="140"/>
      <c r="O364" s="140"/>
      <c r="P364" s="140"/>
      <c r="Q364" s="140"/>
      <c r="R364" s="67"/>
      <c r="S364" s="90"/>
      <c r="U364" s="144"/>
      <c r="V364" s="65"/>
    </row>
    <row r="365" spans="1:22" ht="15.75" x14ac:dyDescent="0.25">
      <c r="A365" s="89">
        <v>360</v>
      </c>
      <c r="C365" s="97" t="s">
        <v>197</v>
      </c>
      <c r="G365" s="75"/>
      <c r="I365" s="115"/>
      <c r="K365" s="121">
        <v>34438542.689999975</v>
      </c>
      <c r="L365" s="97"/>
      <c r="M365" s="150">
        <v>9.25</v>
      </c>
      <c r="N365" s="140"/>
      <c r="O365" s="140"/>
      <c r="P365" s="140"/>
      <c r="Q365" s="140"/>
      <c r="R365" s="67"/>
      <c r="S365" s="90"/>
      <c r="U365" s="144"/>
      <c r="V365" s="65"/>
    </row>
    <row r="366" spans="1:22" ht="15.75" x14ac:dyDescent="0.25">
      <c r="A366" s="89">
        <v>370</v>
      </c>
      <c r="C366" s="97" t="s">
        <v>199</v>
      </c>
      <c r="G366" s="75"/>
      <c r="I366" s="115"/>
      <c r="K366" s="121">
        <v>120194688.27</v>
      </c>
      <c r="L366" s="97"/>
      <c r="M366" s="150">
        <v>16410660.470000001</v>
      </c>
      <c r="N366" s="140"/>
      <c r="O366" s="140"/>
      <c r="P366" s="140"/>
      <c r="Q366" s="140"/>
      <c r="R366" s="67"/>
      <c r="S366" s="90"/>
      <c r="U366" s="144"/>
      <c r="V366" s="65"/>
    </row>
    <row r="367" spans="1:22" ht="15.75" x14ac:dyDescent="0.25">
      <c r="A367" s="89">
        <v>374</v>
      </c>
      <c r="C367" s="97" t="s">
        <v>198</v>
      </c>
      <c r="G367" s="75"/>
      <c r="I367" s="115"/>
      <c r="K367" s="121">
        <v>6363632.6699999999</v>
      </c>
      <c r="L367" s="97"/>
      <c r="M367" s="150">
        <v>627470.28</v>
      </c>
      <c r="N367" s="140"/>
      <c r="O367" s="140"/>
      <c r="P367" s="140"/>
      <c r="Q367" s="140"/>
      <c r="R367" s="67"/>
      <c r="S367" s="90"/>
      <c r="U367" s="144"/>
      <c r="V367" s="65"/>
    </row>
    <row r="368" spans="1:22" ht="15.75" x14ac:dyDescent="0.25">
      <c r="A368" s="89">
        <v>389</v>
      </c>
      <c r="C368" s="97" t="s">
        <v>197</v>
      </c>
      <c r="G368" s="75"/>
      <c r="I368" s="115"/>
      <c r="K368" s="105">
        <v>5100521.32</v>
      </c>
      <c r="L368" s="93"/>
      <c r="M368" s="151">
        <v>6000.03</v>
      </c>
      <c r="N368" s="140"/>
      <c r="O368" s="140"/>
      <c r="P368" s="140"/>
      <c r="Q368" s="140"/>
      <c r="R368" s="67"/>
      <c r="S368" s="90"/>
      <c r="U368" s="152"/>
      <c r="V368" s="65"/>
    </row>
    <row r="369" spans="1:22" x14ac:dyDescent="0.2">
      <c r="A369" s="89">
        <v>390.1</v>
      </c>
      <c r="C369" s="153" t="s">
        <v>196</v>
      </c>
      <c r="E369" s="102"/>
      <c r="G369" s="103"/>
      <c r="H369" s="103"/>
      <c r="I369" s="104"/>
      <c r="J369" s="93"/>
      <c r="K369" s="110">
        <v>184775.85</v>
      </c>
      <c r="L369" s="106"/>
      <c r="M369" s="111">
        <v>184775.85</v>
      </c>
      <c r="N369" s="107"/>
      <c r="O369" s="107"/>
      <c r="P369" s="107"/>
      <c r="Q369" s="107"/>
      <c r="R369" s="97"/>
      <c r="S369" s="108"/>
      <c r="T369" s="97"/>
      <c r="U369" s="154"/>
      <c r="V369" s="65"/>
    </row>
    <row r="370" spans="1:22" ht="15.75" x14ac:dyDescent="0.25">
      <c r="A370" s="65"/>
      <c r="C370" s="67"/>
      <c r="G370" s="75"/>
      <c r="I370" s="115"/>
      <c r="K370" s="60"/>
      <c r="L370" s="67"/>
      <c r="M370" s="140"/>
      <c r="N370" s="140"/>
      <c r="O370" s="140"/>
      <c r="P370" s="140"/>
      <c r="Q370" s="140"/>
      <c r="R370" s="67"/>
      <c r="S370" s="90"/>
      <c r="U370" s="152"/>
      <c r="V370" s="65"/>
    </row>
    <row r="371" spans="1:22" ht="15.75" x14ac:dyDescent="0.25">
      <c r="A371" s="65"/>
      <c r="C371" s="155" t="s">
        <v>195</v>
      </c>
      <c r="G371" s="75"/>
      <c r="I371" s="115"/>
      <c r="K371" s="62">
        <f>SUBTOTAL(9,K351:K369)</f>
        <v>462957797.47000003</v>
      </c>
      <c r="L371" s="116"/>
      <c r="M371" s="61">
        <f>SUBTOTAL(9,M351:M369)</f>
        <v>129881804.93000002</v>
      </c>
      <c r="N371" s="140"/>
      <c r="O371" s="140"/>
      <c r="P371" s="140"/>
      <c r="Q371" s="140"/>
      <c r="R371" s="67"/>
      <c r="S371" s="90"/>
      <c r="U371" s="152"/>
      <c r="V371" s="65"/>
    </row>
    <row r="372" spans="1:22" ht="15.75" x14ac:dyDescent="0.25">
      <c r="A372" s="65"/>
      <c r="C372" s="67"/>
      <c r="G372" s="75"/>
      <c r="I372" s="115"/>
      <c r="K372" s="60"/>
      <c r="L372" s="67"/>
      <c r="M372" s="140"/>
      <c r="N372" s="140"/>
      <c r="O372" s="140"/>
      <c r="P372" s="140"/>
      <c r="Q372" s="140"/>
      <c r="R372" s="67"/>
      <c r="S372" s="90"/>
      <c r="U372" s="152"/>
      <c r="V372" s="65"/>
    </row>
    <row r="373" spans="1:22" ht="16.5" thickBot="1" x14ac:dyDescent="0.3">
      <c r="A373" s="65"/>
      <c r="C373" s="155" t="s">
        <v>194</v>
      </c>
      <c r="G373" s="75"/>
      <c r="I373" s="115"/>
      <c r="K373" s="59">
        <f>+SUBTOTAL(9,K17:K372)</f>
        <v>10457712252.669996</v>
      </c>
      <c r="L373" s="67"/>
      <c r="M373" s="149">
        <f>+SUBTOTAL(9,M17:M372)</f>
        <v>4457867538.2000017</v>
      </c>
      <c r="N373" s="140"/>
      <c r="O373" s="140"/>
      <c r="P373" s="140"/>
      <c r="Q373" s="140"/>
      <c r="R373" s="67"/>
      <c r="S373" s="89"/>
      <c r="U373" s="152"/>
      <c r="V373" s="65"/>
    </row>
    <row r="374" spans="1:22" ht="16.5" thickTop="1" x14ac:dyDescent="0.25">
      <c r="A374" s="65"/>
      <c r="C374" s="84"/>
      <c r="G374" s="75"/>
      <c r="I374" s="115"/>
      <c r="K374" s="58"/>
      <c r="L374" s="67"/>
      <c r="M374" s="117"/>
      <c r="N374" s="140"/>
      <c r="O374" s="140"/>
      <c r="P374" s="140"/>
      <c r="Q374" s="140"/>
      <c r="R374" s="67"/>
      <c r="S374" s="89"/>
      <c r="U374" s="152"/>
      <c r="V374" s="65"/>
    </row>
    <row r="375" spans="1:22" ht="15.75" x14ac:dyDescent="0.25">
      <c r="A375" s="65"/>
      <c r="B375" s="444" t="s">
        <v>193</v>
      </c>
      <c r="C375" s="445" t="s">
        <v>192</v>
      </c>
      <c r="G375" s="75"/>
      <c r="I375" s="115"/>
      <c r="K375" s="121"/>
      <c r="L375" s="67"/>
      <c r="M375" s="87"/>
      <c r="N375" s="140"/>
      <c r="O375" s="140"/>
      <c r="P375" s="140"/>
      <c r="Q375" s="140"/>
      <c r="R375" s="67"/>
      <c r="S375" s="89"/>
      <c r="U375" s="152"/>
      <c r="V375" s="65"/>
    </row>
    <row r="376" spans="1:22" x14ac:dyDescent="0.2">
      <c r="A376" s="65"/>
      <c r="B376" s="446" t="s">
        <v>191</v>
      </c>
      <c r="C376" s="65" t="s">
        <v>190</v>
      </c>
      <c r="G376" s="75"/>
      <c r="I376" s="115"/>
      <c r="K376" s="121"/>
      <c r="N376" s="87"/>
      <c r="O376" s="87"/>
      <c r="P376" s="87"/>
      <c r="Q376" s="87" t="s">
        <v>168</v>
      </c>
      <c r="S376" s="89"/>
      <c r="U376" s="88"/>
      <c r="V376" s="65"/>
    </row>
    <row r="377" spans="1:22" x14ac:dyDescent="0.2">
      <c r="B377" s="156" t="s">
        <v>189</v>
      </c>
      <c r="C377" s="445" t="s">
        <v>188</v>
      </c>
      <c r="D377" s="157"/>
      <c r="E377" s="157"/>
      <c r="F377" s="157"/>
      <c r="G377" s="157"/>
      <c r="H377" s="86"/>
      <c r="I377" s="66"/>
    </row>
  </sheetData>
  <pageMargins left="0.75" right="0.75" top="1" bottom="0.75" header="0.5" footer="0.5"/>
  <pageSetup scale="43" fitToHeight="0" orientation="landscape" horizontalDpi="4294967295" verticalDpi="4294967295" r:id="rId1"/>
  <rowBreaks count="6" manualBreakCount="6">
    <brk id="66" max="20" man="1"/>
    <brk id="124" max="20" man="1"/>
    <brk id="181" max="20" man="1"/>
    <brk id="239" max="20" man="1"/>
    <brk id="295" max="20" man="1"/>
    <brk id="348" max="20" man="1"/>
  </rowBreaks>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sqref="A1:XFD1048576"/>
    </sheetView>
  </sheetViews>
  <sheetFormatPr defaultRowHeight="15" x14ac:dyDescent="0.25"/>
  <cols>
    <col min="1" max="1" width="5" style="642" bestFit="1" customWidth="1"/>
    <col min="2" max="2" width="41.7109375" style="642" bestFit="1" customWidth="1"/>
    <col min="3" max="3" width="11.5703125" style="642" bestFit="1" customWidth="1"/>
    <col min="4" max="4" width="6" style="642" bestFit="1" customWidth="1"/>
    <col min="5" max="5" width="10.42578125" style="642" bestFit="1" customWidth="1"/>
    <col min="6" max="9" width="9.140625" style="642"/>
    <col min="10" max="10" width="62.5703125" style="642" bestFit="1" customWidth="1"/>
    <col min="11" max="16384" width="9.140625" style="642"/>
  </cols>
  <sheetData>
    <row r="1" spans="1:13" x14ac:dyDescent="0.25">
      <c r="A1" s="570"/>
      <c r="B1" s="570"/>
      <c r="C1" s="639"/>
      <c r="D1" s="640"/>
      <c r="E1" s="641" t="s">
        <v>462</v>
      </c>
      <c r="I1" s="570"/>
      <c r="J1" s="570"/>
      <c r="K1" s="643" t="s">
        <v>463</v>
      </c>
      <c r="L1" s="640"/>
      <c r="M1" s="644"/>
    </row>
    <row r="2" spans="1:13" x14ac:dyDescent="0.25">
      <c r="A2" s="645" t="s">
        <v>66</v>
      </c>
      <c r="B2" s="645"/>
      <c r="C2" s="645"/>
      <c r="D2" s="645"/>
      <c r="E2" s="645"/>
      <c r="I2" s="645" t="s">
        <v>66</v>
      </c>
      <c r="J2" s="645"/>
      <c r="K2" s="572"/>
      <c r="L2" s="572"/>
      <c r="M2" s="572"/>
    </row>
    <row r="3" spans="1:13" x14ac:dyDescent="0.25">
      <c r="A3" s="645" t="s">
        <v>452</v>
      </c>
      <c r="B3" s="645"/>
      <c r="C3" s="645"/>
      <c r="D3" s="645"/>
      <c r="E3" s="645"/>
      <c r="I3" s="645" t="s">
        <v>452</v>
      </c>
      <c r="J3" s="645"/>
      <c r="K3" s="572"/>
      <c r="L3" s="572"/>
      <c r="M3" s="572"/>
    </row>
    <row r="4" spans="1:13" x14ac:dyDescent="0.25">
      <c r="A4" s="645" t="s">
        <v>68</v>
      </c>
      <c r="B4" s="645"/>
      <c r="C4" s="645"/>
      <c r="D4" s="645"/>
      <c r="E4" s="645"/>
      <c r="I4" s="645" t="str">
        <f>$A$4</f>
        <v>2022 GENERAL RATE CASE</v>
      </c>
      <c r="J4" s="645"/>
      <c r="K4" s="572"/>
      <c r="L4" s="572"/>
      <c r="M4" s="572"/>
    </row>
    <row r="5" spans="1:13" x14ac:dyDescent="0.25">
      <c r="A5" s="645" t="s">
        <v>67</v>
      </c>
      <c r="B5" s="645"/>
      <c r="C5" s="645"/>
      <c r="D5" s="645"/>
      <c r="E5" s="645"/>
      <c r="I5" s="645" t="str">
        <f>$A$5</f>
        <v>12 MONTHS ENDED JUNE 30, 2021</v>
      </c>
      <c r="J5" s="645"/>
      <c r="K5" s="572"/>
      <c r="L5" s="572"/>
      <c r="M5" s="572"/>
    </row>
    <row r="6" spans="1:13" x14ac:dyDescent="0.25">
      <c r="A6" s="645" t="s">
        <v>453</v>
      </c>
      <c r="B6" s="645"/>
      <c r="C6" s="645"/>
      <c r="D6" s="645"/>
      <c r="E6" s="645"/>
      <c r="I6" s="645" t="s">
        <v>464</v>
      </c>
      <c r="J6" s="645"/>
      <c r="K6" s="645"/>
      <c r="L6" s="645"/>
      <c r="M6" s="645"/>
    </row>
    <row r="7" spans="1:13" x14ac:dyDescent="0.25">
      <c r="A7" s="570"/>
      <c r="B7" s="572"/>
      <c r="C7" s="572"/>
      <c r="D7" s="572"/>
      <c r="E7" s="572"/>
      <c r="I7" s="572"/>
      <c r="J7" s="572"/>
      <c r="K7" s="572"/>
      <c r="L7" s="572"/>
      <c r="M7" s="572"/>
    </row>
    <row r="8" spans="1:13" x14ac:dyDescent="0.25">
      <c r="A8" s="570"/>
      <c r="B8" s="570"/>
      <c r="C8" s="570"/>
      <c r="D8" s="570"/>
      <c r="E8" s="570"/>
      <c r="I8" s="572"/>
      <c r="J8" s="572"/>
      <c r="K8" s="572"/>
      <c r="L8" s="572"/>
      <c r="M8" s="570"/>
    </row>
    <row r="9" spans="1:13" x14ac:dyDescent="0.25">
      <c r="A9" s="646" t="s">
        <v>0</v>
      </c>
      <c r="B9" s="646"/>
      <c r="C9" s="590" t="s">
        <v>454</v>
      </c>
      <c r="D9" s="570"/>
      <c r="E9" s="590" t="s">
        <v>455</v>
      </c>
      <c r="I9" s="646" t="s">
        <v>0</v>
      </c>
      <c r="J9" s="646"/>
      <c r="K9" s="646"/>
      <c r="L9" s="570"/>
      <c r="M9" s="570"/>
    </row>
    <row r="10" spans="1:13" x14ac:dyDescent="0.25">
      <c r="A10" s="593" t="s">
        <v>1</v>
      </c>
      <c r="B10" s="593" t="s">
        <v>2</v>
      </c>
      <c r="C10" s="592" t="s">
        <v>456</v>
      </c>
      <c r="D10" s="592" t="s">
        <v>457</v>
      </c>
      <c r="E10" s="592" t="s">
        <v>457</v>
      </c>
      <c r="I10" s="593" t="s">
        <v>1</v>
      </c>
      <c r="J10" s="593" t="s">
        <v>2</v>
      </c>
      <c r="K10" s="593"/>
      <c r="L10" s="647"/>
      <c r="M10" s="647"/>
    </row>
    <row r="11" spans="1:13" x14ac:dyDescent="0.25">
      <c r="B11" s="568"/>
      <c r="C11" s="568"/>
      <c r="D11" s="568"/>
      <c r="E11" s="568"/>
      <c r="I11" s="570"/>
      <c r="J11" s="570"/>
      <c r="K11" s="570"/>
      <c r="L11" s="570"/>
      <c r="M11" s="570"/>
    </row>
    <row r="12" spans="1:13" x14ac:dyDescent="0.25">
      <c r="A12" s="648">
        <v>1</v>
      </c>
      <c r="B12" s="649"/>
      <c r="C12" s="649"/>
      <c r="D12" s="649"/>
      <c r="E12" s="649"/>
      <c r="I12" s="600">
        <f>ROW()</f>
        <v>12</v>
      </c>
      <c r="J12" s="613" t="s">
        <v>465</v>
      </c>
      <c r="K12" s="611"/>
      <c r="L12" s="611"/>
      <c r="M12" s="650">
        <v>7.1970000000000003E-3</v>
      </c>
    </row>
    <row r="13" spans="1:13" x14ac:dyDescent="0.25">
      <c r="A13" s="648">
        <v>2</v>
      </c>
      <c r="B13" s="651">
        <v>2023</v>
      </c>
      <c r="C13" s="652"/>
      <c r="D13" s="652"/>
      <c r="E13" s="653"/>
      <c r="I13" s="600">
        <f t="shared" ref="I13:I20" si="0">I12+1</f>
        <v>13</v>
      </c>
      <c r="J13" s="613" t="s">
        <v>466</v>
      </c>
      <c r="K13" s="611"/>
      <c r="L13" s="611"/>
      <c r="M13" s="650">
        <v>2E-3</v>
      </c>
    </row>
    <row r="14" spans="1:13" x14ac:dyDescent="0.25">
      <c r="A14" s="648">
        <f t="shared" ref="A14:A20" si="1">+A13+1</f>
        <v>3</v>
      </c>
      <c r="B14" s="654" t="s">
        <v>458</v>
      </c>
      <c r="C14" s="655">
        <v>0.51</v>
      </c>
      <c r="D14" s="655">
        <v>0.05</v>
      </c>
      <c r="E14" s="656">
        <f>ROUND(C14*D14,4)</f>
        <v>2.5499999999999998E-2</v>
      </c>
      <c r="I14" s="600">
        <f t="shared" si="0"/>
        <v>14</v>
      </c>
      <c r="J14" s="613" t="str">
        <f>"STATE UTILITY TAX ( "&amp;M14*100&amp;"% - ( LINE 1 * "&amp;M14*100&amp;"% )  )"</f>
        <v>STATE UTILITY TAX ( 3.8455% - ( LINE 1 * 3.8455% )  )</v>
      </c>
      <c r="K14" s="570"/>
      <c r="L14" s="657">
        <v>3.8733999999999998E-2</v>
      </c>
      <c r="M14" s="658">
        <f>ROUND(L14-(L14*M12),6)</f>
        <v>3.8455000000000003E-2</v>
      </c>
    </row>
    <row r="15" spans="1:13" x14ac:dyDescent="0.25">
      <c r="A15" s="648">
        <f t="shared" si="1"/>
        <v>4</v>
      </c>
      <c r="B15" s="654" t="s">
        <v>459</v>
      </c>
      <c r="C15" s="655">
        <v>0.49</v>
      </c>
      <c r="D15" s="655">
        <v>9.4E-2</v>
      </c>
      <c r="E15" s="656">
        <f>ROUND(C15*D15,4)</f>
        <v>4.6100000000000002E-2</v>
      </c>
      <c r="I15" s="600">
        <f t="shared" si="0"/>
        <v>15</v>
      </c>
      <c r="J15" s="613"/>
      <c r="K15" s="611"/>
      <c r="L15" s="611"/>
      <c r="M15" s="659"/>
    </row>
    <row r="16" spans="1:13" x14ac:dyDescent="0.25">
      <c r="A16" s="648">
        <f t="shared" si="1"/>
        <v>5</v>
      </c>
      <c r="B16" s="654" t="s">
        <v>127</v>
      </c>
      <c r="C16" s="660">
        <f>SUM(C14:C15)</f>
        <v>1</v>
      </c>
      <c r="D16" s="652"/>
      <c r="E16" s="661">
        <f>SUM(E14:E15)</f>
        <v>7.1599999999999997E-2</v>
      </c>
      <c r="I16" s="600">
        <f t="shared" si="0"/>
        <v>16</v>
      </c>
      <c r="J16" s="613" t="s">
        <v>467</v>
      </c>
      <c r="K16" s="611"/>
      <c r="L16" s="611"/>
      <c r="M16" s="650">
        <f>ROUND(SUM(M12:M14),6)</f>
        <v>4.7652E-2</v>
      </c>
    </row>
    <row r="17" spans="1:13" x14ac:dyDescent="0.25">
      <c r="A17" s="648">
        <f t="shared" si="1"/>
        <v>6</v>
      </c>
      <c r="B17" s="654"/>
      <c r="C17" s="649"/>
      <c r="D17" s="649"/>
      <c r="E17" s="662"/>
      <c r="I17" s="600">
        <f t="shared" si="0"/>
        <v>17</v>
      </c>
      <c r="J17" s="611"/>
      <c r="K17" s="611"/>
      <c r="L17" s="611"/>
      <c r="M17" s="650"/>
    </row>
    <row r="18" spans="1:13" x14ac:dyDescent="0.25">
      <c r="A18" s="648">
        <f t="shared" si="1"/>
        <v>7</v>
      </c>
      <c r="B18" s="654" t="s">
        <v>460</v>
      </c>
      <c r="C18" s="655">
        <f>+C14</f>
        <v>0.51</v>
      </c>
      <c r="D18" s="655">
        <f>D14*0.79</f>
        <v>3.9500000000000007E-2</v>
      </c>
      <c r="E18" s="656">
        <f>ROUND(E14*0.79,4)</f>
        <v>2.01E-2</v>
      </c>
      <c r="I18" s="600">
        <f t="shared" si="0"/>
        <v>18</v>
      </c>
      <c r="J18" s="611" t="str">
        <f>"CONVERSION FACTOR EXCLUDING FEDERAL INCOME TAX ( 1 - LINE "&amp;$K$17&amp;" )"</f>
        <v>CONVERSION FACTOR EXCLUDING FEDERAL INCOME TAX ( 1 - LINE  )</v>
      </c>
      <c r="K18" s="611"/>
      <c r="L18" s="611"/>
      <c r="M18" s="650">
        <f>ROUND(1-M16,6)</f>
        <v>0.95234799999999997</v>
      </c>
    </row>
    <row r="19" spans="1:13" x14ac:dyDescent="0.25">
      <c r="A19" s="648">
        <f t="shared" si="1"/>
        <v>8</v>
      </c>
      <c r="B19" s="654" t="s">
        <v>459</v>
      </c>
      <c r="C19" s="655">
        <f>+C15</f>
        <v>0.49</v>
      </c>
      <c r="D19" s="655">
        <f>+D15</f>
        <v>9.4E-2</v>
      </c>
      <c r="E19" s="656">
        <f>ROUND(C19*D19,4)</f>
        <v>4.6100000000000002E-2</v>
      </c>
      <c r="I19" s="600">
        <f t="shared" si="0"/>
        <v>19</v>
      </c>
      <c r="J19" s="613" t="s">
        <v>468</v>
      </c>
      <c r="K19" s="611"/>
      <c r="L19" s="663">
        <v>0.21</v>
      </c>
      <c r="M19" s="650">
        <v>0.199993</v>
      </c>
    </row>
    <row r="20" spans="1:13" ht="15.75" thickBot="1" x14ac:dyDescent="0.3">
      <c r="A20" s="648">
        <f t="shared" si="1"/>
        <v>9</v>
      </c>
      <c r="B20" s="664" t="s">
        <v>461</v>
      </c>
      <c r="C20" s="665">
        <f>SUM(C18:C19)</f>
        <v>1</v>
      </c>
      <c r="D20" s="666"/>
      <c r="E20" s="667">
        <f>SUM(E18:E19)</f>
        <v>6.6200000000000009E-2</v>
      </c>
      <c r="I20" s="600">
        <f t="shared" si="0"/>
        <v>20</v>
      </c>
      <c r="J20" s="613" t="str">
        <f>"CONVERSION FACTOR INCL FEDERAL INCOME TAX ( LINE "&amp;I18&amp;" - LINE "&amp;I19&amp;" ) "</f>
        <v xml:space="preserve">CONVERSION FACTOR INCL FEDERAL INCOME TAX ( LINE 18 - LINE 19 ) </v>
      </c>
      <c r="K20" s="611"/>
      <c r="L20" s="611"/>
      <c r="M20" s="668">
        <f>ROUND(1-M19-M16,6)</f>
        <v>0.752355</v>
      </c>
    </row>
    <row r="21" spans="1:13" ht="15.75" thickTop="1" x14ac:dyDescent="0.25">
      <c r="I21" s="600"/>
      <c r="J21" s="570"/>
      <c r="K21" s="611"/>
      <c r="L21" s="611"/>
      <c r="M21" s="611"/>
    </row>
  </sheetData>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6" sqref="N36"/>
    </sheetView>
  </sheetViews>
  <sheetFormatPr defaultRowHeight="15" x14ac:dyDescent="0.25"/>
  <sheetData/>
  <pageMargins left="0.7" right="0.7" top="0.75" bottom="0.75" header="0.3" footer="0.3"/>
  <customProperties>
    <customPr name="_pios_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x14ac:dyDescent="0.25"/>
  <sheetData/>
  <pageMargins left="0.7" right="0.7" top="0.75" bottom="0.75" header="0.3" footer="0.3"/>
  <customProperties>
    <customPr name="_pios_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98"/>
  <sheetViews>
    <sheetView workbookViewId="0">
      <pane xSplit="4" ySplit="6" topLeftCell="J35" activePane="bottomRight" state="frozen"/>
      <selection activeCell="D27" activeCellId="1" sqref="D16 D27"/>
      <selection pane="topRight" activeCell="D27" activeCellId="1" sqref="D16 D27"/>
      <selection pane="bottomLeft" activeCell="D27" activeCellId="1" sqref="D16 D27"/>
      <selection pane="bottomRight" activeCell="AQ302" sqref="AQ302"/>
    </sheetView>
  </sheetViews>
  <sheetFormatPr defaultRowHeight="12.75" outlineLevelRow="1" outlineLevelCol="1" x14ac:dyDescent="0.2"/>
  <cols>
    <col min="1" max="2" width="9.140625" style="292"/>
    <col min="3" max="3" width="10.28515625" style="292" hidden="1" customWidth="1" outlineLevel="1"/>
    <col min="4" max="4" width="2.7109375" style="292" customWidth="1" collapsed="1"/>
    <col min="5" max="6" width="12.42578125" style="292" bestFit="1" customWidth="1"/>
    <col min="7" max="7" width="11" style="292" bestFit="1" customWidth="1"/>
    <col min="8" max="9" width="10" style="292" bestFit="1" customWidth="1"/>
    <col min="10" max="10" width="14.7109375" style="292" bestFit="1" customWidth="1"/>
    <col min="11" max="11" width="13.28515625" style="292" bestFit="1" customWidth="1"/>
    <col min="12" max="12" width="15.28515625" style="292" customWidth="1"/>
    <col min="13" max="13" width="12.7109375" style="292" bestFit="1" customWidth="1"/>
    <col min="14" max="14" width="18.5703125" style="292" customWidth="1"/>
    <col min="15" max="15" width="14.28515625" style="292" customWidth="1"/>
    <col min="16" max="16" width="2.5703125" style="292" customWidth="1"/>
    <col min="17" max="27" width="14.140625" style="292" hidden="1" customWidth="1" outlineLevel="1"/>
    <col min="28" max="28" width="2.7109375" style="292" hidden="1" customWidth="1" outlineLevel="1"/>
    <col min="29" max="30" width="11" style="292" hidden="1" customWidth="1" outlineLevel="1"/>
    <col min="31" max="31" width="10" style="292" hidden="1" customWidth="1" outlineLevel="1"/>
    <col min="32" max="32" width="9" style="292" hidden="1" customWidth="1" outlineLevel="1"/>
    <col min="33" max="33" width="6.5703125" style="292" hidden="1" customWidth="1" outlineLevel="1"/>
    <col min="34" max="34" width="12.5703125" style="292" hidden="1" customWidth="1" outlineLevel="1"/>
    <col min="35" max="35" width="10" style="292" hidden="1" customWidth="1" outlineLevel="1"/>
    <col min="36" max="36" width="11" style="292" hidden="1" customWidth="1" outlineLevel="1"/>
    <col min="37" max="37" width="12.5703125" style="292" hidden="1" customWidth="1" outlineLevel="1"/>
    <col min="38" max="38" width="18.42578125" style="292" hidden="1" customWidth="1" outlineLevel="1"/>
    <col min="39" max="39" width="13.5703125" style="292" hidden="1" customWidth="1" outlineLevel="1"/>
    <col min="40" max="40" width="2.5703125" style="292" hidden="1" customWidth="1" outlineLevel="1"/>
    <col min="41" max="41" width="11" style="292" bestFit="1" customWidth="1" collapsed="1"/>
    <col min="42" max="42" width="10.42578125" style="292" bestFit="1" customWidth="1"/>
    <col min="43" max="43" width="10" style="292" customWidth="1"/>
    <col min="44" max="44" width="11" style="292" bestFit="1" customWidth="1"/>
    <col min="45" max="45" width="6.140625" style="292" bestFit="1" customWidth="1"/>
    <col min="46" max="46" width="12.85546875" style="292" bestFit="1" customWidth="1"/>
    <col min="47" max="47" width="11" style="292" bestFit="1" customWidth="1"/>
    <col min="48" max="48" width="10.7109375" style="292" bestFit="1" customWidth="1"/>
    <col min="49" max="49" width="12.7109375" style="292" bestFit="1" customWidth="1"/>
    <col min="50" max="50" width="12" style="292" bestFit="1" customWidth="1"/>
    <col min="51" max="51" width="10.28515625" style="292" customWidth="1"/>
    <col min="52" max="16384" width="9.140625" style="292"/>
  </cols>
  <sheetData>
    <row r="1" spans="1:54" ht="31.5" x14ac:dyDescent="0.5">
      <c r="A1" s="291" t="s">
        <v>822</v>
      </c>
    </row>
    <row r="2" spans="1:54" ht="21.75" thickBot="1" x14ac:dyDescent="0.4">
      <c r="A2" s="293" t="s">
        <v>743</v>
      </c>
      <c r="P2" s="292" t="s">
        <v>744</v>
      </c>
    </row>
    <row r="3" spans="1:54" ht="13.5" thickBot="1" x14ac:dyDescent="0.25">
      <c r="A3" s="292" t="s">
        <v>745</v>
      </c>
      <c r="Q3" s="357" t="s">
        <v>746</v>
      </c>
      <c r="R3" s="358"/>
      <c r="S3" s="358"/>
      <c r="T3" s="358"/>
      <c r="U3" s="358"/>
      <c r="V3" s="358"/>
      <c r="W3" s="358"/>
      <c r="X3" s="358"/>
      <c r="Y3" s="358"/>
      <c r="Z3" s="358"/>
      <c r="AA3" s="359"/>
    </row>
    <row r="4" spans="1:54" ht="12" customHeight="1" x14ac:dyDescent="0.2">
      <c r="E4" s="360" t="s">
        <v>747</v>
      </c>
      <c r="F4" s="361"/>
      <c r="G4" s="361"/>
      <c r="H4" s="361"/>
      <c r="I4" s="361"/>
      <c r="J4" s="361"/>
      <c r="K4" s="361"/>
      <c r="L4" s="361"/>
      <c r="M4" s="361"/>
      <c r="N4" s="361"/>
      <c r="O4" s="362"/>
      <c r="P4" s="294"/>
      <c r="Q4" s="363" t="s">
        <v>748</v>
      </c>
      <c r="R4" s="364"/>
      <c r="S4" s="364"/>
      <c r="T4" s="364"/>
      <c r="U4" s="364"/>
      <c r="V4" s="364"/>
      <c r="W4" s="364"/>
      <c r="X4" s="364"/>
      <c r="Y4" s="364"/>
      <c r="Z4" s="364"/>
      <c r="AA4" s="365"/>
      <c r="AC4" s="360" t="s">
        <v>749</v>
      </c>
      <c r="AD4" s="361"/>
      <c r="AE4" s="361"/>
      <c r="AF4" s="361"/>
      <c r="AG4" s="361"/>
      <c r="AH4" s="361"/>
      <c r="AI4" s="361"/>
      <c r="AJ4" s="361"/>
      <c r="AK4" s="361"/>
      <c r="AL4" s="361"/>
      <c r="AM4" s="362"/>
      <c r="AN4" s="300" t="s">
        <v>750</v>
      </c>
    </row>
    <row r="5" spans="1:54" x14ac:dyDescent="0.2">
      <c r="A5" s="295" t="s">
        <v>81</v>
      </c>
      <c r="B5" s="295" t="s">
        <v>18</v>
      </c>
      <c r="C5" s="295" t="s">
        <v>7</v>
      </c>
      <c r="E5" s="296" t="s">
        <v>701</v>
      </c>
      <c r="F5" s="297" t="s">
        <v>702</v>
      </c>
      <c r="G5" s="297" t="s">
        <v>703</v>
      </c>
      <c r="H5" s="297" t="s">
        <v>751</v>
      </c>
      <c r="I5" s="297" t="s">
        <v>752</v>
      </c>
      <c r="J5" s="297" t="s">
        <v>753</v>
      </c>
      <c r="K5" s="297" t="s">
        <v>754</v>
      </c>
      <c r="L5" s="297" t="s">
        <v>755</v>
      </c>
      <c r="M5" s="297" t="s">
        <v>756</v>
      </c>
      <c r="N5" s="297" t="s">
        <v>757</v>
      </c>
      <c r="O5" s="298" t="s">
        <v>758</v>
      </c>
      <c r="P5" s="297"/>
      <c r="Q5" s="296" t="s">
        <v>701</v>
      </c>
      <c r="R5" s="297" t="s">
        <v>702</v>
      </c>
      <c r="S5" s="297" t="s">
        <v>703</v>
      </c>
      <c r="T5" s="297" t="s">
        <v>751</v>
      </c>
      <c r="U5" s="297" t="s">
        <v>752</v>
      </c>
      <c r="V5" s="297" t="s">
        <v>753</v>
      </c>
      <c r="W5" s="297" t="s">
        <v>754</v>
      </c>
      <c r="X5" s="297" t="s">
        <v>755</v>
      </c>
      <c r="Y5" s="297" t="s">
        <v>756</v>
      </c>
      <c r="Z5" s="297" t="s">
        <v>757</v>
      </c>
      <c r="AA5" s="298" t="s">
        <v>758</v>
      </c>
      <c r="AC5" s="296" t="s">
        <v>701</v>
      </c>
      <c r="AD5" s="297" t="s">
        <v>702</v>
      </c>
      <c r="AE5" s="297" t="s">
        <v>703</v>
      </c>
      <c r="AF5" s="297" t="s">
        <v>751</v>
      </c>
      <c r="AG5" s="297" t="s">
        <v>752</v>
      </c>
      <c r="AH5" s="297" t="s">
        <v>753</v>
      </c>
      <c r="AI5" s="297" t="s">
        <v>754</v>
      </c>
      <c r="AJ5" s="297" t="s">
        <v>755</v>
      </c>
      <c r="AK5" s="297" t="s">
        <v>756</v>
      </c>
      <c r="AL5" s="297" t="s">
        <v>757</v>
      </c>
      <c r="AM5" s="298" t="s">
        <v>758</v>
      </c>
      <c r="AO5" s="297"/>
      <c r="AP5" s="297"/>
      <c r="AQ5" s="297"/>
      <c r="AR5" s="297"/>
      <c r="AS5" s="297"/>
      <c r="AT5" s="297"/>
      <c r="AU5" s="297"/>
      <c r="AV5" s="297"/>
      <c r="AW5" s="297"/>
      <c r="AX5" s="297"/>
      <c r="AY5" s="297"/>
    </row>
    <row r="6" spans="1:54" ht="3" customHeight="1" thickBot="1" x14ac:dyDescent="0.25">
      <c r="E6" s="299"/>
      <c r="F6" s="300"/>
      <c r="G6" s="300"/>
      <c r="H6" s="300"/>
      <c r="I6" s="300"/>
      <c r="J6" s="300"/>
      <c r="K6" s="300"/>
      <c r="L6" s="300"/>
      <c r="M6" s="300"/>
      <c r="N6" s="300"/>
      <c r="O6" s="301"/>
      <c r="P6" s="300"/>
      <c r="Q6" s="302"/>
      <c r="R6" s="303"/>
      <c r="S6" s="303"/>
      <c r="T6" s="303"/>
      <c r="U6" s="303"/>
      <c r="V6" s="303"/>
      <c r="W6" s="303"/>
      <c r="X6" s="303"/>
      <c r="Y6" s="303"/>
      <c r="Z6" s="303"/>
      <c r="AA6" s="304"/>
      <c r="AC6" s="299"/>
      <c r="AD6" s="300"/>
      <c r="AE6" s="300"/>
      <c r="AF6" s="300"/>
      <c r="AG6" s="300"/>
      <c r="AH6" s="300"/>
      <c r="AI6" s="300"/>
      <c r="AJ6" s="300"/>
      <c r="AK6" s="300"/>
      <c r="AL6" s="300"/>
      <c r="AM6" s="301"/>
    </row>
    <row r="7" spans="1:54" ht="15" x14ac:dyDescent="0.25">
      <c r="A7" s="295">
        <v>2022</v>
      </c>
      <c r="B7" s="295"/>
      <c r="C7" s="305"/>
      <c r="E7" s="306">
        <f t="shared" ref="E7:O28" si="0">SUMIF($A$30:$A$293,$A7,E$30:E$293)</f>
        <v>10817101</v>
      </c>
      <c r="F7" s="307">
        <f t="shared" si="0"/>
        <v>8469175</v>
      </c>
      <c r="G7" s="307">
        <f t="shared" si="0"/>
        <v>1036213</v>
      </c>
      <c r="H7" s="307">
        <f t="shared" si="0"/>
        <v>68118</v>
      </c>
      <c r="I7" s="307">
        <f t="shared" si="0"/>
        <v>7118</v>
      </c>
      <c r="J7" s="307">
        <f t="shared" si="0"/>
        <v>20397725</v>
      </c>
      <c r="K7" s="307">
        <f t="shared" si="0"/>
        <v>1725621</v>
      </c>
      <c r="L7" s="307">
        <f t="shared" si="0"/>
        <v>22123346</v>
      </c>
      <c r="M7" s="307">
        <f t="shared" si="0"/>
        <v>23700</v>
      </c>
      <c r="N7" s="307">
        <f t="shared" si="0"/>
        <v>2004</v>
      </c>
      <c r="O7" s="308">
        <f t="shared" si="0"/>
        <v>22149050</v>
      </c>
      <c r="P7" s="309"/>
      <c r="Q7" s="306">
        <f t="shared" ref="Q7:AA28" si="1">SUMIF($A$30:$A$293,$A7,Q$30:Q$293)</f>
        <v>10910679.215980928</v>
      </c>
      <c r="R7" s="307">
        <f t="shared" si="1"/>
        <v>8654221.9896132872</v>
      </c>
      <c r="S7" s="307">
        <f t="shared" si="1"/>
        <v>1054958</v>
      </c>
      <c r="T7" s="307">
        <f t="shared" si="1"/>
        <v>68474</v>
      </c>
      <c r="U7" s="307">
        <f t="shared" si="1"/>
        <v>7118</v>
      </c>
      <c r="V7" s="307">
        <f t="shared" si="1"/>
        <v>20695451.205594216</v>
      </c>
      <c r="W7" s="307">
        <f t="shared" si="1"/>
        <v>1750809.794405784</v>
      </c>
      <c r="X7" s="307">
        <f t="shared" si="1"/>
        <v>22446261</v>
      </c>
      <c r="Y7" s="307">
        <f t="shared" si="1"/>
        <v>23700</v>
      </c>
      <c r="Z7" s="307">
        <f t="shared" si="1"/>
        <v>2004</v>
      </c>
      <c r="AA7" s="308">
        <f t="shared" si="1"/>
        <v>22471965</v>
      </c>
      <c r="AC7" s="306">
        <f t="shared" ref="AC7:AM28" si="2">SUMIF($A$30:$A$293,$A7,AC$30:AC$293)</f>
        <v>11122429</v>
      </c>
      <c r="AD7" s="307">
        <f t="shared" si="2"/>
        <v>8724665</v>
      </c>
      <c r="AE7" s="307">
        <f t="shared" si="2"/>
        <v>1054958</v>
      </c>
      <c r="AF7" s="307">
        <f t="shared" si="2"/>
        <v>68474</v>
      </c>
      <c r="AG7" s="307">
        <f t="shared" si="2"/>
        <v>7118</v>
      </c>
      <c r="AH7" s="307">
        <f t="shared" si="2"/>
        <v>20977644</v>
      </c>
      <c r="AI7" s="307">
        <f t="shared" si="2"/>
        <v>1774681</v>
      </c>
      <c r="AJ7" s="307">
        <f t="shared" si="2"/>
        <v>22752325</v>
      </c>
      <c r="AK7" s="307">
        <f t="shared" si="2"/>
        <v>23700</v>
      </c>
      <c r="AL7" s="307">
        <f t="shared" si="2"/>
        <v>2004</v>
      </c>
      <c r="AM7" s="308">
        <f t="shared" si="2"/>
        <v>22778029</v>
      </c>
      <c r="AO7" s="316"/>
      <c r="AP7" s="316"/>
      <c r="AQ7" s="316"/>
      <c r="AR7" s="316"/>
      <c r="AS7" s="316"/>
      <c r="AT7" s="316"/>
      <c r="AU7" s="316"/>
      <c r="AV7" s="316"/>
      <c r="AW7" s="316"/>
      <c r="AX7" s="316"/>
      <c r="AY7" s="316"/>
      <c r="AZ7" s="316"/>
      <c r="BA7" s="316"/>
      <c r="BB7" s="316"/>
    </row>
    <row r="8" spans="1:54" ht="15" x14ac:dyDescent="0.25">
      <c r="A8" s="295">
        <f t="shared" ref="A8:A28" si="3">A7+1</f>
        <v>2023</v>
      </c>
      <c r="B8" s="295"/>
      <c r="C8" s="305"/>
      <c r="E8" s="310">
        <f>SUMIF($A$30:$A$293,$A8,E$30:E$293)</f>
        <v>10799758</v>
      </c>
      <c r="F8" s="309">
        <f t="shared" si="0"/>
        <v>8453749</v>
      </c>
      <c r="G8" s="309">
        <f t="shared" si="0"/>
        <v>1022095</v>
      </c>
      <c r="H8" s="309">
        <f t="shared" si="0"/>
        <v>65194</v>
      </c>
      <c r="I8" s="309">
        <f t="shared" si="0"/>
        <v>7088</v>
      </c>
      <c r="J8" s="309">
        <f t="shared" si="0"/>
        <v>20347884</v>
      </c>
      <c r="K8" s="309">
        <f t="shared" si="0"/>
        <v>1721404</v>
      </c>
      <c r="L8" s="309">
        <f t="shared" si="0"/>
        <v>22069288</v>
      </c>
      <c r="M8" s="309">
        <f t="shared" si="0"/>
        <v>23700</v>
      </c>
      <c r="N8" s="309">
        <f t="shared" si="0"/>
        <v>2004</v>
      </c>
      <c r="O8" s="311">
        <f t="shared" si="0"/>
        <v>22094992</v>
      </c>
      <c r="P8" s="309"/>
      <c r="Q8" s="310">
        <f t="shared" si="1"/>
        <v>10981997.65623875</v>
      </c>
      <c r="R8" s="309">
        <f t="shared" si="1"/>
        <v>8739430.8209449816</v>
      </c>
      <c r="S8" s="309">
        <f t="shared" si="1"/>
        <v>1047455</v>
      </c>
      <c r="T8" s="309">
        <f t="shared" si="1"/>
        <v>66473</v>
      </c>
      <c r="U8" s="309">
        <f t="shared" si="1"/>
        <v>7088</v>
      </c>
      <c r="V8" s="309">
        <f t="shared" si="1"/>
        <v>20842444.477183729</v>
      </c>
      <c r="W8" s="309">
        <f t="shared" si="1"/>
        <v>1763243.5228162708</v>
      </c>
      <c r="X8" s="309">
        <f t="shared" si="1"/>
        <v>22605688</v>
      </c>
      <c r="Y8" s="309">
        <f t="shared" si="1"/>
        <v>23700</v>
      </c>
      <c r="Z8" s="309">
        <f t="shared" si="1"/>
        <v>2004</v>
      </c>
      <c r="AA8" s="311">
        <f t="shared" si="1"/>
        <v>22631392</v>
      </c>
      <c r="AC8" s="310">
        <f t="shared" si="2"/>
        <v>11281259</v>
      </c>
      <c r="AD8" s="309">
        <f t="shared" si="2"/>
        <v>8857809</v>
      </c>
      <c r="AE8" s="309">
        <f t="shared" si="2"/>
        <v>1047455</v>
      </c>
      <c r="AF8" s="309">
        <f t="shared" si="2"/>
        <v>66473</v>
      </c>
      <c r="AG8" s="309">
        <f t="shared" si="2"/>
        <v>7088</v>
      </c>
      <c r="AH8" s="309">
        <f t="shared" si="2"/>
        <v>21260084</v>
      </c>
      <c r="AI8" s="309">
        <f t="shared" si="2"/>
        <v>1798575</v>
      </c>
      <c r="AJ8" s="309">
        <f t="shared" si="2"/>
        <v>23058659</v>
      </c>
      <c r="AK8" s="309">
        <f t="shared" si="2"/>
        <v>23700</v>
      </c>
      <c r="AL8" s="309">
        <f t="shared" si="2"/>
        <v>2004</v>
      </c>
      <c r="AM8" s="311">
        <f t="shared" si="2"/>
        <v>23084363</v>
      </c>
      <c r="AO8" s="316"/>
      <c r="AP8" s="316"/>
      <c r="AQ8" s="316"/>
      <c r="AR8" s="316"/>
      <c r="AS8" s="316"/>
      <c r="AT8" s="316"/>
      <c r="AU8" s="316"/>
      <c r="AV8" s="316"/>
      <c r="AW8" s="316"/>
      <c r="AX8" s="316"/>
      <c r="AY8" s="316"/>
      <c r="AZ8" s="316"/>
      <c r="BA8" s="316"/>
      <c r="BB8" s="316"/>
    </row>
    <row r="9" spans="1:54" ht="15" x14ac:dyDescent="0.25">
      <c r="A9" s="295">
        <f t="shared" si="3"/>
        <v>2024</v>
      </c>
      <c r="B9" s="295"/>
      <c r="C9" s="305"/>
      <c r="E9" s="310">
        <f>SUMIF($A$30:$A$293,$A9,E$30:E$293)</f>
        <v>10873725</v>
      </c>
      <c r="F9" s="309">
        <f t="shared" si="0"/>
        <v>8717290</v>
      </c>
      <c r="G9" s="309">
        <f t="shared" si="0"/>
        <v>1008863</v>
      </c>
      <c r="H9" s="309">
        <f t="shared" si="0"/>
        <v>62767</v>
      </c>
      <c r="I9" s="309">
        <f t="shared" si="0"/>
        <v>7087</v>
      </c>
      <c r="J9" s="309">
        <f t="shared" si="0"/>
        <v>20669732</v>
      </c>
      <c r="K9" s="309">
        <f t="shared" si="0"/>
        <v>1748633</v>
      </c>
      <c r="L9" s="309">
        <f t="shared" si="0"/>
        <v>22418365</v>
      </c>
      <c r="M9" s="309">
        <f t="shared" si="0"/>
        <v>23784</v>
      </c>
      <c r="N9" s="309">
        <f t="shared" si="0"/>
        <v>2011</v>
      </c>
      <c r="O9" s="311">
        <f t="shared" si="0"/>
        <v>22444160</v>
      </c>
      <c r="P9" s="309"/>
      <c r="Q9" s="310">
        <f t="shared" si="1"/>
        <v>11150925.974076068</v>
      </c>
      <c r="R9" s="309">
        <f t="shared" si="1"/>
        <v>9115644.7763932738</v>
      </c>
      <c r="S9" s="309">
        <f t="shared" si="1"/>
        <v>1040976</v>
      </c>
      <c r="T9" s="309">
        <f t="shared" si="1"/>
        <v>65262</v>
      </c>
      <c r="U9" s="309">
        <f t="shared" si="1"/>
        <v>7087</v>
      </c>
      <c r="V9" s="309">
        <f t="shared" si="1"/>
        <v>21379895.750469342</v>
      </c>
      <c r="W9" s="309">
        <f t="shared" si="1"/>
        <v>1808712.2495306581</v>
      </c>
      <c r="X9" s="309">
        <f t="shared" si="1"/>
        <v>23188608</v>
      </c>
      <c r="Y9" s="309">
        <f t="shared" si="1"/>
        <v>23784</v>
      </c>
      <c r="Z9" s="309">
        <f t="shared" si="1"/>
        <v>2011</v>
      </c>
      <c r="AA9" s="311">
        <f t="shared" si="1"/>
        <v>23214403</v>
      </c>
      <c r="AC9" s="310">
        <f t="shared" si="2"/>
        <v>11512717</v>
      </c>
      <c r="AD9" s="309">
        <f t="shared" si="2"/>
        <v>9266870</v>
      </c>
      <c r="AE9" s="309">
        <f t="shared" si="2"/>
        <v>1040976</v>
      </c>
      <c r="AF9" s="309">
        <f t="shared" si="2"/>
        <v>65262</v>
      </c>
      <c r="AG9" s="309">
        <f t="shared" si="2"/>
        <v>7087</v>
      </c>
      <c r="AH9" s="309">
        <f t="shared" si="2"/>
        <v>21892912</v>
      </c>
      <c r="AI9" s="309">
        <f t="shared" si="2"/>
        <v>1852110</v>
      </c>
      <c r="AJ9" s="309">
        <f t="shared" si="2"/>
        <v>23745022</v>
      </c>
      <c r="AK9" s="309">
        <f t="shared" si="2"/>
        <v>23784</v>
      </c>
      <c r="AL9" s="309">
        <f t="shared" si="2"/>
        <v>2011</v>
      </c>
      <c r="AM9" s="311">
        <f t="shared" si="2"/>
        <v>23770817</v>
      </c>
      <c r="AO9" s="316"/>
      <c r="AP9" s="316"/>
      <c r="AQ9" s="316"/>
      <c r="AR9" s="316"/>
      <c r="AS9" s="316"/>
      <c r="AT9" s="316"/>
      <c r="AU9" s="316"/>
      <c r="AV9" s="316"/>
      <c r="AW9" s="316"/>
      <c r="AX9" s="316"/>
      <c r="AY9" s="316"/>
      <c r="AZ9" s="316"/>
      <c r="BA9" s="316"/>
      <c r="BB9" s="316"/>
    </row>
    <row r="10" spans="1:54" ht="15" x14ac:dyDescent="0.25">
      <c r="A10" s="295">
        <f t="shared" si="3"/>
        <v>2025</v>
      </c>
      <c r="B10" s="295"/>
      <c r="C10" s="305"/>
      <c r="E10" s="310">
        <f t="shared" si="0"/>
        <v>10886911</v>
      </c>
      <c r="F10" s="309">
        <f t="shared" si="0"/>
        <v>8731936</v>
      </c>
      <c r="G10" s="309">
        <f t="shared" si="0"/>
        <v>986993</v>
      </c>
      <c r="H10" s="309">
        <f t="shared" si="0"/>
        <v>60770</v>
      </c>
      <c r="I10" s="309">
        <f t="shared" si="0"/>
        <v>7025</v>
      </c>
      <c r="J10" s="309">
        <f t="shared" si="0"/>
        <v>20673635</v>
      </c>
      <c r="K10" s="309">
        <f t="shared" si="0"/>
        <v>1748962</v>
      </c>
      <c r="L10" s="309">
        <f t="shared" si="0"/>
        <v>22422597</v>
      </c>
      <c r="M10" s="309">
        <f t="shared" si="0"/>
        <v>23700</v>
      </c>
      <c r="N10" s="309">
        <f t="shared" si="0"/>
        <v>2004</v>
      </c>
      <c r="O10" s="311">
        <f t="shared" si="0"/>
        <v>22448301</v>
      </c>
      <c r="P10" s="309"/>
      <c r="Q10" s="310">
        <f t="shared" si="1"/>
        <v>11267508.664976692</v>
      </c>
      <c r="R10" s="309">
        <f t="shared" si="1"/>
        <v>9248628.0576802641</v>
      </c>
      <c r="S10" s="309">
        <f t="shared" si="1"/>
        <v>1025765</v>
      </c>
      <c r="T10" s="309">
        <f t="shared" si="1"/>
        <v>64665</v>
      </c>
      <c r="U10" s="309">
        <f t="shared" si="1"/>
        <v>7025</v>
      </c>
      <c r="V10" s="309">
        <f t="shared" si="1"/>
        <v>21613591.722656954</v>
      </c>
      <c r="W10" s="309">
        <f t="shared" si="1"/>
        <v>1828480.2773430455</v>
      </c>
      <c r="X10" s="309">
        <f t="shared" si="1"/>
        <v>23442072</v>
      </c>
      <c r="Y10" s="309">
        <f t="shared" si="1"/>
        <v>23700</v>
      </c>
      <c r="Z10" s="309">
        <f t="shared" si="1"/>
        <v>2004</v>
      </c>
      <c r="AA10" s="311">
        <f t="shared" si="1"/>
        <v>23467776</v>
      </c>
      <c r="AC10" s="310">
        <f t="shared" si="2"/>
        <v>11689449</v>
      </c>
      <c r="AD10" s="309">
        <f t="shared" si="2"/>
        <v>9422670</v>
      </c>
      <c r="AE10" s="309">
        <f t="shared" si="2"/>
        <v>1025765</v>
      </c>
      <c r="AF10" s="309">
        <f t="shared" si="2"/>
        <v>64665</v>
      </c>
      <c r="AG10" s="309">
        <f t="shared" si="2"/>
        <v>7025</v>
      </c>
      <c r="AH10" s="309">
        <f t="shared" si="2"/>
        <v>22209574</v>
      </c>
      <c r="AI10" s="309">
        <f t="shared" si="2"/>
        <v>1878902</v>
      </c>
      <c r="AJ10" s="309">
        <f t="shared" si="2"/>
        <v>24088476</v>
      </c>
      <c r="AK10" s="309">
        <f t="shared" si="2"/>
        <v>23700</v>
      </c>
      <c r="AL10" s="309">
        <f t="shared" si="2"/>
        <v>2004</v>
      </c>
      <c r="AM10" s="311">
        <f t="shared" si="2"/>
        <v>24114180</v>
      </c>
      <c r="AO10" s="316"/>
      <c r="AP10" s="316"/>
      <c r="AQ10" s="316"/>
      <c r="AR10" s="316"/>
      <c r="AS10" s="316"/>
      <c r="AT10" s="316"/>
      <c r="AU10" s="316"/>
      <c r="AV10" s="316"/>
      <c r="AW10" s="316"/>
      <c r="AX10" s="316"/>
      <c r="AY10" s="316"/>
      <c r="AZ10" s="316"/>
      <c r="BA10" s="316"/>
      <c r="BB10" s="316"/>
    </row>
    <row r="11" spans="1:54" ht="15" x14ac:dyDescent="0.25">
      <c r="A11" s="295">
        <f t="shared" si="3"/>
        <v>2026</v>
      </c>
      <c r="B11" s="295"/>
      <c r="C11" s="305"/>
      <c r="E11" s="310">
        <f t="shared" si="0"/>
        <v>10984786</v>
      </c>
      <c r="F11" s="309">
        <f t="shared" si="0"/>
        <v>8695166</v>
      </c>
      <c r="G11" s="309">
        <f t="shared" si="0"/>
        <v>971068</v>
      </c>
      <c r="H11" s="309">
        <f t="shared" si="0"/>
        <v>59046</v>
      </c>
      <c r="I11" s="309">
        <f t="shared" si="0"/>
        <v>7019</v>
      </c>
      <c r="J11" s="309">
        <f t="shared" si="0"/>
        <v>20717085</v>
      </c>
      <c r="K11" s="309">
        <f t="shared" si="0"/>
        <v>1752639</v>
      </c>
      <c r="L11" s="309">
        <f t="shared" si="0"/>
        <v>22469724</v>
      </c>
      <c r="M11" s="309">
        <f t="shared" si="0"/>
        <v>23700</v>
      </c>
      <c r="N11" s="309">
        <f t="shared" si="0"/>
        <v>2004</v>
      </c>
      <c r="O11" s="311">
        <f t="shared" si="0"/>
        <v>22495428</v>
      </c>
      <c r="P11" s="309"/>
      <c r="Q11" s="310">
        <f t="shared" si="1"/>
        <v>11479547.060495198</v>
      </c>
      <c r="R11" s="309">
        <f t="shared" si="1"/>
        <v>9336424.1708678007</v>
      </c>
      <c r="S11" s="309">
        <f t="shared" si="1"/>
        <v>1016489</v>
      </c>
      <c r="T11" s="309">
        <f t="shared" si="1"/>
        <v>64472</v>
      </c>
      <c r="U11" s="309">
        <f t="shared" si="1"/>
        <v>7019</v>
      </c>
      <c r="V11" s="309">
        <f t="shared" si="1"/>
        <v>21903951.231362998</v>
      </c>
      <c r="W11" s="309">
        <f t="shared" si="1"/>
        <v>1853045.7686369994</v>
      </c>
      <c r="X11" s="309">
        <f t="shared" si="1"/>
        <v>23756997</v>
      </c>
      <c r="Y11" s="309">
        <f t="shared" si="1"/>
        <v>23700</v>
      </c>
      <c r="Z11" s="309">
        <f t="shared" si="1"/>
        <v>2004</v>
      </c>
      <c r="AA11" s="311">
        <f t="shared" si="1"/>
        <v>23782701</v>
      </c>
      <c r="AC11" s="310">
        <f t="shared" si="2"/>
        <v>11949180</v>
      </c>
      <c r="AD11" s="309">
        <f t="shared" si="2"/>
        <v>9527732</v>
      </c>
      <c r="AE11" s="309">
        <f t="shared" si="2"/>
        <v>1016489</v>
      </c>
      <c r="AF11" s="309">
        <f t="shared" si="2"/>
        <v>64472</v>
      </c>
      <c r="AG11" s="309">
        <f t="shared" si="2"/>
        <v>7019</v>
      </c>
      <c r="AH11" s="309">
        <f t="shared" si="2"/>
        <v>22564892</v>
      </c>
      <c r="AI11" s="309">
        <f t="shared" si="2"/>
        <v>1908960</v>
      </c>
      <c r="AJ11" s="309">
        <f t="shared" si="2"/>
        <v>24473852</v>
      </c>
      <c r="AK11" s="309">
        <f t="shared" si="2"/>
        <v>23700</v>
      </c>
      <c r="AL11" s="309">
        <f t="shared" si="2"/>
        <v>2004</v>
      </c>
      <c r="AM11" s="311">
        <f t="shared" si="2"/>
        <v>24499556</v>
      </c>
      <c r="AO11" s="316"/>
      <c r="AP11" s="316"/>
      <c r="AQ11" s="316"/>
      <c r="AR11" s="316"/>
      <c r="AS11" s="316"/>
      <c r="AT11" s="316"/>
      <c r="AU11" s="316"/>
      <c r="AV11" s="316"/>
      <c r="AW11" s="316"/>
      <c r="AX11" s="316"/>
      <c r="AY11" s="316"/>
      <c r="AZ11" s="316"/>
      <c r="BA11" s="316"/>
      <c r="BB11" s="316"/>
    </row>
    <row r="12" spans="1:54" ht="15" x14ac:dyDescent="0.25">
      <c r="A12" s="295">
        <f t="shared" si="3"/>
        <v>2027</v>
      </c>
      <c r="B12" s="295"/>
      <c r="C12" s="305"/>
      <c r="E12" s="310">
        <f t="shared" si="0"/>
        <v>11025153</v>
      </c>
      <c r="F12" s="309">
        <f t="shared" si="0"/>
        <v>8649759</v>
      </c>
      <c r="G12" s="309">
        <f t="shared" si="0"/>
        <v>957070</v>
      </c>
      <c r="H12" s="309">
        <f t="shared" si="0"/>
        <v>58059</v>
      </c>
      <c r="I12" s="309">
        <f t="shared" si="0"/>
        <v>6987</v>
      </c>
      <c r="J12" s="309">
        <f t="shared" si="0"/>
        <v>20697028</v>
      </c>
      <c r="K12" s="309">
        <f t="shared" si="0"/>
        <v>1750941</v>
      </c>
      <c r="L12" s="309">
        <f t="shared" si="0"/>
        <v>22447969</v>
      </c>
      <c r="M12" s="309">
        <f t="shared" si="0"/>
        <v>23700</v>
      </c>
      <c r="N12" s="309">
        <f t="shared" si="0"/>
        <v>2004</v>
      </c>
      <c r="O12" s="311">
        <f t="shared" si="0"/>
        <v>22473673</v>
      </c>
      <c r="P12" s="309"/>
      <c r="Q12" s="310">
        <f t="shared" si="1"/>
        <v>11641218.70695526</v>
      </c>
      <c r="R12" s="309">
        <f t="shared" si="1"/>
        <v>9422099.0652582645</v>
      </c>
      <c r="S12" s="309">
        <f t="shared" si="1"/>
        <v>1009108</v>
      </c>
      <c r="T12" s="309">
        <f t="shared" si="1"/>
        <v>65087</v>
      </c>
      <c r="U12" s="309">
        <f t="shared" si="1"/>
        <v>6987</v>
      </c>
      <c r="V12" s="309">
        <f t="shared" si="1"/>
        <v>22144499.772213526</v>
      </c>
      <c r="W12" s="309">
        <f t="shared" si="1"/>
        <v>1873395.2277864781</v>
      </c>
      <c r="X12" s="309">
        <f t="shared" si="1"/>
        <v>24017895</v>
      </c>
      <c r="Y12" s="309">
        <f t="shared" si="1"/>
        <v>23700</v>
      </c>
      <c r="Z12" s="309">
        <f t="shared" si="1"/>
        <v>2004</v>
      </c>
      <c r="AA12" s="311">
        <f t="shared" si="1"/>
        <v>24043599</v>
      </c>
      <c r="AC12" s="310">
        <f t="shared" si="2"/>
        <v>12153831</v>
      </c>
      <c r="AD12" s="309">
        <f t="shared" si="2"/>
        <v>9629477</v>
      </c>
      <c r="AE12" s="309">
        <f t="shared" si="2"/>
        <v>1009108</v>
      </c>
      <c r="AF12" s="309">
        <f t="shared" si="2"/>
        <v>65087</v>
      </c>
      <c r="AG12" s="309">
        <f t="shared" si="2"/>
        <v>6987</v>
      </c>
      <c r="AH12" s="309">
        <f t="shared" si="2"/>
        <v>22864490</v>
      </c>
      <c r="AI12" s="309">
        <f t="shared" si="2"/>
        <v>1934307</v>
      </c>
      <c r="AJ12" s="309">
        <f t="shared" si="2"/>
        <v>24798797</v>
      </c>
      <c r="AK12" s="309">
        <f t="shared" si="2"/>
        <v>23700</v>
      </c>
      <c r="AL12" s="309">
        <f t="shared" si="2"/>
        <v>2004</v>
      </c>
      <c r="AM12" s="311">
        <f t="shared" si="2"/>
        <v>24824501</v>
      </c>
      <c r="AO12" s="316"/>
      <c r="AP12" s="316"/>
      <c r="AQ12" s="316"/>
      <c r="AR12" s="316"/>
      <c r="AS12" s="316"/>
      <c r="AT12" s="316"/>
      <c r="AU12" s="316"/>
      <c r="AV12" s="316"/>
      <c r="AW12" s="316"/>
      <c r="AX12" s="316"/>
      <c r="AY12" s="316"/>
      <c r="AZ12" s="316"/>
      <c r="BA12" s="316"/>
      <c r="BB12" s="316"/>
    </row>
    <row r="13" spans="1:54" ht="15" x14ac:dyDescent="0.25">
      <c r="A13" s="295">
        <f t="shared" si="3"/>
        <v>2028</v>
      </c>
      <c r="B13" s="295"/>
      <c r="C13" s="305"/>
      <c r="E13" s="310">
        <f t="shared" si="0"/>
        <v>11091576</v>
      </c>
      <c r="F13" s="309">
        <f t="shared" si="0"/>
        <v>8643008</v>
      </c>
      <c r="G13" s="309">
        <f t="shared" si="0"/>
        <v>948215</v>
      </c>
      <c r="H13" s="309">
        <f t="shared" si="0"/>
        <v>57673</v>
      </c>
      <c r="I13" s="309">
        <f t="shared" si="0"/>
        <v>6994</v>
      </c>
      <c r="J13" s="309">
        <f t="shared" si="0"/>
        <v>20747466</v>
      </c>
      <c r="K13" s="309">
        <f t="shared" si="0"/>
        <v>1755209</v>
      </c>
      <c r="L13" s="309">
        <f t="shared" si="0"/>
        <v>22502675</v>
      </c>
      <c r="M13" s="309">
        <f t="shared" si="0"/>
        <v>23784</v>
      </c>
      <c r="N13" s="309">
        <f t="shared" si="0"/>
        <v>2011</v>
      </c>
      <c r="O13" s="311">
        <f t="shared" si="0"/>
        <v>22528470</v>
      </c>
      <c r="P13" s="309"/>
      <c r="Q13" s="310">
        <f t="shared" si="1"/>
        <v>11840571.778158305</v>
      </c>
      <c r="R13" s="309">
        <f t="shared" si="1"/>
        <v>9553536.4132497218</v>
      </c>
      <c r="S13" s="309">
        <f t="shared" si="1"/>
        <v>1007003</v>
      </c>
      <c r="T13" s="309">
        <f t="shared" si="1"/>
        <v>66339</v>
      </c>
      <c r="U13" s="309">
        <f t="shared" si="1"/>
        <v>6994</v>
      </c>
      <c r="V13" s="309">
        <f t="shared" si="1"/>
        <v>22474444.191408023</v>
      </c>
      <c r="W13" s="309">
        <f t="shared" si="1"/>
        <v>1901308.808591974</v>
      </c>
      <c r="X13" s="309">
        <f t="shared" si="1"/>
        <v>24375753</v>
      </c>
      <c r="Y13" s="309">
        <f t="shared" si="1"/>
        <v>23784</v>
      </c>
      <c r="Z13" s="309">
        <f t="shared" si="1"/>
        <v>2011</v>
      </c>
      <c r="AA13" s="311">
        <f t="shared" si="1"/>
        <v>24401548</v>
      </c>
      <c r="AC13" s="310">
        <f t="shared" si="2"/>
        <v>12393652</v>
      </c>
      <c r="AD13" s="309">
        <f t="shared" si="2"/>
        <v>9777823</v>
      </c>
      <c r="AE13" s="309">
        <f t="shared" si="2"/>
        <v>1007003</v>
      </c>
      <c r="AF13" s="309">
        <f t="shared" si="2"/>
        <v>66339</v>
      </c>
      <c r="AG13" s="309">
        <f t="shared" si="2"/>
        <v>6994</v>
      </c>
      <c r="AH13" s="309">
        <f t="shared" si="2"/>
        <v>23251811</v>
      </c>
      <c r="AI13" s="309">
        <f t="shared" si="2"/>
        <v>1967072</v>
      </c>
      <c r="AJ13" s="309">
        <f t="shared" si="2"/>
        <v>25218883</v>
      </c>
      <c r="AK13" s="309">
        <f t="shared" si="2"/>
        <v>23784</v>
      </c>
      <c r="AL13" s="309">
        <f t="shared" si="2"/>
        <v>2011</v>
      </c>
      <c r="AM13" s="311">
        <f t="shared" si="2"/>
        <v>25244678</v>
      </c>
      <c r="AO13" s="316"/>
      <c r="AP13" s="316"/>
      <c r="AQ13" s="316"/>
      <c r="AR13" s="316"/>
      <c r="AS13" s="316"/>
      <c r="AT13" s="316"/>
      <c r="AU13" s="316"/>
      <c r="AV13" s="316"/>
      <c r="AW13" s="316"/>
      <c r="AX13" s="316"/>
      <c r="AY13" s="316"/>
      <c r="AZ13" s="316"/>
      <c r="BA13" s="316"/>
      <c r="BB13" s="316"/>
    </row>
    <row r="14" spans="1:54" ht="15" x14ac:dyDescent="0.25">
      <c r="A14" s="295">
        <f t="shared" si="3"/>
        <v>2029</v>
      </c>
      <c r="B14" s="295"/>
      <c r="C14" s="305"/>
      <c r="E14" s="310">
        <f t="shared" si="0"/>
        <v>11112038</v>
      </c>
      <c r="F14" s="309">
        <f t="shared" si="0"/>
        <v>8624613</v>
      </c>
      <c r="G14" s="309">
        <f t="shared" si="0"/>
        <v>934711</v>
      </c>
      <c r="H14" s="309">
        <f t="shared" si="0"/>
        <v>57266</v>
      </c>
      <c r="I14" s="309">
        <f t="shared" si="0"/>
        <v>6962</v>
      </c>
      <c r="J14" s="309">
        <f t="shared" si="0"/>
        <v>20735590</v>
      </c>
      <c r="K14" s="309">
        <f t="shared" si="0"/>
        <v>1754203</v>
      </c>
      <c r="L14" s="309">
        <f t="shared" si="0"/>
        <v>22489793</v>
      </c>
      <c r="M14" s="309">
        <f t="shared" si="0"/>
        <v>24561</v>
      </c>
      <c r="N14" s="309">
        <f t="shared" si="0"/>
        <v>2078</v>
      </c>
      <c r="O14" s="311">
        <f t="shared" si="0"/>
        <v>22516432</v>
      </c>
      <c r="P14" s="309"/>
      <c r="Q14" s="310">
        <f t="shared" si="1"/>
        <v>11995378.921816075</v>
      </c>
      <c r="R14" s="309">
        <f t="shared" si="1"/>
        <v>9670885.7940145079</v>
      </c>
      <c r="S14" s="309">
        <f t="shared" si="1"/>
        <v>999956</v>
      </c>
      <c r="T14" s="309">
        <f t="shared" si="1"/>
        <v>67588</v>
      </c>
      <c r="U14" s="309">
        <f t="shared" si="1"/>
        <v>6962</v>
      </c>
      <c r="V14" s="309">
        <f t="shared" si="1"/>
        <v>22740770.715830579</v>
      </c>
      <c r="W14" s="309">
        <f t="shared" si="1"/>
        <v>1923840.2841694162</v>
      </c>
      <c r="X14" s="309">
        <f t="shared" si="1"/>
        <v>24664611</v>
      </c>
      <c r="Y14" s="309">
        <f t="shared" si="1"/>
        <v>24561</v>
      </c>
      <c r="Z14" s="309">
        <f t="shared" si="1"/>
        <v>2078</v>
      </c>
      <c r="AA14" s="311">
        <f t="shared" si="1"/>
        <v>24691250</v>
      </c>
      <c r="AC14" s="310">
        <f t="shared" si="2"/>
        <v>12587439</v>
      </c>
      <c r="AD14" s="309">
        <f t="shared" si="2"/>
        <v>9911968</v>
      </c>
      <c r="AE14" s="309">
        <f t="shared" si="2"/>
        <v>999956</v>
      </c>
      <c r="AF14" s="309">
        <f t="shared" si="2"/>
        <v>67588</v>
      </c>
      <c r="AG14" s="309">
        <f t="shared" si="2"/>
        <v>6962</v>
      </c>
      <c r="AH14" s="309">
        <f t="shared" si="2"/>
        <v>23573913</v>
      </c>
      <c r="AI14" s="309">
        <f t="shared" si="2"/>
        <v>1994324</v>
      </c>
      <c r="AJ14" s="309">
        <f t="shared" si="2"/>
        <v>25568237</v>
      </c>
      <c r="AK14" s="309">
        <f t="shared" si="2"/>
        <v>24561</v>
      </c>
      <c r="AL14" s="309">
        <f t="shared" si="2"/>
        <v>2078</v>
      </c>
      <c r="AM14" s="311">
        <f t="shared" si="2"/>
        <v>25594876</v>
      </c>
      <c r="AO14" s="316"/>
      <c r="AP14" s="316"/>
      <c r="AQ14" s="316"/>
      <c r="AR14" s="316"/>
      <c r="AS14" s="316"/>
      <c r="AT14" s="316"/>
      <c r="AU14" s="316"/>
      <c r="AV14" s="316"/>
      <c r="AW14" s="316"/>
      <c r="AX14" s="316"/>
      <c r="AY14" s="316"/>
      <c r="AZ14" s="316"/>
      <c r="BA14" s="316"/>
      <c r="BB14" s="316"/>
    </row>
    <row r="15" spans="1:54" ht="15" x14ac:dyDescent="0.25">
      <c r="A15" s="295">
        <f t="shared" si="3"/>
        <v>2030</v>
      </c>
      <c r="B15" s="295"/>
      <c r="C15" s="305"/>
      <c r="E15" s="310">
        <f t="shared" si="0"/>
        <v>11182097</v>
      </c>
      <c r="F15" s="309">
        <f t="shared" si="0"/>
        <v>8662041</v>
      </c>
      <c r="G15" s="309">
        <f t="shared" si="0"/>
        <v>925476</v>
      </c>
      <c r="H15" s="309">
        <f t="shared" si="0"/>
        <v>56847</v>
      </c>
      <c r="I15" s="309">
        <f t="shared" si="0"/>
        <v>6953</v>
      </c>
      <c r="J15" s="309">
        <f t="shared" si="0"/>
        <v>20833414</v>
      </c>
      <c r="K15" s="309">
        <f t="shared" si="0"/>
        <v>1762479</v>
      </c>
      <c r="L15" s="309">
        <f t="shared" si="0"/>
        <v>22595893</v>
      </c>
      <c r="M15" s="309">
        <f t="shared" si="0"/>
        <v>24561</v>
      </c>
      <c r="N15" s="309">
        <f t="shared" si="0"/>
        <v>2078</v>
      </c>
      <c r="O15" s="311">
        <f t="shared" si="0"/>
        <v>22622532</v>
      </c>
      <c r="P15" s="309"/>
      <c r="Q15" s="310">
        <f t="shared" si="1"/>
        <v>12211118.657672593</v>
      </c>
      <c r="R15" s="309">
        <f t="shared" si="1"/>
        <v>9846252.5136364382</v>
      </c>
      <c r="S15" s="309">
        <f t="shared" si="1"/>
        <v>997289</v>
      </c>
      <c r="T15" s="309">
        <f t="shared" si="1"/>
        <v>68832</v>
      </c>
      <c r="U15" s="309">
        <f t="shared" si="1"/>
        <v>6953</v>
      </c>
      <c r="V15" s="309">
        <f t="shared" si="1"/>
        <v>23130445.171309032</v>
      </c>
      <c r="W15" s="309">
        <f t="shared" si="1"/>
        <v>1956804.8286909708</v>
      </c>
      <c r="X15" s="309">
        <f t="shared" si="1"/>
        <v>25087250</v>
      </c>
      <c r="Y15" s="309">
        <f t="shared" si="1"/>
        <v>24561</v>
      </c>
      <c r="Z15" s="309">
        <f t="shared" si="1"/>
        <v>2078</v>
      </c>
      <c r="AA15" s="311">
        <f t="shared" si="1"/>
        <v>25113889</v>
      </c>
      <c r="AC15" s="310">
        <f t="shared" si="2"/>
        <v>12841415</v>
      </c>
      <c r="AD15" s="309">
        <f t="shared" si="2"/>
        <v>10105900</v>
      </c>
      <c r="AE15" s="309">
        <f t="shared" si="2"/>
        <v>997289</v>
      </c>
      <c r="AF15" s="309">
        <f t="shared" si="2"/>
        <v>68832</v>
      </c>
      <c r="AG15" s="309">
        <f t="shared" si="2"/>
        <v>6953</v>
      </c>
      <c r="AH15" s="309">
        <f t="shared" si="2"/>
        <v>24020389</v>
      </c>
      <c r="AI15" s="309">
        <f t="shared" si="2"/>
        <v>2032093</v>
      </c>
      <c r="AJ15" s="309">
        <f t="shared" si="2"/>
        <v>26052482</v>
      </c>
      <c r="AK15" s="309">
        <f t="shared" si="2"/>
        <v>24561</v>
      </c>
      <c r="AL15" s="309">
        <f t="shared" si="2"/>
        <v>2078</v>
      </c>
      <c r="AM15" s="311">
        <f t="shared" si="2"/>
        <v>26079121</v>
      </c>
      <c r="AO15" s="316"/>
      <c r="AP15" s="316"/>
      <c r="AQ15" s="316"/>
      <c r="AR15" s="316"/>
      <c r="AS15" s="316"/>
      <c r="AT15" s="316"/>
      <c r="AU15" s="316"/>
      <c r="AV15" s="316"/>
      <c r="AW15" s="316"/>
      <c r="AX15" s="316"/>
      <c r="AY15" s="316"/>
      <c r="AZ15" s="316"/>
      <c r="BA15" s="316"/>
      <c r="BB15" s="316"/>
    </row>
    <row r="16" spans="1:54" ht="15" x14ac:dyDescent="0.25">
      <c r="A16" s="295">
        <f t="shared" si="3"/>
        <v>2031</v>
      </c>
      <c r="B16" s="295"/>
      <c r="C16" s="305"/>
      <c r="E16" s="310">
        <f t="shared" si="0"/>
        <v>11264918</v>
      </c>
      <c r="F16" s="309">
        <f t="shared" si="0"/>
        <v>8698036</v>
      </c>
      <c r="G16" s="309">
        <f t="shared" si="0"/>
        <v>914661</v>
      </c>
      <c r="H16" s="309">
        <f t="shared" si="0"/>
        <v>56417</v>
      </c>
      <c r="I16" s="309">
        <f t="shared" si="0"/>
        <v>6949</v>
      </c>
      <c r="J16" s="309">
        <f t="shared" si="0"/>
        <v>20940981</v>
      </c>
      <c r="K16" s="309">
        <f t="shared" si="0"/>
        <v>1771581</v>
      </c>
      <c r="L16" s="309">
        <f t="shared" si="0"/>
        <v>22712562</v>
      </c>
      <c r="M16" s="309">
        <f t="shared" si="0"/>
        <v>24561</v>
      </c>
      <c r="N16" s="309">
        <f t="shared" si="0"/>
        <v>2078</v>
      </c>
      <c r="O16" s="311">
        <f t="shared" si="0"/>
        <v>22739201</v>
      </c>
      <c r="P16" s="309"/>
      <c r="Q16" s="310">
        <f t="shared" si="1"/>
        <v>12447736.887307268</v>
      </c>
      <c r="R16" s="309">
        <f t="shared" si="1"/>
        <v>10026115.601503145</v>
      </c>
      <c r="S16" s="309">
        <f t="shared" si="1"/>
        <v>993021</v>
      </c>
      <c r="T16" s="309">
        <f t="shared" si="1"/>
        <v>70060</v>
      </c>
      <c r="U16" s="309">
        <f t="shared" si="1"/>
        <v>6949</v>
      </c>
      <c r="V16" s="309">
        <f t="shared" si="1"/>
        <v>23543882.488810416</v>
      </c>
      <c r="W16" s="309">
        <f t="shared" si="1"/>
        <v>1991781.5111895874</v>
      </c>
      <c r="X16" s="309">
        <f t="shared" si="1"/>
        <v>25535664</v>
      </c>
      <c r="Y16" s="309">
        <f t="shared" si="1"/>
        <v>24561</v>
      </c>
      <c r="Z16" s="309">
        <f t="shared" si="1"/>
        <v>2078</v>
      </c>
      <c r="AA16" s="311">
        <f t="shared" si="1"/>
        <v>25562303</v>
      </c>
      <c r="AC16" s="310">
        <f t="shared" si="2"/>
        <v>13116814</v>
      </c>
      <c r="AD16" s="309">
        <f t="shared" si="2"/>
        <v>10308413</v>
      </c>
      <c r="AE16" s="309">
        <f t="shared" si="2"/>
        <v>993021</v>
      </c>
      <c r="AF16" s="309">
        <f t="shared" si="2"/>
        <v>70060</v>
      </c>
      <c r="AG16" s="309">
        <f t="shared" si="2"/>
        <v>6949</v>
      </c>
      <c r="AH16" s="309">
        <f t="shared" si="2"/>
        <v>24495257</v>
      </c>
      <c r="AI16" s="309">
        <f t="shared" si="2"/>
        <v>2072266</v>
      </c>
      <c r="AJ16" s="309">
        <f t="shared" si="2"/>
        <v>26567523</v>
      </c>
      <c r="AK16" s="309">
        <f t="shared" si="2"/>
        <v>24561</v>
      </c>
      <c r="AL16" s="309">
        <f t="shared" si="2"/>
        <v>2078</v>
      </c>
      <c r="AM16" s="311">
        <f t="shared" si="2"/>
        <v>26594162</v>
      </c>
      <c r="AO16" s="316"/>
      <c r="AP16" s="316"/>
      <c r="AQ16" s="316"/>
      <c r="AR16" s="316"/>
      <c r="AS16" s="316"/>
      <c r="AT16" s="316"/>
      <c r="AU16" s="316"/>
      <c r="AV16" s="316"/>
      <c r="AW16" s="316"/>
      <c r="AX16" s="316"/>
      <c r="AY16" s="316"/>
      <c r="AZ16" s="316"/>
      <c r="BA16" s="316"/>
      <c r="BB16" s="316"/>
    </row>
    <row r="17" spans="1:54" ht="15" x14ac:dyDescent="0.25">
      <c r="A17" s="295">
        <f t="shared" si="3"/>
        <v>2032</v>
      </c>
      <c r="B17" s="295"/>
      <c r="C17" s="305"/>
      <c r="E17" s="310">
        <f t="shared" si="0"/>
        <v>11408642</v>
      </c>
      <c r="F17" s="309">
        <f t="shared" si="0"/>
        <v>8774972</v>
      </c>
      <c r="G17" s="309">
        <f t="shared" si="0"/>
        <v>909154</v>
      </c>
      <c r="H17" s="309">
        <f t="shared" si="0"/>
        <v>55972</v>
      </c>
      <c r="I17" s="309">
        <f t="shared" si="0"/>
        <v>6969</v>
      </c>
      <c r="J17" s="309">
        <f t="shared" si="0"/>
        <v>21155709</v>
      </c>
      <c r="K17" s="309">
        <f t="shared" si="0"/>
        <v>1789747</v>
      </c>
      <c r="L17" s="309">
        <f t="shared" si="0"/>
        <v>22945456</v>
      </c>
      <c r="M17" s="309">
        <f t="shared" si="0"/>
        <v>24648</v>
      </c>
      <c r="N17" s="309">
        <f t="shared" si="0"/>
        <v>2085</v>
      </c>
      <c r="O17" s="311">
        <f t="shared" si="0"/>
        <v>22972189</v>
      </c>
      <c r="P17" s="309"/>
      <c r="Q17" s="310">
        <f t="shared" si="1"/>
        <v>12721509.346843822</v>
      </c>
      <c r="R17" s="309">
        <f t="shared" si="1"/>
        <v>10219793.027973544</v>
      </c>
      <c r="S17" s="309">
        <f t="shared" si="1"/>
        <v>991318</v>
      </c>
      <c r="T17" s="309">
        <f t="shared" si="1"/>
        <v>71273</v>
      </c>
      <c r="U17" s="309">
        <f t="shared" si="1"/>
        <v>6969</v>
      </c>
      <c r="V17" s="309">
        <f t="shared" si="1"/>
        <v>24010862.37481736</v>
      </c>
      <c r="W17" s="309">
        <f t="shared" si="1"/>
        <v>2031288.6251826349</v>
      </c>
      <c r="X17" s="309">
        <f t="shared" si="1"/>
        <v>26042151</v>
      </c>
      <c r="Y17" s="309">
        <f t="shared" si="1"/>
        <v>24648</v>
      </c>
      <c r="Z17" s="309">
        <f t="shared" si="1"/>
        <v>2085</v>
      </c>
      <c r="AA17" s="311">
        <f t="shared" si="1"/>
        <v>26068884</v>
      </c>
      <c r="AC17" s="310">
        <f t="shared" si="2"/>
        <v>13428908</v>
      </c>
      <c r="AD17" s="309">
        <f t="shared" si="2"/>
        <v>10523740</v>
      </c>
      <c r="AE17" s="309">
        <f t="shared" si="2"/>
        <v>991318</v>
      </c>
      <c r="AF17" s="309">
        <f t="shared" si="2"/>
        <v>71273</v>
      </c>
      <c r="AG17" s="309">
        <f t="shared" si="2"/>
        <v>6969</v>
      </c>
      <c r="AH17" s="309">
        <f t="shared" si="2"/>
        <v>25022208</v>
      </c>
      <c r="AI17" s="309">
        <f t="shared" si="2"/>
        <v>2116845</v>
      </c>
      <c r="AJ17" s="309">
        <f t="shared" si="2"/>
        <v>27139053</v>
      </c>
      <c r="AK17" s="309">
        <f t="shared" si="2"/>
        <v>24648</v>
      </c>
      <c r="AL17" s="309">
        <f t="shared" si="2"/>
        <v>2085</v>
      </c>
      <c r="AM17" s="311">
        <f t="shared" si="2"/>
        <v>27165786</v>
      </c>
      <c r="AO17" s="316"/>
      <c r="AP17" s="316"/>
      <c r="AQ17" s="316"/>
      <c r="AR17" s="316"/>
      <c r="AS17" s="316"/>
      <c r="AT17" s="316"/>
      <c r="AU17" s="316"/>
      <c r="AV17" s="316"/>
      <c r="AW17" s="316"/>
      <c r="AX17" s="316"/>
      <c r="AY17" s="316"/>
      <c r="AZ17" s="316"/>
      <c r="BA17" s="316"/>
      <c r="BB17" s="316"/>
    </row>
    <row r="18" spans="1:54" ht="15" x14ac:dyDescent="0.25">
      <c r="A18" s="295">
        <f t="shared" si="3"/>
        <v>2033</v>
      </c>
      <c r="B18" s="295"/>
      <c r="C18" s="305"/>
      <c r="E18" s="310">
        <f t="shared" si="0"/>
        <v>11479443</v>
      </c>
      <c r="F18" s="309">
        <f t="shared" si="0"/>
        <v>8849519</v>
      </c>
      <c r="G18" s="309">
        <f t="shared" si="0"/>
        <v>902709</v>
      </c>
      <c r="H18" s="309">
        <f t="shared" si="0"/>
        <v>55506</v>
      </c>
      <c r="I18" s="309">
        <f t="shared" si="0"/>
        <v>6917</v>
      </c>
      <c r="J18" s="309">
        <f t="shared" si="0"/>
        <v>21294094</v>
      </c>
      <c r="K18" s="309">
        <f t="shared" si="0"/>
        <v>1801452</v>
      </c>
      <c r="L18" s="309">
        <f t="shared" si="0"/>
        <v>23095546</v>
      </c>
      <c r="M18" s="309">
        <f t="shared" si="0"/>
        <v>24561</v>
      </c>
      <c r="N18" s="309">
        <f t="shared" si="0"/>
        <v>2078</v>
      </c>
      <c r="O18" s="311">
        <f t="shared" si="0"/>
        <v>23122185</v>
      </c>
      <c r="P18" s="309"/>
      <c r="Q18" s="310">
        <f t="shared" si="1"/>
        <v>12884660.528931791</v>
      </c>
      <c r="R18" s="309">
        <f t="shared" si="1"/>
        <v>10362686.28958961</v>
      </c>
      <c r="S18" s="309">
        <f t="shared" si="1"/>
        <v>984789</v>
      </c>
      <c r="T18" s="309">
        <f t="shared" si="1"/>
        <v>72462</v>
      </c>
      <c r="U18" s="309">
        <f t="shared" si="1"/>
        <v>6917</v>
      </c>
      <c r="V18" s="309">
        <f t="shared" si="1"/>
        <v>24311514.818521407</v>
      </c>
      <c r="W18" s="309">
        <f t="shared" si="1"/>
        <v>2056721.1814785956</v>
      </c>
      <c r="X18" s="309">
        <f t="shared" si="1"/>
        <v>26368236</v>
      </c>
      <c r="Y18" s="309">
        <f t="shared" si="1"/>
        <v>24561</v>
      </c>
      <c r="Z18" s="309">
        <f t="shared" si="1"/>
        <v>2078</v>
      </c>
      <c r="AA18" s="311">
        <f t="shared" si="1"/>
        <v>26394875</v>
      </c>
      <c r="AC18" s="310">
        <f t="shared" si="2"/>
        <v>13628644</v>
      </c>
      <c r="AD18" s="309">
        <f t="shared" si="2"/>
        <v>10683806</v>
      </c>
      <c r="AE18" s="309">
        <f t="shared" si="2"/>
        <v>984789</v>
      </c>
      <c r="AF18" s="309">
        <f t="shared" si="2"/>
        <v>72462</v>
      </c>
      <c r="AG18" s="309">
        <f t="shared" si="2"/>
        <v>6917</v>
      </c>
      <c r="AH18" s="309">
        <f t="shared" si="2"/>
        <v>25376618</v>
      </c>
      <c r="AI18" s="309">
        <f t="shared" si="2"/>
        <v>2146831</v>
      </c>
      <c r="AJ18" s="309">
        <f t="shared" si="2"/>
        <v>27523449</v>
      </c>
      <c r="AK18" s="309">
        <f t="shared" si="2"/>
        <v>24561</v>
      </c>
      <c r="AL18" s="309">
        <f t="shared" si="2"/>
        <v>2078</v>
      </c>
      <c r="AM18" s="311">
        <f t="shared" si="2"/>
        <v>27550088</v>
      </c>
      <c r="AO18" s="316"/>
      <c r="AP18" s="316"/>
      <c r="AQ18" s="316"/>
      <c r="AR18" s="316"/>
      <c r="AS18" s="316"/>
      <c r="AT18" s="316"/>
      <c r="AU18" s="316"/>
      <c r="AV18" s="316"/>
      <c r="AW18" s="316"/>
      <c r="AX18" s="316"/>
      <c r="AY18" s="316"/>
      <c r="AZ18" s="316"/>
      <c r="BA18" s="316"/>
      <c r="BB18" s="316"/>
    </row>
    <row r="19" spans="1:54" ht="15" x14ac:dyDescent="0.25">
      <c r="A19" s="295">
        <f t="shared" si="3"/>
        <v>2034</v>
      </c>
      <c r="B19" s="295"/>
      <c r="C19" s="305"/>
      <c r="E19" s="310">
        <f t="shared" si="0"/>
        <v>11623677</v>
      </c>
      <c r="F19" s="309">
        <f t="shared" si="0"/>
        <v>8987039</v>
      </c>
      <c r="G19" s="309">
        <f t="shared" si="0"/>
        <v>900633</v>
      </c>
      <c r="H19" s="309">
        <f t="shared" si="0"/>
        <v>55091</v>
      </c>
      <c r="I19" s="309">
        <f t="shared" si="0"/>
        <v>6909</v>
      </c>
      <c r="J19" s="309">
        <f t="shared" si="0"/>
        <v>21573349</v>
      </c>
      <c r="K19" s="309">
        <f t="shared" si="0"/>
        <v>1825075</v>
      </c>
      <c r="L19" s="309">
        <f t="shared" si="0"/>
        <v>23398424</v>
      </c>
      <c r="M19" s="309">
        <f t="shared" si="0"/>
        <v>24561</v>
      </c>
      <c r="N19" s="309">
        <f t="shared" si="0"/>
        <v>2078</v>
      </c>
      <c r="O19" s="311">
        <f t="shared" si="0"/>
        <v>23425063</v>
      </c>
      <c r="P19" s="309"/>
      <c r="Q19" s="310">
        <f t="shared" si="1"/>
        <v>13130683.261725239</v>
      </c>
      <c r="R19" s="309">
        <f t="shared" si="1"/>
        <v>10573301.253487159</v>
      </c>
      <c r="S19" s="309">
        <f t="shared" si="1"/>
        <v>982835</v>
      </c>
      <c r="T19" s="309">
        <f t="shared" si="1"/>
        <v>73634</v>
      </c>
      <c r="U19" s="309">
        <f t="shared" si="1"/>
        <v>6909</v>
      </c>
      <c r="V19" s="309">
        <f t="shared" si="1"/>
        <v>24767362.515212398</v>
      </c>
      <c r="W19" s="309">
        <f t="shared" si="1"/>
        <v>2095285.4847876045</v>
      </c>
      <c r="X19" s="309">
        <f t="shared" si="1"/>
        <v>26862648</v>
      </c>
      <c r="Y19" s="309">
        <f t="shared" si="1"/>
        <v>24561</v>
      </c>
      <c r="Z19" s="309">
        <f t="shared" si="1"/>
        <v>2078</v>
      </c>
      <c r="AA19" s="311">
        <f t="shared" si="1"/>
        <v>26889287</v>
      </c>
      <c r="AC19" s="310">
        <f t="shared" si="2"/>
        <v>13910742</v>
      </c>
      <c r="AD19" s="309">
        <f t="shared" si="2"/>
        <v>10915043</v>
      </c>
      <c r="AE19" s="309">
        <f t="shared" si="2"/>
        <v>982835</v>
      </c>
      <c r="AF19" s="309">
        <f t="shared" si="2"/>
        <v>73634</v>
      </c>
      <c r="AG19" s="309">
        <f t="shared" si="2"/>
        <v>6909</v>
      </c>
      <c r="AH19" s="309">
        <f t="shared" si="2"/>
        <v>25889163</v>
      </c>
      <c r="AI19" s="309">
        <f t="shared" si="2"/>
        <v>2190190</v>
      </c>
      <c r="AJ19" s="309">
        <f t="shared" si="2"/>
        <v>28079353</v>
      </c>
      <c r="AK19" s="309">
        <f t="shared" si="2"/>
        <v>24561</v>
      </c>
      <c r="AL19" s="309">
        <f t="shared" si="2"/>
        <v>2078</v>
      </c>
      <c r="AM19" s="311">
        <f t="shared" si="2"/>
        <v>28105992</v>
      </c>
      <c r="AO19" s="316"/>
      <c r="AP19" s="316"/>
      <c r="AQ19" s="316"/>
      <c r="AR19" s="316"/>
      <c r="AS19" s="316"/>
      <c r="AT19" s="316"/>
      <c r="AU19" s="316"/>
      <c r="AV19" s="316"/>
      <c r="AW19" s="316"/>
      <c r="AX19" s="316"/>
      <c r="AY19" s="316"/>
      <c r="AZ19" s="316"/>
      <c r="BA19" s="316"/>
      <c r="BB19" s="316"/>
    </row>
    <row r="20" spans="1:54" ht="15" x14ac:dyDescent="0.25">
      <c r="A20" s="295">
        <f t="shared" si="3"/>
        <v>2035</v>
      </c>
      <c r="B20" s="295"/>
      <c r="C20" s="305"/>
      <c r="E20" s="310">
        <f t="shared" si="0"/>
        <v>11771485</v>
      </c>
      <c r="F20" s="309">
        <f t="shared" si="0"/>
        <v>9115609</v>
      </c>
      <c r="G20" s="309">
        <f t="shared" si="0"/>
        <v>897209</v>
      </c>
      <c r="H20" s="309">
        <f t="shared" si="0"/>
        <v>55348</v>
      </c>
      <c r="I20" s="309">
        <f t="shared" si="0"/>
        <v>6901</v>
      </c>
      <c r="J20" s="309">
        <f t="shared" si="0"/>
        <v>21846552</v>
      </c>
      <c r="K20" s="309">
        <f t="shared" si="0"/>
        <v>1848190</v>
      </c>
      <c r="L20" s="309">
        <f t="shared" si="0"/>
        <v>23694742</v>
      </c>
      <c r="M20" s="309">
        <f t="shared" si="0"/>
        <v>24561</v>
      </c>
      <c r="N20" s="309">
        <f t="shared" si="0"/>
        <v>2078</v>
      </c>
      <c r="O20" s="311">
        <f t="shared" si="0"/>
        <v>23721381</v>
      </c>
      <c r="P20" s="309"/>
      <c r="Q20" s="310">
        <f t="shared" si="1"/>
        <v>13376026.434241788</v>
      </c>
      <c r="R20" s="309">
        <f t="shared" si="1"/>
        <v>10781395.531833543</v>
      </c>
      <c r="S20" s="309">
        <f t="shared" si="1"/>
        <v>979469</v>
      </c>
      <c r="T20" s="309">
        <f t="shared" si="1"/>
        <v>74769</v>
      </c>
      <c r="U20" s="309">
        <f t="shared" si="1"/>
        <v>6901</v>
      </c>
      <c r="V20" s="309">
        <f t="shared" si="1"/>
        <v>25218560.966075335</v>
      </c>
      <c r="W20" s="309">
        <f t="shared" si="1"/>
        <v>2133457.0339246672</v>
      </c>
      <c r="X20" s="309">
        <f t="shared" si="1"/>
        <v>27352018</v>
      </c>
      <c r="Y20" s="309">
        <f t="shared" si="1"/>
        <v>24561</v>
      </c>
      <c r="Z20" s="309">
        <f t="shared" si="1"/>
        <v>2078</v>
      </c>
      <c r="AA20" s="311">
        <f t="shared" si="1"/>
        <v>27378657</v>
      </c>
      <c r="AC20" s="310">
        <f t="shared" si="2"/>
        <v>14193568</v>
      </c>
      <c r="AD20" s="309">
        <f t="shared" si="2"/>
        <v>11150882</v>
      </c>
      <c r="AE20" s="309">
        <f t="shared" si="2"/>
        <v>979469</v>
      </c>
      <c r="AF20" s="309">
        <f t="shared" si="2"/>
        <v>74769</v>
      </c>
      <c r="AG20" s="309">
        <f t="shared" si="2"/>
        <v>6901</v>
      </c>
      <c r="AH20" s="309">
        <f t="shared" si="2"/>
        <v>26405589</v>
      </c>
      <c r="AI20" s="309">
        <f t="shared" si="2"/>
        <v>2233877</v>
      </c>
      <c r="AJ20" s="309">
        <f t="shared" si="2"/>
        <v>28639466</v>
      </c>
      <c r="AK20" s="309">
        <f t="shared" si="2"/>
        <v>24561</v>
      </c>
      <c r="AL20" s="309">
        <f t="shared" si="2"/>
        <v>2078</v>
      </c>
      <c r="AM20" s="311">
        <f t="shared" si="2"/>
        <v>28666105</v>
      </c>
      <c r="AO20" s="316"/>
      <c r="AP20" s="316"/>
      <c r="AQ20" s="316"/>
      <c r="AR20" s="316"/>
      <c r="AS20" s="316"/>
      <c r="AT20" s="316"/>
      <c r="AU20" s="316"/>
      <c r="AV20" s="316"/>
      <c r="AW20" s="316"/>
      <c r="AX20" s="316"/>
      <c r="AY20" s="316"/>
      <c r="AZ20" s="316"/>
      <c r="BA20" s="316"/>
      <c r="BB20" s="316"/>
    </row>
    <row r="21" spans="1:54" ht="15" x14ac:dyDescent="0.25">
      <c r="A21" s="295">
        <f t="shared" si="3"/>
        <v>2036</v>
      </c>
      <c r="B21" s="295"/>
      <c r="C21" s="305"/>
      <c r="E21" s="310">
        <f t="shared" si="0"/>
        <v>11965571</v>
      </c>
      <c r="F21" s="309">
        <f t="shared" si="0"/>
        <v>9277639</v>
      </c>
      <c r="G21" s="309">
        <f t="shared" si="0"/>
        <v>896635</v>
      </c>
      <c r="H21" s="309">
        <f t="shared" si="0"/>
        <v>56293</v>
      </c>
      <c r="I21" s="309">
        <f t="shared" si="0"/>
        <v>6918</v>
      </c>
      <c r="J21" s="309">
        <f t="shared" si="0"/>
        <v>22203056</v>
      </c>
      <c r="K21" s="309">
        <f t="shared" si="0"/>
        <v>1878349</v>
      </c>
      <c r="L21" s="309">
        <f t="shared" si="0"/>
        <v>24081405</v>
      </c>
      <c r="M21" s="309">
        <f t="shared" si="0"/>
        <v>24561</v>
      </c>
      <c r="N21" s="309">
        <f t="shared" si="0"/>
        <v>2078</v>
      </c>
      <c r="O21" s="311">
        <f t="shared" si="0"/>
        <v>24108044</v>
      </c>
      <c r="P21" s="309"/>
      <c r="Q21" s="310">
        <f t="shared" si="1"/>
        <v>13668230.414859805</v>
      </c>
      <c r="R21" s="309">
        <f t="shared" si="1"/>
        <v>11023816.873936374</v>
      </c>
      <c r="S21" s="309">
        <f t="shared" si="1"/>
        <v>979139</v>
      </c>
      <c r="T21" s="309">
        <f t="shared" si="1"/>
        <v>75877</v>
      </c>
      <c r="U21" s="309">
        <f t="shared" si="1"/>
        <v>6918</v>
      </c>
      <c r="V21" s="309">
        <f t="shared" si="1"/>
        <v>25753981.288796175</v>
      </c>
      <c r="W21" s="309">
        <f t="shared" si="1"/>
        <v>2178751.7112038187</v>
      </c>
      <c r="X21" s="309">
        <f t="shared" si="1"/>
        <v>27932733</v>
      </c>
      <c r="Y21" s="309">
        <f t="shared" si="1"/>
        <v>24561</v>
      </c>
      <c r="Z21" s="309">
        <f t="shared" si="1"/>
        <v>2078</v>
      </c>
      <c r="AA21" s="311">
        <f t="shared" si="1"/>
        <v>27959372</v>
      </c>
      <c r="AC21" s="310">
        <f t="shared" si="2"/>
        <v>14523768</v>
      </c>
      <c r="AD21" s="309">
        <f t="shared" si="2"/>
        <v>11421488</v>
      </c>
      <c r="AE21" s="309">
        <f t="shared" si="2"/>
        <v>979139</v>
      </c>
      <c r="AF21" s="309">
        <f t="shared" si="2"/>
        <v>75877</v>
      </c>
      <c r="AG21" s="309">
        <f t="shared" si="2"/>
        <v>6918</v>
      </c>
      <c r="AH21" s="309">
        <f t="shared" si="2"/>
        <v>27007190</v>
      </c>
      <c r="AI21" s="309">
        <f t="shared" si="2"/>
        <v>2284772</v>
      </c>
      <c r="AJ21" s="309">
        <f t="shared" si="2"/>
        <v>29291962</v>
      </c>
      <c r="AK21" s="309">
        <f t="shared" si="2"/>
        <v>24561</v>
      </c>
      <c r="AL21" s="309">
        <f t="shared" si="2"/>
        <v>2078</v>
      </c>
      <c r="AM21" s="311">
        <f t="shared" si="2"/>
        <v>29318601</v>
      </c>
      <c r="AO21" s="316"/>
      <c r="AP21" s="316"/>
      <c r="AQ21" s="316"/>
      <c r="AR21" s="316"/>
      <c r="AS21" s="316"/>
      <c r="AT21" s="316"/>
      <c r="AU21" s="316"/>
      <c r="AV21" s="316"/>
      <c r="AW21" s="316"/>
      <c r="AX21" s="316"/>
      <c r="AY21" s="316"/>
      <c r="AZ21" s="316"/>
      <c r="BA21" s="316"/>
      <c r="BB21" s="316"/>
    </row>
    <row r="22" spans="1:54" ht="15" x14ac:dyDescent="0.25">
      <c r="A22" s="295">
        <f t="shared" si="3"/>
        <v>2037</v>
      </c>
      <c r="B22" s="295"/>
      <c r="C22" s="305"/>
      <c r="E22" s="310">
        <f t="shared" si="0"/>
        <v>12067275</v>
      </c>
      <c r="F22" s="309">
        <f t="shared" si="0"/>
        <v>9405023</v>
      </c>
      <c r="G22" s="309">
        <f t="shared" si="0"/>
        <v>890300</v>
      </c>
      <c r="H22" s="309">
        <f t="shared" si="0"/>
        <v>57218</v>
      </c>
      <c r="I22" s="309">
        <f t="shared" si="0"/>
        <v>6873</v>
      </c>
      <c r="J22" s="309">
        <f t="shared" si="0"/>
        <v>22426689</v>
      </c>
      <c r="K22" s="309">
        <f t="shared" si="0"/>
        <v>1897269</v>
      </c>
      <c r="L22" s="309">
        <f t="shared" si="0"/>
        <v>24323958</v>
      </c>
      <c r="M22" s="309">
        <f t="shared" si="0"/>
        <v>24561</v>
      </c>
      <c r="N22" s="309">
        <f t="shared" si="0"/>
        <v>2078</v>
      </c>
      <c r="O22" s="311">
        <f t="shared" si="0"/>
        <v>24350597</v>
      </c>
      <c r="P22" s="309"/>
      <c r="Q22" s="310">
        <f t="shared" si="1"/>
        <v>13860224.142578766</v>
      </c>
      <c r="R22" s="309">
        <f t="shared" si="1"/>
        <v>11215230.304761477</v>
      </c>
      <c r="S22" s="309">
        <f t="shared" si="1"/>
        <v>972578</v>
      </c>
      <c r="T22" s="309">
        <f t="shared" si="1"/>
        <v>76961</v>
      </c>
      <c r="U22" s="309">
        <f t="shared" si="1"/>
        <v>6873</v>
      </c>
      <c r="V22" s="309">
        <f t="shared" si="1"/>
        <v>26131866.447340246</v>
      </c>
      <c r="W22" s="309">
        <f t="shared" si="1"/>
        <v>2210720.5526597518</v>
      </c>
      <c r="X22" s="309">
        <f t="shared" si="1"/>
        <v>28342587</v>
      </c>
      <c r="Y22" s="309">
        <f t="shared" si="1"/>
        <v>24561</v>
      </c>
      <c r="Z22" s="309">
        <f t="shared" si="1"/>
        <v>2078</v>
      </c>
      <c r="AA22" s="311">
        <f t="shared" si="1"/>
        <v>28369226</v>
      </c>
      <c r="AC22" s="310">
        <f t="shared" si="2"/>
        <v>14753219</v>
      </c>
      <c r="AD22" s="309">
        <f t="shared" si="2"/>
        <v>11638170</v>
      </c>
      <c r="AE22" s="309">
        <f t="shared" si="2"/>
        <v>972578</v>
      </c>
      <c r="AF22" s="309">
        <f t="shared" si="2"/>
        <v>76961</v>
      </c>
      <c r="AG22" s="309">
        <f t="shared" si="2"/>
        <v>6873</v>
      </c>
      <c r="AH22" s="309">
        <f t="shared" si="2"/>
        <v>27447801</v>
      </c>
      <c r="AI22" s="309">
        <f t="shared" si="2"/>
        <v>2322049</v>
      </c>
      <c r="AJ22" s="309">
        <f t="shared" si="2"/>
        <v>29769850</v>
      </c>
      <c r="AK22" s="309">
        <f t="shared" si="2"/>
        <v>24561</v>
      </c>
      <c r="AL22" s="309">
        <f t="shared" si="2"/>
        <v>2078</v>
      </c>
      <c r="AM22" s="311">
        <f t="shared" si="2"/>
        <v>29796489</v>
      </c>
      <c r="AO22" s="316"/>
      <c r="AP22" s="316"/>
      <c r="AQ22" s="316"/>
      <c r="AR22" s="316"/>
      <c r="AS22" s="316"/>
      <c r="AT22" s="316"/>
      <c r="AU22" s="316"/>
      <c r="AV22" s="316"/>
      <c r="AW22" s="316"/>
      <c r="AX22" s="316"/>
      <c r="AY22" s="316"/>
      <c r="AZ22" s="316"/>
      <c r="BA22" s="316"/>
      <c r="BB22" s="316"/>
    </row>
    <row r="23" spans="1:54" ht="15" x14ac:dyDescent="0.25">
      <c r="A23" s="295">
        <f t="shared" si="3"/>
        <v>2038</v>
      </c>
      <c r="B23" s="295"/>
      <c r="C23" s="305"/>
      <c r="E23" s="310">
        <f t="shared" si="0"/>
        <v>12194831</v>
      </c>
      <c r="F23" s="309">
        <f t="shared" si="0"/>
        <v>9544157</v>
      </c>
      <c r="G23" s="309">
        <f t="shared" si="0"/>
        <v>885582</v>
      </c>
      <c r="H23" s="309">
        <f t="shared" si="0"/>
        <v>58116</v>
      </c>
      <c r="I23" s="309">
        <f t="shared" si="0"/>
        <v>6863</v>
      </c>
      <c r="J23" s="309">
        <f t="shared" si="0"/>
        <v>22689549</v>
      </c>
      <c r="K23" s="309">
        <f t="shared" si="0"/>
        <v>1919508</v>
      </c>
      <c r="L23" s="309">
        <f t="shared" si="0"/>
        <v>24609057</v>
      </c>
      <c r="M23" s="309">
        <f t="shared" si="0"/>
        <v>24561</v>
      </c>
      <c r="N23" s="309">
        <f t="shared" si="0"/>
        <v>2078</v>
      </c>
      <c r="O23" s="311">
        <f t="shared" si="0"/>
        <v>24635696</v>
      </c>
      <c r="P23" s="309"/>
      <c r="Q23" s="310">
        <f t="shared" si="1"/>
        <v>14083544.290592238</v>
      </c>
      <c r="R23" s="309">
        <f t="shared" si="1"/>
        <v>11407071.692041578</v>
      </c>
      <c r="S23" s="309">
        <f t="shared" si="1"/>
        <v>967867</v>
      </c>
      <c r="T23" s="309">
        <f t="shared" si="1"/>
        <v>78017</v>
      </c>
      <c r="U23" s="309">
        <f t="shared" si="1"/>
        <v>6863</v>
      </c>
      <c r="V23" s="309">
        <f t="shared" si="1"/>
        <v>26543362.982633814</v>
      </c>
      <c r="W23" s="309">
        <f t="shared" si="1"/>
        <v>2245534.0173661835</v>
      </c>
      <c r="X23" s="309">
        <f t="shared" si="1"/>
        <v>28788897</v>
      </c>
      <c r="Y23" s="309">
        <f t="shared" si="1"/>
        <v>24561</v>
      </c>
      <c r="Z23" s="309">
        <f t="shared" si="1"/>
        <v>2078</v>
      </c>
      <c r="AA23" s="311">
        <f t="shared" si="1"/>
        <v>28815536</v>
      </c>
      <c r="AC23" s="310">
        <f t="shared" si="2"/>
        <v>15013682</v>
      </c>
      <c r="AD23" s="309">
        <f t="shared" si="2"/>
        <v>11857171</v>
      </c>
      <c r="AE23" s="309">
        <f t="shared" si="2"/>
        <v>967867</v>
      </c>
      <c r="AF23" s="309">
        <f t="shared" si="2"/>
        <v>78017</v>
      </c>
      <c r="AG23" s="309">
        <f t="shared" si="2"/>
        <v>6863</v>
      </c>
      <c r="AH23" s="309">
        <f t="shared" si="2"/>
        <v>27923600</v>
      </c>
      <c r="AI23" s="309">
        <f t="shared" si="2"/>
        <v>2362299</v>
      </c>
      <c r="AJ23" s="309">
        <f t="shared" si="2"/>
        <v>30285899</v>
      </c>
      <c r="AK23" s="309">
        <f t="shared" si="2"/>
        <v>24561</v>
      </c>
      <c r="AL23" s="309">
        <f t="shared" si="2"/>
        <v>2078</v>
      </c>
      <c r="AM23" s="311">
        <f t="shared" si="2"/>
        <v>30312538</v>
      </c>
      <c r="AO23" s="316"/>
      <c r="AP23" s="316"/>
      <c r="AQ23" s="316"/>
      <c r="AR23" s="316"/>
      <c r="AS23" s="316"/>
      <c r="AT23" s="316"/>
      <c r="AU23" s="316"/>
      <c r="AV23" s="316"/>
      <c r="AW23" s="316"/>
      <c r="AX23" s="316"/>
      <c r="AY23" s="316"/>
      <c r="AZ23" s="316"/>
      <c r="BA23" s="316"/>
      <c r="BB23" s="316"/>
    </row>
    <row r="24" spans="1:54" ht="15" x14ac:dyDescent="0.25">
      <c r="A24" s="295">
        <f t="shared" si="3"/>
        <v>2039</v>
      </c>
      <c r="B24" s="295"/>
      <c r="C24" s="305"/>
      <c r="E24" s="310">
        <f t="shared" si="0"/>
        <v>12321567</v>
      </c>
      <c r="F24" s="309">
        <f t="shared" si="0"/>
        <v>9738773</v>
      </c>
      <c r="G24" s="309">
        <f t="shared" si="0"/>
        <v>882952</v>
      </c>
      <c r="H24" s="309">
        <f t="shared" si="0"/>
        <v>58995</v>
      </c>
      <c r="I24" s="309">
        <f t="shared" si="0"/>
        <v>6854</v>
      </c>
      <c r="J24" s="309">
        <f t="shared" si="0"/>
        <v>23009141</v>
      </c>
      <c r="K24" s="309">
        <f t="shared" si="0"/>
        <v>1946543</v>
      </c>
      <c r="L24" s="309">
        <f t="shared" si="0"/>
        <v>24955684</v>
      </c>
      <c r="M24" s="309">
        <f t="shared" si="0"/>
        <v>24561</v>
      </c>
      <c r="N24" s="309">
        <f t="shared" si="0"/>
        <v>2078</v>
      </c>
      <c r="O24" s="311">
        <f t="shared" si="0"/>
        <v>24982323</v>
      </c>
      <c r="P24" s="309"/>
      <c r="Q24" s="310">
        <f t="shared" si="1"/>
        <v>14306160.709434519</v>
      </c>
      <c r="R24" s="309">
        <f t="shared" si="1"/>
        <v>11644974.84593631</v>
      </c>
      <c r="S24" s="309">
        <f t="shared" si="1"/>
        <v>965259</v>
      </c>
      <c r="T24" s="309">
        <f t="shared" si="1"/>
        <v>79048</v>
      </c>
      <c r="U24" s="309">
        <f t="shared" si="1"/>
        <v>6854</v>
      </c>
      <c r="V24" s="309">
        <f t="shared" si="1"/>
        <v>27002296.55537083</v>
      </c>
      <c r="W24" s="309">
        <f t="shared" si="1"/>
        <v>2284359.4446291709</v>
      </c>
      <c r="X24" s="309">
        <f t="shared" si="1"/>
        <v>29286656</v>
      </c>
      <c r="Y24" s="309">
        <f t="shared" si="1"/>
        <v>24561</v>
      </c>
      <c r="Z24" s="309">
        <f t="shared" si="1"/>
        <v>2078</v>
      </c>
      <c r="AA24" s="311">
        <f t="shared" si="1"/>
        <v>29313295</v>
      </c>
      <c r="AC24" s="310">
        <f t="shared" si="2"/>
        <v>15273134</v>
      </c>
      <c r="AD24" s="309">
        <f t="shared" si="2"/>
        <v>12125238</v>
      </c>
      <c r="AE24" s="309">
        <f t="shared" si="2"/>
        <v>965259</v>
      </c>
      <c r="AF24" s="309">
        <f t="shared" si="2"/>
        <v>79048</v>
      </c>
      <c r="AG24" s="309">
        <f t="shared" si="2"/>
        <v>6854</v>
      </c>
      <c r="AH24" s="309">
        <f t="shared" si="2"/>
        <v>28449533</v>
      </c>
      <c r="AI24" s="309">
        <f t="shared" si="2"/>
        <v>2406796</v>
      </c>
      <c r="AJ24" s="309">
        <f t="shared" si="2"/>
        <v>30856329</v>
      </c>
      <c r="AK24" s="309">
        <f t="shared" si="2"/>
        <v>24561</v>
      </c>
      <c r="AL24" s="309">
        <f t="shared" si="2"/>
        <v>2078</v>
      </c>
      <c r="AM24" s="311">
        <f t="shared" si="2"/>
        <v>30882968</v>
      </c>
      <c r="AO24" s="316"/>
      <c r="AP24" s="316"/>
      <c r="AQ24" s="316"/>
      <c r="AR24" s="316"/>
      <c r="AS24" s="316"/>
      <c r="AT24" s="316"/>
      <c r="AU24" s="316"/>
      <c r="AV24" s="316"/>
      <c r="AW24" s="316"/>
      <c r="AX24" s="316"/>
      <c r="AY24" s="316"/>
      <c r="AZ24" s="316"/>
      <c r="BA24" s="316"/>
      <c r="BB24" s="316"/>
    </row>
    <row r="25" spans="1:54" ht="15" x14ac:dyDescent="0.25">
      <c r="A25" s="295">
        <f t="shared" si="3"/>
        <v>2040</v>
      </c>
      <c r="B25" s="295"/>
      <c r="C25" s="305"/>
      <c r="E25" s="310">
        <f t="shared" si="0"/>
        <v>12475142</v>
      </c>
      <c r="F25" s="309">
        <f t="shared" si="0"/>
        <v>9982474</v>
      </c>
      <c r="G25" s="309">
        <f t="shared" si="0"/>
        <v>882252</v>
      </c>
      <c r="H25" s="309">
        <f t="shared" si="0"/>
        <v>59863</v>
      </c>
      <c r="I25" s="309">
        <f t="shared" si="0"/>
        <v>6872</v>
      </c>
      <c r="J25" s="309">
        <f t="shared" si="0"/>
        <v>23406603</v>
      </c>
      <c r="K25" s="309">
        <f t="shared" si="0"/>
        <v>1980169</v>
      </c>
      <c r="L25" s="309">
        <f t="shared" si="0"/>
        <v>25386772</v>
      </c>
      <c r="M25" s="309">
        <f t="shared" si="0"/>
        <v>24561</v>
      </c>
      <c r="N25" s="309">
        <f t="shared" si="0"/>
        <v>2078</v>
      </c>
      <c r="O25" s="311">
        <f t="shared" si="0"/>
        <v>25413411</v>
      </c>
      <c r="P25" s="309"/>
      <c r="Q25" s="310">
        <f t="shared" si="1"/>
        <v>14553167.912101548</v>
      </c>
      <c r="R25" s="309">
        <f t="shared" si="1"/>
        <v>11938792.04601403</v>
      </c>
      <c r="S25" s="309">
        <f t="shared" si="1"/>
        <v>964813</v>
      </c>
      <c r="T25" s="309">
        <f t="shared" si="1"/>
        <v>80067</v>
      </c>
      <c r="U25" s="309">
        <f t="shared" si="1"/>
        <v>6872</v>
      </c>
      <c r="V25" s="309">
        <f t="shared" si="1"/>
        <v>27543711.958115581</v>
      </c>
      <c r="W25" s="309">
        <f t="shared" si="1"/>
        <v>2330161.0418844218</v>
      </c>
      <c r="X25" s="309">
        <f t="shared" si="1"/>
        <v>29873873</v>
      </c>
      <c r="Y25" s="309">
        <f t="shared" si="1"/>
        <v>24561</v>
      </c>
      <c r="Z25" s="309">
        <f t="shared" si="1"/>
        <v>2078</v>
      </c>
      <c r="AA25" s="311">
        <f t="shared" si="1"/>
        <v>29900512</v>
      </c>
      <c r="AC25" s="310">
        <f t="shared" si="2"/>
        <v>15557081</v>
      </c>
      <c r="AD25" s="309">
        <f t="shared" si="2"/>
        <v>12451424</v>
      </c>
      <c r="AE25" s="309">
        <f t="shared" si="2"/>
        <v>964813</v>
      </c>
      <c r="AF25" s="309">
        <f t="shared" si="2"/>
        <v>80067</v>
      </c>
      <c r="AG25" s="309">
        <f t="shared" si="2"/>
        <v>6872</v>
      </c>
      <c r="AH25" s="309">
        <f t="shared" si="2"/>
        <v>29060257</v>
      </c>
      <c r="AI25" s="309">
        <f t="shared" si="2"/>
        <v>2458460</v>
      </c>
      <c r="AJ25" s="309">
        <f t="shared" si="2"/>
        <v>31518717</v>
      </c>
      <c r="AK25" s="309">
        <f t="shared" si="2"/>
        <v>24561</v>
      </c>
      <c r="AL25" s="309">
        <f t="shared" si="2"/>
        <v>2078</v>
      </c>
      <c r="AM25" s="311">
        <f t="shared" si="2"/>
        <v>31545356</v>
      </c>
      <c r="AO25" s="316"/>
      <c r="AP25" s="316"/>
      <c r="AQ25" s="316"/>
      <c r="AR25" s="316"/>
      <c r="AS25" s="316"/>
      <c r="AT25" s="316"/>
      <c r="AU25" s="316"/>
      <c r="AV25" s="316"/>
      <c r="AW25" s="316"/>
      <c r="AX25" s="316"/>
      <c r="AY25" s="316"/>
      <c r="AZ25" s="316"/>
      <c r="BA25" s="316"/>
      <c r="BB25" s="316"/>
    </row>
    <row r="26" spans="1:54" ht="15" x14ac:dyDescent="0.25">
      <c r="A26" s="295">
        <f t="shared" si="3"/>
        <v>2041</v>
      </c>
      <c r="B26" s="295"/>
      <c r="C26" s="305"/>
      <c r="E26" s="310">
        <f t="shared" si="0"/>
        <v>12583756</v>
      </c>
      <c r="F26" s="309">
        <f t="shared" si="0"/>
        <v>10174946</v>
      </c>
      <c r="G26" s="309">
        <f t="shared" si="0"/>
        <v>876635</v>
      </c>
      <c r="H26" s="309">
        <f t="shared" si="0"/>
        <v>60727</v>
      </c>
      <c r="I26" s="309">
        <f t="shared" si="0"/>
        <v>6832</v>
      </c>
      <c r="J26" s="309">
        <f t="shared" si="0"/>
        <v>23702896</v>
      </c>
      <c r="K26" s="309">
        <f t="shared" si="0"/>
        <v>2005233</v>
      </c>
      <c r="L26" s="309">
        <f t="shared" si="0"/>
        <v>25708129</v>
      </c>
      <c r="M26" s="309">
        <f t="shared" si="0"/>
        <v>24561</v>
      </c>
      <c r="N26" s="309">
        <f t="shared" si="0"/>
        <v>2078</v>
      </c>
      <c r="O26" s="311">
        <f t="shared" si="0"/>
        <v>25734768</v>
      </c>
      <c r="P26" s="309"/>
      <c r="Q26" s="310">
        <f t="shared" si="1"/>
        <v>14722466.10976024</v>
      </c>
      <c r="R26" s="309">
        <f t="shared" si="1"/>
        <v>12170243.016775321</v>
      </c>
      <c r="S26" s="309">
        <f t="shared" si="1"/>
        <v>958968</v>
      </c>
      <c r="T26" s="309">
        <f t="shared" si="1"/>
        <v>81095</v>
      </c>
      <c r="U26" s="309">
        <f t="shared" si="1"/>
        <v>6832</v>
      </c>
      <c r="V26" s="309">
        <f t="shared" si="1"/>
        <v>27939604.126535561</v>
      </c>
      <c r="W26" s="309">
        <f t="shared" si="1"/>
        <v>2363654.8734644358</v>
      </c>
      <c r="X26" s="309">
        <f t="shared" si="1"/>
        <v>30303259</v>
      </c>
      <c r="Y26" s="309">
        <f t="shared" si="1"/>
        <v>24561</v>
      </c>
      <c r="Z26" s="309">
        <f t="shared" si="1"/>
        <v>2078</v>
      </c>
      <c r="AA26" s="311">
        <f t="shared" si="1"/>
        <v>30329898</v>
      </c>
      <c r="AC26" s="310">
        <f t="shared" si="2"/>
        <v>15763504</v>
      </c>
      <c r="AD26" s="309">
        <f t="shared" si="2"/>
        <v>12715697</v>
      </c>
      <c r="AE26" s="309">
        <f t="shared" si="2"/>
        <v>958968</v>
      </c>
      <c r="AF26" s="309">
        <f t="shared" si="2"/>
        <v>81095</v>
      </c>
      <c r="AG26" s="309">
        <f t="shared" si="2"/>
        <v>6832</v>
      </c>
      <c r="AH26" s="309">
        <f t="shared" si="2"/>
        <v>29526096</v>
      </c>
      <c r="AI26" s="309">
        <f t="shared" si="2"/>
        <v>2497869</v>
      </c>
      <c r="AJ26" s="309">
        <f t="shared" si="2"/>
        <v>32023965</v>
      </c>
      <c r="AK26" s="309">
        <f t="shared" si="2"/>
        <v>24561</v>
      </c>
      <c r="AL26" s="309">
        <f t="shared" si="2"/>
        <v>2078</v>
      </c>
      <c r="AM26" s="311">
        <f t="shared" si="2"/>
        <v>32050604</v>
      </c>
      <c r="AO26" s="316"/>
      <c r="AP26" s="316"/>
      <c r="AQ26" s="316"/>
      <c r="AR26" s="316"/>
      <c r="AS26" s="316"/>
      <c r="AT26" s="316"/>
      <c r="AU26" s="316"/>
      <c r="AV26" s="316"/>
      <c r="AW26" s="316"/>
      <c r="AX26" s="316"/>
      <c r="AY26" s="316"/>
      <c r="AZ26" s="316"/>
      <c r="BA26" s="316"/>
      <c r="BB26" s="316"/>
    </row>
    <row r="27" spans="1:54" ht="15" x14ac:dyDescent="0.25">
      <c r="A27" s="295">
        <f t="shared" si="3"/>
        <v>2042</v>
      </c>
      <c r="B27" s="295"/>
      <c r="C27" s="305"/>
      <c r="E27" s="310">
        <f t="shared" si="0"/>
        <v>12665115</v>
      </c>
      <c r="F27" s="309">
        <f t="shared" si="0"/>
        <v>10404820</v>
      </c>
      <c r="G27" s="309">
        <f t="shared" si="0"/>
        <v>873683</v>
      </c>
      <c r="H27" s="309">
        <f t="shared" si="0"/>
        <v>61612</v>
      </c>
      <c r="I27" s="309">
        <f t="shared" si="0"/>
        <v>6794</v>
      </c>
      <c r="J27" s="309">
        <f t="shared" si="0"/>
        <v>24012024</v>
      </c>
      <c r="K27" s="309">
        <f t="shared" si="0"/>
        <v>2031385</v>
      </c>
      <c r="L27" s="309">
        <f t="shared" si="0"/>
        <v>26043409</v>
      </c>
      <c r="M27" s="309">
        <f t="shared" si="0"/>
        <v>24561</v>
      </c>
      <c r="N27" s="309">
        <f t="shared" si="0"/>
        <v>2078</v>
      </c>
      <c r="O27" s="311">
        <f t="shared" si="0"/>
        <v>26070048</v>
      </c>
      <c r="P27" s="309"/>
      <c r="Q27" s="310">
        <f t="shared" si="1"/>
        <v>14858683.971710023</v>
      </c>
      <c r="R27" s="309">
        <f t="shared" si="1"/>
        <v>12441675.732720999</v>
      </c>
      <c r="S27" s="309">
        <f t="shared" si="1"/>
        <v>956028</v>
      </c>
      <c r="T27" s="309">
        <f t="shared" si="1"/>
        <v>82156</v>
      </c>
      <c r="U27" s="309">
        <f t="shared" si="1"/>
        <v>6794</v>
      </c>
      <c r="V27" s="309">
        <f t="shared" si="1"/>
        <v>28345337.70443102</v>
      </c>
      <c r="W27" s="309">
        <f t="shared" si="1"/>
        <v>2397978.2955689766</v>
      </c>
      <c r="X27" s="309">
        <f t="shared" si="1"/>
        <v>30743316</v>
      </c>
      <c r="Y27" s="309">
        <f t="shared" si="1"/>
        <v>24561</v>
      </c>
      <c r="Z27" s="309">
        <f t="shared" si="1"/>
        <v>2078</v>
      </c>
      <c r="AA27" s="311">
        <f t="shared" si="1"/>
        <v>30769955</v>
      </c>
      <c r="AC27" s="310">
        <f t="shared" si="2"/>
        <v>15937297</v>
      </c>
      <c r="AD27" s="309">
        <f t="shared" si="2"/>
        <v>13023192</v>
      </c>
      <c r="AE27" s="309">
        <f t="shared" si="2"/>
        <v>956028</v>
      </c>
      <c r="AF27" s="309">
        <f t="shared" si="2"/>
        <v>82156</v>
      </c>
      <c r="AG27" s="309">
        <f t="shared" si="2"/>
        <v>6794</v>
      </c>
      <c r="AH27" s="309">
        <f t="shared" si="2"/>
        <v>30005467</v>
      </c>
      <c r="AI27" s="309">
        <f t="shared" si="2"/>
        <v>2538422</v>
      </c>
      <c r="AJ27" s="309">
        <f t="shared" si="2"/>
        <v>32543889</v>
      </c>
      <c r="AK27" s="309">
        <f t="shared" si="2"/>
        <v>24561</v>
      </c>
      <c r="AL27" s="309">
        <f t="shared" si="2"/>
        <v>2078</v>
      </c>
      <c r="AM27" s="311">
        <f t="shared" si="2"/>
        <v>32570528</v>
      </c>
      <c r="AO27" s="316"/>
      <c r="AP27" s="316"/>
      <c r="AQ27" s="316"/>
      <c r="AR27" s="316"/>
      <c r="AS27" s="316"/>
      <c r="AT27" s="316"/>
      <c r="AU27" s="316"/>
      <c r="AV27" s="316"/>
      <c r="AW27" s="316"/>
      <c r="AX27" s="316"/>
      <c r="AY27" s="316"/>
      <c r="AZ27" s="316"/>
      <c r="BA27" s="316"/>
      <c r="BB27" s="316"/>
    </row>
    <row r="28" spans="1:54" ht="15.75" thickBot="1" x14ac:dyDescent="0.3">
      <c r="A28" s="295">
        <f t="shared" si="3"/>
        <v>2043</v>
      </c>
      <c r="B28" s="295"/>
      <c r="C28" s="305"/>
      <c r="E28" s="312">
        <f t="shared" si="0"/>
        <v>12870676</v>
      </c>
      <c r="F28" s="313">
        <f t="shared" si="0"/>
        <v>10648295</v>
      </c>
      <c r="G28" s="313">
        <f t="shared" si="0"/>
        <v>869985</v>
      </c>
      <c r="H28" s="313">
        <f t="shared" si="0"/>
        <v>62564</v>
      </c>
      <c r="I28" s="313">
        <f t="shared" si="0"/>
        <v>6811</v>
      </c>
      <c r="J28" s="313">
        <f t="shared" si="0"/>
        <v>24458331</v>
      </c>
      <c r="K28" s="313">
        <f t="shared" si="0"/>
        <v>2069144</v>
      </c>
      <c r="L28" s="313">
        <f t="shared" si="0"/>
        <v>26527475</v>
      </c>
      <c r="M28" s="313">
        <f t="shared" si="0"/>
        <v>24561</v>
      </c>
      <c r="N28" s="313">
        <f t="shared" si="0"/>
        <v>2078</v>
      </c>
      <c r="O28" s="314">
        <f t="shared" si="0"/>
        <v>26554114</v>
      </c>
      <c r="P28" s="309"/>
      <c r="Q28" s="312">
        <f t="shared" si="1"/>
        <v>15110815.271693995</v>
      </c>
      <c r="R28" s="313">
        <f t="shared" si="1"/>
        <v>12728598.541980537</v>
      </c>
      <c r="S28" s="313">
        <f t="shared" si="1"/>
        <v>952333</v>
      </c>
      <c r="T28" s="313">
        <f t="shared" si="1"/>
        <v>83270</v>
      </c>
      <c r="U28" s="313">
        <f t="shared" si="1"/>
        <v>6811</v>
      </c>
      <c r="V28" s="313">
        <f t="shared" si="1"/>
        <v>28881827.813674532</v>
      </c>
      <c r="W28" s="313">
        <f t="shared" si="1"/>
        <v>2443364.1863254686</v>
      </c>
      <c r="X28" s="313">
        <f t="shared" si="1"/>
        <v>31325192</v>
      </c>
      <c r="Y28" s="313">
        <f t="shared" si="1"/>
        <v>24561</v>
      </c>
      <c r="Z28" s="313">
        <f t="shared" si="1"/>
        <v>2078</v>
      </c>
      <c r="AA28" s="314">
        <f t="shared" si="1"/>
        <v>31351831</v>
      </c>
      <c r="AC28" s="312">
        <f t="shared" si="2"/>
        <v>16226671</v>
      </c>
      <c r="AD28" s="313">
        <f t="shared" si="2"/>
        <v>13347919</v>
      </c>
      <c r="AE28" s="313">
        <f t="shared" si="2"/>
        <v>952333</v>
      </c>
      <c r="AF28" s="313">
        <f t="shared" si="2"/>
        <v>83270</v>
      </c>
      <c r="AG28" s="313">
        <f t="shared" si="2"/>
        <v>6811</v>
      </c>
      <c r="AH28" s="313">
        <f t="shared" si="2"/>
        <v>30617004</v>
      </c>
      <c r="AI28" s="313">
        <f t="shared" si="2"/>
        <v>2590160</v>
      </c>
      <c r="AJ28" s="313">
        <f t="shared" si="2"/>
        <v>33207164</v>
      </c>
      <c r="AK28" s="313">
        <f t="shared" si="2"/>
        <v>24561</v>
      </c>
      <c r="AL28" s="313">
        <f t="shared" si="2"/>
        <v>2078</v>
      </c>
      <c r="AM28" s="314">
        <f t="shared" si="2"/>
        <v>33233803</v>
      </c>
      <c r="AO28" s="316"/>
      <c r="AP28" s="316"/>
      <c r="AQ28" s="316"/>
      <c r="AR28" s="316"/>
      <c r="AS28" s="316"/>
      <c r="AT28" s="316"/>
      <c r="AU28" s="316"/>
      <c r="AV28" s="316"/>
      <c r="AW28" s="316"/>
      <c r="AX28" s="316"/>
      <c r="AY28" s="316"/>
      <c r="AZ28" s="316"/>
      <c r="BA28" s="316"/>
      <c r="BB28" s="316"/>
    </row>
    <row r="29" spans="1:54" ht="3" customHeight="1" thickBot="1" x14ac:dyDescent="0.25">
      <c r="AO29" s="316"/>
      <c r="AP29" s="316"/>
      <c r="AQ29" s="316"/>
      <c r="AR29" s="316"/>
      <c r="AS29" s="316"/>
      <c r="AT29" s="316"/>
      <c r="AU29" s="316"/>
      <c r="AV29" s="316"/>
      <c r="AW29" s="316"/>
      <c r="AX29" s="316"/>
      <c r="AY29" s="316"/>
    </row>
    <row r="30" spans="1:54" ht="15" x14ac:dyDescent="0.25">
      <c r="A30" s="295">
        <v>2022</v>
      </c>
      <c r="B30" s="295">
        <v>1</v>
      </c>
      <c r="C30" s="305">
        <f t="shared" ref="C30:C93" si="4">DATE(A30,B30,1)</f>
        <v>44562</v>
      </c>
      <c r="E30" s="306">
        <v>1206091</v>
      </c>
      <c r="F30" s="307">
        <v>737463</v>
      </c>
      <c r="G30" s="307">
        <v>79323</v>
      </c>
      <c r="H30" s="307">
        <v>6368</v>
      </c>
      <c r="I30" s="307">
        <v>995</v>
      </c>
      <c r="J30" s="307">
        <f>SUM(E30:I30)</f>
        <v>2030240</v>
      </c>
      <c r="K30" s="307">
        <f>L30-J30</f>
        <v>171756</v>
      </c>
      <c r="L30" s="307">
        <f>ROUND(J30/(1-0.078), 0)</f>
        <v>2201996</v>
      </c>
      <c r="M30" s="307">
        <v>2243</v>
      </c>
      <c r="N30" s="307">
        <f t="shared" ref="N30:N93" si="5">ROUND(M30/(1-0.078)-M30, 0)</f>
        <v>190</v>
      </c>
      <c r="O30" s="308">
        <f t="shared" ref="O30:O93" si="6">SUM(L30:N30)</f>
        <v>2204429</v>
      </c>
      <c r="P30" s="309"/>
      <c r="Q30" s="306">
        <v>1213670.4056685036</v>
      </c>
      <c r="R30" s="307">
        <v>749834.56320030533</v>
      </c>
      <c r="S30" s="307">
        <v>80683</v>
      </c>
      <c r="T30" s="307">
        <f>AF30</f>
        <v>6372</v>
      </c>
      <c r="U30" s="307">
        <f>AG30</f>
        <v>995</v>
      </c>
      <c r="V30" s="307">
        <f t="shared" ref="V30" si="7">SUM(Q30:U30)</f>
        <v>2051554.9688688088</v>
      </c>
      <c r="W30" s="307">
        <f>X30-V30</f>
        <v>173559.03113119118</v>
      </c>
      <c r="X30" s="307">
        <f>ROUND(V30/(1-0.078), 0)</f>
        <v>2225114</v>
      </c>
      <c r="Y30" s="307">
        <f>M30</f>
        <v>2243</v>
      </c>
      <c r="Z30" s="307">
        <f t="shared" ref="Z30:Z93" si="8">ROUND(Y30/(1-0.078)-Y30, 0)</f>
        <v>190</v>
      </c>
      <c r="AA30" s="308">
        <f>SUM(X30:Z30)</f>
        <v>2227547</v>
      </c>
      <c r="AC30" s="306">
        <v>1230572</v>
      </c>
      <c r="AD30" s="307">
        <v>754247</v>
      </c>
      <c r="AE30" s="307">
        <v>80683</v>
      </c>
      <c r="AF30" s="307">
        <v>6372</v>
      </c>
      <c r="AG30" s="307">
        <v>995</v>
      </c>
      <c r="AH30" s="307">
        <f t="shared" ref="AH30:AH93" si="9">SUM(AC30:AG30)</f>
        <v>2072869</v>
      </c>
      <c r="AI30" s="307">
        <f t="shared" ref="AI30:AI93" si="10">AJ30-AH30</f>
        <v>175362</v>
      </c>
      <c r="AJ30" s="307">
        <f t="shared" ref="AJ30:AJ93" si="11">ROUND(AH30/(1-0.078), 0)</f>
        <v>2248231</v>
      </c>
      <c r="AK30" s="307">
        <v>2243</v>
      </c>
      <c r="AL30" s="307">
        <f t="shared" ref="AL30:AL93" si="12">N30</f>
        <v>190</v>
      </c>
      <c r="AM30" s="315">
        <f t="shared" ref="AM30:AM93" si="13">SUM(AJ30:AL30)</f>
        <v>2250664</v>
      </c>
      <c r="AO30" s="316"/>
      <c r="AP30" s="316"/>
      <c r="AQ30" s="316"/>
      <c r="AR30" s="316"/>
      <c r="AS30" s="316"/>
      <c r="AT30" s="316"/>
      <c r="AU30" s="316"/>
      <c r="AV30" s="316"/>
      <c r="AW30" s="316"/>
      <c r="AX30" s="316"/>
      <c r="AY30" s="316"/>
    </row>
    <row r="31" spans="1:54" ht="15" x14ac:dyDescent="0.25">
      <c r="A31" s="295">
        <v>2022</v>
      </c>
      <c r="B31" s="295">
        <v>2</v>
      </c>
      <c r="C31" s="305">
        <f t="shared" si="4"/>
        <v>44593</v>
      </c>
      <c r="E31" s="310">
        <v>1043330</v>
      </c>
      <c r="F31" s="309">
        <v>682331</v>
      </c>
      <c r="G31" s="309">
        <v>79474</v>
      </c>
      <c r="H31" s="309">
        <v>5926</v>
      </c>
      <c r="I31" s="309">
        <v>880</v>
      </c>
      <c r="J31" s="309">
        <f t="shared" ref="J31:J94" si="14">SUM(E31:I31)</f>
        <v>1811941</v>
      </c>
      <c r="K31" s="309">
        <f t="shared" ref="K31:K94" si="15">L31-J31</f>
        <v>153288</v>
      </c>
      <c r="L31" s="309">
        <f t="shared" ref="L31:L94" si="16">ROUND(J31/(1-0.078), 0)</f>
        <v>1965229</v>
      </c>
      <c r="M31" s="309">
        <v>2355</v>
      </c>
      <c r="N31" s="309">
        <f t="shared" si="5"/>
        <v>199</v>
      </c>
      <c r="O31" s="311">
        <f t="shared" si="6"/>
        <v>1967783</v>
      </c>
      <c r="P31" s="309"/>
      <c r="Q31" s="310">
        <v>1049951.9809617088</v>
      </c>
      <c r="R31" s="309">
        <v>693859.27336223202</v>
      </c>
      <c r="S31" s="309">
        <v>80730</v>
      </c>
      <c r="T31" s="309">
        <f t="shared" ref="T31:U94" si="17">AF31</f>
        <v>5932</v>
      </c>
      <c r="U31" s="309">
        <f t="shared" si="17"/>
        <v>880</v>
      </c>
      <c r="V31" s="309">
        <f t="shared" ref="V31:V94" si="18">SUM(Q31:U31)</f>
        <v>1831353.2543239407</v>
      </c>
      <c r="W31" s="309">
        <f t="shared" ref="W31:W94" si="19">X31-V31</f>
        <v>154929.74567605928</v>
      </c>
      <c r="X31" s="309">
        <f t="shared" ref="X31:X94" si="20">ROUND(V31/(1-0.078), 0)</f>
        <v>1986283</v>
      </c>
      <c r="Y31" s="309">
        <f t="shared" ref="Y31:Y94" si="21">M31</f>
        <v>2355</v>
      </c>
      <c r="Z31" s="309">
        <f t="shared" si="8"/>
        <v>199</v>
      </c>
      <c r="AA31" s="311">
        <f t="shared" ref="AA31:AA94" si="22">SUM(X31:Z31)</f>
        <v>1988837</v>
      </c>
      <c r="AC31" s="310">
        <v>1064314</v>
      </c>
      <c r="AD31" s="309">
        <v>697554</v>
      </c>
      <c r="AE31" s="309">
        <v>80730</v>
      </c>
      <c r="AF31" s="309">
        <v>5932</v>
      </c>
      <c r="AG31" s="309">
        <v>880</v>
      </c>
      <c r="AH31" s="309">
        <f t="shared" si="9"/>
        <v>1849410</v>
      </c>
      <c r="AI31" s="309">
        <f t="shared" si="10"/>
        <v>156458</v>
      </c>
      <c r="AJ31" s="309">
        <f t="shared" si="11"/>
        <v>2005868</v>
      </c>
      <c r="AK31" s="309">
        <v>2355</v>
      </c>
      <c r="AL31" s="309">
        <f t="shared" si="12"/>
        <v>199</v>
      </c>
      <c r="AM31" s="311">
        <f t="shared" si="13"/>
        <v>2008422</v>
      </c>
      <c r="AO31" s="316"/>
      <c r="AP31" s="316"/>
      <c r="AQ31" s="316"/>
      <c r="AR31" s="316"/>
      <c r="AS31" s="316"/>
      <c r="AT31" s="316"/>
      <c r="AU31" s="316"/>
      <c r="AV31" s="316"/>
      <c r="AW31" s="316"/>
      <c r="AX31" s="316"/>
      <c r="AY31" s="316"/>
    </row>
    <row r="32" spans="1:54" ht="15" x14ac:dyDescent="0.25">
      <c r="A32" s="295">
        <v>2022</v>
      </c>
      <c r="B32" s="295">
        <v>3</v>
      </c>
      <c r="C32" s="305">
        <f t="shared" si="4"/>
        <v>44621</v>
      </c>
      <c r="E32" s="310">
        <v>1030240</v>
      </c>
      <c r="F32" s="309">
        <v>723779</v>
      </c>
      <c r="G32" s="309">
        <v>88157</v>
      </c>
      <c r="H32" s="309">
        <v>5458</v>
      </c>
      <c r="I32" s="309">
        <v>781</v>
      </c>
      <c r="J32" s="309">
        <f t="shared" si="14"/>
        <v>1848415</v>
      </c>
      <c r="K32" s="309">
        <f t="shared" si="15"/>
        <v>156374</v>
      </c>
      <c r="L32" s="309">
        <f t="shared" si="16"/>
        <v>2004789</v>
      </c>
      <c r="M32" s="309">
        <v>2263</v>
      </c>
      <c r="N32" s="309">
        <f t="shared" si="5"/>
        <v>191</v>
      </c>
      <c r="O32" s="311">
        <f t="shared" si="6"/>
        <v>2007243</v>
      </c>
      <c r="P32" s="309"/>
      <c r="Q32" s="310">
        <v>1036835.5239621685</v>
      </c>
      <c r="R32" s="309">
        <v>736978.33257636172</v>
      </c>
      <c r="S32" s="309">
        <v>89572</v>
      </c>
      <c r="T32" s="309">
        <f t="shared" si="17"/>
        <v>5468</v>
      </c>
      <c r="U32" s="309">
        <f t="shared" si="17"/>
        <v>781</v>
      </c>
      <c r="V32" s="309">
        <f t="shared" si="18"/>
        <v>1869634.8565385302</v>
      </c>
      <c r="W32" s="309">
        <f>X32-V32</f>
        <v>158169.14346146979</v>
      </c>
      <c r="X32" s="309">
        <f t="shared" si="20"/>
        <v>2027804</v>
      </c>
      <c r="Y32" s="309">
        <f t="shared" si="21"/>
        <v>2263</v>
      </c>
      <c r="Z32" s="309">
        <f t="shared" si="8"/>
        <v>191</v>
      </c>
      <c r="AA32" s="311">
        <f t="shared" si="22"/>
        <v>2030258</v>
      </c>
      <c r="AC32" s="310">
        <v>1052576</v>
      </c>
      <c r="AD32" s="309">
        <v>741673</v>
      </c>
      <c r="AE32" s="309">
        <v>89572</v>
      </c>
      <c r="AF32" s="309">
        <v>5468</v>
      </c>
      <c r="AG32" s="309">
        <v>781</v>
      </c>
      <c r="AH32" s="309">
        <f t="shared" si="9"/>
        <v>1890070</v>
      </c>
      <c r="AI32" s="309">
        <f t="shared" si="10"/>
        <v>159897</v>
      </c>
      <c r="AJ32" s="309">
        <f t="shared" si="11"/>
        <v>2049967</v>
      </c>
      <c r="AK32" s="309">
        <v>2263</v>
      </c>
      <c r="AL32" s="309">
        <f t="shared" si="12"/>
        <v>191</v>
      </c>
      <c r="AM32" s="311">
        <f t="shared" si="13"/>
        <v>2052421</v>
      </c>
      <c r="AO32" s="316"/>
      <c r="AP32" s="316"/>
      <c r="AQ32" s="316"/>
      <c r="AR32" s="316"/>
      <c r="AS32" s="316"/>
      <c r="AT32" s="316"/>
      <c r="AU32" s="316"/>
      <c r="AV32" s="316"/>
      <c r="AW32" s="316"/>
      <c r="AX32" s="316"/>
      <c r="AY32" s="316"/>
    </row>
    <row r="33" spans="1:54" ht="15" x14ac:dyDescent="0.25">
      <c r="A33" s="295">
        <v>2022</v>
      </c>
      <c r="B33" s="295">
        <v>4</v>
      </c>
      <c r="C33" s="305">
        <f t="shared" si="4"/>
        <v>44652</v>
      </c>
      <c r="E33" s="310">
        <v>922828</v>
      </c>
      <c r="F33" s="309">
        <v>707336</v>
      </c>
      <c r="G33" s="309">
        <v>89203</v>
      </c>
      <c r="H33" s="309">
        <v>5756</v>
      </c>
      <c r="I33" s="309">
        <v>646</v>
      </c>
      <c r="J33" s="309">
        <f t="shared" si="14"/>
        <v>1725769</v>
      </c>
      <c r="K33" s="309">
        <f t="shared" si="15"/>
        <v>145998</v>
      </c>
      <c r="L33" s="309">
        <f t="shared" si="16"/>
        <v>1871767</v>
      </c>
      <c r="M33" s="309">
        <v>2101</v>
      </c>
      <c r="N33" s="309">
        <f t="shared" si="5"/>
        <v>178</v>
      </c>
      <c r="O33" s="311">
        <f t="shared" si="6"/>
        <v>1874046</v>
      </c>
      <c r="P33" s="309"/>
      <c r="Q33" s="310">
        <v>928578.11490621616</v>
      </c>
      <c r="R33" s="309">
        <v>720253.3276457201</v>
      </c>
      <c r="S33" s="309">
        <v>90574</v>
      </c>
      <c r="T33" s="309">
        <f t="shared" si="17"/>
        <v>5768</v>
      </c>
      <c r="U33" s="309">
        <f t="shared" si="17"/>
        <v>646</v>
      </c>
      <c r="V33" s="309">
        <f t="shared" si="18"/>
        <v>1745819.4425519363</v>
      </c>
      <c r="W33" s="309">
        <f t="shared" si="19"/>
        <v>147693.55744806374</v>
      </c>
      <c r="X33" s="309">
        <f t="shared" si="20"/>
        <v>1893513</v>
      </c>
      <c r="Y33" s="309">
        <f t="shared" si="21"/>
        <v>2101</v>
      </c>
      <c r="Z33" s="309">
        <f t="shared" si="8"/>
        <v>178</v>
      </c>
      <c r="AA33" s="311">
        <f t="shared" si="22"/>
        <v>1895792</v>
      </c>
      <c r="AC33" s="310">
        <v>942094</v>
      </c>
      <c r="AD33" s="309">
        <v>724853</v>
      </c>
      <c r="AE33" s="309">
        <v>90574</v>
      </c>
      <c r="AF33" s="309">
        <v>5768</v>
      </c>
      <c r="AG33" s="309">
        <v>646</v>
      </c>
      <c r="AH33" s="309">
        <f t="shared" si="9"/>
        <v>1763935</v>
      </c>
      <c r="AI33" s="309">
        <f t="shared" si="10"/>
        <v>149227</v>
      </c>
      <c r="AJ33" s="309">
        <f t="shared" si="11"/>
        <v>1913162</v>
      </c>
      <c r="AK33" s="309">
        <v>2101</v>
      </c>
      <c r="AL33" s="309">
        <f t="shared" si="12"/>
        <v>178</v>
      </c>
      <c r="AM33" s="311">
        <f t="shared" si="13"/>
        <v>1915441</v>
      </c>
      <c r="AO33" s="316"/>
      <c r="AP33" s="316"/>
      <c r="AQ33" s="316"/>
      <c r="AR33" s="316"/>
      <c r="AS33" s="316"/>
      <c r="AT33" s="316"/>
      <c r="AU33" s="316"/>
      <c r="AV33" s="316"/>
      <c r="AW33" s="316"/>
      <c r="AX33" s="316"/>
      <c r="AY33" s="316"/>
    </row>
    <row r="34" spans="1:54" ht="15" x14ac:dyDescent="0.25">
      <c r="A34" s="295">
        <v>2022</v>
      </c>
      <c r="B34" s="295">
        <v>5</v>
      </c>
      <c r="C34" s="305">
        <f t="shared" si="4"/>
        <v>44682</v>
      </c>
      <c r="E34" s="310">
        <v>761884</v>
      </c>
      <c r="F34" s="309">
        <v>672287</v>
      </c>
      <c r="G34" s="309">
        <v>83863</v>
      </c>
      <c r="H34" s="309">
        <v>5486</v>
      </c>
      <c r="I34" s="309">
        <v>443</v>
      </c>
      <c r="J34" s="309">
        <f t="shared" si="14"/>
        <v>1523963</v>
      </c>
      <c r="K34" s="309">
        <f t="shared" si="15"/>
        <v>128925</v>
      </c>
      <c r="L34" s="309">
        <f t="shared" si="16"/>
        <v>1652888</v>
      </c>
      <c r="M34" s="309">
        <v>2097</v>
      </c>
      <c r="N34" s="309">
        <f t="shared" si="5"/>
        <v>177</v>
      </c>
      <c r="O34" s="311">
        <f t="shared" si="6"/>
        <v>1655162</v>
      </c>
      <c r="P34" s="309"/>
      <c r="Q34" s="310">
        <v>766516.00210155849</v>
      </c>
      <c r="R34" s="309">
        <v>686679.33754358243</v>
      </c>
      <c r="S34" s="309">
        <v>85359</v>
      </c>
      <c r="T34" s="309">
        <f t="shared" si="17"/>
        <v>5500</v>
      </c>
      <c r="U34" s="309">
        <f t="shared" si="17"/>
        <v>443</v>
      </c>
      <c r="V34" s="309">
        <f t="shared" si="18"/>
        <v>1544497.3396451408</v>
      </c>
      <c r="W34" s="309">
        <f t="shared" si="19"/>
        <v>130662.6603548592</v>
      </c>
      <c r="X34" s="309">
        <f t="shared" si="20"/>
        <v>1675160</v>
      </c>
      <c r="Y34" s="309">
        <f t="shared" si="21"/>
        <v>2097</v>
      </c>
      <c r="Z34" s="309">
        <f t="shared" si="8"/>
        <v>177</v>
      </c>
      <c r="AA34" s="311">
        <f t="shared" si="22"/>
        <v>1677434</v>
      </c>
      <c r="AC34" s="310">
        <v>780926</v>
      </c>
      <c r="AD34" s="309">
        <v>691684</v>
      </c>
      <c r="AE34" s="309">
        <v>85359</v>
      </c>
      <c r="AF34" s="309">
        <v>5500</v>
      </c>
      <c r="AG34" s="309">
        <v>443</v>
      </c>
      <c r="AH34" s="309">
        <f t="shared" si="9"/>
        <v>1563912</v>
      </c>
      <c r="AI34" s="309">
        <f t="shared" si="10"/>
        <v>132305</v>
      </c>
      <c r="AJ34" s="309">
        <f t="shared" si="11"/>
        <v>1696217</v>
      </c>
      <c r="AK34" s="309">
        <v>2097</v>
      </c>
      <c r="AL34" s="309">
        <f t="shared" si="12"/>
        <v>177</v>
      </c>
      <c r="AM34" s="311">
        <f t="shared" si="13"/>
        <v>1698491</v>
      </c>
      <c r="AO34" s="316"/>
      <c r="AP34" s="316"/>
      <c r="AQ34" s="316"/>
      <c r="AR34" s="316"/>
      <c r="AS34" s="316"/>
      <c r="AT34" s="316"/>
      <c r="AU34" s="316"/>
      <c r="AV34" s="316"/>
      <c r="AW34" s="316"/>
      <c r="AX34" s="316"/>
      <c r="AY34" s="316"/>
    </row>
    <row r="35" spans="1:54" ht="15" x14ac:dyDescent="0.25">
      <c r="A35" s="295">
        <v>2022</v>
      </c>
      <c r="B35" s="295">
        <v>6</v>
      </c>
      <c r="C35" s="305">
        <f t="shared" si="4"/>
        <v>44713</v>
      </c>
      <c r="E35" s="310">
        <v>686037</v>
      </c>
      <c r="F35" s="309">
        <v>688845</v>
      </c>
      <c r="G35" s="309">
        <v>85203</v>
      </c>
      <c r="H35" s="309">
        <v>5354</v>
      </c>
      <c r="I35" s="309">
        <v>318</v>
      </c>
      <c r="J35" s="309">
        <f t="shared" si="14"/>
        <v>1465757</v>
      </c>
      <c r="K35" s="309">
        <f t="shared" si="15"/>
        <v>124001</v>
      </c>
      <c r="L35" s="309">
        <f t="shared" si="16"/>
        <v>1589758</v>
      </c>
      <c r="M35" s="309">
        <v>1727</v>
      </c>
      <c r="N35" s="309">
        <f t="shared" si="5"/>
        <v>146</v>
      </c>
      <c r="O35" s="311">
        <f t="shared" si="6"/>
        <v>1591631</v>
      </c>
      <c r="P35" s="309"/>
      <c r="Q35" s="310">
        <v>690113.88326130086</v>
      </c>
      <c r="R35" s="309">
        <v>703668.34887042409</v>
      </c>
      <c r="S35" s="309">
        <v>86730</v>
      </c>
      <c r="T35" s="309">
        <f t="shared" si="17"/>
        <v>5369</v>
      </c>
      <c r="U35" s="309">
        <f t="shared" si="17"/>
        <v>318</v>
      </c>
      <c r="V35" s="309">
        <f t="shared" si="18"/>
        <v>1486199.2321317249</v>
      </c>
      <c r="W35" s="309">
        <f t="shared" si="19"/>
        <v>125730.76786827506</v>
      </c>
      <c r="X35" s="309">
        <f t="shared" si="20"/>
        <v>1611930</v>
      </c>
      <c r="Y35" s="309">
        <f t="shared" si="21"/>
        <v>1727</v>
      </c>
      <c r="Z35" s="309">
        <f t="shared" si="8"/>
        <v>146</v>
      </c>
      <c r="AA35" s="311">
        <f t="shared" si="22"/>
        <v>1613803</v>
      </c>
      <c r="AC35" s="310">
        <v>703292</v>
      </c>
      <c r="AD35" s="309">
        <v>708701</v>
      </c>
      <c r="AE35" s="309">
        <v>86730</v>
      </c>
      <c r="AF35" s="309">
        <v>5369</v>
      </c>
      <c r="AG35" s="309">
        <v>318</v>
      </c>
      <c r="AH35" s="309">
        <f t="shared" si="9"/>
        <v>1504410</v>
      </c>
      <c r="AI35" s="309">
        <f t="shared" si="10"/>
        <v>127271</v>
      </c>
      <c r="AJ35" s="309">
        <f t="shared" si="11"/>
        <v>1631681</v>
      </c>
      <c r="AK35" s="309">
        <v>1727</v>
      </c>
      <c r="AL35" s="309">
        <f t="shared" si="12"/>
        <v>146</v>
      </c>
      <c r="AM35" s="311">
        <f t="shared" si="13"/>
        <v>1633554</v>
      </c>
      <c r="AO35" s="316"/>
      <c r="AP35" s="316"/>
      <c r="AQ35" s="316"/>
      <c r="AR35" s="316"/>
      <c r="AS35" s="316"/>
      <c r="AT35" s="316"/>
      <c r="AU35" s="316"/>
      <c r="AV35" s="316"/>
      <c r="AW35" s="316"/>
      <c r="AX35" s="316"/>
      <c r="AY35" s="316"/>
      <c r="BB35" s="292" t="s">
        <v>759</v>
      </c>
    </row>
    <row r="36" spans="1:54" ht="15" x14ac:dyDescent="0.25">
      <c r="A36" s="295">
        <v>2022</v>
      </c>
      <c r="B36" s="295">
        <v>7</v>
      </c>
      <c r="C36" s="305">
        <f t="shared" si="4"/>
        <v>44743</v>
      </c>
      <c r="E36" s="310">
        <v>703102</v>
      </c>
      <c r="F36" s="309">
        <v>718786</v>
      </c>
      <c r="G36" s="309">
        <v>92730</v>
      </c>
      <c r="H36" s="309">
        <v>5140</v>
      </c>
      <c r="I36" s="309">
        <v>288</v>
      </c>
      <c r="J36" s="309">
        <f t="shared" si="14"/>
        <v>1520046</v>
      </c>
      <c r="K36" s="309">
        <f t="shared" si="15"/>
        <v>128594</v>
      </c>
      <c r="L36" s="309">
        <f t="shared" si="16"/>
        <v>1648640</v>
      </c>
      <c r="M36" s="309">
        <v>2779</v>
      </c>
      <c r="N36" s="309">
        <f t="shared" si="5"/>
        <v>235</v>
      </c>
      <c r="O36" s="311">
        <f t="shared" si="6"/>
        <v>1651654</v>
      </c>
      <c r="P36" s="309"/>
      <c r="Q36" s="310">
        <v>707832.27048028493</v>
      </c>
      <c r="R36" s="309">
        <v>734943.67423023644</v>
      </c>
      <c r="S36" s="309">
        <v>94359</v>
      </c>
      <c r="T36" s="309">
        <f t="shared" si="17"/>
        <v>5162</v>
      </c>
      <c r="U36" s="309">
        <f t="shared" si="17"/>
        <v>288</v>
      </c>
      <c r="V36" s="309">
        <f t="shared" si="18"/>
        <v>1542584.9447105215</v>
      </c>
      <c r="W36" s="309">
        <f t="shared" si="19"/>
        <v>130501.05528947851</v>
      </c>
      <c r="X36" s="309">
        <f t="shared" si="20"/>
        <v>1673086</v>
      </c>
      <c r="Y36" s="309">
        <f t="shared" si="21"/>
        <v>2779</v>
      </c>
      <c r="Z36" s="309">
        <f t="shared" si="8"/>
        <v>235</v>
      </c>
      <c r="AA36" s="311">
        <f t="shared" si="22"/>
        <v>1676100</v>
      </c>
      <c r="AC36" s="310">
        <v>723236</v>
      </c>
      <c r="AD36" s="309">
        <v>740595</v>
      </c>
      <c r="AE36" s="309">
        <v>94359</v>
      </c>
      <c r="AF36" s="309">
        <v>5162</v>
      </c>
      <c r="AG36" s="309">
        <v>288</v>
      </c>
      <c r="AH36" s="309">
        <f t="shared" si="9"/>
        <v>1563640</v>
      </c>
      <c r="AI36" s="309">
        <f t="shared" si="10"/>
        <v>132282</v>
      </c>
      <c r="AJ36" s="309">
        <f t="shared" si="11"/>
        <v>1695922</v>
      </c>
      <c r="AK36" s="309">
        <v>2779</v>
      </c>
      <c r="AL36" s="309">
        <f t="shared" si="12"/>
        <v>235</v>
      </c>
      <c r="AM36" s="311">
        <f t="shared" si="13"/>
        <v>1698936</v>
      </c>
      <c r="AO36" s="316"/>
      <c r="AP36" s="316"/>
      <c r="AQ36" s="316"/>
      <c r="AR36" s="316"/>
      <c r="AS36" s="316"/>
      <c r="AT36" s="316"/>
      <c r="AU36" s="316"/>
      <c r="AV36" s="316"/>
      <c r="AW36" s="316"/>
      <c r="AX36" s="316"/>
      <c r="AY36" s="316"/>
    </row>
    <row r="37" spans="1:54" ht="15" x14ac:dyDescent="0.25">
      <c r="A37" s="295">
        <v>2022</v>
      </c>
      <c r="B37" s="295">
        <v>8</v>
      </c>
      <c r="C37" s="305">
        <f t="shared" si="4"/>
        <v>44774</v>
      </c>
      <c r="E37" s="310">
        <v>717784</v>
      </c>
      <c r="F37" s="309">
        <v>721828</v>
      </c>
      <c r="G37" s="309">
        <v>93651</v>
      </c>
      <c r="H37" s="309">
        <v>5425</v>
      </c>
      <c r="I37" s="309">
        <v>280</v>
      </c>
      <c r="J37" s="309">
        <f t="shared" si="14"/>
        <v>1538968</v>
      </c>
      <c r="K37" s="309">
        <f t="shared" si="15"/>
        <v>130194</v>
      </c>
      <c r="L37" s="309">
        <f>ROUNDDOWN(J37/(1-0.078), 0)</f>
        <v>1669162</v>
      </c>
      <c r="M37" s="309">
        <v>1579</v>
      </c>
      <c r="N37" s="309">
        <f t="shared" si="5"/>
        <v>134</v>
      </c>
      <c r="O37" s="311">
        <f t="shared" si="6"/>
        <v>1670875</v>
      </c>
      <c r="P37" s="309"/>
      <c r="Q37" s="310">
        <v>722778.7145547024</v>
      </c>
      <c r="R37" s="309">
        <v>739028.46108054183</v>
      </c>
      <c r="S37" s="309">
        <v>95371</v>
      </c>
      <c r="T37" s="309">
        <f t="shared" si="17"/>
        <v>5456</v>
      </c>
      <c r="U37" s="309">
        <f t="shared" si="17"/>
        <v>280</v>
      </c>
      <c r="V37" s="309">
        <f t="shared" si="18"/>
        <v>1562914.1756352442</v>
      </c>
      <c r="W37" s="309">
        <f t="shared" si="19"/>
        <v>132220.82436475577</v>
      </c>
      <c r="X37" s="309">
        <f t="shared" si="20"/>
        <v>1695135</v>
      </c>
      <c r="Y37" s="309">
        <f t="shared" si="21"/>
        <v>1579</v>
      </c>
      <c r="Z37" s="309">
        <f t="shared" si="8"/>
        <v>134</v>
      </c>
      <c r="AA37" s="311">
        <f t="shared" si="22"/>
        <v>1696848</v>
      </c>
      <c r="AC37" s="310">
        <v>738457</v>
      </c>
      <c r="AD37" s="309">
        <v>745190</v>
      </c>
      <c r="AE37" s="309">
        <v>95371</v>
      </c>
      <c r="AF37" s="309">
        <v>5456</v>
      </c>
      <c r="AG37" s="309">
        <v>280</v>
      </c>
      <c r="AH37" s="309">
        <f t="shared" si="9"/>
        <v>1584754</v>
      </c>
      <c r="AI37" s="309">
        <f t="shared" si="10"/>
        <v>134068</v>
      </c>
      <c r="AJ37" s="309">
        <f t="shared" si="11"/>
        <v>1718822</v>
      </c>
      <c r="AK37" s="309">
        <v>1579</v>
      </c>
      <c r="AL37" s="309">
        <f t="shared" si="12"/>
        <v>134</v>
      </c>
      <c r="AM37" s="311">
        <f t="shared" si="13"/>
        <v>1720535</v>
      </c>
      <c r="AO37" s="316"/>
      <c r="AP37" s="316"/>
      <c r="AQ37" s="316"/>
      <c r="AR37" s="316"/>
      <c r="AS37" s="316"/>
      <c r="AT37" s="316"/>
      <c r="AU37" s="316"/>
      <c r="AV37" s="316"/>
      <c r="AW37" s="316"/>
      <c r="AX37" s="316"/>
      <c r="AY37" s="316"/>
    </row>
    <row r="38" spans="1:54" ht="15" x14ac:dyDescent="0.25">
      <c r="A38" s="295">
        <v>2022</v>
      </c>
      <c r="B38" s="295">
        <v>9</v>
      </c>
      <c r="C38" s="305">
        <f t="shared" si="4"/>
        <v>44805</v>
      </c>
      <c r="E38" s="310">
        <v>688792</v>
      </c>
      <c r="F38" s="309">
        <v>682146</v>
      </c>
      <c r="G38" s="309">
        <v>90092</v>
      </c>
      <c r="H38" s="309">
        <v>5673</v>
      </c>
      <c r="I38" s="309">
        <v>356</v>
      </c>
      <c r="J38" s="309">
        <f t="shared" si="14"/>
        <v>1467059</v>
      </c>
      <c r="K38" s="309">
        <f t="shared" si="15"/>
        <v>124111</v>
      </c>
      <c r="L38" s="309">
        <f>ROUND(J38/(1-0.078), 0)</f>
        <v>1591170</v>
      </c>
      <c r="M38" s="309">
        <v>1377</v>
      </c>
      <c r="N38" s="309">
        <f t="shared" si="5"/>
        <v>116</v>
      </c>
      <c r="O38" s="311">
        <f t="shared" si="6"/>
        <v>1592663</v>
      </c>
      <c r="P38" s="309"/>
      <c r="Q38" s="310">
        <v>694393.67331592343</v>
      </c>
      <c r="R38" s="309">
        <v>699226.36929240834</v>
      </c>
      <c r="S38" s="309">
        <v>91771</v>
      </c>
      <c r="T38" s="309">
        <f t="shared" si="17"/>
        <v>5710</v>
      </c>
      <c r="U38" s="309">
        <f t="shared" si="17"/>
        <v>356</v>
      </c>
      <c r="V38" s="309">
        <f t="shared" si="18"/>
        <v>1491457.0426083319</v>
      </c>
      <c r="W38" s="309">
        <f t="shared" si="19"/>
        <v>126174.95739166811</v>
      </c>
      <c r="X38" s="309">
        <f t="shared" si="20"/>
        <v>1617632</v>
      </c>
      <c r="Y38" s="309">
        <f t="shared" si="21"/>
        <v>1377</v>
      </c>
      <c r="Z38" s="309">
        <f t="shared" si="8"/>
        <v>116</v>
      </c>
      <c r="AA38" s="311">
        <f t="shared" si="22"/>
        <v>1619125</v>
      </c>
      <c r="AC38" s="310">
        <v>710302</v>
      </c>
      <c r="AD38" s="309">
        <v>705495</v>
      </c>
      <c r="AE38" s="309">
        <v>91771</v>
      </c>
      <c r="AF38" s="309">
        <v>5710</v>
      </c>
      <c r="AG38" s="309">
        <v>356</v>
      </c>
      <c r="AH38" s="309">
        <f t="shared" si="9"/>
        <v>1513634</v>
      </c>
      <c r="AI38" s="309">
        <f t="shared" si="10"/>
        <v>128051</v>
      </c>
      <c r="AJ38" s="309">
        <f t="shared" si="11"/>
        <v>1641685</v>
      </c>
      <c r="AK38" s="309">
        <v>1377</v>
      </c>
      <c r="AL38" s="309">
        <f t="shared" si="12"/>
        <v>116</v>
      </c>
      <c r="AM38" s="311">
        <f t="shared" si="13"/>
        <v>1643178</v>
      </c>
      <c r="AO38" s="316"/>
      <c r="AP38" s="316"/>
      <c r="AQ38" s="316"/>
      <c r="AR38" s="316"/>
      <c r="AS38" s="316"/>
      <c r="AT38" s="316"/>
      <c r="AU38" s="316"/>
      <c r="AV38" s="316"/>
      <c r="AW38" s="316"/>
      <c r="AX38" s="316"/>
      <c r="AY38" s="316"/>
    </row>
    <row r="39" spans="1:54" ht="15" x14ac:dyDescent="0.25">
      <c r="A39" s="295">
        <v>2022</v>
      </c>
      <c r="B39" s="295">
        <v>10</v>
      </c>
      <c r="C39" s="305">
        <f t="shared" si="4"/>
        <v>44835</v>
      </c>
      <c r="E39" s="310">
        <v>823104</v>
      </c>
      <c r="F39" s="309">
        <v>691723</v>
      </c>
      <c r="G39" s="309">
        <v>86102</v>
      </c>
      <c r="H39" s="309">
        <v>5590</v>
      </c>
      <c r="I39" s="309">
        <v>477</v>
      </c>
      <c r="J39" s="309">
        <f t="shared" si="14"/>
        <v>1606996</v>
      </c>
      <c r="K39" s="309">
        <f t="shared" si="15"/>
        <v>135950</v>
      </c>
      <c r="L39" s="309">
        <f t="shared" si="16"/>
        <v>1742946</v>
      </c>
      <c r="M39" s="309">
        <v>1767</v>
      </c>
      <c r="N39" s="309">
        <f t="shared" si="5"/>
        <v>149</v>
      </c>
      <c r="O39" s="311">
        <f t="shared" si="6"/>
        <v>1744862</v>
      </c>
      <c r="P39" s="309"/>
      <c r="Q39" s="310">
        <v>831769.59913417522</v>
      </c>
      <c r="R39" s="309">
        <v>709587.47167436569</v>
      </c>
      <c r="S39" s="309">
        <v>87848</v>
      </c>
      <c r="T39" s="309">
        <f t="shared" si="17"/>
        <v>5644</v>
      </c>
      <c r="U39" s="309">
        <f t="shared" si="17"/>
        <v>477</v>
      </c>
      <c r="V39" s="309">
        <f t="shared" si="18"/>
        <v>1635326.070808541</v>
      </c>
      <c r="W39" s="309">
        <f t="shared" si="19"/>
        <v>138346.92919145897</v>
      </c>
      <c r="X39" s="309">
        <f t="shared" si="20"/>
        <v>1773673</v>
      </c>
      <c r="Y39" s="309">
        <f t="shared" si="21"/>
        <v>1767</v>
      </c>
      <c r="Z39" s="309">
        <f t="shared" si="8"/>
        <v>149</v>
      </c>
      <c r="AA39" s="311">
        <f t="shared" si="22"/>
        <v>1775589</v>
      </c>
      <c r="AC39" s="310">
        <v>852169</v>
      </c>
      <c r="AD39" s="309">
        <v>716904</v>
      </c>
      <c r="AE39" s="309">
        <v>87848</v>
      </c>
      <c r="AF39" s="309">
        <v>5644</v>
      </c>
      <c r="AG39" s="309">
        <v>477</v>
      </c>
      <c r="AH39" s="309">
        <f t="shared" si="9"/>
        <v>1663042</v>
      </c>
      <c r="AI39" s="309">
        <f t="shared" si="10"/>
        <v>140691</v>
      </c>
      <c r="AJ39" s="309">
        <f t="shared" si="11"/>
        <v>1803733</v>
      </c>
      <c r="AK39" s="309">
        <v>1767</v>
      </c>
      <c r="AL39" s="309">
        <f t="shared" si="12"/>
        <v>149</v>
      </c>
      <c r="AM39" s="311">
        <f t="shared" si="13"/>
        <v>1805649</v>
      </c>
      <c r="AO39" s="316"/>
      <c r="AP39" s="316"/>
      <c r="AQ39" s="316"/>
      <c r="AR39" s="316"/>
      <c r="AS39" s="316"/>
      <c r="AT39" s="316"/>
      <c r="AU39" s="316"/>
      <c r="AV39" s="316"/>
      <c r="AW39" s="316"/>
      <c r="AX39" s="316"/>
      <c r="AY39" s="316"/>
    </row>
    <row r="40" spans="1:54" ht="15" x14ac:dyDescent="0.25">
      <c r="A40" s="295">
        <v>2022</v>
      </c>
      <c r="B40" s="295">
        <v>11</v>
      </c>
      <c r="C40" s="305">
        <f t="shared" si="4"/>
        <v>44866</v>
      </c>
      <c r="E40" s="310">
        <v>1054377</v>
      </c>
      <c r="F40" s="309">
        <v>708341</v>
      </c>
      <c r="G40" s="309">
        <v>87168</v>
      </c>
      <c r="H40" s="309">
        <v>6176</v>
      </c>
      <c r="I40" s="309">
        <v>796</v>
      </c>
      <c r="J40" s="309">
        <f t="shared" si="14"/>
        <v>1856858</v>
      </c>
      <c r="K40" s="309">
        <f t="shared" si="15"/>
        <v>157088</v>
      </c>
      <c r="L40" s="309">
        <f t="shared" si="16"/>
        <v>2013946</v>
      </c>
      <c r="M40" s="309">
        <v>1763</v>
      </c>
      <c r="N40" s="309">
        <f t="shared" si="5"/>
        <v>149</v>
      </c>
      <c r="O40" s="311">
        <f t="shared" si="6"/>
        <v>2015858</v>
      </c>
      <c r="P40" s="309"/>
      <c r="Q40" s="310">
        <v>1068138.8851040599</v>
      </c>
      <c r="R40" s="309">
        <v>726155.60039639333</v>
      </c>
      <c r="S40" s="309">
        <v>88877</v>
      </c>
      <c r="T40" s="309">
        <f t="shared" si="17"/>
        <v>6244</v>
      </c>
      <c r="U40" s="309">
        <f t="shared" si="17"/>
        <v>796</v>
      </c>
      <c r="V40" s="309">
        <f t="shared" si="18"/>
        <v>1890211.4855004533</v>
      </c>
      <c r="W40" s="309">
        <f t="shared" si="19"/>
        <v>159909.51449954673</v>
      </c>
      <c r="X40" s="309">
        <f t="shared" si="20"/>
        <v>2050121</v>
      </c>
      <c r="Y40" s="309">
        <f t="shared" si="21"/>
        <v>1763</v>
      </c>
      <c r="Z40" s="309">
        <f t="shared" si="8"/>
        <v>149</v>
      </c>
      <c r="AA40" s="311">
        <f t="shared" si="22"/>
        <v>2052033</v>
      </c>
      <c r="AC40" s="310">
        <v>1092341</v>
      </c>
      <c r="AD40" s="309">
        <v>733827</v>
      </c>
      <c r="AE40" s="309">
        <v>88877</v>
      </c>
      <c r="AF40" s="309">
        <v>6244</v>
      </c>
      <c r="AG40" s="309">
        <v>796</v>
      </c>
      <c r="AH40" s="309">
        <f t="shared" si="9"/>
        <v>1922085</v>
      </c>
      <c r="AI40" s="309">
        <f t="shared" si="10"/>
        <v>162606</v>
      </c>
      <c r="AJ40" s="309">
        <f t="shared" si="11"/>
        <v>2084691</v>
      </c>
      <c r="AK40" s="309">
        <v>1763</v>
      </c>
      <c r="AL40" s="309">
        <f t="shared" si="12"/>
        <v>149</v>
      </c>
      <c r="AM40" s="311">
        <f t="shared" si="13"/>
        <v>2086603</v>
      </c>
      <c r="AO40" s="316"/>
      <c r="AP40" s="316"/>
      <c r="AQ40" s="316"/>
      <c r="AR40" s="316"/>
      <c r="AS40" s="316"/>
      <c r="AT40" s="316"/>
      <c r="AU40" s="316"/>
      <c r="AV40" s="316"/>
      <c r="AW40" s="316"/>
      <c r="AX40" s="316"/>
      <c r="AY40" s="316"/>
    </row>
    <row r="41" spans="1:54" ht="15" x14ac:dyDescent="0.25">
      <c r="A41" s="295">
        <v>2022</v>
      </c>
      <c r="B41" s="295">
        <v>12</v>
      </c>
      <c r="C41" s="305">
        <f t="shared" si="4"/>
        <v>44896</v>
      </c>
      <c r="E41" s="310">
        <v>1179532</v>
      </c>
      <c r="F41" s="309">
        <v>734310</v>
      </c>
      <c r="G41" s="309">
        <v>81247</v>
      </c>
      <c r="H41" s="309">
        <v>5766</v>
      </c>
      <c r="I41" s="309">
        <v>858</v>
      </c>
      <c r="J41" s="309">
        <f t="shared" si="14"/>
        <v>2001713</v>
      </c>
      <c r="K41" s="309">
        <f t="shared" si="15"/>
        <v>169342</v>
      </c>
      <c r="L41" s="309">
        <f t="shared" si="16"/>
        <v>2171055</v>
      </c>
      <c r="M41" s="309">
        <v>1649</v>
      </c>
      <c r="N41" s="309">
        <f t="shared" si="5"/>
        <v>140</v>
      </c>
      <c r="O41" s="311">
        <f t="shared" si="6"/>
        <v>2172844</v>
      </c>
      <c r="P41" s="309"/>
      <c r="Q41" s="310">
        <v>1200100.1625303254</v>
      </c>
      <c r="R41" s="309">
        <v>754007.22974071687</v>
      </c>
      <c r="S41" s="309">
        <v>83084</v>
      </c>
      <c r="T41" s="309">
        <f t="shared" si="17"/>
        <v>5849</v>
      </c>
      <c r="U41" s="309">
        <f t="shared" si="17"/>
        <v>858</v>
      </c>
      <c r="V41" s="309">
        <f t="shared" si="18"/>
        <v>2043898.3922710423</v>
      </c>
      <c r="W41" s="309">
        <f t="shared" si="19"/>
        <v>172911.60772895766</v>
      </c>
      <c r="X41" s="309">
        <f t="shared" si="20"/>
        <v>2216810</v>
      </c>
      <c r="Y41" s="309">
        <f t="shared" si="21"/>
        <v>1649</v>
      </c>
      <c r="Z41" s="309">
        <f t="shared" si="8"/>
        <v>140</v>
      </c>
      <c r="AA41" s="311">
        <f t="shared" si="22"/>
        <v>2218599</v>
      </c>
      <c r="AC41" s="310">
        <v>1232150</v>
      </c>
      <c r="AD41" s="309">
        <v>763942</v>
      </c>
      <c r="AE41" s="309">
        <v>83084</v>
      </c>
      <c r="AF41" s="309">
        <v>5849</v>
      </c>
      <c r="AG41" s="309">
        <v>858</v>
      </c>
      <c r="AH41" s="309">
        <f t="shared" si="9"/>
        <v>2085883</v>
      </c>
      <c r="AI41" s="309">
        <f t="shared" si="10"/>
        <v>176463</v>
      </c>
      <c r="AJ41" s="309">
        <f t="shared" si="11"/>
        <v>2262346</v>
      </c>
      <c r="AK41" s="309">
        <v>1649</v>
      </c>
      <c r="AL41" s="309">
        <f t="shared" si="12"/>
        <v>140</v>
      </c>
      <c r="AM41" s="311">
        <f t="shared" si="13"/>
        <v>2264135</v>
      </c>
      <c r="AO41" s="447"/>
      <c r="AP41" s="448"/>
      <c r="AQ41" s="448"/>
      <c r="AR41" s="449" t="s">
        <v>760</v>
      </c>
      <c r="AS41" s="316"/>
      <c r="AT41" s="447"/>
      <c r="AU41" s="448"/>
      <c r="AV41" s="448"/>
      <c r="AW41" s="448" t="s">
        <v>760</v>
      </c>
      <c r="AX41" s="448" t="s">
        <v>761</v>
      </c>
      <c r="AY41" s="449" t="s">
        <v>762</v>
      </c>
    </row>
    <row r="42" spans="1:54" ht="15" x14ac:dyDescent="0.25">
      <c r="A42" s="295">
        <f>A30+1</f>
        <v>2023</v>
      </c>
      <c r="B42" s="295">
        <f>B30</f>
        <v>1</v>
      </c>
      <c r="C42" s="305">
        <f t="shared" si="4"/>
        <v>44927</v>
      </c>
      <c r="E42" s="310">
        <v>1188478</v>
      </c>
      <c r="F42" s="309">
        <v>742930</v>
      </c>
      <c r="G42" s="309">
        <v>78511</v>
      </c>
      <c r="H42" s="309">
        <v>6138</v>
      </c>
      <c r="I42" s="309">
        <v>989</v>
      </c>
      <c r="J42" s="309">
        <f t="shared" si="14"/>
        <v>2017046</v>
      </c>
      <c r="K42" s="309">
        <f t="shared" si="15"/>
        <v>170639</v>
      </c>
      <c r="L42" s="309">
        <f t="shared" si="16"/>
        <v>2187685</v>
      </c>
      <c r="M42" s="309">
        <v>2243</v>
      </c>
      <c r="N42" s="309">
        <f t="shared" si="5"/>
        <v>190</v>
      </c>
      <c r="O42" s="311">
        <f t="shared" si="6"/>
        <v>2190118</v>
      </c>
      <c r="P42" s="309"/>
      <c r="Q42" s="310">
        <v>1208413.4086320817</v>
      </c>
      <c r="R42" s="309">
        <v>763361.32751755917</v>
      </c>
      <c r="S42" s="309">
        <v>80420</v>
      </c>
      <c r="T42" s="309">
        <f t="shared" si="17"/>
        <v>6227</v>
      </c>
      <c r="U42" s="309">
        <f t="shared" si="17"/>
        <v>989</v>
      </c>
      <c r="V42" s="309">
        <f t="shared" si="18"/>
        <v>2059410.7361496408</v>
      </c>
      <c r="W42" s="309">
        <f t="shared" si="19"/>
        <v>174223.26385035925</v>
      </c>
      <c r="X42" s="309">
        <f t="shared" si="20"/>
        <v>2233634</v>
      </c>
      <c r="Y42" s="309">
        <f t="shared" si="21"/>
        <v>2243</v>
      </c>
      <c r="Z42" s="309">
        <f t="shared" si="8"/>
        <v>190</v>
      </c>
      <c r="AA42" s="311">
        <f t="shared" si="22"/>
        <v>2236067</v>
      </c>
      <c r="AC42" s="310">
        <v>1237804</v>
      </c>
      <c r="AD42" s="309">
        <v>772994</v>
      </c>
      <c r="AE42" s="309">
        <v>80420</v>
      </c>
      <c r="AF42" s="309">
        <v>6227</v>
      </c>
      <c r="AG42" s="309">
        <v>989</v>
      </c>
      <c r="AH42" s="309">
        <f t="shared" si="9"/>
        <v>2098434</v>
      </c>
      <c r="AI42" s="309">
        <f t="shared" si="10"/>
        <v>177525</v>
      </c>
      <c r="AJ42" s="309">
        <f t="shared" si="11"/>
        <v>2275959</v>
      </c>
      <c r="AK42" s="309">
        <v>2243</v>
      </c>
      <c r="AL42" s="309">
        <f t="shared" si="12"/>
        <v>190</v>
      </c>
      <c r="AM42" s="311">
        <f t="shared" si="13"/>
        <v>2278392</v>
      </c>
      <c r="AO42" s="450" t="s">
        <v>763</v>
      </c>
      <c r="AP42" s="451" t="s">
        <v>764</v>
      </c>
      <c r="AQ42" s="451" t="s">
        <v>765</v>
      </c>
      <c r="AR42" s="452" t="s">
        <v>766</v>
      </c>
      <c r="AS42" s="316"/>
      <c r="AT42" s="450" t="s">
        <v>763</v>
      </c>
      <c r="AU42" s="451" t="s">
        <v>764</v>
      </c>
      <c r="AV42" s="451" t="s">
        <v>765</v>
      </c>
      <c r="AW42" s="451" t="s">
        <v>766</v>
      </c>
      <c r="AX42" s="453" t="s">
        <v>767</v>
      </c>
      <c r="AY42" s="452" t="s">
        <v>768</v>
      </c>
    </row>
    <row r="43" spans="1:54" ht="15" x14ac:dyDescent="0.25">
      <c r="A43" s="295">
        <f t="shared" ref="A43:A106" si="23">A31+1</f>
        <v>2023</v>
      </c>
      <c r="B43" s="295">
        <f t="shared" ref="B43:B106" si="24">B31</f>
        <v>2</v>
      </c>
      <c r="C43" s="305">
        <f t="shared" si="4"/>
        <v>44958</v>
      </c>
      <c r="E43" s="310">
        <v>1030958</v>
      </c>
      <c r="F43" s="309">
        <v>683058</v>
      </c>
      <c r="G43" s="309">
        <v>77989</v>
      </c>
      <c r="H43" s="309">
        <v>5657</v>
      </c>
      <c r="I43" s="309">
        <v>874</v>
      </c>
      <c r="J43" s="309">
        <f t="shared" si="14"/>
        <v>1798536</v>
      </c>
      <c r="K43" s="309">
        <f t="shared" si="15"/>
        <v>152154</v>
      </c>
      <c r="L43" s="309">
        <f t="shared" si="16"/>
        <v>1950690</v>
      </c>
      <c r="M43" s="309">
        <v>2355</v>
      </c>
      <c r="N43" s="309">
        <f t="shared" si="5"/>
        <v>199</v>
      </c>
      <c r="O43" s="311">
        <f t="shared" si="6"/>
        <v>1953244</v>
      </c>
      <c r="P43" s="309"/>
      <c r="Q43" s="310">
        <v>1047113.612014972</v>
      </c>
      <c r="R43" s="309">
        <v>701409.72421753313</v>
      </c>
      <c r="S43" s="309">
        <v>79729</v>
      </c>
      <c r="T43" s="309">
        <f t="shared" si="17"/>
        <v>5729</v>
      </c>
      <c r="U43" s="309">
        <f t="shared" si="17"/>
        <v>874</v>
      </c>
      <c r="V43" s="309">
        <f t="shared" si="18"/>
        <v>1834855.3362325053</v>
      </c>
      <c r="W43" s="309">
        <f t="shared" si="19"/>
        <v>155226.66376749473</v>
      </c>
      <c r="X43" s="309">
        <f t="shared" si="20"/>
        <v>1990082</v>
      </c>
      <c r="Y43" s="309">
        <f t="shared" si="21"/>
        <v>2355</v>
      </c>
      <c r="Z43" s="309">
        <f t="shared" si="8"/>
        <v>199</v>
      </c>
      <c r="AA43" s="311">
        <f t="shared" si="22"/>
        <v>1992636</v>
      </c>
      <c r="AC43" s="310">
        <v>1071158</v>
      </c>
      <c r="AD43" s="309">
        <v>709146</v>
      </c>
      <c r="AE43" s="309">
        <v>79729</v>
      </c>
      <c r="AF43" s="309">
        <v>5729</v>
      </c>
      <c r="AG43" s="309">
        <v>874</v>
      </c>
      <c r="AH43" s="309">
        <f t="shared" si="9"/>
        <v>1866636</v>
      </c>
      <c r="AI43" s="309">
        <f t="shared" si="10"/>
        <v>157915</v>
      </c>
      <c r="AJ43" s="309">
        <f t="shared" si="11"/>
        <v>2024551</v>
      </c>
      <c r="AK43" s="309">
        <v>2355</v>
      </c>
      <c r="AL43" s="309">
        <f t="shared" si="12"/>
        <v>199</v>
      </c>
      <c r="AM43" s="311">
        <f t="shared" si="13"/>
        <v>2027105</v>
      </c>
      <c r="AO43" s="450"/>
      <c r="AP43" s="451"/>
      <c r="AQ43" s="451"/>
      <c r="AR43" s="452"/>
      <c r="AS43" s="316"/>
      <c r="AT43" s="454">
        <f>'Rate Impacts from UE-230040'!G9</f>
        <v>3.19E-4</v>
      </c>
      <c r="AU43" s="455">
        <f>('Rate Impacts from UE-230040'!J16+'Rate Impacts from UE-230040'!J27)/(F296*1000)</f>
        <v>2.6994596476329178E-4</v>
      </c>
      <c r="AV43" s="455">
        <f>'Rate Impacts from UE-230040'!G22</f>
        <v>2.6784602102857192E-4</v>
      </c>
      <c r="AW43" s="455">
        <f>'Rate Impacts from UE-230040'!G29</f>
        <v>2.9573252745121979E-4</v>
      </c>
      <c r="AX43" s="456">
        <v>0.95234799999999997</v>
      </c>
      <c r="AY43" s="457" t="s">
        <v>769</v>
      </c>
    </row>
    <row r="44" spans="1:54" ht="15" x14ac:dyDescent="0.25">
      <c r="A44" s="295">
        <f t="shared" si="23"/>
        <v>2023</v>
      </c>
      <c r="B44" s="295">
        <f t="shared" si="24"/>
        <v>3</v>
      </c>
      <c r="C44" s="305">
        <f t="shared" si="4"/>
        <v>44986</v>
      </c>
      <c r="E44" s="310">
        <v>1022012</v>
      </c>
      <c r="F44" s="309">
        <v>720578</v>
      </c>
      <c r="G44" s="309">
        <v>86042</v>
      </c>
      <c r="H44" s="309">
        <v>5204</v>
      </c>
      <c r="I44" s="309">
        <v>778</v>
      </c>
      <c r="J44" s="309">
        <f t="shared" si="14"/>
        <v>1834614</v>
      </c>
      <c r="K44" s="309">
        <f t="shared" si="15"/>
        <v>155206</v>
      </c>
      <c r="L44" s="309">
        <f t="shared" si="16"/>
        <v>1989820</v>
      </c>
      <c r="M44" s="309">
        <v>2263</v>
      </c>
      <c r="N44" s="309">
        <f t="shared" si="5"/>
        <v>191</v>
      </c>
      <c r="O44" s="311">
        <f t="shared" si="6"/>
        <v>1992274</v>
      </c>
      <c r="P44" s="309"/>
      <c r="Q44" s="310">
        <v>1038008.8690011293</v>
      </c>
      <c r="R44" s="309">
        <v>742109.84554871975</v>
      </c>
      <c r="S44" s="309">
        <v>88023</v>
      </c>
      <c r="T44" s="309">
        <f t="shared" si="17"/>
        <v>5286</v>
      </c>
      <c r="U44" s="309">
        <f t="shared" si="17"/>
        <v>778</v>
      </c>
      <c r="V44" s="309">
        <f t="shared" si="18"/>
        <v>1874205.714549849</v>
      </c>
      <c r="W44" s="309">
        <f t="shared" si="19"/>
        <v>158555.28545015096</v>
      </c>
      <c r="X44" s="309">
        <f t="shared" si="20"/>
        <v>2032761</v>
      </c>
      <c r="Y44" s="309">
        <f t="shared" si="21"/>
        <v>2263</v>
      </c>
      <c r="Z44" s="309">
        <f t="shared" si="8"/>
        <v>191</v>
      </c>
      <c r="AA44" s="311">
        <f t="shared" si="22"/>
        <v>2035215</v>
      </c>
      <c r="AC44" s="310">
        <v>1063375</v>
      </c>
      <c r="AD44" s="309">
        <v>751505</v>
      </c>
      <c r="AE44" s="309">
        <v>88023</v>
      </c>
      <c r="AF44" s="309">
        <v>5286</v>
      </c>
      <c r="AG44" s="309">
        <v>778</v>
      </c>
      <c r="AH44" s="309">
        <f t="shared" si="9"/>
        <v>1908967</v>
      </c>
      <c r="AI44" s="309">
        <f t="shared" si="10"/>
        <v>161496</v>
      </c>
      <c r="AJ44" s="309">
        <f t="shared" si="11"/>
        <v>2070463</v>
      </c>
      <c r="AK44" s="309">
        <v>2263</v>
      </c>
      <c r="AL44" s="309">
        <f t="shared" si="12"/>
        <v>191</v>
      </c>
      <c r="AM44" s="311">
        <f t="shared" si="13"/>
        <v>2072917</v>
      </c>
      <c r="AO44" s="458">
        <f t="shared" ref="AO44:AQ45" si="25">(E44+(E$297*(E44/E$295)))</f>
        <v>1021775.7498856417</v>
      </c>
      <c r="AP44" s="459">
        <f t="shared" si="25"/>
        <v>684469.0002445007</v>
      </c>
      <c r="AQ44" s="459">
        <f t="shared" si="25"/>
        <v>122360.0578858207</v>
      </c>
      <c r="AR44" s="460">
        <f>SUM(AO44:AQ44)</f>
        <v>1828604.8080159633</v>
      </c>
      <c r="AS44" s="316"/>
      <c r="AT44" s="461">
        <f>AO44*AT$43*1000</f>
        <v>325946.46421351971</v>
      </c>
      <c r="AU44" s="462">
        <f>AP44*AU$43*1000</f>
        <v>184769.64462156751</v>
      </c>
      <c r="AV44" s="462">
        <f>AQ44*AV$43*1000</f>
        <v>32773.654637542815</v>
      </c>
      <c r="AW44" s="462">
        <f>SUM(AT44:AV44)</f>
        <v>543489.76347263006</v>
      </c>
      <c r="AX44" s="462">
        <f>((SUMIFS('JE Detail'!$I$7:$I$42,'JE Detail'!$B$7:$B$42,"B",'JE Detail'!$F$7:$F$42,B44)+SUMIFS('JE Detail'!$I$7:$I$42,'JE Detail'!$B$7:$B$42,"UB",'JE Detail'!$F$7:$F$42,B44))/$AX$43)+$J$298*AW44/SUM($AW$44:$AW$53)</f>
        <v>676491.74324130744</v>
      </c>
      <c r="AY44" s="463">
        <f>AW44-AX44</f>
        <v>-133001.97976867738</v>
      </c>
    </row>
    <row r="45" spans="1:54" ht="15" x14ac:dyDescent="0.25">
      <c r="A45" s="295">
        <f t="shared" si="23"/>
        <v>2023</v>
      </c>
      <c r="B45" s="295">
        <f t="shared" si="24"/>
        <v>4</v>
      </c>
      <c r="C45" s="305">
        <f t="shared" si="4"/>
        <v>45017</v>
      </c>
      <c r="E45" s="310">
        <v>918938</v>
      </c>
      <c r="F45" s="309">
        <v>705305</v>
      </c>
      <c r="G45" s="309">
        <v>87699</v>
      </c>
      <c r="H45" s="309">
        <v>5507</v>
      </c>
      <c r="I45" s="309">
        <v>644</v>
      </c>
      <c r="J45" s="309">
        <f t="shared" si="14"/>
        <v>1718093</v>
      </c>
      <c r="K45" s="309">
        <f t="shared" si="15"/>
        <v>145348</v>
      </c>
      <c r="L45" s="309">
        <f t="shared" si="16"/>
        <v>1863441</v>
      </c>
      <c r="M45" s="309">
        <v>2101</v>
      </c>
      <c r="N45" s="309">
        <f t="shared" si="5"/>
        <v>178</v>
      </c>
      <c r="O45" s="311">
        <f t="shared" si="6"/>
        <v>1865720</v>
      </c>
      <c r="P45" s="309"/>
      <c r="Q45" s="310">
        <v>933025.25359622843</v>
      </c>
      <c r="R45" s="309">
        <v>725870.14201417647</v>
      </c>
      <c r="S45" s="309">
        <v>89601</v>
      </c>
      <c r="T45" s="309">
        <f t="shared" si="17"/>
        <v>5582</v>
      </c>
      <c r="U45" s="309">
        <f t="shared" si="17"/>
        <v>644</v>
      </c>
      <c r="V45" s="309">
        <f t="shared" si="18"/>
        <v>1754722.3956104049</v>
      </c>
      <c r="W45" s="309">
        <f t="shared" si="19"/>
        <v>148447.6043895951</v>
      </c>
      <c r="X45" s="309">
        <f t="shared" si="20"/>
        <v>1903170</v>
      </c>
      <c r="Y45" s="309">
        <f t="shared" si="21"/>
        <v>2101</v>
      </c>
      <c r="Z45" s="309">
        <f t="shared" si="8"/>
        <v>178</v>
      </c>
      <c r="AA45" s="311">
        <f t="shared" si="22"/>
        <v>1905449</v>
      </c>
      <c r="AC45" s="310">
        <v>954135</v>
      </c>
      <c r="AD45" s="309">
        <v>734681</v>
      </c>
      <c r="AE45" s="309">
        <v>89601</v>
      </c>
      <c r="AF45" s="309">
        <v>5582</v>
      </c>
      <c r="AG45" s="309">
        <v>644</v>
      </c>
      <c r="AH45" s="309">
        <f t="shared" si="9"/>
        <v>1784643</v>
      </c>
      <c r="AI45" s="309">
        <f t="shared" si="10"/>
        <v>150978</v>
      </c>
      <c r="AJ45" s="309">
        <f t="shared" si="11"/>
        <v>1935621</v>
      </c>
      <c r="AK45" s="309">
        <v>2101</v>
      </c>
      <c r="AL45" s="309">
        <f t="shared" si="12"/>
        <v>178</v>
      </c>
      <c r="AM45" s="311">
        <f t="shared" si="13"/>
        <v>1937900</v>
      </c>
      <c r="AO45" s="458">
        <f t="shared" si="25"/>
        <v>918725.57665508019</v>
      </c>
      <c r="AP45" s="459">
        <f t="shared" si="25"/>
        <v>669961.34799764573</v>
      </c>
      <c r="AQ45" s="459">
        <f t="shared" si="25"/>
        <v>124716.47238010028</v>
      </c>
      <c r="AR45" s="460">
        <f t="shared" ref="AR45:AR55" si="26">SUM(AO45:AQ45)</f>
        <v>1713403.3970328262</v>
      </c>
      <c r="AS45" s="316"/>
      <c r="AT45" s="461">
        <f t="shared" ref="AT45:AV55" si="27">AO45*AT$43*1000</f>
        <v>293073.45895297063</v>
      </c>
      <c r="AU45" s="462">
        <f t="shared" si="27"/>
        <v>180853.36243933995</v>
      </c>
      <c r="AV45" s="462">
        <f t="shared" si="27"/>
        <v>33404.810883729653</v>
      </c>
      <c r="AW45" s="462">
        <f t="shared" ref="AW45:AW55" si="28">SUM(AT45:AV45)</f>
        <v>507331.63227604021</v>
      </c>
      <c r="AX45" s="462">
        <f>((SUMIFS('JE Detail'!$I$7:$I$42,'JE Detail'!$B$7:$B$42,"B",'JE Detail'!$F$7:$F$42,B45)+SUMIFS('JE Detail'!$I$7:$I$42,'JE Detail'!$B$7:$B$42,"UB",'JE Detail'!$F$7:$F$42,B45))/$AX$43)+$J$298*AW45/SUM($AW$44:$AW$53)</f>
        <v>491770.348554597</v>
      </c>
      <c r="AY45" s="463">
        <f t="shared" ref="AY45:AY55" si="29">AW45-AX45</f>
        <v>15561.283721443207</v>
      </c>
    </row>
    <row r="46" spans="1:54" ht="15" x14ac:dyDescent="0.25">
      <c r="A46" s="295">
        <f t="shared" si="23"/>
        <v>2023</v>
      </c>
      <c r="B46" s="295">
        <f t="shared" si="24"/>
        <v>5</v>
      </c>
      <c r="C46" s="305">
        <f t="shared" si="4"/>
        <v>45047</v>
      </c>
      <c r="E46" s="310">
        <v>762373</v>
      </c>
      <c r="F46" s="309">
        <v>663752</v>
      </c>
      <c r="G46" s="309">
        <v>82557</v>
      </c>
      <c r="H46" s="309">
        <v>5257</v>
      </c>
      <c r="I46" s="309">
        <v>442</v>
      </c>
      <c r="J46" s="309">
        <f t="shared" si="14"/>
        <v>1514381</v>
      </c>
      <c r="K46" s="309">
        <f t="shared" si="15"/>
        <v>128115</v>
      </c>
      <c r="L46" s="309">
        <f t="shared" si="16"/>
        <v>1642496</v>
      </c>
      <c r="M46" s="309">
        <v>2097</v>
      </c>
      <c r="N46" s="309">
        <f t="shared" si="5"/>
        <v>177</v>
      </c>
      <c r="O46" s="311">
        <f t="shared" si="6"/>
        <v>1644770</v>
      </c>
      <c r="P46" s="309"/>
      <c r="Q46" s="310">
        <v>771982.0494809224</v>
      </c>
      <c r="R46" s="309">
        <v>686693.07403022796</v>
      </c>
      <c r="S46" s="309">
        <v>84603</v>
      </c>
      <c r="T46" s="309">
        <f t="shared" si="17"/>
        <v>5328</v>
      </c>
      <c r="U46" s="309">
        <f t="shared" si="17"/>
        <v>442</v>
      </c>
      <c r="V46" s="309">
        <f t="shared" si="18"/>
        <v>1549048.1235111505</v>
      </c>
      <c r="W46" s="309">
        <f t="shared" si="19"/>
        <v>131047.87648884952</v>
      </c>
      <c r="X46" s="309">
        <f t="shared" si="20"/>
        <v>1680096</v>
      </c>
      <c r="Y46" s="309">
        <f t="shared" si="21"/>
        <v>2097</v>
      </c>
      <c r="Z46" s="309">
        <f t="shared" si="8"/>
        <v>177</v>
      </c>
      <c r="AA46" s="311">
        <f t="shared" si="22"/>
        <v>1682370</v>
      </c>
      <c r="AC46" s="310">
        <v>793772</v>
      </c>
      <c r="AD46" s="309">
        <v>695855</v>
      </c>
      <c r="AE46" s="309">
        <v>84603</v>
      </c>
      <c r="AF46" s="309">
        <v>5328</v>
      </c>
      <c r="AG46" s="309">
        <v>442</v>
      </c>
      <c r="AH46" s="309">
        <f t="shared" si="9"/>
        <v>1580000</v>
      </c>
      <c r="AI46" s="309">
        <f t="shared" si="10"/>
        <v>133666</v>
      </c>
      <c r="AJ46" s="309">
        <f t="shared" si="11"/>
        <v>1713666</v>
      </c>
      <c r="AK46" s="309">
        <v>2097</v>
      </c>
      <c r="AL46" s="309">
        <f t="shared" si="12"/>
        <v>177</v>
      </c>
      <c r="AM46" s="311">
        <f t="shared" si="13"/>
        <v>1715940</v>
      </c>
      <c r="AO46" s="458">
        <f t="shared" ref="AO46:AQ55" si="30">(E46+(E$297*(E46/E$295)))</f>
        <v>762196.76849935844</v>
      </c>
      <c r="AP46" s="459">
        <f t="shared" si="30"/>
        <v>630490.61704671499</v>
      </c>
      <c r="AQ46" s="459">
        <f t="shared" si="30"/>
        <v>117404.05033448432</v>
      </c>
      <c r="AR46" s="460">
        <f t="shared" si="26"/>
        <v>1510091.4358805576</v>
      </c>
      <c r="AS46" s="316"/>
      <c r="AT46" s="461">
        <f t="shared" si="27"/>
        <v>243140.76915129533</v>
      </c>
      <c r="AU46" s="462">
        <f t="shared" si="27"/>
        <v>170198.39789287859</v>
      </c>
      <c r="AV46" s="462">
        <f t="shared" si="27"/>
        <v>31446.207734729804</v>
      </c>
      <c r="AW46" s="462">
        <f t="shared" si="28"/>
        <v>444785.37477890373</v>
      </c>
      <c r="AX46" s="462">
        <f>((SUMIFS('JE Detail'!$I$7:$I$42,'JE Detail'!$B$7:$B$42,"B",'JE Detail'!$F$7:$F$42,B46)+SUMIFS('JE Detail'!$I$7:$I$42,'JE Detail'!$B$7:$B$42,"UB",'JE Detail'!$F$7:$F$42,B46))/$AX$43)+$J$298*AW46/SUM($AW$44:$AW$53)</f>
        <v>438626.77334339177</v>
      </c>
      <c r="AY46" s="463">
        <f t="shared" si="29"/>
        <v>6158.6014355119551</v>
      </c>
    </row>
    <row r="47" spans="1:54" ht="15" x14ac:dyDescent="0.25">
      <c r="A47" s="295">
        <f t="shared" si="23"/>
        <v>2023</v>
      </c>
      <c r="B47" s="295">
        <f t="shared" si="24"/>
        <v>6</v>
      </c>
      <c r="C47" s="305">
        <f t="shared" si="4"/>
        <v>45078</v>
      </c>
      <c r="E47" s="310">
        <v>692279</v>
      </c>
      <c r="F47" s="309">
        <v>680463</v>
      </c>
      <c r="G47" s="309">
        <v>83732</v>
      </c>
      <c r="H47" s="309">
        <v>5112</v>
      </c>
      <c r="I47" s="309">
        <v>318</v>
      </c>
      <c r="J47" s="309">
        <f t="shared" si="14"/>
        <v>1461904</v>
      </c>
      <c r="K47" s="309">
        <f t="shared" si="15"/>
        <v>123675</v>
      </c>
      <c r="L47" s="309">
        <f t="shared" si="16"/>
        <v>1585579</v>
      </c>
      <c r="M47" s="309">
        <v>1727</v>
      </c>
      <c r="N47" s="309">
        <f t="shared" si="5"/>
        <v>146</v>
      </c>
      <c r="O47" s="311">
        <f t="shared" si="6"/>
        <v>1587452</v>
      </c>
      <c r="P47" s="309"/>
      <c r="Q47" s="310">
        <v>699608.25090055179</v>
      </c>
      <c r="R47" s="309">
        <v>703497.53963236767</v>
      </c>
      <c r="S47" s="309">
        <v>85802</v>
      </c>
      <c r="T47" s="309">
        <f t="shared" si="17"/>
        <v>5177</v>
      </c>
      <c r="U47" s="309">
        <f t="shared" si="17"/>
        <v>318</v>
      </c>
      <c r="V47" s="309">
        <f t="shared" si="18"/>
        <v>1494402.7905329196</v>
      </c>
      <c r="W47" s="309">
        <f t="shared" si="19"/>
        <v>126424.20946708042</v>
      </c>
      <c r="X47" s="309">
        <f t="shared" si="20"/>
        <v>1620827</v>
      </c>
      <c r="Y47" s="309">
        <f t="shared" si="21"/>
        <v>1727</v>
      </c>
      <c r="Z47" s="309">
        <f t="shared" si="8"/>
        <v>146</v>
      </c>
      <c r="AA47" s="311">
        <f t="shared" si="22"/>
        <v>1622700</v>
      </c>
      <c r="AC47" s="310">
        <v>718559</v>
      </c>
      <c r="AD47" s="309">
        <v>712304</v>
      </c>
      <c r="AE47" s="309">
        <v>85802</v>
      </c>
      <c r="AF47" s="309">
        <v>5177</v>
      </c>
      <c r="AG47" s="309">
        <v>318</v>
      </c>
      <c r="AH47" s="309">
        <f t="shared" si="9"/>
        <v>1522160</v>
      </c>
      <c r="AI47" s="309">
        <f t="shared" si="10"/>
        <v>128773</v>
      </c>
      <c r="AJ47" s="309">
        <f t="shared" si="11"/>
        <v>1650933</v>
      </c>
      <c r="AK47" s="309">
        <v>1727</v>
      </c>
      <c r="AL47" s="309">
        <f t="shared" si="12"/>
        <v>146</v>
      </c>
      <c r="AM47" s="311">
        <f t="shared" si="13"/>
        <v>1652806</v>
      </c>
      <c r="AO47" s="458">
        <f t="shared" si="30"/>
        <v>692118.97155325196</v>
      </c>
      <c r="AP47" s="459">
        <f t="shared" si="30"/>
        <v>646364.2094448813</v>
      </c>
      <c r="AQ47" s="459">
        <f t="shared" si="30"/>
        <v>119075.01414304106</v>
      </c>
      <c r="AR47" s="460">
        <f t="shared" si="26"/>
        <v>1457558.1951411744</v>
      </c>
      <c r="AS47" s="316"/>
      <c r="AT47" s="461">
        <f t="shared" si="27"/>
        <v>220785.95192548737</v>
      </c>
      <c r="AU47" s="462">
        <f t="shared" si="27"/>
        <v>174483.41010706089</v>
      </c>
      <c r="AV47" s="462">
        <f t="shared" si="27"/>
        <v>31893.768742134474</v>
      </c>
      <c r="AW47" s="462">
        <f t="shared" si="28"/>
        <v>427163.13077468274</v>
      </c>
      <c r="AX47" s="462">
        <f>((SUMIFS('JE Detail'!$I$7:$I$42,'JE Detail'!$B$7:$B$42,"B",'JE Detail'!$F$7:$F$42,B47)+SUMIFS('JE Detail'!$I$7:$I$42,'JE Detail'!$B$7:$B$42,"UB",'JE Detail'!$F$7:$F$42,B47))/$AX$43)+$J$298*AW47/SUM($AW$44:$AW$53)</f>
        <v>411298.43259839335</v>
      </c>
      <c r="AY47" s="463">
        <f t="shared" si="29"/>
        <v>15864.698176289385</v>
      </c>
    </row>
    <row r="48" spans="1:54" ht="15" x14ac:dyDescent="0.25">
      <c r="A48" s="295">
        <f t="shared" si="23"/>
        <v>2023</v>
      </c>
      <c r="B48" s="295">
        <f t="shared" si="24"/>
        <v>7</v>
      </c>
      <c r="C48" s="305">
        <f t="shared" si="4"/>
        <v>45108</v>
      </c>
      <c r="E48" s="310">
        <v>712890</v>
      </c>
      <c r="F48" s="309">
        <v>711909</v>
      </c>
      <c r="G48" s="309">
        <v>91130</v>
      </c>
      <c r="H48" s="309">
        <v>4907</v>
      </c>
      <c r="I48" s="309">
        <v>288</v>
      </c>
      <c r="J48" s="309">
        <f t="shared" si="14"/>
        <v>1521124</v>
      </c>
      <c r="K48" s="309">
        <f t="shared" si="15"/>
        <v>128685</v>
      </c>
      <c r="L48" s="309">
        <f t="shared" si="16"/>
        <v>1649809</v>
      </c>
      <c r="M48" s="309">
        <v>2779</v>
      </c>
      <c r="N48" s="309">
        <f t="shared" si="5"/>
        <v>235</v>
      </c>
      <c r="O48" s="311">
        <f t="shared" si="6"/>
        <v>1652823</v>
      </c>
      <c r="P48" s="309"/>
      <c r="Q48" s="310">
        <v>720929.82762826572</v>
      </c>
      <c r="R48" s="309">
        <v>736873.30094538908</v>
      </c>
      <c r="S48" s="309">
        <v>93315</v>
      </c>
      <c r="T48" s="309">
        <f t="shared" si="17"/>
        <v>4989</v>
      </c>
      <c r="U48" s="309">
        <f t="shared" si="17"/>
        <v>288</v>
      </c>
      <c r="V48" s="309">
        <f t="shared" si="18"/>
        <v>1556395.1285736547</v>
      </c>
      <c r="W48" s="309">
        <f t="shared" si="19"/>
        <v>131668.87142634531</v>
      </c>
      <c r="X48" s="309">
        <f t="shared" si="20"/>
        <v>1688064</v>
      </c>
      <c r="Y48" s="309">
        <f t="shared" si="21"/>
        <v>2779</v>
      </c>
      <c r="Z48" s="309">
        <f t="shared" si="8"/>
        <v>235</v>
      </c>
      <c r="AA48" s="311">
        <f t="shared" si="22"/>
        <v>1691078</v>
      </c>
      <c r="AC48" s="310">
        <v>742232</v>
      </c>
      <c r="AD48" s="309">
        <v>746358</v>
      </c>
      <c r="AE48" s="309">
        <v>93315</v>
      </c>
      <c r="AF48" s="309">
        <v>4989</v>
      </c>
      <c r="AG48" s="309">
        <v>288</v>
      </c>
      <c r="AH48" s="309">
        <f t="shared" si="9"/>
        <v>1587182</v>
      </c>
      <c r="AI48" s="309">
        <f t="shared" si="10"/>
        <v>134274</v>
      </c>
      <c r="AJ48" s="309">
        <f t="shared" si="11"/>
        <v>1721456</v>
      </c>
      <c r="AK48" s="309">
        <v>2779</v>
      </c>
      <c r="AL48" s="309">
        <f t="shared" si="12"/>
        <v>235</v>
      </c>
      <c r="AM48" s="311">
        <f t="shared" si="13"/>
        <v>1724470</v>
      </c>
      <c r="AO48" s="458">
        <f t="shared" si="30"/>
        <v>712725.20707777899</v>
      </c>
      <c r="AP48" s="459">
        <f t="shared" si="30"/>
        <v>676234.41389421024</v>
      </c>
      <c r="AQ48" s="459">
        <f t="shared" si="30"/>
        <v>129595.68670108599</v>
      </c>
      <c r="AR48" s="460">
        <f t="shared" si="26"/>
        <v>1518555.3076730752</v>
      </c>
      <c r="AS48" s="316"/>
      <c r="AT48" s="461">
        <f t="shared" si="27"/>
        <v>227359.34105781149</v>
      </c>
      <c r="AU48" s="462">
        <f t="shared" si="27"/>
        <v>182546.75126481176</v>
      </c>
      <c r="AV48" s="462">
        <f t="shared" si="27"/>
        <v>34711.689025351297</v>
      </c>
      <c r="AW48" s="462">
        <f t="shared" si="28"/>
        <v>444617.78134797455</v>
      </c>
      <c r="AX48" s="462">
        <f>((SUMIFS('JE Detail'!$I$7:$I$42,'JE Detail'!$B$7:$B$42,"B",'JE Detail'!$F$7:$F$42,B48)+SUMIFS('JE Detail'!$I$7:$I$42,'JE Detail'!$B$7:$B$42,"UB",'JE Detail'!$F$7:$F$42,B48))/$AX$43)+$J$298*AW48/SUM($AW$44:$AW$53)</f>
        <v>434737.93921971956</v>
      </c>
      <c r="AY48" s="463">
        <f t="shared" si="29"/>
        <v>9879.8421282549971</v>
      </c>
    </row>
    <row r="49" spans="1:51" ht="15" x14ac:dyDescent="0.25">
      <c r="A49" s="295">
        <f t="shared" si="23"/>
        <v>2023</v>
      </c>
      <c r="B49" s="295">
        <f t="shared" si="24"/>
        <v>8</v>
      </c>
      <c r="C49" s="305">
        <f t="shared" si="4"/>
        <v>45139</v>
      </c>
      <c r="E49" s="310">
        <v>727995</v>
      </c>
      <c r="F49" s="309">
        <v>715705</v>
      </c>
      <c r="G49" s="309">
        <v>92238</v>
      </c>
      <c r="H49" s="309">
        <v>5200</v>
      </c>
      <c r="I49" s="309">
        <v>280</v>
      </c>
      <c r="J49" s="309">
        <f t="shared" si="14"/>
        <v>1541418</v>
      </c>
      <c r="K49" s="309">
        <f t="shared" si="15"/>
        <v>130402</v>
      </c>
      <c r="L49" s="309">
        <f t="shared" si="16"/>
        <v>1671820</v>
      </c>
      <c r="M49" s="309">
        <v>1579</v>
      </c>
      <c r="N49" s="309">
        <f t="shared" si="5"/>
        <v>134</v>
      </c>
      <c r="O49" s="311">
        <f t="shared" si="6"/>
        <v>1673533</v>
      </c>
      <c r="P49" s="309"/>
      <c r="Q49" s="310">
        <v>736265.51395360962</v>
      </c>
      <c r="R49" s="309">
        <v>741957.83570315898</v>
      </c>
      <c r="S49" s="309">
        <v>94548</v>
      </c>
      <c r="T49" s="309">
        <f t="shared" si="17"/>
        <v>5303</v>
      </c>
      <c r="U49" s="309">
        <f t="shared" si="17"/>
        <v>280</v>
      </c>
      <c r="V49" s="309">
        <f t="shared" si="18"/>
        <v>1578354.3496567686</v>
      </c>
      <c r="W49" s="309">
        <f t="shared" si="19"/>
        <v>133526.65034323139</v>
      </c>
      <c r="X49" s="309">
        <f t="shared" si="20"/>
        <v>1711881</v>
      </c>
      <c r="Y49" s="309">
        <f t="shared" si="21"/>
        <v>1579</v>
      </c>
      <c r="Z49" s="309">
        <f t="shared" si="8"/>
        <v>134</v>
      </c>
      <c r="AA49" s="311">
        <f t="shared" si="22"/>
        <v>1713594</v>
      </c>
      <c r="AC49" s="310">
        <v>757229</v>
      </c>
      <c r="AD49" s="309">
        <v>751870</v>
      </c>
      <c r="AE49" s="309">
        <v>94548</v>
      </c>
      <c r="AF49" s="309">
        <v>5303</v>
      </c>
      <c r="AG49" s="309">
        <v>280</v>
      </c>
      <c r="AH49" s="309">
        <f t="shared" si="9"/>
        <v>1609230</v>
      </c>
      <c r="AI49" s="309">
        <f t="shared" si="10"/>
        <v>136139</v>
      </c>
      <c r="AJ49" s="309">
        <f t="shared" si="11"/>
        <v>1745369</v>
      </c>
      <c r="AK49" s="309">
        <v>1579</v>
      </c>
      <c r="AL49" s="309">
        <f t="shared" si="12"/>
        <v>134</v>
      </c>
      <c r="AM49" s="311">
        <f t="shared" si="13"/>
        <v>1747082</v>
      </c>
      <c r="AO49" s="458">
        <f t="shared" si="30"/>
        <v>727826.71537907352</v>
      </c>
      <c r="AP49" s="459">
        <f t="shared" si="30"/>
        <v>679840.19192924339</v>
      </c>
      <c r="AQ49" s="459">
        <f t="shared" si="30"/>
        <v>131171.37002013353</v>
      </c>
      <c r="AR49" s="460">
        <f t="shared" si="26"/>
        <v>1538838.2773284502</v>
      </c>
      <c r="AS49" s="316"/>
      <c r="AT49" s="461">
        <f t="shared" si="27"/>
        <v>232176.72220592445</v>
      </c>
      <c r="AU49" s="462">
        <f t="shared" si="27"/>
        <v>183520.11649520104</v>
      </c>
      <c r="AV49" s="462">
        <f t="shared" si="27"/>
        <v>35133.729532759273</v>
      </c>
      <c r="AW49" s="462">
        <f t="shared" si="28"/>
        <v>450830.56823388475</v>
      </c>
      <c r="AX49" s="462">
        <f>((SUMIFS('JE Detail'!$I$7:$I$42,'JE Detail'!$B$7:$B$42,"B",'JE Detail'!$F$7:$F$42,B49)+SUMIFS('JE Detail'!$I$7:$I$42,'JE Detail'!$B$7:$B$42,"UB",'JE Detail'!$F$7:$F$42,B49))/$AX$43)+$J$298*AW49/SUM($AW$44:$AW$53)</f>
        <v>480083.50251241849</v>
      </c>
      <c r="AY49" s="463">
        <f t="shared" si="29"/>
        <v>-29252.934278533736</v>
      </c>
    </row>
    <row r="50" spans="1:51" ht="15" x14ac:dyDescent="0.25">
      <c r="A50" s="295">
        <f t="shared" si="23"/>
        <v>2023</v>
      </c>
      <c r="B50" s="295">
        <f t="shared" si="24"/>
        <v>9</v>
      </c>
      <c r="C50" s="305">
        <f t="shared" si="4"/>
        <v>45170</v>
      </c>
      <c r="E50" s="310">
        <v>693320</v>
      </c>
      <c r="F50" s="309">
        <v>676440</v>
      </c>
      <c r="G50" s="309">
        <v>88449</v>
      </c>
      <c r="H50" s="309">
        <v>5445</v>
      </c>
      <c r="I50" s="309">
        <v>355</v>
      </c>
      <c r="J50" s="309">
        <f t="shared" si="14"/>
        <v>1464009</v>
      </c>
      <c r="K50" s="309">
        <f t="shared" si="15"/>
        <v>123853</v>
      </c>
      <c r="L50" s="309">
        <f t="shared" si="16"/>
        <v>1587862</v>
      </c>
      <c r="M50" s="309">
        <v>1377</v>
      </c>
      <c r="N50" s="309">
        <f t="shared" si="5"/>
        <v>116</v>
      </c>
      <c r="O50" s="311">
        <f t="shared" si="6"/>
        <v>1589355</v>
      </c>
      <c r="P50" s="309"/>
      <c r="Q50" s="310">
        <v>703066.1298609532</v>
      </c>
      <c r="R50" s="309">
        <v>702150.77301272156</v>
      </c>
      <c r="S50" s="309">
        <v>90684</v>
      </c>
      <c r="T50" s="309">
        <f t="shared" si="17"/>
        <v>5555</v>
      </c>
      <c r="U50" s="309">
        <f t="shared" si="17"/>
        <v>355</v>
      </c>
      <c r="V50" s="309">
        <f t="shared" si="18"/>
        <v>1501810.9028736749</v>
      </c>
      <c r="W50" s="309">
        <f t="shared" si="19"/>
        <v>127051.09712632513</v>
      </c>
      <c r="X50" s="309">
        <f t="shared" si="20"/>
        <v>1628862</v>
      </c>
      <c r="Y50" s="309">
        <f t="shared" si="21"/>
        <v>1377</v>
      </c>
      <c r="Z50" s="309">
        <f t="shared" si="8"/>
        <v>116</v>
      </c>
      <c r="AA50" s="311">
        <f t="shared" si="22"/>
        <v>1630355</v>
      </c>
      <c r="AC50" s="310">
        <v>723638</v>
      </c>
      <c r="AD50" s="309">
        <v>711794</v>
      </c>
      <c r="AE50" s="309">
        <v>90684</v>
      </c>
      <c r="AF50" s="309">
        <v>5555</v>
      </c>
      <c r="AG50" s="309">
        <v>355</v>
      </c>
      <c r="AH50" s="309">
        <f t="shared" si="9"/>
        <v>1532026</v>
      </c>
      <c r="AI50" s="309">
        <f t="shared" si="10"/>
        <v>129607</v>
      </c>
      <c r="AJ50" s="309">
        <f t="shared" si="11"/>
        <v>1661633</v>
      </c>
      <c r="AK50" s="309">
        <v>1377</v>
      </c>
      <c r="AL50" s="309">
        <f t="shared" si="12"/>
        <v>116</v>
      </c>
      <c r="AM50" s="311">
        <f t="shared" si="13"/>
        <v>1663126</v>
      </c>
      <c r="AO50" s="458">
        <f t="shared" si="30"/>
        <v>693159.73091383767</v>
      </c>
      <c r="AP50" s="459">
        <f t="shared" si="30"/>
        <v>642542.80664326414</v>
      </c>
      <c r="AQ50" s="459">
        <f t="shared" si="30"/>
        <v>125783.04502385992</v>
      </c>
      <c r="AR50" s="460">
        <f t="shared" si="26"/>
        <v>1461485.5825809618</v>
      </c>
      <c r="AS50" s="316"/>
      <c r="AT50" s="461">
        <f t="shared" si="27"/>
        <v>221117.95416151421</v>
      </c>
      <c r="AU50" s="462">
        <f t="shared" si="27"/>
        <v>173451.83784102916</v>
      </c>
      <c r="AV50" s="462">
        <f t="shared" si="27"/>
        <v>33690.488122498595</v>
      </c>
      <c r="AW50" s="462">
        <f t="shared" si="28"/>
        <v>428260.28012504196</v>
      </c>
      <c r="AX50" s="462">
        <f>((SUMIFS('JE Detail'!$I$7:$I$42,'JE Detail'!$B$7:$B$42,"B",'JE Detail'!$F$7:$F$42,B50)+SUMIFS('JE Detail'!$I$7:$I$42,'JE Detail'!$B$7:$B$42,"UB",'JE Detail'!$F$7:$F$42,B50))/$AX$43)+$J$298*AW50/SUM($AW$44:$AW$53)</f>
        <v>423049.28495629417</v>
      </c>
      <c r="AY50" s="463">
        <f t="shared" si="29"/>
        <v>5210.9951687477878</v>
      </c>
    </row>
    <row r="51" spans="1:51" ht="15" x14ac:dyDescent="0.25">
      <c r="A51" s="295">
        <f t="shared" si="23"/>
        <v>2023</v>
      </c>
      <c r="B51" s="295">
        <f t="shared" si="24"/>
        <v>10</v>
      </c>
      <c r="C51" s="305">
        <f t="shared" si="4"/>
        <v>45200</v>
      </c>
      <c r="E51" s="310">
        <v>823181</v>
      </c>
      <c r="F51" s="309">
        <v>685198</v>
      </c>
      <c r="G51" s="309">
        <v>84317</v>
      </c>
      <c r="H51" s="309">
        <v>5347</v>
      </c>
      <c r="I51" s="309">
        <v>475</v>
      </c>
      <c r="J51" s="309">
        <f t="shared" si="14"/>
        <v>1598518</v>
      </c>
      <c r="K51" s="309">
        <f t="shared" si="15"/>
        <v>135233</v>
      </c>
      <c r="L51" s="309">
        <f t="shared" si="16"/>
        <v>1733751</v>
      </c>
      <c r="M51" s="309">
        <v>1767</v>
      </c>
      <c r="N51" s="309">
        <f t="shared" si="5"/>
        <v>149</v>
      </c>
      <c r="O51" s="311">
        <f t="shared" si="6"/>
        <v>1735667</v>
      </c>
      <c r="P51" s="309"/>
      <c r="Q51" s="310">
        <v>838492.87361055042</v>
      </c>
      <c r="R51" s="309">
        <v>712055.9816765585</v>
      </c>
      <c r="S51" s="309">
        <v>86656</v>
      </c>
      <c r="T51" s="309">
        <f t="shared" si="17"/>
        <v>5498</v>
      </c>
      <c r="U51" s="309">
        <f t="shared" si="17"/>
        <v>475</v>
      </c>
      <c r="V51" s="309">
        <f t="shared" si="18"/>
        <v>1643177.855287109</v>
      </c>
      <c r="W51" s="309">
        <f t="shared" si="19"/>
        <v>139011.14471289096</v>
      </c>
      <c r="X51" s="309">
        <f t="shared" si="20"/>
        <v>1782189</v>
      </c>
      <c r="Y51" s="309">
        <f t="shared" si="21"/>
        <v>1767</v>
      </c>
      <c r="Z51" s="309">
        <f t="shared" si="8"/>
        <v>149</v>
      </c>
      <c r="AA51" s="311">
        <f t="shared" si="22"/>
        <v>1784105</v>
      </c>
      <c r="AC51" s="310">
        <v>864345</v>
      </c>
      <c r="AD51" s="309">
        <v>722902</v>
      </c>
      <c r="AE51" s="309">
        <v>86656</v>
      </c>
      <c r="AF51" s="309">
        <v>5498</v>
      </c>
      <c r="AG51" s="309">
        <v>475</v>
      </c>
      <c r="AH51" s="309">
        <f t="shared" si="9"/>
        <v>1679876</v>
      </c>
      <c r="AI51" s="309">
        <f t="shared" si="10"/>
        <v>142115</v>
      </c>
      <c r="AJ51" s="309">
        <f t="shared" si="11"/>
        <v>1821991</v>
      </c>
      <c r="AK51" s="309">
        <v>1767</v>
      </c>
      <c r="AL51" s="309">
        <f t="shared" si="12"/>
        <v>149</v>
      </c>
      <c r="AM51" s="311">
        <f t="shared" si="13"/>
        <v>1823907</v>
      </c>
      <c r="AO51" s="458">
        <f t="shared" si="30"/>
        <v>822990.71201376547</v>
      </c>
      <c r="AP51" s="459">
        <f t="shared" si="30"/>
        <v>650861.93310027698</v>
      </c>
      <c r="AQ51" s="459">
        <f t="shared" si="30"/>
        <v>119906.94080517357</v>
      </c>
      <c r="AR51" s="460">
        <f t="shared" si="26"/>
        <v>1593759.5859192158</v>
      </c>
      <c r="AS51" s="316"/>
      <c r="AT51" s="461">
        <f t="shared" si="27"/>
        <v>262534.03713239118</v>
      </c>
      <c r="AU51" s="462">
        <f t="shared" si="27"/>
        <v>175697.55245845532</v>
      </c>
      <c r="AV51" s="462">
        <f t="shared" si="27"/>
        <v>32116.596988374247</v>
      </c>
      <c r="AW51" s="462">
        <f t="shared" si="28"/>
        <v>470348.18657922075</v>
      </c>
      <c r="AX51" s="462">
        <f>((SUMIFS('JE Detail'!$I$7:$I$42,'JE Detail'!$B$7:$B$42,"B",'JE Detail'!$F$7:$F$42,B51)+SUMIFS('JE Detail'!$I$7:$I$42,'JE Detail'!$B$7:$B$42,"UB",'JE Detail'!$F$7:$F$42,B51))/$AX$43)+$J$298*AW51/SUM($AW$44:$AW$53)</f>
        <v>486546.45388942125</v>
      </c>
      <c r="AY51" s="463">
        <f t="shared" si="29"/>
        <v>-16198.267310200492</v>
      </c>
    </row>
    <row r="52" spans="1:51" ht="15" x14ac:dyDescent="0.25">
      <c r="A52" s="295">
        <f t="shared" si="23"/>
        <v>2023</v>
      </c>
      <c r="B52" s="295">
        <f t="shared" si="24"/>
        <v>11</v>
      </c>
      <c r="C52" s="305">
        <f t="shared" si="4"/>
        <v>45231</v>
      </c>
      <c r="E52" s="310">
        <v>1054352</v>
      </c>
      <c r="F52" s="309">
        <v>718130</v>
      </c>
      <c r="G52" s="309">
        <v>88368</v>
      </c>
      <c r="H52" s="309">
        <v>5912</v>
      </c>
      <c r="I52" s="309">
        <v>793</v>
      </c>
      <c r="J52" s="309">
        <f t="shared" si="14"/>
        <v>1867555</v>
      </c>
      <c r="K52" s="309">
        <f t="shared" si="15"/>
        <v>157993</v>
      </c>
      <c r="L52" s="309">
        <f t="shared" si="16"/>
        <v>2025548</v>
      </c>
      <c r="M52" s="309">
        <v>1763</v>
      </c>
      <c r="N52" s="309">
        <f t="shared" si="5"/>
        <v>149</v>
      </c>
      <c r="O52" s="311">
        <f t="shared" si="6"/>
        <v>2027460</v>
      </c>
      <c r="P52" s="309"/>
      <c r="Q52" s="310">
        <v>1077182.7230835473</v>
      </c>
      <c r="R52" s="309">
        <v>744367.69001492474</v>
      </c>
      <c r="S52" s="309">
        <v>90614</v>
      </c>
      <c r="T52" s="309">
        <f t="shared" si="17"/>
        <v>6089</v>
      </c>
      <c r="U52" s="309">
        <f t="shared" si="17"/>
        <v>793</v>
      </c>
      <c r="V52" s="309">
        <f t="shared" si="18"/>
        <v>1919046.4130984722</v>
      </c>
      <c r="W52" s="309">
        <f t="shared" si="19"/>
        <v>162348.58690152783</v>
      </c>
      <c r="X52" s="309">
        <f t="shared" si="20"/>
        <v>2081395</v>
      </c>
      <c r="Y52" s="309">
        <f t="shared" si="21"/>
        <v>1763</v>
      </c>
      <c r="Z52" s="309">
        <f t="shared" si="8"/>
        <v>149</v>
      </c>
      <c r="AA52" s="311">
        <f t="shared" si="22"/>
        <v>2083307</v>
      </c>
      <c r="AC52" s="310">
        <v>1107631</v>
      </c>
      <c r="AD52" s="309">
        <v>755366</v>
      </c>
      <c r="AE52" s="309">
        <v>90614</v>
      </c>
      <c r="AF52" s="309">
        <v>6089</v>
      </c>
      <c r="AG52" s="309">
        <v>793</v>
      </c>
      <c r="AH52" s="309">
        <f t="shared" si="9"/>
        <v>1960493</v>
      </c>
      <c r="AI52" s="309">
        <f t="shared" si="10"/>
        <v>165855</v>
      </c>
      <c r="AJ52" s="309">
        <f t="shared" si="11"/>
        <v>2126348</v>
      </c>
      <c r="AK52" s="309">
        <v>1763</v>
      </c>
      <c r="AL52" s="309">
        <f t="shared" si="12"/>
        <v>149</v>
      </c>
      <c r="AM52" s="311">
        <f t="shared" si="13"/>
        <v>2128260</v>
      </c>
      <c r="AO52" s="458">
        <f t="shared" si="30"/>
        <v>1054108.2741136367</v>
      </c>
      <c r="AP52" s="459">
        <f t="shared" si="30"/>
        <v>682143.67236521689</v>
      </c>
      <c r="AQ52" s="459">
        <f t="shared" si="30"/>
        <v>125667.85517833388</v>
      </c>
      <c r="AR52" s="460">
        <f t="shared" si="26"/>
        <v>1861919.8016571873</v>
      </c>
      <c r="AS52" s="316"/>
      <c r="AT52" s="461">
        <f t="shared" si="27"/>
        <v>336260.5394422501</v>
      </c>
      <c r="AU52" s="462">
        <f t="shared" si="27"/>
        <v>184141.93174380329</v>
      </c>
      <c r="AV52" s="462">
        <f t="shared" si="27"/>
        <v>33659.634980711548</v>
      </c>
      <c r="AW52" s="462">
        <f t="shared" si="28"/>
        <v>554062.10616676486</v>
      </c>
      <c r="AX52" s="462">
        <f>((SUMIFS('JE Detail'!$I$7:$I$42,'JE Detail'!$B$7:$B$42,"B",'JE Detail'!$F$7:$F$42,B52)+SUMIFS('JE Detail'!$I$7:$I$42,'JE Detail'!$B$7:$B$42,"UB",'JE Detail'!$F$7:$F$42,B52))/$AX$43)+$J$298*AW52/SUM($AW$44:$AW$53)</f>
        <v>572639.2635111385</v>
      </c>
      <c r="AY52" s="463">
        <f t="shared" si="29"/>
        <v>-18577.157344373642</v>
      </c>
    </row>
    <row r="53" spans="1:51" ht="15" x14ac:dyDescent="0.25">
      <c r="A53" s="295">
        <f t="shared" si="23"/>
        <v>2023</v>
      </c>
      <c r="B53" s="295">
        <f t="shared" si="24"/>
        <v>12</v>
      </c>
      <c r="C53" s="305">
        <f t="shared" si="4"/>
        <v>45261</v>
      </c>
      <c r="E53" s="310">
        <v>1172982</v>
      </c>
      <c r="F53" s="309">
        <v>750281</v>
      </c>
      <c r="G53" s="309">
        <v>81063</v>
      </c>
      <c r="H53" s="309">
        <v>5508</v>
      </c>
      <c r="I53" s="309">
        <v>852</v>
      </c>
      <c r="J53" s="309">
        <f t="shared" si="14"/>
        <v>2010686</v>
      </c>
      <c r="K53" s="309">
        <f t="shared" si="15"/>
        <v>170101</v>
      </c>
      <c r="L53" s="309">
        <f t="shared" si="16"/>
        <v>2180787</v>
      </c>
      <c r="M53" s="309">
        <v>1649</v>
      </c>
      <c r="N53" s="309">
        <f t="shared" si="5"/>
        <v>140</v>
      </c>
      <c r="O53" s="311">
        <f t="shared" si="6"/>
        <v>2182576</v>
      </c>
      <c r="P53" s="309"/>
      <c r="Q53" s="310">
        <v>1207909.144475936</v>
      </c>
      <c r="R53" s="309">
        <v>779083.58663164382</v>
      </c>
      <c r="S53" s="309">
        <v>83460</v>
      </c>
      <c r="T53" s="309">
        <f t="shared" si="17"/>
        <v>5710</v>
      </c>
      <c r="U53" s="309">
        <f t="shared" si="17"/>
        <v>852</v>
      </c>
      <c r="V53" s="309">
        <f t="shared" si="18"/>
        <v>2077014.7311075798</v>
      </c>
      <c r="W53" s="309">
        <f t="shared" si="19"/>
        <v>175712.26889242022</v>
      </c>
      <c r="X53" s="309">
        <f t="shared" si="20"/>
        <v>2252727</v>
      </c>
      <c r="Y53" s="309">
        <f t="shared" si="21"/>
        <v>1649</v>
      </c>
      <c r="Z53" s="309">
        <f t="shared" si="8"/>
        <v>140</v>
      </c>
      <c r="AA53" s="311">
        <f t="shared" si="22"/>
        <v>2254516</v>
      </c>
      <c r="AC53" s="310">
        <v>1247381</v>
      </c>
      <c r="AD53" s="309">
        <v>793034</v>
      </c>
      <c r="AE53" s="309">
        <v>83460</v>
      </c>
      <c r="AF53" s="309">
        <v>5710</v>
      </c>
      <c r="AG53" s="309">
        <v>852</v>
      </c>
      <c r="AH53" s="309">
        <f t="shared" si="9"/>
        <v>2130437</v>
      </c>
      <c r="AI53" s="309">
        <f t="shared" si="10"/>
        <v>180232</v>
      </c>
      <c r="AJ53" s="309">
        <f t="shared" si="11"/>
        <v>2310669</v>
      </c>
      <c r="AK53" s="309">
        <v>1649</v>
      </c>
      <c r="AL53" s="309">
        <f t="shared" si="12"/>
        <v>140</v>
      </c>
      <c r="AM53" s="311">
        <f t="shared" si="13"/>
        <v>2312458</v>
      </c>
      <c r="AO53" s="458">
        <f t="shared" si="30"/>
        <v>1172710.8513915294</v>
      </c>
      <c r="AP53" s="459">
        <f t="shared" si="30"/>
        <v>712683.54844644747</v>
      </c>
      <c r="AQ53" s="459">
        <f t="shared" si="30"/>
        <v>115279.43762811515</v>
      </c>
      <c r="AR53" s="460">
        <f t="shared" si="26"/>
        <v>2000673.8374660918</v>
      </c>
      <c r="AS53" s="316"/>
      <c r="AT53" s="461">
        <f t="shared" si="27"/>
        <v>374094.76159389789</v>
      </c>
      <c r="AU53" s="462">
        <f t="shared" si="27"/>
        <v>192386.04805630245</v>
      </c>
      <c r="AV53" s="462">
        <f t="shared" si="27"/>
        <v>30877.138675102073</v>
      </c>
      <c r="AW53" s="462">
        <f t="shared" si="28"/>
        <v>597357.94832530234</v>
      </c>
      <c r="AX53" s="462">
        <f>((SUMIFS('JE Detail'!$I$7:$I$42,'JE Detail'!$B$7:$B$42,"B",'JE Detail'!$F$7:$F$42,B53)+SUMIFS('JE Detail'!$I$7:$I$42,'JE Detail'!$B$7:$B$42,"UB",'JE Detail'!$F$7:$F$42,B53))/$AX$43)+$J$298*AW53/SUM($AW$44:$AW$53)</f>
        <v>615798.37817331892</v>
      </c>
      <c r="AY53" s="463">
        <f t="shared" si="29"/>
        <v>-18440.429848016589</v>
      </c>
    </row>
    <row r="54" spans="1:51" ht="15" x14ac:dyDescent="0.25">
      <c r="A54" s="295">
        <f t="shared" si="23"/>
        <v>2024</v>
      </c>
      <c r="B54" s="295">
        <f t="shared" si="24"/>
        <v>1</v>
      </c>
      <c r="C54" s="305">
        <f t="shared" si="4"/>
        <v>45292</v>
      </c>
      <c r="E54" s="310">
        <v>1190240</v>
      </c>
      <c r="F54" s="309">
        <v>769742</v>
      </c>
      <c r="G54" s="309">
        <v>78587</v>
      </c>
      <c r="H54" s="309">
        <v>5874</v>
      </c>
      <c r="I54" s="309">
        <v>991</v>
      </c>
      <c r="J54" s="309">
        <f t="shared" si="14"/>
        <v>2045434</v>
      </c>
      <c r="K54" s="309">
        <f t="shared" si="15"/>
        <v>173041</v>
      </c>
      <c r="L54" s="309">
        <f t="shared" si="16"/>
        <v>2218475</v>
      </c>
      <c r="M54" s="309">
        <v>2243</v>
      </c>
      <c r="N54" s="309">
        <f t="shared" si="5"/>
        <v>190</v>
      </c>
      <c r="O54" s="311">
        <f t="shared" si="6"/>
        <v>2220908</v>
      </c>
      <c r="P54" s="309"/>
      <c r="Q54" s="310">
        <v>1222872.8160704751</v>
      </c>
      <c r="R54" s="309">
        <v>799352.2889835689</v>
      </c>
      <c r="S54" s="309">
        <v>81058</v>
      </c>
      <c r="T54" s="309">
        <f t="shared" si="17"/>
        <v>6085</v>
      </c>
      <c r="U54" s="309">
        <f t="shared" si="17"/>
        <v>991</v>
      </c>
      <c r="V54" s="309">
        <f t="shared" si="18"/>
        <v>2110359.1050540442</v>
      </c>
      <c r="W54" s="309">
        <f t="shared" si="19"/>
        <v>178533.89494595584</v>
      </c>
      <c r="X54" s="309">
        <f t="shared" si="20"/>
        <v>2288893</v>
      </c>
      <c r="Y54" s="309">
        <f t="shared" si="21"/>
        <v>2243</v>
      </c>
      <c r="Z54" s="309">
        <f t="shared" si="8"/>
        <v>190</v>
      </c>
      <c r="AA54" s="311">
        <f t="shared" si="22"/>
        <v>2291326</v>
      </c>
      <c r="AC54" s="310">
        <v>1258479</v>
      </c>
      <c r="AD54" s="309">
        <v>812679</v>
      </c>
      <c r="AE54" s="309">
        <v>81058</v>
      </c>
      <c r="AF54" s="309">
        <v>6085</v>
      </c>
      <c r="AG54" s="309">
        <v>991</v>
      </c>
      <c r="AH54" s="309">
        <f t="shared" si="9"/>
        <v>2159292</v>
      </c>
      <c r="AI54" s="309">
        <f t="shared" si="10"/>
        <v>182673</v>
      </c>
      <c r="AJ54" s="309">
        <f t="shared" si="11"/>
        <v>2341965</v>
      </c>
      <c r="AK54" s="309">
        <v>2243</v>
      </c>
      <c r="AL54" s="309">
        <f t="shared" si="12"/>
        <v>190</v>
      </c>
      <c r="AM54" s="311">
        <f t="shared" si="13"/>
        <v>2344398</v>
      </c>
      <c r="AO54" s="458">
        <f t="shared" si="30"/>
        <v>1189964.8620015089</v>
      </c>
      <c r="AP54" s="459">
        <f t="shared" si="30"/>
        <v>731169.33515344956</v>
      </c>
      <c r="AQ54" s="459">
        <f t="shared" si="30"/>
        <v>111758.32580685004</v>
      </c>
      <c r="AR54" s="460">
        <f t="shared" si="26"/>
        <v>2032892.5229618086</v>
      </c>
      <c r="AS54" s="316"/>
      <c r="AT54" s="461">
        <f t="shared" si="27"/>
        <v>379598.79097848135</v>
      </c>
      <c r="AU54" s="462">
        <f t="shared" si="27"/>
        <v>197376.21158333257</v>
      </c>
      <c r="AV54" s="462">
        <f t="shared" si="27"/>
        <v>29934.022884179547</v>
      </c>
      <c r="AW54" s="462">
        <f t="shared" si="28"/>
        <v>606909.02544599352</v>
      </c>
      <c r="AX54" s="462">
        <f>AW54</f>
        <v>606909.02544599352</v>
      </c>
      <c r="AY54" s="463">
        <f t="shared" si="29"/>
        <v>0</v>
      </c>
    </row>
    <row r="55" spans="1:51" ht="15" x14ac:dyDescent="0.25">
      <c r="A55" s="295">
        <f t="shared" si="23"/>
        <v>2024</v>
      </c>
      <c r="B55" s="295">
        <f t="shared" si="24"/>
        <v>2</v>
      </c>
      <c r="C55" s="305">
        <f t="shared" si="4"/>
        <v>45323</v>
      </c>
      <c r="E55" s="310">
        <v>1043209</v>
      </c>
      <c r="F55" s="309">
        <v>715191</v>
      </c>
      <c r="G55" s="309">
        <v>78391</v>
      </c>
      <c r="H55" s="309">
        <v>5437</v>
      </c>
      <c r="I55" s="309">
        <v>883</v>
      </c>
      <c r="J55" s="309">
        <f t="shared" si="14"/>
        <v>1843111</v>
      </c>
      <c r="K55" s="309">
        <f t="shared" si="15"/>
        <v>155925</v>
      </c>
      <c r="L55" s="309">
        <f t="shared" si="16"/>
        <v>1999036</v>
      </c>
      <c r="M55" s="309">
        <v>2439</v>
      </c>
      <c r="N55" s="309">
        <f t="shared" si="5"/>
        <v>206</v>
      </c>
      <c r="O55" s="311">
        <f t="shared" si="6"/>
        <v>2001681</v>
      </c>
      <c r="P55" s="309"/>
      <c r="Q55" s="310">
        <v>1070013.1948985194</v>
      </c>
      <c r="R55" s="309">
        <v>741822.40036551794</v>
      </c>
      <c r="S55" s="309">
        <v>80667</v>
      </c>
      <c r="T55" s="309">
        <f t="shared" si="17"/>
        <v>5605</v>
      </c>
      <c r="U55" s="309">
        <f t="shared" si="17"/>
        <v>883</v>
      </c>
      <c r="V55" s="309">
        <f t="shared" si="18"/>
        <v>1898990.5952640374</v>
      </c>
      <c r="W55" s="309">
        <f t="shared" si="19"/>
        <v>160652.40473596263</v>
      </c>
      <c r="X55" s="309">
        <f t="shared" si="20"/>
        <v>2059643</v>
      </c>
      <c r="Y55" s="309">
        <f t="shared" si="21"/>
        <v>2439</v>
      </c>
      <c r="Z55" s="309">
        <f t="shared" si="8"/>
        <v>206</v>
      </c>
      <c r="AA55" s="311">
        <f t="shared" si="22"/>
        <v>2062288</v>
      </c>
      <c r="AC55" s="310">
        <v>1099125</v>
      </c>
      <c r="AD55" s="309">
        <v>752371</v>
      </c>
      <c r="AE55" s="309">
        <v>80667</v>
      </c>
      <c r="AF55" s="309">
        <v>5605</v>
      </c>
      <c r="AG55" s="309">
        <v>883</v>
      </c>
      <c r="AH55" s="309">
        <f t="shared" si="9"/>
        <v>1938651</v>
      </c>
      <c r="AI55" s="309">
        <f t="shared" si="10"/>
        <v>164007</v>
      </c>
      <c r="AJ55" s="309">
        <f t="shared" si="11"/>
        <v>2102658</v>
      </c>
      <c r="AK55" s="309">
        <v>2439</v>
      </c>
      <c r="AL55" s="309">
        <f t="shared" si="12"/>
        <v>206</v>
      </c>
      <c r="AM55" s="311">
        <f t="shared" si="13"/>
        <v>2105303</v>
      </c>
      <c r="AO55" s="458">
        <f t="shared" si="30"/>
        <v>1042967.849949365</v>
      </c>
      <c r="AP55" s="459">
        <f t="shared" si="30"/>
        <v>679351.94906570099</v>
      </c>
      <c r="AQ55" s="459">
        <f t="shared" si="30"/>
        <v>111479.59482261419</v>
      </c>
      <c r="AR55" s="460">
        <f t="shared" si="26"/>
        <v>1833799.3938376803</v>
      </c>
      <c r="AS55" s="316"/>
      <c r="AT55" s="461">
        <f t="shared" si="27"/>
        <v>332706.74413384747</v>
      </c>
      <c r="AU55" s="462">
        <f t="shared" si="27"/>
        <v>183388.3173043633</v>
      </c>
      <c r="AV55" s="462">
        <f t="shared" si="27"/>
        <v>29859.365899114597</v>
      </c>
      <c r="AW55" s="462">
        <f t="shared" si="28"/>
        <v>545954.42733732541</v>
      </c>
      <c r="AX55" s="462">
        <f>AW55</f>
        <v>545954.42733732541</v>
      </c>
      <c r="AY55" s="463">
        <f t="shared" si="29"/>
        <v>0</v>
      </c>
    </row>
    <row r="56" spans="1:51" ht="15" hidden="1" outlineLevel="1" x14ac:dyDescent="0.25">
      <c r="A56" s="295">
        <f t="shared" si="23"/>
        <v>2024</v>
      </c>
      <c r="B56" s="295">
        <f t="shared" si="24"/>
        <v>3</v>
      </c>
      <c r="C56" s="305">
        <f t="shared" si="4"/>
        <v>45352</v>
      </c>
      <c r="E56" s="310">
        <v>1030308</v>
      </c>
      <c r="F56" s="309">
        <v>749131</v>
      </c>
      <c r="G56" s="309">
        <v>85583</v>
      </c>
      <c r="H56" s="309">
        <v>4992</v>
      </c>
      <c r="I56" s="309">
        <v>779</v>
      </c>
      <c r="J56" s="309">
        <f t="shared" si="14"/>
        <v>1870793</v>
      </c>
      <c r="K56" s="309">
        <f t="shared" si="15"/>
        <v>158267</v>
      </c>
      <c r="L56" s="309">
        <f t="shared" si="16"/>
        <v>2029060</v>
      </c>
      <c r="M56" s="309">
        <v>2263</v>
      </c>
      <c r="N56" s="309">
        <f t="shared" si="5"/>
        <v>191</v>
      </c>
      <c r="O56" s="311">
        <f t="shared" si="6"/>
        <v>2031514</v>
      </c>
      <c r="P56" s="309"/>
      <c r="Q56" s="310">
        <v>1056363.8975577923</v>
      </c>
      <c r="R56" s="309">
        <v>779963.18586052628</v>
      </c>
      <c r="S56" s="309">
        <v>88142</v>
      </c>
      <c r="T56" s="309">
        <f t="shared" si="17"/>
        <v>5176</v>
      </c>
      <c r="U56" s="309">
        <f t="shared" si="17"/>
        <v>779</v>
      </c>
      <c r="V56" s="309">
        <f t="shared" si="18"/>
        <v>1930424.0834183185</v>
      </c>
      <c r="W56" s="309">
        <f t="shared" si="19"/>
        <v>163310.91658168146</v>
      </c>
      <c r="X56" s="309">
        <f t="shared" si="20"/>
        <v>2093735</v>
      </c>
      <c r="Y56" s="309">
        <f t="shared" si="21"/>
        <v>2263</v>
      </c>
      <c r="Z56" s="309">
        <f t="shared" si="8"/>
        <v>191</v>
      </c>
      <c r="AA56" s="311">
        <f t="shared" si="22"/>
        <v>2096189</v>
      </c>
      <c r="AC56" s="310">
        <v>1086756</v>
      </c>
      <c r="AD56" s="309">
        <v>792550</v>
      </c>
      <c r="AE56" s="309">
        <v>88142</v>
      </c>
      <c r="AF56" s="309">
        <v>5176</v>
      </c>
      <c r="AG56" s="309">
        <v>779</v>
      </c>
      <c r="AH56" s="309">
        <f t="shared" si="9"/>
        <v>1973403</v>
      </c>
      <c r="AI56" s="309">
        <f t="shared" si="10"/>
        <v>166947</v>
      </c>
      <c r="AJ56" s="309">
        <f t="shared" si="11"/>
        <v>2140350</v>
      </c>
      <c r="AK56" s="309">
        <v>2263</v>
      </c>
      <c r="AL56" s="309">
        <f t="shared" si="12"/>
        <v>191</v>
      </c>
      <c r="AM56" s="311">
        <f t="shared" si="13"/>
        <v>2142804</v>
      </c>
      <c r="AO56" s="458"/>
      <c r="AP56" s="459"/>
      <c r="AQ56" s="459"/>
      <c r="AR56" s="460"/>
      <c r="AS56" s="316"/>
      <c r="AT56" s="458"/>
      <c r="AU56" s="459"/>
      <c r="AV56" s="459"/>
      <c r="AW56" s="459"/>
      <c r="AX56" s="459"/>
      <c r="AY56" s="460"/>
    </row>
    <row r="57" spans="1:51" ht="15" hidden="1" outlineLevel="1" x14ac:dyDescent="0.25">
      <c r="A57" s="295">
        <f t="shared" si="23"/>
        <v>2024</v>
      </c>
      <c r="B57" s="295">
        <f t="shared" si="24"/>
        <v>4</v>
      </c>
      <c r="C57" s="305">
        <f t="shared" si="4"/>
        <v>45383</v>
      </c>
      <c r="E57" s="310">
        <v>919304</v>
      </c>
      <c r="F57" s="309">
        <v>730324</v>
      </c>
      <c r="G57" s="309">
        <v>86326</v>
      </c>
      <c r="H57" s="309">
        <v>5309</v>
      </c>
      <c r="I57" s="309">
        <v>640</v>
      </c>
      <c r="J57" s="309">
        <f t="shared" si="14"/>
        <v>1741903</v>
      </c>
      <c r="K57" s="309">
        <f t="shared" si="15"/>
        <v>147363</v>
      </c>
      <c r="L57" s="309">
        <f t="shared" si="16"/>
        <v>1889266</v>
      </c>
      <c r="M57" s="309">
        <v>2101</v>
      </c>
      <c r="N57" s="309">
        <f t="shared" si="5"/>
        <v>178</v>
      </c>
      <c r="O57" s="311">
        <f t="shared" si="6"/>
        <v>1891545</v>
      </c>
      <c r="P57" s="309"/>
      <c r="Q57" s="310">
        <v>941996.89307296544</v>
      </c>
      <c r="R57" s="309">
        <v>759646.26318740426</v>
      </c>
      <c r="S57" s="309">
        <v>88771</v>
      </c>
      <c r="T57" s="309">
        <f t="shared" si="17"/>
        <v>5470</v>
      </c>
      <c r="U57" s="309">
        <f t="shared" si="17"/>
        <v>640</v>
      </c>
      <c r="V57" s="309">
        <f t="shared" si="18"/>
        <v>1796524.1562603698</v>
      </c>
      <c r="W57" s="309">
        <f t="shared" si="19"/>
        <v>151983.84373963019</v>
      </c>
      <c r="X57" s="309">
        <f t="shared" si="20"/>
        <v>1948508</v>
      </c>
      <c r="Y57" s="309">
        <f t="shared" si="21"/>
        <v>2101</v>
      </c>
      <c r="Z57" s="309">
        <f t="shared" si="8"/>
        <v>178</v>
      </c>
      <c r="AA57" s="311">
        <f t="shared" si="22"/>
        <v>1950787</v>
      </c>
      <c r="AC57" s="310">
        <v>967432</v>
      </c>
      <c r="AD57" s="309">
        <v>771311</v>
      </c>
      <c r="AE57" s="309">
        <v>88771</v>
      </c>
      <c r="AF57" s="309">
        <v>5470</v>
      </c>
      <c r="AG57" s="309">
        <v>640</v>
      </c>
      <c r="AH57" s="309">
        <f t="shared" si="9"/>
        <v>1833624</v>
      </c>
      <c r="AI57" s="309">
        <f t="shared" si="10"/>
        <v>155122</v>
      </c>
      <c r="AJ57" s="309">
        <f t="shared" si="11"/>
        <v>1988746</v>
      </c>
      <c r="AK57" s="309">
        <v>2101</v>
      </c>
      <c r="AL57" s="309">
        <f t="shared" si="12"/>
        <v>178</v>
      </c>
      <c r="AM57" s="311">
        <f t="shared" si="13"/>
        <v>1991025</v>
      </c>
      <c r="AO57" s="458"/>
      <c r="AP57" s="459"/>
      <c r="AQ57" s="459"/>
      <c r="AR57" s="460"/>
      <c r="AS57" s="316"/>
      <c r="AT57" s="458"/>
      <c r="AU57" s="459"/>
      <c r="AV57" s="459"/>
      <c r="AW57" s="459"/>
      <c r="AX57" s="459"/>
      <c r="AY57" s="460"/>
    </row>
    <row r="58" spans="1:51" ht="15" hidden="1" outlineLevel="1" x14ac:dyDescent="0.25">
      <c r="A58" s="295">
        <f t="shared" si="23"/>
        <v>2024</v>
      </c>
      <c r="B58" s="295">
        <f t="shared" si="24"/>
        <v>5</v>
      </c>
      <c r="C58" s="305">
        <f t="shared" si="4"/>
        <v>45413</v>
      </c>
      <c r="E58" s="310">
        <v>764983</v>
      </c>
      <c r="F58" s="309">
        <v>685445</v>
      </c>
      <c r="G58" s="309">
        <v>81066</v>
      </c>
      <c r="H58" s="309">
        <v>5078</v>
      </c>
      <c r="I58" s="309">
        <v>440</v>
      </c>
      <c r="J58" s="309">
        <f t="shared" si="14"/>
        <v>1537012</v>
      </c>
      <c r="K58" s="309">
        <f t="shared" si="15"/>
        <v>130029</v>
      </c>
      <c r="L58" s="309">
        <f t="shared" si="16"/>
        <v>1667041</v>
      </c>
      <c r="M58" s="309">
        <v>2097</v>
      </c>
      <c r="N58" s="309">
        <f t="shared" si="5"/>
        <v>177</v>
      </c>
      <c r="O58" s="311">
        <f t="shared" si="6"/>
        <v>1669315</v>
      </c>
      <c r="P58" s="309"/>
      <c r="Q58" s="310">
        <v>780031.8719563632</v>
      </c>
      <c r="R58" s="309">
        <v>718047.53458650399</v>
      </c>
      <c r="S58" s="309">
        <v>83672</v>
      </c>
      <c r="T58" s="309">
        <f t="shared" si="17"/>
        <v>5227</v>
      </c>
      <c r="U58" s="309">
        <f t="shared" si="17"/>
        <v>440</v>
      </c>
      <c r="V58" s="309">
        <f t="shared" si="18"/>
        <v>1587418.4065428672</v>
      </c>
      <c r="W58" s="309">
        <f t="shared" si="19"/>
        <v>134293.59345713281</v>
      </c>
      <c r="X58" s="309">
        <f t="shared" si="20"/>
        <v>1721712</v>
      </c>
      <c r="Y58" s="309">
        <f t="shared" si="21"/>
        <v>2097</v>
      </c>
      <c r="Z58" s="309">
        <f t="shared" si="8"/>
        <v>177</v>
      </c>
      <c r="AA58" s="311">
        <f t="shared" si="22"/>
        <v>1723986</v>
      </c>
      <c r="AC58" s="310">
        <v>805953</v>
      </c>
      <c r="AD58" s="309">
        <v>730006</v>
      </c>
      <c r="AE58" s="309">
        <v>83672</v>
      </c>
      <c r="AF58" s="309">
        <v>5227</v>
      </c>
      <c r="AG58" s="309">
        <v>440</v>
      </c>
      <c r="AH58" s="309">
        <f t="shared" si="9"/>
        <v>1625298</v>
      </c>
      <c r="AI58" s="309">
        <f t="shared" si="10"/>
        <v>137498</v>
      </c>
      <c r="AJ58" s="309">
        <f t="shared" si="11"/>
        <v>1762796</v>
      </c>
      <c r="AK58" s="309">
        <v>2097</v>
      </c>
      <c r="AL58" s="309">
        <f t="shared" si="12"/>
        <v>177</v>
      </c>
      <c r="AM58" s="311">
        <f t="shared" si="13"/>
        <v>1765070</v>
      </c>
      <c r="AO58" s="458"/>
      <c r="AP58" s="459"/>
      <c r="AQ58" s="459"/>
      <c r="AR58" s="460"/>
      <c r="AS58" s="316"/>
      <c r="AT58" s="458"/>
      <c r="AU58" s="459"/>
      <c r="AV58" s="459"/>
      <c r="AW58" s="459"/>
      <c r="AX58" s="459"/>
      <c r="AY58" s="460"/>
    </row>
    <row r="59" spans="1:51" ht="15" hidden="1" outlineLevel="1" x14ac:dyDescent="0.25">
      <c r="A59" s="295">
        <f t="shared" si="23"/>
        <v>2024</v>
      </c>
      <c r="B59" s="295">
        <f t="shared" si="24"/>
        <v>6</v>
      </c>
      <c r="C59" s="305">
        <f t="shared" si="4"/>
        <v>45444</v>
      </c>
      <c r="E59" s="310">
        <v>700906</v>
      </c>
      <c r="F59" s="309">
        <v>702894</v>
      </c>
      <c r="G59" s="309">
        <v>82276</v>
      </c>
      <c r="H59" s="309">
        <v>4929</v>
      </c>
      <c r="I59" s="309">
        <v>317</v>
      </c>
      <c r="J59" s="309">
        <f t="shared" si="14"/>
        <v>1491322</v>
      </c>
      <c r="K59" s="309">
        <f t="shared" si="15"/>
        <v>126164</v>
      </c>
      <c r="L59" s="309">
        <f t="shared" si="16"/>
        <v>1617486</v>
      </c>
      <c r="M59" s="309">
        <v>1727</v>
      </c>
      <c r="N59" s="309">
        <f t="shared" si="5"/>
        <v>146</v>
      </c>
      <c r="O59" s="311">
        <f t="shared" si="6"/>
        <v>1619359</v>
      </c>
      <c r="P59" s="309"/>
      <c r="Q59" s="310">
        <v>711942.07822141657</v>
      </c>
      <c r="R59" s="309">
        <v>734957.18635772937</v>
      </c>
      <c r="S59" s="309">
        <v>84898</v>
      </c>
      <c r="T59" s="309">
        <f t="shared" si="17"/>
        <v>5060</v>
      </c>
      <c r="U59" s="309">
        <f t="shared" si="17"/>
        <v>317</v>
      </c>
      <c r="V59" s="309">
        <f t="shared" si="18"/>
        <v>1537174.2645791459</v>
      </c>
      <c r="W59" s="309">
        <f t="shared" si="19"/>
        <v>130042.73542085406</v>
      </c>
      <c r="X59" s="309">
        <f t="shared" si="20"/>
        <v>1667217</v>
      </c>
      <c r="Y59" s="309">
        <f t="shared" si="21"/>
        <v>1727</v>
      </c>
      <c r="Z59" s="309">
        <f t="shared" si="8"/>
        <v>146</v>
      </c>
      <c r="AA59" s="311">
        <f t="shared" si="22"/>
        <v>1669090</v>
      </c>
      <c r="AC59" s="310">
        <v>734171</v>
      </c>
      <c r="AD59" s="309">
        <v>746331</v>
      </c>
      <c r="AE59" s="309">
        <v>84898</v>
      </c>
      <c r="AF59" s="309">
        <v>5060</v>
      </c>
      <c r="AG59" s="309">
        <v>317</v>
      </c>
      <c r="AH59" s="309">
        <f t="shared" si="9"/>
        <v>1570777</v>
      </c>
      <c r="AI59" s="309">
        <f t="shared" si="10"/>
        <v>132886</v>
      </c>
      <c r="AJ59" s="309">
        <f t="shared" si="11"/>
        <v>1703663</v>
      </c>
      <c r="AK59" s="309">
        <v>1727</v>
      </c>
      <c r="AL59" s="309">
        <f t="shared" si="12"/>
        <v>146</v>
      </c>
      <c r="AM59" s="311">
        <f t="shared" si="13"/>
        <v>1705536</v>
      </c>
      <c r="AO59" s="458"/>
      <c r="AP59" s="459"/>
      <c r="AQ59" s="459"/>
      <c r="AR59" s="460"/>
      <c r="AS59" s="316"/>
      <c r="AT59" s="458"/>
      <c r="AU59" s="459"/>
      <c r="AV59" s="459"/>
      <c r="AW59" s="459"/>
      <c r="AX59" s="459"/>
      <c r="AY59" s="460"/>
    </row>
    <row r="60" spans="1:51" ht="15" hidden="1" outlineLevel="1" x14ac:dyDescent="0.25">
      <c r="A60" s="295">
        <f t="shared" si="23"/>
        <v>2024</v>
      </c>
      <c r="B60" s="295">
        <f t="shared" si="24"/>
        <v>7</v>
      </c>
      <c r="C60" s="305">
        <f t="shared" si="4"/>
        <v>45474</v>
      </c>
      <c r="E60" s="310">
        <v>725957</v>
      </c>
      <c r="F60" s="309">
        <v>734162</v>
      </c>
      <c r="G60" s="309">
        <v>89626</v>
      </c>
      <c r="H60" s="309">
        <v>4725</v>
      </c>
      <c r="I60" s="309">
        <v>288</v>
      </c>
      <c r="J60" s="309">
        <f t="shared" si="14"/>
        <v>1554758</v>
      </c>
      <c r="K60" s="309">
        <f t="shared" si="15"/>
        <v>131531</v>
      </c>
      <c r="L60" s="309">
        <f t="shared" si="16"/>
        <v>1686289</v>
      </c>
      <c r="M60" s="309">
        <v>2779</v>
      </c>
      <c r="N60" s="309">
        <f t="shared" si="5"/>
        <v>235</v>
      </c>
      <c r="O60" s="311">
        <f t="shared" si="6"/>
        <v>1689303</v>
      </c>
      <c r="P60" s="309"/>
      <c r="Q60" s="310">
        <v>737687.72313064872</v>
      </c>
      <c r="R60" s="309">
        <v>769100.11874061683</v>
      </c>
      <c r="S60" s="309">
        <v>92375</v>
      </c>
      <c r="T60" s="309">
        <f t="shared" si="17"/>
        <v>4886</v>
      </c>
      <c r="U60" s="309">
        <f t="shared" si="17"/>
        <v>288</v>
      </c>
      <c r="V60" s="309">
        <f t="shared" si="18"/>
        <v>1604336.8418712656</v>
      </c>
      <c r="W60" s="309">
        <f t="shared" si="19"/>
        <v>135725.15812873445</v>
      </c>
      <c r="X60" s="309">
        <f t="shared" si="20"/>
        <v>1740062</v>
      </c>
      <c r="Y60" s="309">
        <f t="shared" si="21"/>
        <v>2779</v>
      </c>
      <c r="Z60" s="309">
        <f t="shared" si="8"/>
        <v>235</v>
      </c>
      <c r="AA60" s="311">
        <f t="shared" si="22"/>
        <v>1743076</v>
      </c>
      <c r="AC60" s="310">
        <v>762703</v>
      </c>
      <c r="AD60" s="309">
        <v>781327</v>
      </c>
      <c r="AE60" s="309">
        <v>92375</v>
      </c>
      <c r="AF60" s="309">
        <v>4886</v>
      </c>
      <c r="AG60" s="309">
        <v>288</v>
      </c>
      <c r="AH60" s="309">
        <f t="shared" si="9"/>
        <v>1641579</v>
      </c>
      <c r="AI60" s="309">
        <f t="shared" si="10"/>
        <v>138875</v>
      </c>
      <c r="AJ60" s="309">
        <f t="shared" si="11"/>
        <v>1780454</v>
      </c>
      <c r="AK60" s="309">
        <v>2779</v>
      </c>
      <c r="AL60" s="309">
        <f t="shared" si="12"/>
        <v>235</v>
      </c>
      <c r="AM60" s="311">
        <f t="shared" si="13"/>
        <v>1783468</v>
      </c>
      <c r="AO60" s="458"/>
      <c r="AP60" s="459"/>
      <c r="AQ60" s="459"/>
      <c r="AR60" s="460"/>
      <c r="AS60" s="316"/>
      <c r="AT60" s="458"/>
      <c r="AU60" s="459"/>
      <c r="AV60" s="459"/>
      <c r="AW60" s="459"/>
      <c r="AX60" s="459"/>
      <c r="AY60" s="460"/>
    </row>
    <row r="61" spans="1:51" ht="15" hidden="1" outlineLevel="1" x14ac:dyDescent="0.25">
      <c r="A61" s="295">
        <f t="shared" si="23"/>
        <v>2024</v>
      </c>
      <c r="B61" s="295">
        <f t="shared" si="24"/>
        <v>8</v>
      </c>
      <c r="C61" s="305">
        <f t="shared" si="4"/>
        <v>45505</v>
      </c>
      <c r="E61" s="310">
        <v>740615</v>
      </c>
      <c r="F61" s="309">
        <v>736604</v>
      </c>
      <c r="G61" s="309">
        <v>90663</v>
      </c>
      <c r="H61" s="309">
        <v>5022</v>
      </c>
      <c r="I61" s="309">
        <v>280</v>
      </c>
      <c r="J61" s="309">
        <f t="shared" si="14"/>
        <v>1573184</v>
      </c>
      <c r="K61" s="309">
        <f t="shared" si="15"/>
        <v>133089</v>
      </c>
      <c r="L61" s="309">
        <f t="shared" si="16"/>
        <v>1706273</v>
      </c>
      <c r="M61" s="309">
        <v>1579</v>
      </c>
      <c r="N61" s="309">
        <f t="shared" si="5"/>
        <v>134</v>
      </c>
      <c r="O61" s="311">
        <f t="shared" si="6"/>
        <v>1707986</v>
      </c>
      <c r="P61" s="309"/>
      <c r="Q61" s="310">
        <v>752652.61586876796</v>
      </c>
      <c r="R61" s="309">
        <v>772809.02553330106</v>
      </c>
      <c r="S61" s="309">
        <v>93571</v>
      </c>
      <c r="T61" s="309">
        <f t="shared" si="17"/>
        <v>5216</v>
      </c>
      <c r="U61" s="309">
        <f t="shared" si="17"/>
        <v>280</v>
      </c>
      <c r="V61" s="309">
        <f t="shared" si="18"/>
        <v>1624528.641402069</v>
      </c>
      <c r="W61" s="309">
        <f t="shared" si="19"/>
        <v>137433.35859793099</v>
      </c>
      <c r="X61" s="309">
        <f t="shared" si="20"/>
        <v>1761962</v>
      </c>
      <c r="Y61" s="309">
        <f t="shared" si="21"/>
        <v>1579</v>
      </c>
      <c r="Z61" s="309">
        <f t="shared" si="8"/>
        <v>134</v>
      </c>
      <c r="AA61" s="311">
        <f t="shared" si="22"/>
        <v>1763675</v>
      </c>
      <c r="AC61" s="310">
        <v>777356</v>
      </c>
      <c r="AD61" s="309">
        <v>785428</v>
      </c>
      <c r="AE61" s="309">
        <v>93571</v>
      </c>
      <c r="AF61" s="309">
        <v>5216</v>
      </c>
      <c r="AG61" s="309">
        <v>280</v>
      </c>
      <c r="AH61" s="309">
        <f t="shared" si="9"/>
        <v>1661851</v>
      </c>
      <c r="AI61" s="309">
        <f t="shared" si="10"/>
        <v>140590</v>
      </c>
      <c r="AJ61" s="309">
        <f t="shared" si="11"/>
        <v>1802441</v>
      </c>
      <c r="AK61" s="309">
        <v>1579</v>
      </c>
      <c r="AL61" s="309">
        <f t="shared" si="12"/>
        <v>134</v>
      </c>
      <c r="AM61" s="311">
        <f t="shared" si="13"/>
        <v>1804154</v>
      </c>
      <c r="AO61" s="458"/>
      <c r="AP61" s="459"/>
      <c r="AQ61" s="459"/>
      <c r="AR61" s="460"/>
      <c r="AS61" s="316"/>
      <c r="AT61" s="458"/>
      <c r="AU61" s="459"/>
      <c r="AV61" s="459"/>
      <c r="AW61" s="459"/>
      <c r="AX61" s="459"/>
      <c r="AY61" s="460"/>
    </row>
    <row r="62" spans="1:51" ht="15" hidden="1" outlineLevel="1" x14ac:dyDescent="0.25">
      <c r="A62" s="295">
        <f t="shared" si="23"/>
        <v>2024</v>
      </c>
      <c r="B62" s="295">
        <f t="shared" si="24"/>
        <v>9</v>
      </c>
      <c r="C62" s="305">
        <f t="shared" si="4"/>
        <v>45536</v>
      </c>
      <c r="E62" s="310">
        <v>701435</v>
      </c>
      <c r="F62" s="309">
        <v>696427</v>
      </c>
      <c r="G62" s="309">
        <v>86994</v>
      </c>
      <c r="H62" s="309">
        <v>5265</v>
      </c>
      <c r="I62" s="309">
        <v>355</v>
      </c>
      <c r="J62" s="309">
        <f t="shared" si="14"/>
        <v>1490476</v>
      </c>
      <c r="K62" s="309">
        <f t="shared" si="15"/>
        <v>126092</v>
      </c>
      <c r="L62" s="309">
        <f t="shared" si="16"/>
        <v>1616568</v>
      </c>
      <c r="M62" s="309">
        <v>1377</v>
      </c>
      <c r="N62" s="309">
        <f t="shared" si="5"/>
        <v>116</v>
      </c>
      <c r="O62" s="311">
        <f t="shared" si="6"/>
        <v>1618061</v>
      </c>
      <c r="P62" s="309"/>
      <c r="Q62" s="310">
        <v>715759.12163624179</v>
      </c>
      <c r="R62" s="309">
        <v>731644.31394387095</v>
      </c>
      <c r="S62" s="309">
        <v>89788</v>
      </c>
      <c r="T62" s="309">
        <f t="shared" si="17"/>
        <v>5470</v>
      </c>
      <c r="U62" s="309">
        <f t="shared" si="17"/>
        <v>355</v>
      </c>
      <c r="V62" s="309">
        <f t="shared" si="18"/>
        <v>1543016.4355801127</v>
      </c>
      <c r="W62" s="309">
        <f t="shared" si="19"/>
        <v>130537.56441988726</v>
      </c>
      <c r="X62" s="309">
        <f t="shared" si="20"/>
        <v>1673554</v>
      </c>
      <c r="Y62" s="309">
        <f t="shared" si="21"/>
        <v>1377</v>
      </c>
      <c r="Z62" s="309">
        <f t="shared" si="8"/>
        <v>116</v>
      </c>
      <c r="AA62" s="311">
        <f t="shared" si="22"/>
        <v>1675047</v>
      </c>
      <c r="AC62" s="310">
        <v>739841</v>
      </c>
      <c r="AD62" s="309">
        <v>743616</v>
      </c>
      <c r="AE62" s="309">
        <v>89788</v>
      </c>
      <c r="AF62" s="309">
        <v>5470</v>
      </c>
      <c r="AG62" s="309">
        <v>355</v>
      </c>
      <c r="AH62" s="309">
        <f t="shared" si="9"/>
        <v>1579070</v>
      </c>
      <c r="AI62" s="309">
        <f t="shared" si="10"/>
        <v>133587</v>
      </c>
      <c r="AJ62" s="309">
        <f t="shared" si="11"/>
        <v>1712657</v>
      </c>
      <c r="AK62" s="309">
        <v>1377</v>
      </c>
      <c r="AL62" s="309">
        <f t="shared" si="12"/>
        <v>116</v>
      </c>
      <c r="AM62" s="311">
        <f t="shared" si="13"/>
        <v>1714150</v>
      </c>
      <c r="AO62" s="458"/>
      <c r="AP62" s="459"/>
      <c r="AQ62" s="459"/>
      <c r="AR62" s="460"/>
      <c r="AS62" s="316"/>
      <c r="AT62" s="458"/>
      <c r="AU62" s="459"/>
      <c r="AV62" s="459"/>
      <c r="AW62" s="459"/>
      <c r="AX62" s="459"/>
      <c r="AY62" s="460"/>
    </row>
    <row r="63" spans="1:51" ht="15" hidden="1" outlineLevel="1" x14ac:dyDescent="0.25">
      <c r="A63" s="295">
        <f t="shared" si="23"/>
        <v>2024</v>
      </c>
      <c r="B63" s="295">
        <f t="shared" si="24"/>
        <v>10</v>
      </c>
      <c r="C63" s="305">
        <f t="shared" si="4"/>
        <v>45566</v>
      </c>
      <c r="E63" s="310">
        <v>828864</v>
      </c>
      <c r="F63" s="309">
        <v>704811</v>
      </c>
      <c r="G63" s="309">
        <v>82885</v>
      </c>
      <c r="H63" s="309">
        <v>5147</v>
      </c>
      <c r="I63" s="309">
        <v>474</v>
      </c>
      <c r="J63" s="309">
        <f t="shared" si="14"/>
        <v>1622181</v>
      </c>
      <c r="K63" s="309">
        <f t="shared" si="15"/>
        <v>137234</v>
      </c>
      <c r="L63" s="309">
        <f t="shared" si="16"/>
        <v>1759415</v>
      </c>
      <c r="M63" s="309">
        <v>1767</v>
      </c>
      <c r="N63" s="309">
        <f t="shared" si="5"/>
        <v>149</v>
      </c>
      <c r="O63" s="311">
        <f t="shared" si="6"/>
        <v>1761331</v>
      </c>
      <c r="P63" s="309"/>
      <c r="Q63" s="310">
        <v>851294.03006263112</v>
      </c>
      <c r="R63" s="309">
        <v>741623.06270389841</v>
      </c>
      <c r="S63" s="309">
        <v>85822</v>
      </c>
      <c r="T63" s="309">
        <f t="shared" si="17"/>
        <v>5419</v>
      </c>
      <c r="U63" s="309">
        <f t="shared" si="17"/>
        <v>474</v>
      </c>
      <c r="V63" s="309">
        <f t="shared" si="18"/>
        <v>1684632.0927665294</v>
      </c>
      <c r="W63" s="309">
        <f t="shared" si="19"/>
        <v>142517.90723347059</v>
      </c>
      <c r="X63" s="309">
        <f t="shared" si="20"/>
        <v>1827150</v>
      </c>
      <c r="Y63" s="309">
        <f t="shared" si="21"/>
        <v>1767</v>
      </c>
      <c r="Z63" s="309">
        <f t="shared" si="8"/>
        <v>149</v>
      </c>
      <c r="AA63" s="311">
        <f t="shared" si="22"/>
        <v>1829066</v>
      </c>
      <c r="AC63" s="310">
        <v>882374</v>
      </c>
      <c r="AD63" s="309">
        <v>754825</v>
      </c>
      <c r="AE63" s="309">
        <v>85822</v>
      </c>
      <c r="AF63" s="309">
        <v>5419</v>
      </c>
      <c r="AG63" s="309">
        <v>474</v>
      </c>
      <c r="AH63" s="309">
        <f t="shared" si="9"/>
        <v>1728914</v>
      </c>
      <c r="AI63" s="309">
        <f t="shared" si="10"/>
        <v>146264</v>
      </c>
      <c r="AJ63" s="309">
        <f t="shared" si="11"/>
        <v>1875178</v>
      </c>
      <c r="AK63" s="309">
        <v>1767</v>
      </c>
      <c r="AL63" s="309">
        <f t="shared" si="12"/>
        <v>149</v>
      </c>
      <c r="AM63" s="311">
        <f t="shared" si="13"/>
        <v>1877094</v>
      </c>
      <c r="AO63" s="458"/>
      <c r="AP63" s="459"/>
      <c r="AQ63" s="459"/>
      <c r="AR63" s="460"/>
      <c r="AS63" s="316"/>
      <c r="AT63" s="458"/>
      <c r="AU63" s="459"/>
      <c r="AV63" s="459"/>
      <c r="AW63" s="459"/>
      <c r="AX63" s="459"/>
      <c r="AY63" s="460"/>
    </row>
    <row r="64" spans="1:51" ht="15" hidden="1" outlineLevel="1" x14ac:dyDescent="0.25">
      <c r="A64" s="295">
        <f t="shared" si="23"/>
        <v>2024</v>
      </c>
      <c r="B64" s="295">
        <f t="shared" si="24"/>
        <v>11</v>
      </c>
      <c r="C64" s="305">
        <f t="shared" si="4"/>
        <v>45597</v>
      </c>
      <c r="E64" s="310">
        <v>1058724</v>
      </c>
      <c r="F64" s="309">
        <v>732454</v>
      </c>
      <c r="G64" s="309">
        <v>86960</v>
      </c>
      <c r="H64" s="309">
        <v>5697</v>
      </c>
      <c r="I64" s="309">
        <v>792</v>
      </c>
      <c r="J64" s="309">
        <f t="shared" si="14"/>
        <v>1884627</v>
      </c>
      <c r="K64" s="309">
        <f t="shared" si="15"/>
        <v>159437</v>
      </c>
      <c r="L64" s="309">
        <f t="shared" si="16"/>
        <v>2044064</v>
      </c>
      <c r="M64" s="309">
        <v>1763</v>
      </c>
      <c r="N64" s="309">
        <f t="shared" si="5"/>
        <v>149</v>
      </c>
      <c r="O64" s="311">
        <f t="shared" si="6"/>
        <v>2045976</v>
      </c>
      <c r="P64" s="309"/>
      <c r="Q64" s="310">
        <v>1091352.4540634223</v>
      </c>
      <c r="R64" s="309">
        <v>767808.51767328195</v>
      </c>
      <c r="S64" s="309">
        <v>89746</v>
      </c>
      <c r="T64" s="309">
        <f t="shared" si="17"/>
        <v>6008</v>
      </c>
      <c r="U64" s="309">
        <f t="shared" si="17"/>
        <v>792</v>
      </c>
      <c r="V64" s="309">
        <f t="shared" si="18"/>
        <v>1955706.9717367042</v>
      </c>
      <c r="W64" s="309">
        <f t="shared" si="19"/>
        <v>165450.02826329577</v>
      </c>
      <c r="X64" s="309">
        <f t="shared" si="20"/>
        <v>2121157</v>
      </c>
      <c r="Y64" s="309">
        <f t="shared" si="21"/>
        <v>1763</v>
      </c>
      <c r="Z64" s="309">
        <f t="shared" si="8"/>
        <v>149</v>
      </c>
      <c r="AA64" s="311">
        <f t="shared" si="22"/>
        <v>2123069</v>
      </c>
      <c r="AC64" s="310">
        <v>1129466</v>
      </c>
      <c r="AD64" s="309">
        <v>780979</v>
      </c>
      <c r="AE64" s="309">
        <v>89746</v>
      </c>
      <c r="AF64" s="309">
        <v>6008</v>
      </c>
      <c r="AG64" s="309">
        <v>792</v>
      </c>
      <c r="AH64" s="309">
        <f t="shared" si="9"/>
        <v>2006991</v>
      </c>
      <c r="AI64" s="309">
        <f t="shared" si="10"/>
        <v>169789</v>
      </c>
      <c r="AJ64" s="309">
        <f t="shared" si="11"/>
        <v>2176780</v>
      </c>
      <c r="AK64" s="309">
        <v>1763</v>
      </c>
      <c r="AL64" s="309">
        <f t="shared" si="12"/>
        <v>149</v>
      </c>
      <c r="AM64" s="311">
        <f t="shared" si="13"/>
        <v>2178692</v>
      </c>
      <c r="AO64" s="458"/>
      <c r="AP64" s="459"/>
      <c r="AQ64" s="459"/>
      <c r="AR64" s="460"/>
      <c r="AS64" s="316"/>
      <c r="AT64" s="458"/>
      <c r="AU64" s="459"/>
      <c r="AV64" s="459"/>
      <c r="AW64" s="459"/>
      <c r="AX64" s="459"/>
      <c r="AY64" s="460"/>
    </row>
    <row r="65" spans="1:51" ht="15" hidden="1" outlineLevel="1" x14ac:dyDescent="0.25">
      <c r="A65" s="295">
        <f t="shared" si="23"/>
        <v>2024</v>
      </c>
      <c r="B65" s="295">
        <f t="shared" si="24"/>
        <v>12</v>
      </c>
      <c r="C65" s="305">
        <f t="shared" si="4"/>
        <v>45627</v>
      </c>
      <c r="E65" s="310">
        <v>1169180</v>
      </c>
      <c r="F65" s="309">
        <v>760105</v>
      </c>
      <c r="G65" s="309">
        <v>79506</v>
      </c>
      <c r="H65" s="309">
        <v>5292</v>
      </c>
      <c r="I65" s="309">
        <v>848</v>
      </c>
      <c r="J65" s="309">
        <f t="shared" si="14"/>
        <v>2014931</v>
      </c>
      <c r="K65" s="309">
        <f t="shared" si="15"/>
        <v>170461</v>
      </c>
      <c r="L65" s="309">
        <f t="shared" si="16"/>
        <v>2185392</v>
      </c>
      <c r="M65" s="309">
        <v>1649</v>
      </c>
      <c r="N65" s="309">
        <f t="shared" si="5"/>
        <v>140</v>
      </c>
      <c r="O65" s="311">
        <f t="shared" si="6"/>
        <v>2187181</v>
      </c>
      <c r="P65" s="309"/>
      <c r="Q65" s="310">
        <v>1218959.2775368239</v>
      </c>
      <c r="R65" s="309">
        <v>798870.87845705391</v>
      </c>
      <c r="S65" s="309">
        <v>82466</v>
      </c>
      <c r="T65" s="309">
        <f t="shared" si="17"/>
        <v>5640</v>
      </c>
      <c r="U65" s="309">
        <f t="shared" si="17"/>
        <v>848</v>
      </c>
      <c r="V65" s="309">
        <f t="shared" si="18"/>
        <v>2106784.1559938779</v>
      </c>
      <c r="W65" s="309">
        <f t="shared" si="19"/>
        <v>178230.84400612209</v>
      </c>
      <c r="X65" s="309">
        <f t="shared" si="20"/>
        <v>2285015</v>
      </c>
      <c r="Y65" s="309">
        <f t="shared" si="21"/>
        <v>1649</v>
      </c>
      <c r="Z65" s="309">
        <f t="shared" si="8"/>
        <v>140</v>
      </c>
      <c r="AA65" s="311">
        <f t="shared" si="22"/>
        <v>2286804</v>
      </c>
      <c r="AC65" s="310">
        <v>1269061</v>
      </c>
      <c r="AD65" s="309">
        <v>815447</v>
      </c>
      <c r="AE65" s="309">
        <v>82466</v>
      </c>
      <c r="AF65" s="309">
        <v>5640</v>
      </c>
      <c r="AG65" s="309">
        <v>848</v>
      </c>
      <c r="AH65" s="309">
        <f t="shared" si="9"/>
        <v>2173462</v>
      </c>
      <c r="AI65" s="309">
        <f t="shared" si="10"/>
        <v>183872</v>
      </c>
      <c r="AJ65" s="309">
        <f t="shared" si="11"/>
        <v>2357334</v>
      </c>
      <c r="AK65" s="309">
        <v>1649</v>
      </c>
      <c r="AL65" s="309">
        <f t="shared" si="12"/>
        <v>140</v>
      </c>
      <c r="AM65" s="311">
        <f t="shared" si="13"/>
        <v>2359123</v>
      </c>
      <c r="AO65" s="458"/>
      <c r="AP65" s="459"/>
      <c r="AQ65" s="459"/>
      <c r="AR65" s="460"/>
      <c r="AS65" s="316"/>
      <c r="AT65" s="458"/>
      <c r="AU65" s="459"/>
      <c r="AV65" s="459"/>
      <c r="AW65" s="459"/>
      <c r="AX65" s="459"/>
      <c r="AY65" s="460"/>
    </row>
    <row r="66" spans="1:51" ht="15" hidden="1" outlineLevel="1" x14ac:dyDescent="0.25">
      <c r="A66" s="295">
        <f t="shared" si="23"/>
        <v>2025</v>
      </c>
      <c r="B66" s="295">
        <f t="shared" si="24"/>
        <v>1</v>
      </c>
      <c r="C66" s="305">
        <f t="shared" si="4"/>
        <v>45658</v>
      </c>
      <c r="E66" s="310">
        <v>1177514</v>
      </c>
      <c r="F66" s="309">
        <v>768206</v>
      </c>
      <c r="G66" s="309">
        <v>76012</v>
      </c>
      <c r="H66" s="309">
        <v>5655</v>
      </c>
      <c r="I66" s="309">
        <v>976</v>
      </c>
      <c r="J66" s="309">
        <f t="shared" si="14"/>
        <v>2028363</v>
      </c>
      <c r="K66" s="309">
        <f t="shared" si="15"/>
        <v>171597</v>
      </c>
      <c r="L66" s="309">
        <f t="shared" si="16"/>
        <v>2199960</v>
      </c>
      <c r="M66" s="309">
        <v>2243</v>
      </c>
      <c r="N66" s="309">
        <f t="shared" si="5"/>
        <v>190</v>
      </c>
      <c r="O66" s="311">
        <f t="shared" si="6"/>
        <v>2202393</v>
      </c>
      <c r="P66" s="309"/>
      <c r="Q66" s="310">
        <v>1223591.684938336</v>
      </c>
      <c r="R66" s="309">
        <v>807662.29611033946</v>
      </c>
      <c r="S66" s="309">
        <v>79047</v>
      </c>
      <c r="T66" s="309">
        <f t="shared" si="17"/>
        <v>6014</v>
      </c>
      <c r="U66" s="309">
        <f t="shared" si="17"/>
        <v>976</v>
      </c>
      <c r="V66" s="309">
        <f t="shared" si="18"/>
        <v>2117290.9810486753</v>
      </c>
      <c r="W66" s="309">
        <f t="shared" si="19"/>
        <v>179120.01895132475</v>
      </c>
      <c r="X66" s="309">
        <f t="shared" si="20"/>
        <v>2296411</v>
      </c>
      <c r="Y66" s="309">
        <f t="shared" si="21"/>
        <v>2243</v>
      </c>
      <c r="Z66" s="309">
        <f t="shared" si="8"/>
        <v>190</v>
      </c>
      <c r="AA66" s="311">
        <f t="shared" si="22"/>
        <v>2298844</v>
      </c>
      <c r="AC66" s="310">
        <v>1267527</v>
      </c>
      <c r="AD66" s="309">
        <v>823406</v>
      </c>
      <c r="AE66" s="309">
        <v>79047</v>
      </c>
      <c r="AF66" s="309">
        <v>6014</v>
      </c>
      <c r="AG66" s="309">
        <v>976</v>
      </c>
      <c r="AH66" s="309">
        <f t="shared" si="9"/>
        <v>2176970</v>
      </c>
      <c r="AI66" s="309">
        <f t="shared" si="10"/>
        <v>184169</v>
      </c>
      <c r="AJ66" s="309">
        <f t="shared" si="11"/>
        <v>2361139</v>
      </c>
      <c r="AK66" s="309">
        <v>2243</v>
      </c>
      <c r="AL66" s="309">
        <f t="shared" si="12"/>
        <v>190</v>
      </c>
      <c r="AM66" s="311">
        <f t="shared" si="13"/>
        <v>2363572</v>
      </c>
      <c r="AO66" s="458"/>
      <c r="AP66" s="459"/>
      <c r="AQ66" s="459"/>
      <c r="AR66" s="460"/>
      <c r="AS66" s="316"/>
      <c r="AT66" s="458"/>
      <c r="AU66" s="459"/>
      <c r="AV66" s="459"/>
      <c r="AW66" s="459"/>
      <c r="AX66" s="459"/>
      <c r="AY66" s="460"/>
    </row>
    <row r="67" spans="1:51" ht="15" hidden="1" outlineLevel="1" x14ac:dyDescent="0.25">
      <c r="A67" s="295">
        <f t="shared" si="23"/>
        <v>2025</v>
      </c>
      <c r="B67" s="295">
        <f t="shared" si="24"/>
        <v>2</v>
      </c>
      <c r="C67" s="305">
        <f t="shared" si="4"/>
        <v>45689</v>
      </c>
      <c r="E67" s="310">
        <v>1024302</v>
      </c>
      <c r="F67" s="309">
        <v>710248</v>
      </c>
      <c r="G67" s="309">
        <v>75691</v>
      </c>
      <c r="H67" s="309">
        <v>5262</v>
      </c>
      <c r="I67" s="309">
        <v>863</v>
      </c>
      <c r="J67" s="309">
        <f t="shared" si="14"/>
        <v>1816366</v>
      </c>
      <c r="K67" s="309">
        <f t="shared" si="15"/>
        <v>153662</v>
      </c>
      <c r="L67" s="309">
        <f t="shared" si="16"/>
        <v>1970028</v>
      </c>
      <c r="M67" s="309">
        <v>2355</v>
      </c>
      <c r="N67" s="309">
        <f t="shared" si="5"/>
        <v>199</v>
      </c>
      <c r="O67" s="311">
        <f t="shared" si="6"/>
        <v>1972582</v>
      </c>
      <c r="P67" s="309"/>
      <c r="Q67" s="310">
        <v>1060958.4941321413</v>
      </c>
      <c r="R67" s="309">
        <v>744619.82564192393</v>
      </c>
      <c r="S67" s="309">
        <v>78421</v>
      </c>
      <c r="T67" s="309">
        <f t="shared" si="17"/>
        <v>5542</v>
      </c>
      <c r="U67" s="309">
        <f t="shared" si="17"/>
        <v>863</v>
      </c>
      <c r="V67" s="309">
        <f t="shared" si="18"/>
        <v>1890404.3197740652</v>
      </c>
      <c r="W67" s="309">
        <f t="shared" si="19"/>
        <v>159925.68022593483</v>
      </c>
      <c r="X67" s="309">
        <f t="shared" si="20"/>
        <v>2050330</v>
      </c>
      <c r="Y67" s="309">
        <f t="shared" si="21"/>
        <v>2355</v>
      </c>
      <c r="Z67" s="309">
        <f t="shared" si="8"/>
        <v>199</v>
      </c>
      <c r="AA67" s="311">
        <f t="shared" si="22"/>
        <v>2052884</v>
      </c>
      <c r="AC67" s="310">
        <v>1096513</v>
      </c>
      <c r="AD67" s="309">
        <v>757050</v>
      </c>
      <c r="AE67" s="309">
        <v>78421</v>
      </c>
      <c r="AF67" s="309">
        <v>5542</v>
      </c>
      <c r="AG67" s="309">
        <v>863</v>
      </c>
      <c r="AH67" s="309">
        <f t="shared" si="9"/>
        <v>1938389</v>
      </c>
      <c r="AI67" s="309">
        <f t="shared" si="10"/>
        <v>163985</v>
      </c>
      <c r="AJ67" s="309">
        <f t="shared" si="11"/>
        <v>2102374</v>
      </c>
      <c r="AK67" s="309">
        <v>2355</v>
      </c>
      <c r="AL67" s="309">
        <f t="shared" si="12"/>
        <v>199</v>
      </c>
      <c r="AM67" s="311">
        <f t="shared" si="13"/>
        <v>2104928</v>
      </c>
      <c r="AO67" s="458"/>
      <c r="AP67" s="459"/>
      <c r="AQ67" s="459"/>
      <c r="AR67" s="460"/>
      <c r="AS67" s="316"/>
      <c r="AT67" s="458"/>
      <c r="AU67" s="459"/>
      <c r="AV67" s="459"/>
      <c r="AW67" s="459"/>
      <c r="AX67" s="459"/>
      <c r="AY67" s="460"/>
    </row>
    <row r="68" spans="1:51" ht="15" hidden="1" outlineLevel="1" x14ac:dyDescent="0.25">
      <c r="A68" s="295">
        <f t="shared" si="23"/>
        <v>2025</v>
      </c>
      <c r="B68" s="295">
        <f t="shared" si="24"/>
        <v>3</v>
      </c>
      <c r="C68" s="305">
        <f t="shared" si="4"/>
        <v>45717</v>
      </c>
      <c r="E68" s="310">
        <v>1015821</v>
      </c>
      <c r="F68" s="309">
        <v>749033</v>
      </c>
      <c r="G68" s="309">
        <v>83496</v>
      </c>
      <c r="H68" s="309">
        <v>4817</v>
      </c>
      <c r="I68" s="309">
        <v>767</v>
      </c>
      <c r="J68" s="309">
        <f t="shared" si="14"/>
        <v>1853934</v>
      </c>
      <c r="K68" s="309">
        <f t="shared" si="15"/>
        <v>156840</v>
      </c>
      <c r="L68" s="309">
        <f t="shared" si="16"/>
        <v>2010774</v>
      </c>
      <c r="M68" s="309">
        <v>2263</v>
      </c>
      <c r="N68" s="309">
        <f t="shared" si="5"/>
        <v>191</v>
      </c>
      <c r="O68" s="311">
        <f t="shared" si="6"/>
        <v>2013228</v>
      </c>
      <c r="P68" s="309"/>
      <c r="Q68" s="310">
        <v>1052522.4617978926</v>
      </c>
      <c r="R68" s="309">
        <v>789945.26966691995</v>
      </c>
      <c r="S68" s="309">
        <v>86634</v>
      </c>
      <c r="T68" s="309">
        <f t="shared" si="17"/>
        <v>5121</v>
      </c>
      <c r="U68" s="309">
        <f t="shared" si="17"/>
        <v>767</v>
      </c>
      <c r="V68" s="309">
        <f t="shared" si="18"/>
        <v>1934989.7314648125</v>
      </c>
      <c r="W68" s="309">
        <f t="shared" si="19"/>
        <v>163697.26853518747</v>
      </c>
      <c r="X68" s="309">
        <f t="shared" si="20"/>
        <v>2098687</v>
      </c>
      <c r="Y68" s="309">
        <f t="shared" si="21"/>
        <v>2263</v>
      </c>
      <c r="Z68" s="309">
        <f t="shared" si="8"/>
        <v>191</v>
      </c>
      <c r="AA68" s="311">
        <f t="shared" si="22"/>
        <v>2101141</v>
      </c>
      <c r="AC68" s="310">
        <v>1088702</v>
      </c>
      <c r="AD68" s="309">
        <v>804622</v>
      </c>
      <c r="AE68" s="309">
        <v>86634</v>
      </c>
      <c r="AF68" s="309">
        <v>5121</v>
      </c>
      <c r="AG68" s="309">
        <v>767</v>
      </c>
      <c r="AH68" s="309">
        <f t="shared" si="9"/>
        <v>1985846</v>
      </c>
      <c r="AI68" s="309">
        <f t="shared" si="10"/>
        <v>168000</v>
      </c>
      <c r="AJ68" s="309">
        <f t="shared" si="11"/>
        <v>2153846</v>
      </c>
      <c r="AK68" s="309">
        <v>2263</v>
      </c>
      <c r="AL68" s="309">
        <f t="shared" si="12"/>
        <v>191</v>
      </c>
      <c r="AM68" s="311">
        <f t="shared" si="13"/>
        <v>2156300</v>
      </c>
      <c r="AO68" s="458"/>
      <c r="AP68" s="459"/>
      <c r="AQ68" s="459"/>
      <c r="AR68" s="460"/>
      <c r="AS68" s="316"/>
      <c r="AT68" s="458"/>
      <c r="AU68" s="459"/>
      <c r="AV68" s="459"/>
      <c r="AW68" s="459"/>
      <c r="AX68" s="459"/>
      <c r="AY68" s="460"/>
    </row>
    <row r="69" spans="1:51" ht="15" hidden="1" outlineLevel="1" x14ac:dyDescent="0.25">
      <c r="A69" s="295">
        <f t="shared" si="23"/>
        <v>2025</v>
      </c>
      <c r="B69" s="295">
        <f t="shared" si="24"/>
        <v>4</v>
      </c>
      <c r="C69" s="305">
        <f t="shared" si="4"/>
        <v>45748</v>
      </c>
      <c r="E69" s="310">
        <v>917409</v>
      </c>
      <c r="F69" s="309">
        <v>735625</v>
      </c>
      <c r="G69" s="309">
        <v>84612</v>
      </c>
      <c r="H69" s="309">
        <v>5152</v>
      </c>
      <c r="I69" s="309">
        <v>635</v>
      </c>
      <c r="J69" s="309">
        <f t="shared" si="14"/>
        <v>1743433</v>
      </c>
      <c r="K69" s="309">
        <f t="shared" si="15"/>
        <v>147492</v>
      </c>
      <c r="L69" s="309">
        <f t="shared" si="16"/>
        <v>1890925</v>
      </c>
      <c r="M69" s="309">
        <v>2101</v>
      </c>
      <c r="N69" s="309">
        <f t="shared" si="5"/>
        <v>178</v>
      </c>
      <c r="O69" s="311">
        <f t="shared" si="6"/>
        <v>1893204</v>
      </c>
      <c r="P69" s="309"/>
      <c r="Q69" s="310">
        <v>949464.49897789792</v>
      </c>
      <c r="R69" s="309">
        <v>774249.46145280742</v>
      </c>
      <c r="S69" s="309">
        <v>87601</v>
      </c>
      <c r="T69" s="309">
        <f t="shared" si="17"/>
        <v>5415</v>
      </c>
      <c r="U69" s="309">
        <f t="shared" si="17"/>
        <v>635</v>
      </c>
      <c r="V69" s="309">
        <f t="shared" si="18"/>
        <v>1817364.9604307055</v>
      </c>
      <c r="W69" s="309">
        <f t="shared" si="19"/>
        <v>153747.03956929455</v>
      </c>
      <c r="X69" s="309">
        <f t="shared" si="20"/>
        <v>1971112</v>
      </c>
      <c r="Y69" s="309">
        <f t="shared" si="21"/>
        <v>2101</v>
      </c>
      <c r="Z69" s="309">
        <f t="shared" si="8"/>
        <v>178</v>
      </c>
      <c r="AA69" s="311">
        <f t="shared" si="22"/>
        <v>1973391</v>
      </c>
      <c r="AC69" s="310">
        <v>979593</v>
      </c>
      <c r="AD69" s="309">
        <v>787811</v>
      </c>
      <c r="AE69" s="309">
        <v>87601</v>
      </c>
      <c r="AF69" s="309">
        <v>5415</v>
      </c>
      <c r="AG69" s="309">
        <v>635</v>
      </c>
      <c r="AH69" s="309">
        <f t="shared" si="9"/>
        <v>1861055</v>
      </c>
      <c r="AI69" s="309">
        <f t="shared" si="10"/>
        <v>157443</v>
      </c>
      <c r="AJ69" s="309">
        <f t="shared" si="11"/>
        <v>2018498</v>
      </c>
      <c r="AK69" s="309">
        <v>2101</v>
      </c>
      <c r="AL69" s="309">
        <f t="shared" si="12"/>
        <v>178</v>
      </c>
      <c r="AM69" s="311">
        <f t="shared" si="13"/>
        <v>2020777</v>
      </c>
      <c r="AO69" s="458"/>
      <c r="AP69" s="459"/>
      <c r="AQ69" s="459"/>
      <c r="AR69" s="460"/>
      <c r="AS69" s="316"/>
      <c r="AT69" s="458"/>
      <c r="AU69" s="459"/>
      <c r="AV69" s="459"/>
      <c r="AW69" s="459"/>
      <c r="AX69" s="459"/>
      <c r="AY69" s="460"/>
    </row>
    <row r="70" spans="1:51" ht="15" hidden="1" outlineLevel="1" x14ac:dyDescent="0.25">
      <c r="A70" s="295">
        <f t="shared" si="23"/>
        <v>2025</v>
      </c>
      <c r="B70" s="295">
        <f t="shared" si="24"/>
        <v>5</v>
      </c>
      <c r="C70" s="305">
        <f t="shared" si="4"/>
        <v>45778</v>
      </c>
      <c r="E70" s="310">
        <v>770887</v>
      </c>
      <c r="F70" s="309">
        <v>688943</v>
      </c>
      <c r="G70" s="309">
        <v>79391</v>
      </c>
      <c r="H70" s="309">
        <v>4937</v>
      </c>
      <c r="I70" s="309">
        <v>438</v>
      </c>
      <c r="J70" s="309">
        <f t="shared" si="14"/>
        <v>1544596</v>
      </c>
      <c r="K70" s="309">
        <f t="shared" si="15"/>
        <v>130671</v>
      </c>
      <c r="L70" s="309">
        <f t="shared" si="16"/>
        <v>1675267</v>
      </c>
      <c r="M70" s="309">
        <v>2097</v>
      </c>
      <c r="N70" s="309">
        <f t="shared" si="5"/>
        <v>177</v>
      </c>
      <c r="O70" s="311">
        <f t="shared" si="6"/>
        <v>1677541</v>
      </c>
      <c r="P70" s="309"/>
      <c r="Q70" s="310">
        <v>792178.1111594236</v>
      </c>
      <c r="R70" s="309">
        <v>731785.35497420805</v>
      </c>
      <c r="S70" s="309">
        <v>82556</v>
      </c>
      <c r="T70" s="309">
        <f t="shared" si="17"/>
        <v>5177</v>
      </c>
      <c r="U70" s="309">
        <f t="shared" si="17"/>
        <v>438</v>
      </c>
      <c r="V70" s="309">
        <f t="shared" si="18"/>
        <v>1612134.4661336318</v>
      </c>
      <c r="W70" s="309">
        <f t="shared" si="19"/>
        <v>136384.53386636823</v>
      </c>
      <c r="X70" s="309">
        <f t="shared" si="20"/>
        <v>1748519</v>
      </c>
      <c r="Y70" s="309">
        <f t="shared" si="21"/>
        <v>2097</v>
      </c>
      <c r="Z70" s="309">
        <f t="shared" si="8"/>
        <v>177</v>
      </c>
      <c r="AA70" s="311">
        <f t="shared" si="22"/>
        <v>1750793</v>
      </c>
      <c r="AC70" s="310">
        <v>822274</v>
      </c>
      <c r="AD70" s="309">
        <v>745658</v>
      </c>
      <c r="AE70" s="309">
        <v>82556</v>
      </c>
      <c r="AF70" s="309">
        <v>5177</v>
      </c>
      <c r="AG70" s="309">
        <v>438</v>
      </c>
      <c r="AH70" s="309">
        <f t="shared" si="9"/>
        <v>1656103</v>
      </c>
      <c r="AI70" s="309">
        <f t="shared" si="10"/>
        <v>140104</v>
      </c>
      <c r="AJ70" s="309">
        <f t="shared" si="11"/>
        <v>1796207</v>
      </c>
      <c r="AK70" s="309">
        <v>2097</v>
      </c>
      <c r="AL70" s="309">
        <f t="shared" si="12"/>
        <v>177</v>
      </c>
      <c r="AM70" s="311">
        <f t="shared" si="13"/>
        <v>1798481</v>
      </c>
      <c r="AO70" s="458"/>
      <c r="AP70" s="459"/>
      <c r="AQ70" s="459"/>
      <c r="AR70" s="460"/>
      <c r="AS70" s="316"/>
      <c r="AT70" s="458"/>
      <c r="AU70" s="459"/>
      <c r="AV70" s="459"/>
      <c r="AW70" s="459"/>
      <c r="AX70" s="459"/>
      <c r="AY70" s="460"/>
    </row>
    <row r="71" spans="1:51" ht="15" hidden="1" outlineLevel="1" x14ac:dyDescent="0.25">
      <c r="A71" s="295">
        <f t="shared" si="23"/>
        <v>2025</v>
      </c>
      <c r="B71" s="295">
        <f t="shared" si="24"/>
        <v>6</v>
      </c>
      <c r="C71" s="305">
        <f t="shared" si="4"/>
        <v>45809</v>
      </c>
      <c r="E71" s="310">
        <v>712980</v>
      </c>
      <c r="F71" s="309">
        <v>707254</v>
      </c>
      <c r="G71" s="309">
        <v>80704</v>
      </c>
      <c r="H71" s="309">
        <v>4789</v>
      </c>
      <c r="I71" s="309">
        <v>317</v>
      </c>
      <c r="J71" s="309">
        <f t="shared" si="14"/>
        <v>1506044</v>
      </c>
      <c r="K71" s="309">
        <f t="shared" si="15"/>
        <v>127409</v>
      </c>
      <c r="L71" s="309">
        <f t="shared" si="16"/>
        <v>1633453</v>
      </c>
      <c r="M71" s="309">
        <v>1727</v>
      </c>
      <c r="N71" s="309">
        <f t="shared" si="5"/>
        <v>146</v>
      </c>
      <c r="O71" s="311">
        <f t="shared" si="6"/>
        <v>1635326</v>
      </c>
      <c r="P71" s="309"/>
      <c r="Q71" s="310">
        <v>728325.39442499098</v>
      </c>
      <c r="R71" s="309">
        <v>749146.53788014664</v>
      </c>
      <c r="S71" s="309">
        <v>83875</v>
      </c>
      <c r="T71" s="309">
        <f t="shared" si="17"/>
        <v>4997</v>
      </c>
      <c r="U71" s="309">
        <f t="shared" si="17"/>
        <v>317</v>
      </c>
      <c r="V71" s="309">
        <f t="shared" si="18"/>
        <v>1566660.9323051376</v>
      </c>
      <c r="W71" s="309">
        <f t="shared" si="19"/>
        <v>132537.06769486237</v>
      </c>
      <c r="X71" s="309">
        <f t="shared" si="20"/>
        <v>1699198</v>
      </c>
      <c r="Y71" s="309">
        <f t="shared" si="21"/>
        <v>1727</v>
      </c>
      <c r="Z71" s="309">
        <f t="shared" si="8"/>
        <v>146</v>
      </c>
      <c r="AA71" s="311">
        <f t="shared" si="22"/>
        <v>1701071</v>
      </c>
      <c r="AC71" s="310">
        <v>753804</v>
      </c>
      <c r="AD71" s="309">
        <v>762349</v>
      </c>
      <c r="AE71" s="309">
        <v>83875</v>
      </c>
      <c r="AF71" s="309">
        <v>4997</v>
      </c>
      <c r="AG71" s="309">
        <v>317</v>
      </c>
      <c r="AH71" s="309">
        <f t="shared" si="9"/>
        <v>1605342</v>
      </c>
      <c r="AI71" s="309">
        <f t="shared" si="10"/>
        <v>135810</v>
      </c>
      <c r="AJ71" s="309">
        <f t="shared" si="11"/>
        <v>1741152</v>
      </c>
      <c r="AK71" s="309">
        <v>1727</v>
      </c>
      <c r="AL71" s="309">
        <f t="shared" si="12"/>
        <v>146</v>
      </c>
      <c r="AM71" s="311">
        <f t="shared" si="13"/>
        <v>1743025</v>
      </c>
      <c r="AO71" s="458"/>
      <c r="AP71" s="459"/>
      <c r="AQ71" s="459"/>
      <c r="AR71" s="460"/>
      <c r="AS71" s="316"/>
      <c r="AT71" s="458"/>
      <c r="AU71" s="459"/>
      <c r="AV71" s="459"/>
      <c r="AW71" s="459"/>
      <c r="AX71" s="459"/>
      <c r="AY71" s="460"/>
    </row>
    <row r="72" spans="1:51" ht="15" hidden="1" outlineLevel="1" x14ac:dyDescent="0.25">
      <c r="A72" s="295">
        <f t="shared" si="23"/>
        <v>2025</v>
      </c>
      <c r="B72" s="295">
        <f t="shared" si="24"/>
        <v>7</v>
      </c>
      <c r="C72" s="305">
        <f t="shared" si="4"/>
        <v>45839</v>
      </c>
      <c r="E72" s="310">
        <v>739746</v>
      </c>
      <c r="F72" s="309">
        <v>736937</v>
      </c>
      <c r="G72" s="309">
        <v>87961</v>
      </c>
      <c r="H72" s="309">
        <v>4579</v>
      </c>
      <c r="I72" s="309">
        <v>288</v>
      </c>
      <c r="J72" s="309">
        <f t="shared" si="14"/>
        <v>1569511</v>
      </c>
      <c r="K72" s="309">
        <f t="shared" si="15"/>
        <v>132779</v>
      </c>
      <c r="L72" s="309">
        <f t="shared" si="16"/>
        <v>1702290</v>
      </c>
      <c r="M72" s="309">
        <v>2779</v>
      </c>
      <c r="N72" s="309">
        <f t="shared" si="5"/>
        <v>235</v>
      </c>
      <c r="O72" s="311">
        <f t="shared" si="6"/>
        <v>1705304</v>
      </c>
      <c r="P72" s="309"/>
      <c r="Q72" s="310">
        <v>755932.90659692057</v>
      </c>
      <c r="R72" s="309">
        <v>782383.50368126738</v>
      </c>
      <c r="S72" s="309">
        <v>91275</v>
      </c>
      <c r="T72" s="309">
        <f t="shared" si="17"/>
        <v>4832</v>
      </c>
      <c r="U72" s="309">
        <f t="shared" si="17"/>
        <v>288</v>
      </c>
      <c r="V72" s="309">
        <f t="shared" si="18"/>
        <v>1634711.4102781881</v>
      </c>
      <c r="W72" s="309">
        <f t="shared" si="19"/>
        <v>138294.58972181194</v>
      </c>
      <c r="X72" s="309">
        <f t="shared" si="20"/>
        <v>1773006</v>
      </c>
      <c r="Y72" s="309">
        <f t="shared" si="21"/>
        <v>2779</v>
      </c>
      <c r="Z72" s="309">
        <f t="shared" si="8"/>
        <v>235</v>
      </c>
      <c r="AA72" s="311">
        <f t="shared" si="22"/>
        <v>1776020</v>
      </c>
      <c r="AC72" s="310">
        <v>784654</v>
      </c>
      <c r="AD72" s="309">
        <v>796708</v>
      </c>
      <c r="AE72" s="309">
        <v>91275</v>
      </c>
      <c r="AF72" s="309">
        <v>4832</v>
      </c>
      <c r="AG72" s="309">
        <v>288</v>
      </c>
      <c r="AH72" s="309">
        <f t="shared" si="9"/>
        <v>1677757</v>
      </c>
      <c r="AI72" s="309">
        <f t="shared" si="10"/>
        <v>141936</v>
      </c>
      <c r="AJ72" s="309">
        <f t="shared" si="11"/>
        <v>1819693</v>
      </c>
      <c r="AK72" s="309">
        <v>2779</v>
      </c>
      <c r="AL72" s="309">
        <f t="shared" si="12"/>
        <v>235</v>
      </c>
      <c r="AM72" s="311">
        <f t="shared" si="13"/>
        <v>1822707</v>
      </c>
      <c r="AO72" s="458"/>
      <c r="AP72" s="459"/>
      <c r="AQ72" s="459"/>
      <c r="AR72" s="460"/>
      <c r="AS72" s="316"/>
      <c r="AT72" s="458"/>
      <c r="AU72" s="459"/>
      <c r="AV72" s="459"/>
      <c r="AW72" s="459"/>
      <c r="AX72" s="459"/>
      <c r="AY72" s="460"/>
    </row>
    <row r="73" spans="1:51" ht="15" hidden="1" outlineLevel="1" x14ac:dyDescent="0.25">
      <c r="A73" s="295">
        <f t="shared" si="23"/>
        <v>2025</v>
      </c>
      <c r="B73" s="295">
        <f t="shared" si="24"/>
        <v>8</v>
      </c>
      <c r="C73" s="305">
        <f t="shared" si="4"/>
        <v>45870</v>
      </c>
      <c r="E73" s="310">
        <v>754498</v>
      </c>
      <c r="F73" s="309">
        <v>738968</v>
      </c>
      <c r="G73" s="309">
        <v>88981</v>
      </c>
      <c r="H73" s="309">
        <v>4875</v>
      </c>
      <c r="I73" s="309">
        <v>280</v>
      </c>
      <c r="J73" s="309">
        <f t="shared" si="14"/>
        <v>1587602</v>
      </c>
      <c r="K73" s="309">
        <f t="shared" si="15"/>
        <v>134309</v>
      </c>
      <c r="L73" s="309">
        <f t="shared" si="16"/>
        <v>1721911</v>
      </c>
      <c r="M73" s="309">
        <v>1579</v>
      </c>
      <c r="N73" s="309">
        <f t="shared" si="5"/>
        <v>134</v>
      </c>
      <c r="O73" s="311">
        <f t="shared" si="6"/>
        <v>1723624</v>
      </c>
      <c r="P73" s="309"/>
      <c r="Q73" s="310">
        <v>771122.22357617388</v>
      </c>
      <c r="R73" s="309">
        <v>785634.84381726279</v>
      </c>
      <c r="S73" s="309">
        <v>92485</v>
      </c>
      <c r="T73" s="309">
        <f t="shared" si="17"/>
        <v>5175</v>
      </c>
      <c r="U73" s="309">
        <f t="shared" si="17"/>
        <v>280</v>
      </c>
      <c r="V73" s="309">
        <f t="shared" si="18"/>
        <v>1654697.0673934366</v>
      </c>
      <c r="W73" s="309">
        <f t="shared" si="19"/>
        <v>139984.93260656344</v>
      </c>
      <c r="X73" s="309">
        <f t="shared" si="20"/>
        <v>1794682</v>
      </c>
      <c r="Y73" s="309">
        <f t="shared" si="21"/>
        <v>1579</v>
      </c>
      <c r="Z73" s="309">
        <f t="shared" si="8"/>
        <v>134</v>
      </c>
      <c r="AA73" s="311">
        <f t="shared" si="22"/>
        <v>1796395</v>
      </c>
      <c r="AC73" s="310">
        <v>799417</v>
      </c>
      <c r="AD73" s="309">
        <v>800300</v>
      </c>
      <c r="AE73" s="309">
        <v>92485</v>
      </c>
      <c r="AF73" s="309">
        <v>5175</v>
      </c>
      <c r="AG73" s="309">
        <v>280</v>
      </c>
      <c r="AH73" s="309">
        <f t="shared" si="9"/>
        <v>1697657</v>
      </c>
      <c r="AI73" s="309">
        <f t="shared" si="10"/>
        <v>143620</v>
      </c>
      <c r="AJ73" s="309">
        <f t="shared" si="11"/>
        <v>1841277</v>
      </c>
      <c r="AK73" s="309">
        <v>1579</v>
      </c>
      <c r="AL73" s="309">
        <f t="shared" si="12"/>
        <v>134</v>
      </c>
      <c r="AM73" s="311">
        <f t="shared" si="13"/>
        <v>1842990</v>
      </c>
      <c r="AO73" s="458"/>
      <c r="AP73" s="459"/>
      <c r="AQ73" s="459"/>
      <c r="AR73" s="460"/>
      <c r="AS73" s="316"/>
      <c r="AT73" s="458"/>
      <c r="AU73" s="459"/>
      <c r="AV73" s="459"/>
      <c r="AW73" s="459"/>
      <c r="AX73" s="459"/>
      <c r="AY73" s="460"/>
    </row>
    <row r="74" spans="1:51" ht="15" hidden="1" outlineLevel="1" x14ac:dyDescent="0.25">
      <c r="A74" s="295">
        <f t="shared" si="23"/>
        <v>2025</v>
      </c>
      <c r="B74" s="295">
        <f t="shared" si="24"/>
        <v>9</v>
      </c>
      <c r="C74" s="305">
        <f t="shared" si="4"/>
        <v>45901</v>
      </c>
      <c r="E74" s="310">
        <v>711196</v>
      </c>
      <c r="F74" s="309">
        <v>698395</v>
      </c>
      <c r="G74" s="309">
        <v>85417</v>
      </c>
      <c r="H74" s="309">
        <v>5119</v>
      </c>
      <c r="I74" s="309">
        <v>355</v>
      </c>
      <c r="J74" s="309">
        <f t="shared" si="14"/>
        <v>1500482</v>
      </c>
      <c r="K74" s="309">
        <f t="shared" si="15"/>
        <v>126939</v>
      </c>
      <c r="L74" s="309">
        <f t="shared" si="16"/>
        <v>1627421</v>
      </c>
      <c r="M74" s="309">
        <v>1377</v>
      </c>
      <c r="N74" s="309">
        <f t="shared" si="5"/>
        <v>116</v>
      </c>
      <c r="O74" s="311">
        <f t="shared" si="6"/>
        <v>1628914</v>
      </c>
      <c r="P74" s="309"/>
      <c r="Q74" s="310">
        <v>730830.5948818865</v>
      </c>
      <c r="R74" s="309">
        <v>743785.05908828555</v>
      </c>
      <c r="S74" s="309">
        <v>88769</v>
      </c>
      <c r="T74" s="309">
        <f t="shared" si="17"/>
        <v>5430</v>
      </c>
      <c r="U74" s="309">
        <f t="shared" si="17"/>
        <v>355</v>
      </c>
      <c r="V74" s="309">
        <f t="shared" si="18"/>
        <v>1569169.6539701722</v>
      </c>
      <c r="W74" s="309">
        <f t="shared" si="19"/>
        <v>132749.34602982784</v>
      </c>
      <c r="X74" s="309">
        <f t="shared" si="20"/>
        <v>1701919</v>
      </c>
      <c r="Y74" s="309">
        <f t="shared" si="21"/>
        <v>1377</v>
      </c>
      <c r="Z74" s="309">
        <f t="shared" si="8"/>
        <v>116</v>
      </c>
      <c r="AA74" s="311">
        <f t="shared" si="22"/>
        <v>1703412</v>
      </c>
      <c r="AC74" s="310">
        <v>758049</v>
      </c>
      <c r="AD74" s="309">
        <v>757414</v>
      </c>
      <c r="AE74" s="309">
        <v>88769</v>
      </c>
      <c r="AF74" s="309">
        <v>5430</v>
      </c>
      <c r="AG74" s="309">
        <v>355</v>
      </c>
      <c r="AH74" s="309">
        <f t="shared" si="9"/>
        <v>1610017</v>
      </c>
      <c r="AI74" s="309">
        <f t="shared" si="10"/>
        <v>136205</v>
      </c>
      <c r="AJ74" s="309">
        <f t="shared" si="11"/>
        <v>1746222</v>
      </c>
      <c r="AK74" s="309">
        <v>1377</v>
      </c>
      <c r="AL74" s="309">
        <f t="shared" si="12"/>
        <v>116</v>
      </c>
      <c r="AM74" s="311">
        <f t="shared" si="13"/>
        <v>1747715</v>
      </c>
      <c r="AO74" s="458"/>
      <c r="AP74" s="459"/>
      <c r="AQ74" s="459"/>
      <c r="AR74" s="460"/>
      <c r="AS74" s="316"/>
      <c r="AT74" s="458"/>
      <c r="AU74" s="459"/>
      <c r="AV74" s="459"/>
      <c r="AW74" s="459"/>
      <c r="AX74" s="459"/>
      <c r="AY74" s="460"/>
    </row>
    <row r="75" spans="1:51" ht="15" hidden="1" outlineLevel="1" x14ac:dyDescent="0.25">
      <c r="A75" s="295">
        <f t="shared" si="23"/>
        <v>2025</v>
      </c>
      <c r="B75" s="295">
        <f t="shared" si="24"/>
        <v>10</v>
      </c>
      <c r="C75" s="305">
        <f t="shared" si="4"/>
        <v>45931</v>
      </c>
      <c r="E75" s="310">
        <v>833245</v>
      </c>
      <c r="F75" s="309">
        <v>705564</v>
      </c>
      <c r="G75" s="309">
        <v>81317</v>
      </c>
      <c r="H75" s="309">
        <v>4974</v>
      </c>
      <c r="I75" s="309">
        <v>472</v>
      </c>
      <c r="J75" s="309">
        <f t="shared" si="14"/>
        <v>1625572</v>
      </c>
      <c r="K75" s="309">
        <f t="shared" si="15"/>
        <v>137521</v>
      </c>
      <c r="L75" s="309">
        <f t="shared" si="16"/>
        <v>1763093</v>
      </c>
      <c r="M75" s="309">
        <v>1767</v>
      </c>
      <c r="N75" s="309">
        <f t="shared" si="5"/>
        <v>149</v>
      </c>
      <c r="O75" s="311">
        <f t="shared" si="6"/>
        <v>1765009</v>
      </c>
      <c r="P75" s="309"/>
      <c r="Q75" s="310">
        <v>863812.66761509108</v>
      </c>
      <c r="R75" s="309">
        <v>752715.09579459531</v>
      </c>
      <c r="S75" s="309">
        <v>84849</v>
      </c>
      <c r="T75" s="309">
        <f t="shared" si="17"/>
        <v>5382</v>
      </c>
      <c r="U75" s="309">
        <f t="shared" si="17"/>
        <v>472</v>
      </c>
      <c r="V75" s="309">
        <f t="shared" si="18"/>
        <v>1707230.7634096863</v>
      </c>
      <c r="W75" s="309">
        <f t="shared" si="19"/>
        <v>144429.23659031373</v>
      </c>
      <c r="X75" s="309">
        <f t="shared" si="20"/>
        <v>1851660</v>
      </c>
      <c r="Y75" s="309">
        <f t="shared" si="21"/>
        <v>1767</v>
      </c>
      <c r="Z75" s="309">
        <f t="shared" si="8"/>
        <v>149</v>
      </c>
      <c r="AA75" s="311">
        <f t="shared" si="22"/>
        <v>1853576</v>
      </c>
      <c r="AC75" s="310">
        <v>899120</v>
      </c>
      <c r="AD75" s="309">
        <v>767540</v>
      </c>
      <c r="AE75" s="309">
        <v>84849</v>
      </c>
      <c r="AF75" s="309">
        <v>5382</v>
      </c>
      <c r="AG75" s="309">
        <v>472</v>
      </c>
      <c r="AH75" s="309">
        <f t="shared" si="9"/>
        <v>1757363</v>
      </c>
      <c r="AI75" s="309">
        <f t="shared" si="10"/>
        <v>148671</v>
      </c>
      <c r="AJ75" s="309">
        <f t="shared" si="11"/>
        <v>1906034</v>
      </c>
      <c r="AK75" s="309">
        <v>1767</v>
      </c>
      <c r="AL75" s="309">
        <f t="shared" si="12"/>
        <v>149</v>
      </c>
      <c r="AM75" s="311">
        <f t="shared" si="13"/>
        <v>1907950</v>
      </c>
      <c r="AO75" s="458"/>
      <c r="AP75" s="459"/>
      <c r="AQ75" s="459"/>
      <c r="AR75" s="460"/>
      <c r="AS75" s="316"/>
      <c r="AT75" s="458"/>
      <c r="AU75" s="459"/>
      <c r="AV75" s="459"/>
      <c r="AW75" s="459"/>
      <c r="AX75" s="459"/>
      <c r="AY75" s="460"/>
    </row>
    <row r="76" spans="1:51" ht="15" hidden="1" outlineLevel="1" x14ac:dyDescent="0.25">
      <c r="A76" s="295">
        <f t="shared" si="23"/>
        <v>2025</v>
      </c>
      <c r="B76" s="295">
        <f t="shared" si="24"/>
        <v>11</v>
      </c>
      <c r="C76" s="305">
        <f t="shared" si="4"/>
        <v>45962</v>
      </c>
      <c r="E76" s="310">
        <v>1058944</v>
      </c>
      <c r="F76" s="309">
        <v>732672</v>
      </c>
      <c r="G76" s="309">
        <v>85401</v>
      </c>
      <c r="H76" s="309">
        <v>5510</v>
      </c>
      <c r="I76" s="309">
        <v>787</v>
      </c>
      <c r="J76" s="309">
        <f t="shared" si="14"/>
        <v>1883314</v>
      </c>
      <c r="K76" s="309">
        <f t="shared" si="15"/>
        <v>159326</v>
      </c>
      <c r="L76" s="309">
        <f t="shared" si="16"/>
        <v>2042640</v>
      </c>
      <c r="M76" s="309">
        <v>1763</v>
      </c>
      <c r="N76" s="309">
        <f t="shared" si="5"/>
        <v>149</v>
      </c>
      <c r="O76" s="311">
        <f t="shared" si="6"/>
        <v>2044552</v>
      </c>
      <c r="P76" s="309"/>
      <c r="Q76" s="310">
        <v>1102578.282677822</v>
      </c>
      <c r="R76" s="309">
        <v>777467.88578293787</v>
      </c>
      <c r="S76" s="309">
        <v>88726</v>
      </c>
      <c r="T76" s="309">
        <f t="shared" si="17"/>
        <v>5971</v>
      </c>
      <c r="U76" s="309">
        <f t="shared" si="17"/>
        <v>787</v>
      </c>
      <c r="V76" s="309">
        <f t="shared" si="18"/>
        <v>1975530.1684607598</v>
      </c>
      <c r="W76" s="309">
        <f t="shared" si="19"/>
        <v>167126.8315392402</v>
      </c>
      <c r="X76" s="309">
        <f t="shared" si="20"/>
        <v>2142657</v>
      </c>
      <c r="Y76" s="309">
        <f t="shared" si="21"/>
        <v>1763</v>
      </c>
      <c r="Z76" s="309">
        <f t="shared" si="8"/>
        <v>149</v>
      </c>
      <c r="AA76" s="311">
        <f t="shared" si="22"/>
        <v>2144569</v>
      </c>
      <c r="AC76" s="310">
        <v>1146369</v>
      </c>
      <c r="AD76" s="309">
        <v>792133</v>
      </c>
      <c r="AE76" s="309">
        <v>88726</v>
      </c>
      <c r="AF76" s="309">
        <v>5971</v>
      </c>
      <c r="AG76" s="309">
        <v>787</v>
      </c>
      <c r="AH76" s="309">
        <f t="shared" si="9"/>
        <v>2033986</v>
      </c>
      <c r="AI76" s="309">
        <f t="shared" si="10"/>
        <v>172073</v>
      </c>
      <c r="AJ76" s="309">
        <f t="shared" si="11"/>
        <v>2206059</v>
      </c>
      <c r="AK76" s="309">
        <v>1763</v>
      </c>
      <c r="AL76" s="309">
        <f t="shared" si="12"/>
        <v>149</v>
      </c>
      <c r="AM76" s="311">
        <f t="shared" si="13"/>
        <v>2207971</v>
      </c>
      <c r="AO76" s="458"/>
      <c r="AP76" s="459"/>
      <c r="AQ76" s="459"/>
      <c r="AR76" s="460"/>
      <c r="AS76" s="316"/>
      <c r="AT76" s="458"/>
      <c r="AU76" s="459"/>
      <c r="AV76" s="459"/>
      <c r="AW76" s="459"/>
      <c r="AX76" s="459"/>
      <c r="AY76" s="460"/>
    </row>
    <row r="77" spans="1:51" ht="15" hidden="1" outlineLevel="1" x14ac:dyDescent="0.25">
      <c r="A77" s="295">
        <f t="shared" si="23"/>
        <v>2025</v>
      </c>
      <c r="B77" s="295">
        <f t="shared" si="24"/>
        <v>12</v>
      </c>
      <c r="C77" s="305">
        <f t="shared" si="4"/>
        <v>45992</v>
      </c>
      <c r="E77" s="310">
        <v>1170369</v>
      </c>
      <c r="F77" s="309">
        <v>760091</v>
      </c>
      <c r="G77" s="309">
        <v>78010</v>
      </c>
      <c r="H77" s="309">
        <v>5101</v>
      </c>
      <c r="I77" s="309">
        <v>847</v>
      </c>
      <c r="J77" s="309">
        <f t="shared" si="14"/>
        <v>2014418</v>
      </c>
      <c r="K77" s="309">
        <f t="shared" si="15"/>
        <v>170417</v>
      </c>
      <c r="L77" s="309">
        <f t="shared" si="16"/>
        <v>2184835</v>
      </c>
      <c r="M77" s="309">
        <v>1649</v>
      </c>
      <c r="N77" s="309">
        <f t="shared" si="5"/>
        <v>140</v>
      </c>
      <c r="O77" s="311">
        <f t="shared" si="6"/>
        <v>2186624</v>
      </c>
      <c r="P77" s="309"/>
      <c r="Q77" s="310">
        <v>1236191.3441981154</v>
      </c>
      <c r="R77" s="309">
        <v>809232.92378956848</v>
      </c>
      <c r="S77" s="309">
        <v>81527</v>
      </c>
      <c r="T77" s="309">
        <f t="shared" si="17"/>
        <v>5609</v>
      </c>
      <c r="U77" s="309">
        <f t="shared" si="17"/>
        <v>847</v>
      </c>
      <c r="V77" s="309">
        <f t="shared" si="18"/>
        <v>2133407.2679876839</v>
      </c>
      <c r="W77" s="309">
        <f t="shared" si="19"/>
        <v>180483.73201231612</v>
      </c>
      <c r="X77" s="309">
        <f t="shared" si="20"/>
        <v>2313891</v>
      </c>
      <c r="Y77" s="309">
        <f t="shared" si="21"/>
        <v>1649</v>
      </c>
      <c r="Z77" s="309">
        <f t="shared" si="8"/>
        <v>140</v>
      </c>
      <c r="AA77" s="311">
        <f t="shared" si="22"/>
        <v>2315680</v>
      </c>
      <c r="AC77" s="310">
        <v>1293427</v>
      </c>
      <c r="AD77" s="309">
        <v>827679</v>
      </c>
      <c r="AE77" s="309">
        <v>81527</v>
      </c>
      <c r="AF77" s="309">
        <v>5609</v>
      </c>
      <c r="AG77" s="309">
        <v>847</v>
      </c>
      <c r="AH77" s="309">
        <f t="shared" si="9"/>
        <v>2209089</v>
      </c>
      <c r="AI77" s="309">
        <f t="shared" si="10"/>
        <v>186886</v>
      </c>
      <c r="AJ77" s="309">
        <f t="shared" si="11"/>
        <v>2395975</v>
      </c>
      <c r="AK77" s="309">
        <v>1649</v>
      </c>
      <c r="AL77" s="309">
        <f t="shared" si="12"/>
        <v>140</v>
      </c>
      <c r="AM77" s="311">
        <f t="shared" si="13"/>
        <v>2397764</v>
      </c>
      <c r="AO77" s="458"/>
      <c r="AP77" s="459"/>
      <c r="AQ77" s="459"/>
      <c r="AR77" s="460"/>
      <c r="AS77" s="316"/>
      <c r="AT77" s="458"/>
      <c r="AU77" s="459"/>
      <c r="AV77" s="459"/>
      <c r="AW77" s="459"/>
      <c r="AX77" s="459"/>
      <c r="AY77" s="460"/>
    </row>
    <row r="78" spans="1:51" ht="15" hidden="1" outlineLevel="1" x14ac:dyDescent="0.25">
      <c r="A78" s="295">
        <f t="shared" si="23"/>
        <v>2026</v>
      </c>
      <c r="B78" s="295">
        <f t="shared" si="24"/>
        <v>1</v>
      </c>
      <c r="C78" s="305">
        <f t="shared" si="4"/>
        <v>46023</v>
      </c>
      <c r="E78" s="310">
        <v>1186846</v>
      </c>
      <c r="F78" s="309">
        <v>768888</v>
      </c>
      <c r="G78" s="309">
        <v>74587</v>
      </c>
      <c r="H78" s="309">
        <v>5462</v>
      </c>
      <c r="I78" s="309">
        <v>978</v>
      </c>
      <c r="J78" s="309">
        <f t="shared" si="14"/>
        <v>2036761</v>
      </c>
      <c r="K78" s="309">
        <f t="shared" si="15"/>
        <v>172307</v>
      </c>
      <c r="L78" s="309">
        <f t="shared" si="16"/>
        <v>2209068</v>
      </c>
      <c r="M78" s="309">
        <v>2243</v>
      </c>
      <c r="N78" s="309">
        <f t="shared" si="5"/>
        <v>190</v>
      </c>
      <c r="O78" s="311">
        <f t="shared" si="6"/>
        <v>2211501</v>
      </c>
      <c r="P78" s="309"/>
      <c r="Q78" s="310">
        <v>1247854.0764486876</v>
      </c>
      <c r="R78" s="309">
        <v>818425.25171607826</v>
      </c>
      <c r="S78" s="309">
        <v>78183</v>
      </c>
      <c r="T78" s="309">
        <f t="shared" si="17"/>
        <v>5984</v>
      </c>
      <c r="U78" s="309">
        <f t="shared" si="17"/>
        <v>978</v>
      </c>
      <c r="V78" s="309">
        <f t="shared" si="18"/>
        <v>2151424.3281647656</v>
      </c>
      <c r="W78" s="309">
        <f t="shared" si="19"/>
        <v>182007.67183523439</v>
      </c>
      <c r="X78" s="309">
        <f t="shared" si="20"/>
        <v>2333432</v>
      </c>
      <c r="Y78" s="309">
        <f t="shared" si="21"/>
        <v>2243</v>
      </c>
      <c r="Z78" s="309">
        <f t="shared" si="8"/>
        <v>190</v>
      </c>
      <c r="AA78" s="311">
        <f t="shared" si="22"/>
        <v>2335865</v>
      </c>
      <c r="AC78" s="310">
        <v>1297552</v>
      </c>
      <c r="AD78" s="309">
        <v>835887</v>
      </c>
      <c r="AE78" s="309">
        <v>78183</v>
      </c>
      <c r="AF78" s="309">
        <v>5984</v>
      </c>
      <c r="AG78" s="309">
        <v>978</v>
      </c>
      <c r="AH78" s="309">
        <f t="shared" si="9"/>
        <v>2218584</v>
      </c>
      <c r="AI78" s="309">
        <f t="shared" si="10"/>
        <v>187689</v>
      </c>
      <c r="AJ78" s="309">
        <f t="shared" si="11"/>
        <v>2406273</v>
      </c>
      <c r="AK78" s="309">
        <v>2243</v>
      </c>
      <c r="AL78" s="309">
        <f t="shared" si="12"/>
        <v>190</v>
      </c>
      <c r="AM78" s="311">
        <f t="shared" si="13"/>
        <v>2408706</v>
      </c>
      <c r="AO78" s="458"/>
      <c r="AP78" s="459"/>
      <c r="AQ78" s="459"/>
      <c r="AR78" s="460"/>
      <c r="AS78" s="316"/>
      <c r="AT78" s="458"/>
      <c r="AU78" s="459"/>
      <c r="AV78" s="459"/>
      <c r="AW78" s="459"/>
      <c r="AX78" s="459"/>
      <c r="AY78" s="460"/>
    </row>
    <row r="79" spans="1:51" ht="15" hidden="1" outlineLevel="1" x14ac:dyDescent="0.25">
      <c r="A79" s="295">
        <f t="shared" si="23"/>
        <v>2026</v>
      </c>
      <c r="B79" s="295">
        <f t="shared" si="24"/>
        <v>2</v>
      </c>
      <c r="C79" s="305">
        <f t="shared" si="4"/>
        <v>46054</v>
      </c>
      <c r="E79" s="310">
        <v>1032204</v>
      </c>
      <c r="F79" s="309">
        <v>710635</v>
      </c>
      <c r="G79" s="309">
        <v>74330</v>
      </c>
      <c r="H79" s="309">
        <v>5111</v>
      </c>
      <c r="I79" s="309">
        <v>864</v>
      </c>
      <c r="J79" s="309">
        <f t="shared" si="14"/>
        <v>1823144</v>
      </c>
      <c r="K79" s="309">
        <f t="shared" si="15"/>
        <v>154235</v>
      </c>
      <c r="L79" s="309">
        <f>ROUNDDOWN(J79/(1-0.078), 0)</f>
        <v>1977379</v>
      </c>
      <c r="M79" s="309">
        <v>2355</v>
      </c>
      <c r="N79" s="309">
        <f t="shared" si="5"/>
        <v>199</v>
      </c>
      <c r="O79" s="311">
        <f t="shared" si="6"/>
        <v>1979933</v>
      </c>
      <c r="P79" s="309"/>
      <c r="Q79" s="310">
        <v>1080428.0599458385</v>
      </c>
      <c r="R79" s="309">
        <v>753652.35153815208</v>
      </c>
      <c r="S79" s="309">
        <v>77551</v>
      </c>
      <c r="T79" s="309">
        <f t="shared" si="17"/>
        <v>5517</v>
      </c>
      <c r="U79" s="309">
        <f t="shared" si="17"/>
        <v>864</v>
      </c>
      <c r="V79" s="309">
        <f t="shared" si="18"/>
        <v>1918012.4114839905</v>
      </c>
      <c r="W79" s="309">
        <f t="shared" si="19"/>
        <v>162261.58851600951</v>
      </c>
      <c r="X79" s="309">
        <f t="shared" si="20"/>
        <v>2080274</v>
      </c>
      <c r="Y79" s="309">
        <f t="shared" si="21"/>
        <v>2355</v>
      </c>
      <c r="Z79" s="309">
        <f t="shared" si="8"/>
        <v>199</v>
      </c>
      <c r="AA79" s="311">
        <f t="shared" si="22"/>
        <v>2082828</v>
      </c>
      <c r="AC79" s="310">
        <v>1120525</v>
      </c>
      <c r="AD79" s="309">
        <v>767381</v>
      </c>
      <c r="AE79" s="309">
        <v>77551</v>
      </c>
      <c r="AF79" s="309">
        <v>5517</v>
      </c>
      <c r="AG79" s="309">
        <v>864</v>
      </c>
      <c r="AH79" s="309">
        <f t="shared" si="9"/>
        <v>1971838</v>
      </c>
      <c r="AI79" s="309">
        <f t="shared" si="10"/>
        <v>166815</v>
      </c>
      <c r="AJ79" s="309">
        <f t="shared" si="11"/>
        <v>2138653</v>
      </c>
      <c r="AK79" s="309">
        <v>2355</v>
      </c>
      <c r="AL79" s="309">
        <f t="shared" si="12"/>
        <v>199</v>
      </c>
      <c r="AM79" s="311">
        <f t="shared" si="13"/>
        <v>2141207</v>
      </c>
      <c r="AO79" s="458"/>
      <c r="AP79" s="459"/>
      <c r="AQ79" s="459"/>
      <c r="AR79" s="460"/>
      <c r="AS79" s="316"/>
      <c r="AT79" s="458"/>
      <c r="AU79" s="459"/>
      <c r="AV79" s="459"/>
      <c r="AW79" s="459"/>
      <c r="AX79" s="459"/>
      <c r="AY79" s="460"/>
    </row>
    <row r="80" spans="1:51" ht="15" hidden="1" outlineLevel="1" x14ac:dyDescent="0.25">
      <c r="A80" s="295">
        <f t="shared" si="23"/>
        <v>2026</v>
      </c>
      <c r="B80" s="295">
        <f t="shared" si="24"/>
        <v>3</v>
      </c>
      <c r="C80" s="305">
        <f t="shared" si="4"/>
        <v>46082</v>
      </c>
      <c r="E80" s="310">
        <v>1021854</v>
      </c>
      <c r="F80" s="309">
        <v>746543</v>
      </c>
      <c r="G80" s="309">
        <v>81942</v>
      </c>
      <c r="H80" s="309">
        <v>4663</v>
      </c>
      <c r="I80" s="309">
        <v>767</v>
      </c>
      <c r="J80" s="309">
        <f t="shared" si="14"/>
        <v>1855769</v>
      </c>
      <c r="K80" s="309">
        <f t="shared" si="15"/>
        <v>156996</v>
      </c>
      <c r="L80" s="309">
        <f t="shared" si="16"/>
        <v>2012765</v>
      </c>
      <c r="M80" s="309">
        <v>2263</v>
      </c>
      <c r="N80" s="309">
        <f t="shared" si="5"/>
        <v>191</v>
      </c>
      <c r="O80" s="311">
        <f t="shared" si="6"/>
        <v>2015219</v>
      </c>
      <c r="P80" s="309"/>
      <c r="Q80" s="310">
        <v>1070075.3651506286</v>
      </c>
      <c r="R80" s="309">
        <v>798105.46740372072</v>
      </c>
      <c r="S80" s="309">
        <v>85652</v>
      </c>
      <c r="T80" s="309">
        <f t="shared" si="17"/>
        <v>5100</v>
      </c>
      <c r="U80" s="309">
        <f t="shared" si="17"/>
        <v>767</v>
      </c>
      <c r="V80" s="309">
        <f t="shared" si="18"/>
        <v>1959699.8325543492</v>
      </c>
      <c r="W80" s="309">
        <f t="shared" si="19"/>
        <v>165788.16744565079</v>
      </c>
      <c r="X80" s="309">
        <f t="shared" si="20"/>
        <v>2125488</v>
      </c>
      <c r="Y80" s="309">
        <f t="shared" si="21"/>
        <v>2263</v>
      </c>
      <c r="Z80" s="309">
        <f t="shared" si="8"/>
        <v>191</v>
      </c>
      <c r="AA80" s="311">
        <f t="shared" si="22"/>
        <v>2127942</v>
      </c>
      <c r="AC80" s="310">
        <v>1110599</v>
      </c>
      <c r="AD80" s="309">
        <v>814280</v>
      </c>
      <c r="AE80" s="309">
        <v>85652</v>
      </c>
      <c r="AF80" s="309">
        <v>5100</v>
      </c>
      <c r="AG80" s="309">
        <v>767</v>
      </c>
      <c r="AH80" s="309">
        <f t="shared" si="9"/>
        <v>2016398</v>
      </c>
      <c r="AI80" s="309">
        <f t="shared" si="10"/>
        <v>170585</v>
      </c>
      <c r="AJ80" s="309">
        <f t="shared" si="11"/>
        <v>2186983</v>
      </c>
      <c r="AK80" s="309">
        <v>2263</v>
      </c>
      <c r="AL80" s="309">
        <f t="shared" si="12"/>
        <v>191</v>
      </c>
      <c r="AM80" s="311">
        <f t="shared" si="13"/>
        <v>2189437</v>
      </c>
      <c r="AO80" s="458"/>
      <c r="AP80" s="459"/>
      <c r="AQ80" s="459"/>
      <c r="AR80" s="460"/>
      <c r="AS80" s="316"/>
      <c r="AT80" s="458"/>
      <c r="AU80" s="459"/>
      <c r="AV80" s="459"/>
      <c r="AW80" s="459"/>
      <c r="AX80" s="459"/>
      <c r="AY80" s="460"/>
    </row>
    <row r="81" spans="1:51" ht="15" hidden="1" outlineLevel="1" x14ac:dyDescent="0.25">
      <c r="A81" s="295">
        <f t="shared" si="23"/>
        <v>2026</v>
      </c>
      <c r="B81" s="295">
        <f t="shared" si="24"/>
        <v>4</v>
      </c>
      <c r="C81" s="305">
        <f t="shared" si="4"/>
        <v>46113</v>
      </c>
      <c r="E81" s="310">
        <v>922299</v>
      </c>
      <c r="F81" s="309">
        <v>733259</v>
      </c>
      <c r="G81" s="309">
        <v>83180</v>
      </c>
      <c r="H81" s="309">
        <v>5019</v>
      </c>
      <c r="I81" s="309">
        <v>633</v>
      </c>
      <c r="J81" s="309">
        <f t="shared" si="14"/>
        <v>1744390</v>
      </c>
      <c r="K81" s="309">
        <f t="shared" si="15"/>
        <v>147573</v>
      </c>
      <c r="L81" s="309">
        <f t="shared" si="16"/>
        <v>1891963</v>
      </c>
      <c r="M81" s="309">
        <v>2101</v>
      </c>
      <c r="N81" s="309">
        <f t="shared" si="5"/>
        <v>178</v>
      </c>
      <c r="O81" s="311">
        <f t="shared" si="6"/>
        <v>1894242</v>
      </c>
      <c r="P81" s="309"/>
      <c r="Q81" s="310">
        <v>964635.05953792529</v>
      </c>
      <c r="R81" s="309">
        <v>781571.18531292502</v>
      </c>
      <c r="S81" s="309">
        <v>86708</v>
      </c>
      <c r="T81" s="309">
        <f t="shared" si="17"/>
        <v>5395</v>
      </c>
      <c r="U81" s="309">
        <f t="shared" si="17"/>
        <v>633</v>
      </c>
      <c r="V81" s="309">
        <f t="shared" si="18"/>
        <v>1838942.2448508502</v>
      </c>
      <c r="W81" s="309">
        <f t="shared" si="19"/>
        <v>155571.7551491498</v>
      </c>
      <c r="X81" s="309">
        <f t="shared" si="20"/>
        <v>1994514</v>
      </c>
      <c r="Y81" s="309">
        <f t="shared" si="21"/>
        <v>2101</v>
      </c>
      <c r="Z81" s="309">
        <f t="shared" si="8"/>
        <v>178</v>
      </c>
      <c r="AA81" s="311">
        <f t="shared" si="22"/>
        <v>1996793</v>
      </c>
      <c r="AC81" s="310">
        <v>998402</v>
      </c>
      <c r="AD81" s="309">
        <v>796521</v>
      </c>
      <c r="AE81" s="309">
        <v>86708</v>
      </c>
      <c r="AF81" s="309">
        <v>5395</v>
      </c>
      <c r="AG81" s="309">
        <v>633</v>
      </c>
      <c r="AH81" s="309">
        <f t="shared" si="9"/>
        <v>1887659</v>
      </c>
      <c r="AI81" s="309">
        <f t="shared" si="10"/>
        <v>159693</v>
      </c>
      <c r="AJ81" s="309">
        <f t="shared" si="11"/>
        <v>2047352</v>
      </c>
      <c r="AK81" s="309">
        <v>2101</v>
      </c>
      <c r="AL81" s="309">
        <f t="shared" si="12"/>
        <v>178</v>
      </c>
      <c r="AM81" s="311">
        <f t="shared" si="13"/>
        <v>2049631</v>
      </c>
      <c r="AO81" s="458"/>
      <c r="AP81" s="459"/>
      <c r="AQ81" s="459"/>
      <c r="AR81" s="460"/>
      <c r="AS81" s="316"/>
      <c r="AT81" s="458"/>
      <c r="AU81" s="459"/>
      <c r="AV81" s="459"/>
      <c r="AW81" s="459"/>
      <c r="AX81" s="459"/>
      <c r="AY81" s="460"/>
    </row>
    <row r="82" spans="1:51" ht="15" hidden="1" outlineLevel="1" x14ac:dyDescent="0.25">
      <c r="A82" s="295">
        <f t="shared" si="23"/>
        <v>2026</v>
      </c>
      <c r="B82" s="295">
        <f t="shared" si="24"/>
        <v>5</v>
      </c>
      <c r="C82" s="305">
        <f t="shared" si="4"/>
        <v>46143</v>
      </c>
      <c r="E82" s="310">
        <v>776776</v>
      </c>
      <c r="F82" s="309">
        <v>684948</v>
      </c>
      <c r="G82" s="309">
        <v>78067</v>
      </c>
      <c r="H82" s="309">
        <v>4819</v>
      </c>
      <c r="I82" s="309">
        <v>437</v>
      </c>
      <c r="J82" s="309">
        <f t="shared" si="14"/>
        <v>1545047</v>
      </c>
      <c r="K82" s="309">
        <f t="shared" si="15"/>
        <v>130709</v>
      </c>
      <c r="L82" s="309">
        <f t="shared" si="16"/>
        <v>1675756</v>
      </c>
      <c r="M82" s="309">
        <v>2097</v>
      </c>
      <c r="N82" s="309">
        <f t="shared" si="5"/>
        <v>177</v>
      </c>
      <c r="O82" s="311">
        <f t="shared" si="6"/>
        <v>1678030</v>
      </c>
      <c r="P82" s="309"/>
      <c r="Q82" s="310">
        <v>805267.92910140508</v>
      </c>
      <c r="R82" s="309">
        <v>738425.83015123988</v>
      </c>
      <c r="S82" s="309">
        <v>81786</v>
      </c>
      <c r="T82" s="309">
        <f t="shared" si="17"/>
        <v>5160</v>
      </c>
      <c r="U82" s="309">
        <f t="shared" si="17"/>
        <v>437</v>
      </c>
      <c r="V82" s="309">
        <f t="shared" si="18"/>
        <v>1631076.7592526451</v>
      </c>
      <c r="W82" s="309">
        <f t="shared" si="19"/>
        <v>137987.24074735492</v>
      </c>
      <c r="X82" s="309">
        <f t="shared" si="20"/>
        <v>1769064</v>
      </c>
      <c r="Y82" s="309">
        <f t="shared" si="21"/>
        <v>2097</v>
      </c>
      <c r="Z82" s="309">
        <f t="shared" si="8"/>
        <v>177</v>
      </c>
      <c r="AA82" s="311">
        <f t="shared" si="22"/>
        <v>1771338</v>
      </c>
      <c r="AC82" s="310">
        <v>838748</v>
      </c>
      <c r="AD82" s="309">
        <v>753714</v>
      </c>
      <c r="AE82" s="309">
        <v>81786</v>
      </c>
      <c r="AF82" s="309">
        <v>5160</v>
      </c>
      <c r="AG82" s="309">
        <v>437</v>
      </c>
      <c r="AH82" s="309">
        <f t="shared" si="9"/>
        <v>1679845</v>
      </c>
      <c r="AI82" s="309">
        <f t="shared" si="10"/>
        <v>142113</v>
      </c>
      <c r="AJ82" s="309">
        <f t="shared" si="11"/>
        <v>1821958</v>
      </c>
      <c r="AK82" s="309">
        <v>2097</v>
      </c>
      <c r="AL82" s="309">
        <f t="shared" si="12"/>
        <v>177</v>
      </c>
      <c r="AM82" s="311">
        <f t="shared" si="13"/>
        <v>1824232</v>
      </c>
      <c r="AO82" s="458"/>
      <c r="AP82" s="459"/>
      <c r="AQ82" s="459"/>
      <c r="AR82" s="460"/>
      <c r="AS82" s="316"/>
      <c r="AT82" s="458"/>
      <c r="AU82" s="459"/>
      <c r="AV82" s="459"/>
      <c r="AW82" s="459"/>
      <c r="AX82" s="459"/>
      <c r="AY82" s="460"/>
    </row>
    <row r="83" spans="1:51" ht="15" hidden="1" outlineLevel="1" x14ac:dyDescent="0.25">
      <c r="A83" s="295">
        <f t="shared" si="23"/>
        <v>2026</v>
      </c>
      <c r="B83" s="295">
        <f t="shared" si="24"/>
        <v>6</v>
      </c>
      <c r="C83" s="305">
        <f t="shared" si="4"/>
        <v>46174</v>
      </c>
      <c r="E83" s="310">
        <v>724105</v>
      </c>
      <c r="F83" s="309">
        <v>703974</v>
      </c>
      <c r="G83" s="309">
        <v>79443</v>
      </c>
      <c r="H83" s="309">
        <v>4677</v>
      </c>
      <c r="I83" s="309">
        <v>317</v>
      </c>
      <c r="J83" s="309">
        <f t="shared" si="14"/>
        <v>1512516</v>
      </c>
      <c r="K83" s="309">
        <f t="shared" si="15"/>
        <v>127957</v>
      </c>
      <c r="L83" s="309">
        <f t="shared" si="16"/>
        <v>1640473</v>
      </c>
      <c r="M83" s="309">
        <v>1727</v>
      </c>
      <c r="N83" s="309">
        <f t="shared" si="5"/>
        <v>146</v>
      </c>
      <c r="O83" s="311">
        <f t="shared" si="6"/>
        <v>1642346</v>
      </c>
      <c r="P83" s="309"/>
      <c r="Q83" s="310">
        <v>744499.23330683925</v>
      </c>
      <c r="R83" s="309">
        <v>756234.10281436646</v>
      </c>
      <c r="S83" s="309">
        <v>83161</v>
      </c>
      <c r="T83" s="309">
        <f t="shared" si="17"/>
        <v>4969</v>
      </c>
      <c r="U83" s="309">
        <f t="shared" si="17"/>
        <v>317</v>
      </c>
      <c r="V83" s="309">
        <f t="shared" si="18"/>
        <v>1589180.3361212057</v>
      </c>
      <c r="W83" s="309">
        <f t="shared" si="19"/>
        <v>134442.66387879429</v>
      </c>
      <c r="X83" s="309">
        <f t="shared" si="20"/>
        <v>1723623</v>
      </c>
      <c r="Y83" s="309">
        <f t="shared" si="21"/>
        <v>1727</v>
      </c>
      <c r="Z83" s="309">
        <f t="shared" si="8"/>
        <v>146</v>
      </c>
      <c r="AA83" s="311">
        <f t="shared" si="22"/>
        <v>1725496</v>
      </c>
      <c r="AC83" s="310">
        <v>772645</v>
      </c>
      <c r="AD83" s="309">
        <v>770828</v>
      </c>
      <c r="AE83" s="309">
        <v>83161</v>
      </c>
      <c r="AF83" s="309">
        <v>4969</v>
      </c>
      <c r="AG83" s="309">
        <v>317</v>
      </c>
      <c r="AH83" s="309">
        <f t="shared" si="9"/>
        <v>1631920</v>
      </c>
      <c r="AI83" s="309">
        <f t="shared" si="10"/>
        <v>138058</v>
      </c>
      <c r="AJ83" s="309">
        <f t="shared" si="11"/>
        <v>1769978</v>
      </c>
      <c r="AK83" s="309">
        <v>1727</v>
      </c>
      <c r="AL83" s="309">
        <f t="shared" si="12"/>
        <v>146</v>
      </c>
      <c r="AM83" s="311">
        <f t="shared" si="13"/>
        <v>1771851</v>
      </c>
      <c r="AO83" s="458"/>
      <c r="AP83" s="459"/>
      <c r="AQ83" s="459"/>
      <c r="AR83" s="460"/>
      <c r="AS83" s="316"/>
      <c r="AT83" s="458"/>
      <c r="AU83" s="459"/>
      <c r="AV83" s="459"/>
      <c r="AW83" s="459"/>
      <c r="AX83" s="459"/>
      <c r="AY83" s="460"/>
    </row>
    <row r="84" spans="1:51" ht="15" hidden="1" outlineLevel="1" x14ac:dyDescent="0.25">
      <c r="A84" s="295">
        <f t="shared" si="23"/>
        <v>2026</v>
      </c>
      <c r="B84" s="295">
        <f t="shared" si="24"/>
        <v>7</v>
      </c>
      <c r="C84" s="305">
        <f t="shared" si="4"/>
        <v>46204</v>
      </c>
      <c r="E84" s="310">
        <v>754722</v>
      </c>
      <c r="F84" s="309">
        <v>733322</v>
      </c>
      <c r="G84" s="309">
        <v>86659</v>
      </c>
      <c r="H84" s="309">
        <v>4457</v>
      </c>
      <c r="I84" s="309">
        <v>288</v>
      </c>
      <c r="J84" s="309">
        <f t="shared" si="14"/>
        <v>1579448</v>
      </c>
      <c r="K84" s="309">
        <f t="shared" si="15"/>
        <v>133619</v>
      </c>
      <c r="L84" s="309">
        <f t="shared" si="16"/>
        <v>1713067</v>
      </c>
      <c r="M84" s="309">
        <v>2779</v>
      </c>
      <c r="N84" s="309">
        <f t="shared" si="5"/>
        <v>235</v>
      </c>
      <c r="O84" s="311">
        <f t="shared" si="6"/>
        <v>1716081</v>
      </c>
      <c r="P84" s="309"/>
      <c r="Q84" s="310">
        <v>776116.96361407463</v>
      </c>
      <c r="R84" s="309">
        <v>789755.40668753395</v>
      </c>
      <c r="S84" s="309">
        <v>90531</v>
      </c>
      <c r="T84" s="309">
        <f t="shared" si="17"/>
        <v>4810</v>
      </c>
      <c r="U84" s="309">
        <f t="shared" si="17"/>
        <v>288</v>
      </c>
      <c r="V84" s="309">
        <f t="shared" si="18"/>
        <v>1661501.3703016085</v>
      </c>
      <c r="W84" s="309">
        <f t="shared" si="19"/>
        <v>140560.62969839154</v>
      </c>
      <c r="X84" s="309">
        <f t="shared" si="20"/>
        <v>1802062</v>
      </c>
      <c r="Y84" s="309">
        <f t="shared" si="21"/>
        <v>2779</v>
      </c>
      <c r="Z84" s="309">
        <f t="shared" si="8"/>
        <v>235</v>
      </c>
      <c r="AA84" s="311">
        <f t="shared" si="22"/>
        <v>1805076</v>
      </c>
      <c r="AC84" s="310">
        <v>807952</v>
      </c>
      <c r="AD84" s="309">
        <v>805721</v>
      </c>
      <c r="AE84" s="309">
        <v>90531</v>
      </c>
      <c r="AF84" s="309">
        <v>4810</v>
      </c>
      <c r="AG84" s="309">
        <v>288</v>
      </c>
      <c r="AH84" s="309">
        <f t="shared" si="9"/>
        <v>1709302</v>
      </c>
      <c r="AI84" s="309">
        <f t="shared" si="10"/>
        <v>144605</v>
      </c>
      <c r="AJ84" s="309">
        <f t="shared" si="11"/>
        <v>1853907</v>
      </c>
      <c r="AK84" s="309">
        <v>2779</v>
      </c>
      <c r="AL84" s="309">
        <f t="shared" si="12"/>
        <v>235</v>
      </c>
      <c r="AM84" s="311">
        <f t="shared" si="13"/>
        <v>1856921</v>
      </c>
      <c r="AO84" s="458"/>
      <c r="AP84" s="459"/>
      <c r="AQ84" s="459"/>
      <c r="AR84" s="460"/>
      <c r="AS84" s="316"/>
      <c r="AT84" s="458"/>
      <c r="AU84" s="459"/>
      <c r="AV84" s="459"/>
      <c r="AW84" s="459"/>
      <c r="AX84" s="459"/>
      <c r="AY84" s="460"/>
    </row>
    <row r="85" spans="1:51" ht="15" hidden="1" outlineLevel="1" x14ac:dyDescent="0.25">
      <c r="A85" s="295">
        <f t="shared" si="23"/>
        <v>2026</v>
      </c>
      <c r="B85" s="295">
        <f t="shared" si="24"/>
        <v>8</v>
      </c>
      <c r="C85" s="305">
        <f t="shared" si="4"/>
        <v>46235</v>
      </c>
      <c r="E85" s="310">
        <v>769448</v>
      </c>
      <c r="F85" s="309">
        <v>735006</v>
      </c>
      <c r="G85" s="309">
        <v>87651</v>
      </c>
      <c r="H85" s="309">
        <v>4750</v>
      </c>
      <c r="I85" s="309">
        <v>280</v>
      </c>
      <c r="J85" s="309">
        <f t="shared" si="14"/>
        <v>1597135</v>
      </c>
      <c r="K85" s="309">
        <f t="shared" si="15"/>
        <v>135116</v>
      </c>
      <c r="L85" s="309">
        <f t="shared" si="16"/>
        <v>1732251</v>
      </c>
      <c r="M85" s="309">
        <v>1579</v>
      </c>
      <c r="N85" s="309">
        <f t="shared" si="5"/>
        <v>134</v>
      </c>
      <c r="O85" s="311">
        <f t="shared" si="6"/>
        <v>1733964</v>
      </c>
      <c r="P85" s="309"/>
      <c r="Q85" s="310">
        <v>791324.84013519005</v>
      </c>
      <c r="R85" s="309">
        <v>792736.92388242704</v>
      </c>
      <c r="S85" s="309">
        <v>91745</v>
      </c>
      <c r="T85" s="309">
        <f t="shared" si="17"/>
        <v>5165</v>
      </c>
      <c r="U85" s="309">
        <f t="shared" si="17"/>
        <v>280</v>
      </c>
      <c r="V85" s="309">
        <f t="shared" si="18"/>
        <v>1681251.7640176171</v>
      </c>
      <c r="W85" s="309">
        <f t="shared" si="19"/>
        <v>142231.2359823829</v>
      </c>
      <c r="X85" s="309">
        <f t="shared" si="20"/>
        <v>1823483</v>
      </c>
      <c r="Y85" s="309">
        <f t="shared" si="21"/>
        <v>1579</v>
      </c>
      <c r="Z85" s="309">
        <f t="shared" si="8"/>
        <v>134</v>
      </c>
      <c r="AA85" s="311">
        <f t="shared" si="22"/>
        <v>1825196</v>
      </c>
      <c r="AC85" s="310">
        <v>822633</v>
      </c>
      <c r="AD85" s="309">
        <v>809015</v>
      </c>
      <c r="AE85" s="309">
        <v>91745</v>
      </c>
      <c r="AF85" s="309">
        <v>5165</v>
      </c>
      <c r="AG85" s="309">
        <v>280</v>
      </c>
      <c r="AH85" s="309">
        <f t="shared" si="9"/>
        <v>1728838</v>
      </c>
      <c r="AI85" s="309">
        <f t="shared" si="10"/>
        <v>146257</v>
      </c>
      <c r="AJ85" s="309">
        <f t="shared" si="11"/>
        <v>1875095</v>
      </c>
      <c r="AK85" s="309">
        <v>1579</v>
      </c>
      <c r="AL85" s="309">
        <f t="shared" si="12"/>
        <v>134</v>
      </c>
      <c r="AM85" s="311">
        <f t="shared" si="13"/>
        <v>1876808</v>
      </c>
      <c r="AO85" s="458"/>
      <c r="AP85" s="459"/>
      <c r="AQ85" s="459"/>
      <c r="AR85" s="460"/>
      <c r="AS85" s="316"/>
      <c r="AT85" s="458"/>
      <c r="AU85" s="459"/>
      <c r="AV85" s="459"/>
      <c r="AW85" s="459"/>
      <c r="AX85" s="459"/>
      <c r="AY85" s="460"/>
    </row>
    <row r="86" spans="1:51" ht="15" hidden="1" outlineLevel="1" x14ac:dyDescent="0.25">
      <c r="A86" s="295">
        <f t="shared" si="23"/>
        <v>2026</v>
      </c>
      <c r="B86" s="295">
        <f t="shared" si="24"/>
        <v>9</v>
      </c>
      <c r="C86" s="305">
        <f t="shared" si="4"/>
        <v>46266</v>
      </c>
      <c r="E86" s="310">
        <v>722396</v>
      </c>
      <c r="F86" s="309">
        <v>694224</v>
      </c>
      <c r="G86" s="309">
        <v>84153</v>
      </c>
      <c r="H86" s="309">
        <v>4994</v>
      </c>
      <c r="I86" s="309">
        <v>355</v>
      </c>
      <c r="J86" s="309">
        <f t="shared" si="14"/>
        <v>1506122</v>
      </c>
      <c r="K86" s="309">
        <f t="shared" si="15"/>
        <v>127416</v>
      </c>
      <c r="L86" s="309">
        <f t="shared" si="16"/>
        <v>1633538</v>
      </c>
      <c r="M86" s="309">
        <v>1377</v>
      </c>
      <c r="N86" s="309">
        <f t="shared" si="5"/>
        <v>116</v>
      </c>
      <c r="O86" s="311">
        <f t="shared" si="6"/>
        <v>1635031</v>
      </c>
      <c r="P86" s="309"/>
      <c r="Q86" s="310">
        <v>747965.28791577695</v>
      </c>
      <c r="R86" s="309">
        <v>750257.49587494694</v>
      </c>
      <c r="S86" s="309">
        <v>88061</v>
      </c>
      <c r="T86" s="309">
        <f t="shared" si="17"/>
        <v>5422</v>
      </c>
      <c r="U86" s="309">
        <f t="shared" si="17"/>
        <v>355</v>
      </c>
      <c r="V86" s="309">
        <f t="shared" si="18"/>
        <v>1592060.7837907239</v>
      </c>
      <c r="W86" s="309">
        <f t="shared" si="19"/>
        <v>134686.21620927611</v>
      </c>
      <c r="X86" s="309">
        <f t="shared" si="20"/>
        <v>1726747</v>
      </c>
      <c r="Y86" s="309">
        <f t="shared" si="21"/>
        <v>1377</v>
      </c>
      <c r="Z86" s="309">
        <f t="shared" si="8"/>
        <v>116</v>
      </c>
      <c r="AA86" s="311">
        <f t="shared" si="22"/>
        <v>1728240</v>
      </c>
      <c r="AC86" s="310">
        <v>777801</v>
      </c>
      <c r="AD86" s="309">
        <v>765186</v>
      </c>
      <c r="AE86" s="309">
        <v>88061</v>
      </c>
      <c r="AF86" s="309">
        <v>5422</v>
      </c>
      <c r="AG86" s="309">
        <v>355</v>
      </c>
      <c r="AH86" s="309">
        <f t="shared" si="9"/>
        <v>1636825</v>
      </c>
      <c r="AI86" s="309">
        <f t="shared" si="10"/>
        <v>138473</v>
      </c>
      <c r="AJ86" s="309">
        <f t="shared" si="11"/>
        <v>1775298</v>
      </c>
      <c r="AK86" s="309">
        <v>1377</v>
      </c>
      <c r="AL86" s="309">
        <f t="shared" si="12"/>
        <v>116</v>
      </c>
      <c r="AM86" s="311">
        <f t="shared" si="13"/>
        <v>1776791</v>
      </c>
      <c r="AO86" s="458"/>
      <c r="AP86" s="459"/>
      <c r="AQ86" s="459"/>
      <c r="AR86" s="460"/>
      <c r="AS86" s="316"/>
      <c r="AT86" s="458"/>
      <c r="AU86" s="459"/>
      <c r="AV86" s="459"/>
      <c r="AW86" s="459"/>
      <c r="AX86" s="459"/>
      <c r="AY86" s="460"/>
    </row>
    <row r="87" spans="1:51" ht="15" hidden="1" outlineLevel="1" x14ac:dyDescent="0.25">
      <c r="A87" s="295">
        <f t="shared" si="23"/>
        <v>2026</v>
      </c>
      <c r="B87" s="295">
        <f t="shared" si="24"/>
        <v>10</v>
      </c>
      <c r="C87" s="305">
        <f t="shared" si="4"/>
        <v>46296</v>
      </c>
      <c r="E87" s="310">
        <v>840190</v>
      </c>
      <c r="F87" s="309">
        <v>700958</v>
      </c>
      <c r="G87" s="309">
        <v>80048</v>
      </c>
      <c r="H87" s="309">
        <v>4821</v>
      </c>
      <c r="I87" s="309">
        <v>471</v>
      </c>
      <c r="J87" s="309">
        <f t="shared" si="14"/>
        <v>1626488</v>
      </c>
      <c r="K87" s="309">
        <f t="shared" si="15"/>
        <v>137599</v>
      </c>
      <c r="L87" s="309">
        <f t="shared" si="16"/>
        <v>1764087</v>
      </c>
      <c r="M87" s="309">
        <v>1767</v>
      </c>
      <c r="N87" s="309">
        <f t="shared" si="5"/>
        <v>149</v>
      </c>
      <c r="O87" s="311">
        <f t="shared" si="6"/>
        <v>1766003</v>
      </c>
      <c r="P87" s="309"/>
      <c r="Q87" s="310">
        <v>879657.52803423337</v>
      </c>
      <c r="R87" s="309">
        <v>758799.64730502688</v>
      </c>
      <c r="S87" s="309">
        <v>84173</v>
      </c>
      <c r="T87" s="309">
        <f t="shared" si="17"/>
        <v>5376</v>
      </c>
      <c r="U87" s="309">
        <f t="shared" si="17"/>
        <v>471</v>
      </c>
      <c r="V87" s="309">
        <f t="shared" si="18"/>
        <v>1728477.1753392601</v>
      </c>
      <c r="W87" s="309">
        <f t="shared" si="19"/>
        <v>146226.82466073986</v>
      </c>
      <c r="X87" s="309">
        <f t="shared" si="20"/>
        <v>1874704</v>
      </c>
      <c r="Y87" s="309">
        <f t="shared" si="21"/>
        <v>1767</v>
      </c>
      <c r="Z87" s="309">
        <f t="shared" si="8"/>
        <v>149</v>
      </c>
      <c r="AA87" s="311">
        <f t="shared" si="22"/>
        <v>1876620</v>
      </c>
      <c r="AC87" s="310">
        <v>918468</v>
      </c>
      <c r="AD87" s="309">
        <v>774893</v>
      </c>
      <c r="AE87" s="309">
        <v>84173</v>
      </c>
      <c r="AF87" s="309">
        <v>5376</v>
      </c>
      <c r="AG87" s="309">
        <v>471</v>
      </c>
      <c r="AH87" s="309">
        <f t="shared" si="9"/>
        <v>1783381</v>
      </c>
      <c r="AI87" s="309">
        <f t="shared" si="10"/>
        <v>150872</v>
      </c>
      <c r="AJ87" s="309">
        <f t="shared" si="11"/>
        <v>1934253</v>
      </c>
      <c r="AK87" s="309">
        <v>1767</v>
      </c>
      <c r="AL87" s="309">
        <f t="shared" si="12"/>
        <v>149</v>
      </c>
      <c r="AM87" s="311">
        <f t="shared" si="13"/>
        <v>1936169</v>
      </c>
      <c r="AO87" s="458"/>
      <c r="AP87" s="459"/>
      <c r="AQ87" s="459"/>
      <c r="AR87" s="460"/>
      <c r="AS87" s="316"/>
      <c r="AT87" s="458"/>
      <c r="AU87" s="459"/>
      <c r="AV87" s="459"/>
      <c r="AW87" s="459"/>
      <c r="AX87" s="459"/>
      <c r="AY87" s="460"/>
    </row>
    <row r="88" spans="1:51" ht="15" hidden="1" outlineLevel="1" x14ac:dyDescent="0.25">
      <c r="A88" s="295">
        <f t="shared" si="23"/>
        <v>2026</v>
      </c>
      <c r="B88" s="295">
        <f t="shared" si="24"/>
        <v>11</v>
      </c>
      <c r="C88" s="305">
        <f t="shared" si="4"/>
        <v>46327</v>
      </c>
      <c r="E88" s="310">
        <v>1063429</v>
      </c>
      <c r="F88" s="309">
        <v>728103</v>
      </c>
      <c r="G88" s="309">
        <v>84161</v>
      </c>
      <c r="H88" s="309">
        <v>5345</v>
      </c>
      <c r="I88" s="309">
        <v>784</v>
      </c>
      <c r="J88" s="309">
        <f t="shared" si="14"/>
        <v>1881822</v>
      </c>
      <c r="K88" s="309">
        <f t="shared" si="15"/>
        <v>159200</v>
      </c>
      <c r="L88" s="309">
        <f t="shared" si="16"/>
        <v>2041022</v>
      </c>
      <c r="M88" s="309">
        <v>1763</v>
      </c>
      <c r="N88" s="309">
        <f t="shared" si="5"/>
        <v>149</v>
      </c>
      <c r="O88" s="311">
        <f t="shared" si="6"/>
        <v>2042934</v>
      </c>
      <c r="P88" s="309"/>
      <c r="Q88" s="310">
        <v>1118415.435634692</v>
      </c>
      <c r="R88" s="309">
        <v>783137.07100311283</v>
      </c>
      <c r="S88" s="309">
        <v>88019</v>
      </c>
      <c r="T88" s="309">
        <f t="shared" si="17"/>
        <v>5967</v>
      </c>
      <c r="U88" s="309">
        <f t="shared" si="17"/>
        <v>784</v>
      </c>
      <c r="V88" s="309">
        <f t="shared" si="18"/>
        <v>1996322.5066378047</v>
      </c>
      <c r="W88" s="309">
        <f t="shared" si="19"/>
        <v>168886.49336219532</v>
      </c>
      <c r="X88" s="309">
        <f t="shared" si="20"/>
        <v>2165209</v>
      </c>
      <c r="Y88" s="309">
        <f t="shared" si="21"/>
        <v>1763</v>
      </c>
      <c r="Z88" s="309">
        <f t="shared" si="8"/>
        <v>149</v>
      </c>
      <c r="AA88" s="311">
        <f t="shared" si="22"/>
        <v>2167121</v>
      </c>
      <c r="AC88" s="310">
        <v>1167014</v>
      </c>
      <c r="AD88" s="309">
        <v>798992</v>
      </c>
      <c r="AE88" s="309">
        <v>88019</v>
      </c>
      <c r="AF88" s="309">
        <v>5967</v>
      </c>
      <c r="AG88" s="309">
        <v>784</v>
      </c>
      <c r="AH88" s="309">
        <f t="shared" si="9"/>
        <v>2060776</v>
      </c>
      <c r="AI88" s="309">
        <f t="shared" si="10"/>
        <v>174339</v>
      </c>
      <c r="AJ88" s="309">
        <f t="shared" si="11"/>
        <v>2235115</v>
      </c>
      <c r="AK88" s="309">
        <v>1763</v>
      </c>
      <c r="AL88" s="309">
        <f t="shared" si="12"/>
        <v>149</v>
      </c>
      <c r="AM88" s="311">
        <f t="shared" si="13"/>
        <v>2237027</v>
      </c>
      <c r="AO88" s="458"/>
      <c r="AP88" s="459"/>
      <c r="AQ88" s="459"/>
      <c r="AR88" s="460"/>
      <c r="AS88" s="316"/>
      <c r="AT88" s="458"/>
      <c r="AU88" s="459"/>
      <c r="AV88" s="459"/>
      <c r="AW88" s="459"/>
      <c r="AX88" s="459"/>
      <c r="AY88" s="460"/>
    </row>
    <row r="89" spans="1:51" ht="15" hidden="1" outlineLevel="1" x14ac:dyDescent="0.25">
      <c r="A89" s="295">
        <f t="shared" si="23"/>
        <v>2026</v>
      </c>
      <c r="B89" s="295">
        <f t="shared" si="24"/>
        <v>12</v>
      </c>
      <c r="C89" s="305">
        <f t="shared" si="4"/>
        <v>46357</v>
      </c>
      <c r="E89" s="310">
        <v>1170517</v>
      </c>
      <c r="F89" s="309">
        <v>755306</v>
      </c>
      <c r="G89" s="309">
        <v>76847</v>
      </c>
      <c r="H89" s="309">
        <v>4928</v>
      </c>
      <c r="I89" s="309">
        <v>845</v>
      </c>
      <c r="J89" s="309">
        <f t="shared" si="14"/>
        <v>2008443</v>
      </c>
      <c r="K89" s="309">
        <f t="shared" si="15"/>
        <v>169912</v>
      </c>
      <c r="L89" s="309">
        <f t="shared" si="16"/>
        <v>2178355</v>
      </c>
      <c r="M89" s="309">
        <v>1649</v>
      </c>
      <c r="N89" s="309">
        <f t="shared" si="5"/>
        <v>140</v>
      </c>
      <c r="O89" s="311">
        <f t="shared" si="6"/>
        <v>2180144</v>
      </c>
      <c r="P89" s="309"/>
      <c r="Q89" s="310">
        <v>1253307.2816699084</v>
      </c>
      <c r="R89" s="309">
        <v>815323.43717827182</v>
      </c>
      <c r="S89" s="309">
        <v>80919</v>
      </c>
      <c r="T89" s="309">
        <f t="shared" si="17"/>
        <v>5607</v>
      </c>
      <c r="U89" s="309">
        <f t="shared" si="17"/>
        <v>845</v>
      </c>
      <c r="V89" s="309">
        <f t="shared" si="18"/>
        <v>2156001.71884818</v>
      </c>
      <c r="W89" s="309">
        <f t="shared" si="19"/>
        <v>182395.28115181997</v>
      </c>
      <c r="X89" s="309">
        <f t="shared" si="20"/>
        <v>2338397</v>
      </c>
      <c r="Y89" s="309">
        <f t="shared" si="21"/>
        <v>1649</v>
      </c>
      <c r="Z89" s="309">
        <f t="shared" si="8"/>
        <v>140</v>
      </c>
      <c r="AA89" s="311">
        <f t="shared" si="22"/>
        <v>2340186</v>
      </c>
      <c r="AC89" s="310">
        <v>1316841</v>
      </c>
      <c r="AD89" s="309">
        <v>835314</v>
      </c>
      <c r="AE89" s="309">
        <v>80919</v>
      </c>
      <c r="AF89" s="309">
        <v>5607</v>
      </c>
      <c r="AG89" s="309">
        <v>845</v>
      </c>
      <c r="AH89" s="309">
        <f t="shared" si="9"/>
        <v>2239526</v>
      </c>
      <c r="AI89" s="309">
        <f t="shared" si="10"/>
        <v>189461</v>
      </c>
      <c r="AJ89" s="309">
        <f t="shared" si="11"/>
        <v>2428987</v>
      </c>
      <c r="AK89" s="309">
        <v>1649</v>
      </c>
      <c r="AL89" s="309">
        <f t="shared" si="12"/>
        <v>140</v>
      </c>
      <c r="AM89" s="311">
        <f t="shared" si="13"/>
        <v>2430776</v>
      </c>
      <c r="AO89" s="458"/>
      <c r="AP89" s="459"/>
      <c r="AQ89" s="459"/>
      <c r="AR89" s="460"/>
      <c r="AS89" s="316"/>
      <c r="AT89" s="458"/>
      <c r="AU89" s="459"/>
      <c r="AV89" s="459"/>
      <c r="AW89" s="459"/>
      <c r="AX89" s="459"/>
      <c r="AY89" s="460"/>
    </row>
    <row r="90" spans="1:51" ht="15" hidden="1" outlineLevel="1" x14ac:dyDescent="0.25">
      <c r="A90" s="295">
        <f t="shared" si="23"/>
        <v>2027</v>
      </c>
      <c r="B90" s="295">
        <f t="shared" si="24"/>
        <v>1</v>
      </c>
      <c r="C90" s="305">
        <f t="shared" si="4"/>
        <v>46388</v>
      </c>
      <c r="E90" s="310">
        <v>1188674</v>
      </c>
      <c r="F90" s="309">
        <v>764787</v>
      </c>
      <c r="G90" s="309">
        <v>73482</v>
      </c>
      <c r="H90" s="309">
        <v>5293</v>
      </c>
      <c r="I90" s="309">
        <v>976</v>
      </c>
      <c r="J90" s="309">
        <f t="shared" si="14"/>
        <v>2033212</v>
      </c>
      <c r="K90" s="309">
        <f t="shared" si="15"/>
        <v>172007</v>
      </c>
      <c r="L90" s="309">
        <f t="shared" si="16"/>
        <v>2205219</v>
      </c>
      <c r="M90" s="309">
        <v>2243</v>
      </c>
      <c r="N90" s="309">
        <f t="shared" si="5"/>
        <v>190</v>
      </c>
      <c r="O90" s="311">
        <f t="shared" si="6"/>
        <v>2207652</v>
      </c>
      <c r="P90" s="309"/>
      <c r="Q90" s="310">
        <v>1265303.3390468075</v>
      </c>
      <c r="R90" s="309">
        <v>824936.06090143044</v>
      </c>
      <c r="S90" s="309">
        <v>77637</v>
      </c>
      <c r="T90" s="309">
        <f t="shared" si="17"/>
        <v>5989</v>
      </c>
      <c r="U90" s="309">
        <f t="shared" si="17"/>
        <v>976</v>
      </c>
      <c r="V90" s="309">
        <f t="shared" si="18"/>
        <v>2174841.3999482379</v>
      </c>
      <c r="W90" s="309">
        <f t="shared" si="19"/>
        <v>183988.60005176207</v>
      </c>
      <c r="X90" s="309">
        <f t="shared" si="20"/>
        <v>2358830</v>
      </c>
      <c r="Y90" s="309">
        <f t="shared" si="21"/>
        <v>2243</v>
      </c>
      <c r="Z90" s="309">
        <f t="shared" si="8"/>
        <v>190</v>
      </c>
      <c r="AA90" s="311">
        <f t="shared" si="22"/>
        <v>2361263</v>
      </c>
      <c r="AC90" s="310">
        <v>1320129</v>
      </c>
      <c r="AD90" s="309">
        <v>843825</v>
      </c>
      <c r="AE90" s="309">
        <v>77637</v>
      </c>
      <c r="AF90" s="309">
        <v>5989</v>
      </c>
      <c r="AG90" s="309">
        <v>976</v>
      </c>
      <c r="AH90" s="309">
        <f t="shared" si="9"/>
        <v>2248556</v>
      </c>
      <c r="AI90" s="309">
        <f t="shared" si="10"/>
        <v>190225</v>
      </c>
      <c r="AJ90" s="309">
        <f t="shared" si="11"/>
        <v>2438781</v>
      </c>
      <c r="AK90" s="309">
        <v>2243</v>
      </c>
      <c r="AL90" s="309">
        <f t="shared" si="12"/>
        <v>190</v>
      </c>
      <c r="AM90" s="311">
        <f t="shared" si="13"/>
        <v>2441214</v>
      </c>
      <c r="AO90" s="458"/>
      <c r="AP90" s="459"/>
      <c r="AQ90" s="459"/>
      <c r="AR90" s="460"/>
      <c r="AS90" s="316"/>
      <c r="AT90" s="458"/>
      <c r="AU90" s="459"/>
      <c r="AV90" s="459"/>
      <c r="AW90" s="459"/>
      <c r="AX90" s="459"/>
      <c r="AY90" s="460"/>
    </row>
    <row r="91" spans="1:51" ht="15" hidden="1" outlineLevel="1" x14ac:dyDescent="0.25">
      <c r="A91" s="295">
        <f t="shared" si="23"/>
        <v>2027</v>
      </c>
      <c r="B91" s="295">
        <f t="shared" si="24"/>
        <v>2</v>
      </c>
      <c r="C91" s="305">
        <f t="shared" si="4"/>
        <v>46419</v>
      </c>
      <c r="E91" s="310">
        <v>1030415</v>
      </c>
      <c r="F91" s="309">
        <v>707054</v>
      </c>
      <c r="G91" s="309">
        <v>73171</v>
      </c>
      <c r="H91" s="309">
        <v>4992</v>
      </c>
      <c r="I91" s="309">
        <v>857</v>
      </c>
      <c r="J91" s="309">
        <f t="shared" si="14"/>
        <v>1816489</v>
      </c>
      <c r="K91" s="309">
        <f t="shared" si="15"/>
        <v>153672</v>
      </c>
      <c r="L91" s="309">
        <f>ROUNDDOWN(J91/(1-0.078), 0)</f>
        <v>1970161</v>
      </c>
      <c r="M91" s="309">
        <v>2355</v>
      </c>
      <c r="N91" s="309">
        <f t="shared" si="5"/>
        <v>199</v>
      </c>
      <c r="O91" s="311">
        <f t="shared" si="6"/>
        <v>1972715</v>
      </c>
      <c r="P91" s="309"/>
      <c r="Q91" s="310">
        <v>1090746.1346748164</v>
      </c>
      <c r="R91" s="309">
        <v>759201.5581127312</v>
      </c>
      <c r="S91" s="309">
        <v>76881</v>
      </c>
      <c r="T91" s="309">
        <f t="shared" si="17"/>
        <v>5531</v>
      </c>
      <c r="U91" s="309">
        <f t="shared" si="17"/>
        <v>857</v>
      </c>
      <c r="V91" s="309">
        <f t="shared" si="18"/>
        <v>1933216.6927875476</v>
      </c>
      <c r="W91" s="309">
        <f t="shared" si="19"/>
        <v>163547.3072124524</v>
      </c>
      <c r="X91" s="309">
        <f t="shared" si="20"/>
        <v>2096764</v>
      </c>
      <c r="Y91" s="309">
        <f t="shared" si="21"/>
        <v>2355</v>
      </c>
      <c r="Z91" s="309">
        <f t="shared" si="8"/>
        <v>199</v>
      </c>
      <c r="AA91" s="311">
        <f t="shared" si="22"/>
        <v>2099318</v>
      </c>
      <c r="AC91" s="310">
        <v>1134882</v>
      </c>
      <c r="AD91" s="309">
        <v>774026</v>
      </c>
      <c r="AE91" s="309">
        <v>76881</v>
      </c>
      <c r="AF91" s="309">
        <v>5531</v>
      </c>
      <c r="AG91" s="309">
        <v>857</v>
      </c>
      <c r="AH91" s="309">
        <f t="shared" si="9"/>
        <v>1992177</v>
      </c>
      <c r="AI91" s="309">
        <f t="shared" si="10"/>
        <v>168536</v>
      </c>
      <c r="AJ91" s="309">
        <f t="shared" si="11"/>
        <v>2160713</v>
      </c>
      <c r="AK91" s="309">
        <v>2355</v>
      </c>
      <c r="AL91" s="309">
        <f t="shared" si="12"/>
        <v>199</v>
      </c>
      <c r="AM91" s="311">
        <f t="shared" si="13"/>
        <v>2163267</v>
      </c>
      <c r="AO91" s="458"/>
      <c r="AP91" s="459"/>
      <c r="AQ91" s="459"/>
      <c r="AR91" s="460"/>
      <c r="AS91" s="316"/>
      <c r="AT91" s="458"/>
      <c r="AU91" s="459"/>
      <c r="AV91" s="459"/>
      <c r="AW91" s="459"/>
      <c r="AX91" s="459"/>
      <c r="AY91" s="460"/>
    </row>
    <row r="92" spans="1:51" ht="15" hidden="1" outlineLevel="1" x14ac:dyDescent="0.25">
      <c r="A92" s="295">
        <f t="shared" si="23"/>
        <v>2027</v>
      </c>
      <c r="B92" s="295">
        <f t="shared" si="24"/>
        <v>3</v>
      </c>
      <c r="C92" s="305">
        <f t="shared" si="4"/>
        <v>46447</v>
      </c>
      <c r="E92" s="310">
        <v>1020443</v>
      </c>
      <c r="F92" s="309">
        <v>741600</v>
      </c>
      <c r="G92" s="309">
        <v>80656</v>
      </c>
      <c r="H92" s="309">
        <v>4543</v>
      </c>
      <c r="I92" s="309">
        <v>762</v>
      </c>
      <c r="J92" s="309">
        <f t="shared" si="14"/>
        <v>1848004</v>
      </c>
      <c r="K92" s="309">
        <f t="shared" si="15"/>
        <v>156339</v>
      </c>
      <c r="L92" s="309">
        <f t="shared" si="16"/>
        <v>2004343</v>
      </c>
      <c r="M92" s="309">
        <v>2263</v>
      </c>
      <c r="N92" s="309">
        <f t="shared" si="5"/>
        <v>191</v>
      </c>
      <c r="O92" s="311">
        <f t="shared" si="6"/>
        <v>2006797</v>
      </c>
      <c r="P92" s="309"/>
      <c r="Q92" s="310">
        <v>1080669.0919278997</v>
      </c>
      <c r="R92" s="309">
        <v>804493.56272836658</v>
      </c>
      <c r="S92" s="309">
        <v>84934</v>
      </c>
      <c r="T92" s="309">
        <f t="shared" si="17"/>
        <v>5120</v>
      </c>
      <c r="U92" s="309">
        <f t="shared" si="17"/>
        <v>762</v>
      </c>
      <c r="V92" s="309">
        <f t="shared" si="18"/>
        <v>1975978.6546562663</v>
      </c>
      <c r="W92" s="309">
        <f t="shared" si="19"/>
        <v>167165.34534373367</v>
      </c>
      <c r="X92" s="309">
        <f t="shared" si="20"/>
        <v>2143144</v>
      </c>
      <c r="Y92" s="309">
        <f t="shared" si="21"/>
        <v>2263</v>
      </c>
      <c r="Z92" s="309">
        <f t="shared" si="8"/>
        <v>191</v>
      </c>
      <c r="AA92" s="311">
        <f t="shared" si="22"/>
        <v>2145598</v>
      </c>
      <c r="AC92" s="310">
        <v>1125017</v>
      </c>
      <c r="AD92" s="309">
        <v>821950</v>
      </c>
      <c r="AE92" s="309">
        <v>84934</v>
      </c>
      <c r="AF92" s="309">
        <v>5120</v>
      </c>
      <c r="AG92" s="309">
        <v>762</v>
      </c>
      <c r="AH92" s="309">
        <f t="shared" si="9"/>
        <v>2037783</v>
      </c>
      <c r="AI92" s="309">
        <f t="shared" si="10"/>
        <v>172394</v>
      </c>
      <c r="AJ92" s="309">
        <f t="shared" si="11"/>
        <v>2210177</v>
      </c>
      <c r="AK92" s="309">
        <v>2263</v>
      </c>
      <c r="AL92" s="309">
        <f t="shared" si="12"/>
        <v>191</v>
      </c>
      <c r="AM92" s="311">
        <f t="shared" si="13"/>
        <v>2212631</v>
      </c>
      <c r="AO92" s="458"/>
      <c r="AP92" s="459"/>
      <c r="AQ92" s="459"/>
      <c r="AR92" s="460"/>
      <c r="AS92" s="316"/>
      <c r="AT92" s="458"/>
      <c r="AU92" s="459"/>
      <c r="AV92" s="459"/>
      <c r="AW92" s="459"/>
      <c r="AX92" s="459"/>
      <c r="AY92" s="460"/>
    </row>
    <row r="93" spans="1:51" ht="15" hidden="1" outlineLevel="1" x14ac:dyDescent="0.25">
      <c r="A93" s="295">
        <f t="shared" si="23"/>
        <v>2027</v>
      </c>
      <c r="B93" s="295">
        <f t="shared" si="24"/>
        <v>4</v>
      </c>
      <c r="C93" s="305">
        <f t="shared" si="4"/>
        <v>46478</v>
      </c>
      <c r="E93" s="310">
        <v>921844</v>
      </c>
      <c r="F93" s="309">
        <v>729730</v>
      </c>
      <c r="G93" s="309">
        <v>81992</v>
      </c>
      <c r="H93" s="309">
        <v>4930</v>
      </c>
      <c r="I93" s="309">
        <v>629</v>
      </c>
      <c r="J93" s="309">
        <f t="shared" si="14"/>
        <v>1739125</v>
      </c>
      <c r="K93" s="309">
        <f t="shared" si="15"/>
        <v>147128</v>
      </c>
      <c r="L93" s="309">
        <f t="shared" si="16"/>
        <v>1886253</v>
      </c>
      <c r="M93" s="309">
        <v>2101</v>
      </c>
      <c r="N93" s="309">
        <f t="shared" si="5"/>
        <v>178</v>
      </c>
      <c r="O93" s="311">
        <f t="shared" si="6"/>
        <v>1888532</v>
      </c>
      <c r="P93" s="309"/>
      <c r="Q93" s="310">
        <v>974995.29478202353</v>
      </c>
      <c r="R93" s="309">
        <v>788259.08090123977</v>
      </c>
      <c r="S93" s="309">
        <v>86056</v>
      </c>
      <c r="T93" s="309">
        <f t="shared" si="17"/>
        <v>5425</v>
      </c>
      <c r="U93" s="309">
        <f t="shared" si="17"/>
        <v>629</v>
      </c>
      <c r="V93" s="309">
        <f t="shared" si="18"/>
        <v>1855364.3756832634</v>
      </c>
      <c r="W93" s="309">
        <f t="shared" si="19"/>
        <v>156961.62431673659</v>
      </c>
      <c r="X93" s="309">
        <f t="shared" si="20"/>
        <v>2012326</v>
      </c>
      <c r="Y93" s="309">
        <f t="shared" si="21"/>
        <v>2101</v>
      </c>
      <c r="Z93" s="309">
        <f t="shared" si="8"/>
        <v>178</v>
      </c>
      <c r="AA93" s="311">
        <f t="shared" si="22"/>
        <v>2014605</v>
      </c>
      <c r="AC93" s="310">
        <v>1012018</v>
      </c>
      <c r="AD93" s="309">
        <v>804437</v>
      </c>
      <c r="AE93" s="309">
        <v>86056</v>
      </c>
      <c r="AF93" s="309">
        <v>5425</v>
      </c>
      <c r="AG93" s="309">
        <v>629</v>
      </c>
      <c r="AH93" s="309">
        <f t="shared" si="9"/>
        <v>1908565</v>
      </c>
      <c r="AI93" s="309">
        <f t="shared" si="10"/>
        <v>161462</v>
      </c>
      <c r="AJ93" s="309">
        <f t="shared" si="11"/>
        <v>2070027</v>
      </c>
      <c r="AK93" s="309">
        <v>2101</v>
      </c>
      <c r="AL93" s="309">
        <f t="shared" si="12"/>
        <v>178</v>
      </c>
      <c r="AM93" s="311">
        <f t="shared" si="13"/>
        <v>2072306</v>
      </c>
      <c r="AO93" s="458"/>
      <c r="AP93" s="459"/>
      <c r="AQ93" s="459"/>
      <c r="AR93" s="460"/>
      <c r="AS93" s="316"/>
      <c r="AT93" s="458"/>
      <c r="AU93" s="459"/>
      <c r="AV93" s="459"/>
      <c r="AW93" s="459"/>
      <c r="AX93" s="459"/>
      <c r="AY93" s="460"/>
    </row>
    <row r="94" spans="1:51" ht="15" hidden="1" outlineLevel="1" x14ac:dyDescent="0.25">
      <c r="A94" s="295">
        <f t="shared" si="23"/>
        <v>2027</v>
      </c>
      <c r="B94" s="295">
        <f t="shared" si="24"/>
        <v>5</v>
      </c>
      <c r="C94" s="305">
        <f t="shared" ref="C94:C157" si="31">DATE(A94,B94,1)</f>
        <v>46508</v>
      </c>
      <c r="E94" s="310">
        <v>780319</v>
      </c>
      <c r="F94" s="309">
        <v>680418</v>
      </c>
      <c r="G94" s="309">
        <v>76898</v>
      </c>
      <c r="H94" s="309">
        <v>4751</v>
      </c>
      <c r="I94" s="309">
        <v>434</v>
      </c>
      <c r="J94" s="309">
        <f t="shared" si="14"/>
        <v>1542820</v>
      </c>
      <c r="K94" s="309">
        <f t="shared" si="15"/>
        <v>130521</v>
      </c>
      <c r="L94" s="309">
        <f t="shared" si="16"/>
        <v>1673341</v>
      </c>
      <c r="M94" s="309">
        <v>2097</v>
      </c>
      <c r="N94" s="309">
        <f t="shared" ref="N94:N157" si="32">ROUND(M94/(1-0.078)-M94, 0)</f>
        <v>177</v>
      </c>
      <c r="O94" s="311">
        <f t="shared" ref="O94:O157" si="33">SUM(L94:N94)</f>
        <v>1675615</v>
      </c>
      <c r="P94" s="309"/>
      <c r="Q94" s="310">
        <v>816508.09858501982</v>
      </c>
      <c r="R94" s="309">
        <v>745197.23901819705</v>
      </c>
      <c r="S94" s="309">
        <v>81168</v>
      </c>
      <c r="T94" s="309">
        <f t="shared" si="17"/>
        <v>5197</v>
      </c>
      <c r="U94" s="309">
        <f t="shared" si="17"/>
        <v>434</v>
      </c>
      <c r="V94" s="309">
        <f t="shared" si="18"/>
        <v>1648504.337603217</v>
      </c>
      <c r="W94" s="309">
        <f t="shared" si="19"/>
        <v>139461.66239678301</v>
      </c>
      <c r="X94" s="309">
        <f t="shared" si="20"/>
        <v>1787966</v>
      </c>
      <c r="Y94" s="309">
        <f t="shared" si="21"/>
        <v>2097</v>
      </c>
      <c r="Z94" s="309">
        <f t="shared" ref="Z94:Z157" si="34">ROUND(Y94/(1-0.078)-Y94, 0)</f>
        <v>177</v>
      </c>
      <c r="AA94" s="311">
        <f t="shared" si="22"/>
        <v>1790240</v>
      </c>
      <c r="AC94" s="310">
        <v>852981</v>
      </c>
      <c r="AD94" s="309">
        <v>761759</v>
      </c>
      <c r="AE94" s="309">
        <v>81168</v>
      </c>
      <c r="AF94" s="309">
        <v>5197</v>
      </c>
      <c r="AG94" s="309">
        <v>434</v>
      </c>
      <c r="AH94" s="309">
        <f t="shared" ref="AH94:AH157" si="35">SUM(AC94:AG94)</f>
        <v>1701539</v>
      </c>
      <c r="AI94" s="309">
        <f t="shared" ref="AI94:AI157" si="36">AJ94-AH94</f>
        <v>143948</v>
      </c>
      <c r="AJ94" s="309">
        <f t="shared" ref="AJ94:AJ157" si="37">ROUND(AH94/(1-0.078), 0)</f>
        <v>1845487</v>
      </c>
      <c r="AK94" s="309">
        <v>2097</v>
      </c>
      <c r="AL94" s="309">
        <f t="shared" ref="AL94:AL157" si="38">N94</f>
        <v>177</v>
      </c>
      <c r="AM94" s="311">
        <f t="shared" ref="AM94:AM157" si="39">SUM(AJ94:AL94)</f>
        <v>1847761</v>
      </c>
      <c r="AO94" s="458"/>
      <c r="AP94" s="459"/>
      <c r="AQ94" s="459"/>
      <c r="AR94" s="460"/>
      <c r="AS94" s="316"/>
      <c r="AT94" s="458"/>
      <c r="AU94" s="459"/>
      <c r="AV94" s="459"/>
      <c r="AW94" s="459"/>
      <c r="AX94" s="459"/>
      <c r="AY94" s="460"/>
    </row>
    <row r="95" spans="1:51" ht="15" hidden="1" outlineLevel="1" x14ac:dyDescent="0.25">
      <c r="A95" s="295">
        <f t="shared" si="23"/>
        <v>2027</v>
      </c>
      <c r="B95" s="295">
        <f t="shared" si="24"/>
        <v>6</v>
      </c>
      <c r="C95" s="305">
        <f t="shared" si="31"/>
        <v>46539</v>
      </c>
      <c r="E95" s="310">
        <v>734411</v>
      </c>
      <c r="F95" s="309">
        <v>701102</v>
      </c>
      <c r="G95" s="309">
        <v>78286</v>
      </c>
      <c r="H95" s="309">
        <v>4625</v>
      </c>
      <c r="I95" s="309">
        <v>317</v>
      </c>
      <c r="J95" s="309">
        <f t="shared" ref="J95:J158" si="40">SUM(E95:I95)</f>
        <v>1518741</v>
      </c>
      <c r="K95" s="309">
        <f t="shared" ref="K95:K158" si="41">L95-J95</f>
        <v>128484</v>
      </c>
      <c r="L95" s="309">
        <f t="shared" ref="L95:L158" si="42">ROUND(J95/(1-0.078), 0)</f>
        <v>1647225</v>
      </c>
      <c r="M95" s="309">
        <v>1727</v>
      </c>
      <c r="N95" s="309">
        <f t="shared" si="32"/>
        <v>146</v>
      </c>
      <c r="O95" s="311">
        <f t="shared" si="33"/>
        <v>1649098</v>
      </c>
      <c r="P95" s="309"/>
      <c r="Q95" s="310">
        <v>760327.21565411752</v>
      </c>
      <c r="R95" s="309">
        <v>764149.57638500386</v>
      </c>
      <c r="S95" s="309">
        <v>82550</v>
      </c>
      <c r="T95" s="309">
        <f t="shared" ref="T95:U158" si="43">AF95</f>
        <v>5007</v>
      </c>
      <c r="U95" s="309">
        <f t="shared" si="43"/>
        <v>317</v>
      </c>
      <c r="V95" s="309">
        <f t="shared" ref="V95:V158" si="44">SUM(Q95:U95)</f>
        <v>1612350.7920391215</v>
      </c>
      <c r="W95" s="309">
        <f t="shared" ref="W95:W158" si="45">X95-V95</f>
        <v>136403.2079608785</v>
      </c>
      <c r="X95" s="309">
        <f t="shared" ref="X95:X158" si="46">ROUND(V95/(1-0.078), 0)</f>
        <v>1748754</v>
      </c>
      <c r="Y95" s="309">
        <f t="shared" ref="Y95:Y158" si="47">M95</f>
        <v>1727</v>
      </c>
      <c r="Z95" s="309">
        <f t="shared" si="34"/>
        <v>146</v>
      </c>
      <c r="AA95" s="311">
        <f t="shared" ref="AA95:AA158" si="48">SUM(X95:Z95)</f>
        <v>1750627</v>
      </c>
      <c r="AC95" s="310">
        <v>790816</v>
      </c>
      <c r="AD95" s="309">
        <v>780031</v>
      </c>
      <c r="AE95" s="309">
        <v>82550</v>
      </c>
      <c r="AF95" s="309">
        <v>5007</v>
      </c>
      <c r="AG95" s="309">
        <v>317</v>
      </c>
      <c r="AH95" s="309">
        <f t="shared" si="35"/>
        <v>1658721</v>
      </c>
      <c r="AI95" s="309">
        <f t="shared" si="36"/>
        <v>140326</v>
      </c>
      <c r="AJ95" s="309">
        <f t="shared" si="37"/>
        <v>1799047</v>
      </c>
      <c r="AK95" s="309">
        <v>1727</v>
      </c>
      <c r="AL95" s="309">
        <f t="shared" si="38"/>
        <v>146</v>
      </c>
      <c r="AM95" s="311">
        <f t="shared" si="39"/>
        <v>1800920</v>
      </c>
      <c r="AO95" s="458"/>
      <c r="AP95" s="459"/>
      <c r="AQ95" s="459"/>
      <c r="AR95" s="460"/>
      <c r="AS95" s="316"/>
      <c r="AT95" s="458"/>
      <c r="AU95" s="459"/>
      <c r="AV95" s="459"/>
      <c r="AW95" s="459"/>
      <c r="AX95" s="459"/>
      <c r="AY95" s="460"/>
    </row>
    <row r="96" spans="1:51" ht="15" hidden="1" outlineLevel="1" x14ac:dyDescent="0.25">
      <c r="A96" s="295">
        <f t="shared" si="23"/>
        <v>2027</v>
      </c>
      <c r="B96" s="295">
        <f t="shared" si="24"/>
        <v>7</v>
      </c>
      <c r="C96" s="305">
        <f t="shared" si="31"/>
        <v>46569</v>
      </c>
      <c r="E96" s="310">
        <v>769345</v>
      </c>
      <c r="F96" s="309">
        <v>731183</v>
      </c>
      <c r="G96" s="309">
        <v>85536</v>
      </c>
      <c r="H96" s="309">
        <v>4398</v>
      </c>
      <c r="I96" s="309">
        <v>288</v>
      </c>
      <c r="J96" s="309">
        <f t="shared" si="40"/>
        <v>1590750</v>
      </c>
      <c r="K96" s="309">
        <f t="shared" si="41"/>
        <v>134575</v>
      </c>
      <c r="L96" s="309">
        <f t="shared" si="42"/>
        <v>1725325</v>
      </c>
      <c r="M96" s="309">
        <v>2779</v>
      </c>
      <c r="N96" s="309">
        <f t="shared" si="32"/>
        <v>235</v>
      </c>
      <c r="O96" s="311">
        <f t="shared" si="33"/>
        <v>1728339</v>
      </c>
      <c r="P96" s="309"/>
      <c r="Q96" s="310">
        <v>796492.94775309425</v>
      </c>
      <c r="R96" s="309">
        <v>799035.91350113286</v>
      </c>
      <c r="S96" s="309">
        <v>89968</v>
      </c>
      <c r="T96" s="309">
        <f t="shared" si="43"/>
        <v>4856</v>
      </c>
      <c r="U96" s="309">
        <f t="shared" si="43"/>
        <v>288</v>
      </c>
      <c r="V96" s="309">
        <f t="shared" si="44"/>
        <v>1690640.8612542271</v>
      </c>
      <c r="W96" s="309">
        <f t="shared" si="45"/>
        <v>143026.13874577289</v>
      </c>
      <c r="X96" s="309">
        <f t="shared" si="46"/>
        <v>1833667</v>
      </c>
      <c r="Y96" s="309">
        <f t="shared" si="47"/>
        <v>2779</v>
      </c>
      <c r="Z96" s="309">
        <f t="shared" si="34"/>
        <v>235</v>
      </c>
      <c r="AA96" s="311">
        <f t="shared" si="48"/>
        <v>1836681</v>
      </c>
      <c r="AC96" s="310">
        <v>831100</v>
      </c>
      <c r="AD96" s="309">
        <v>816546</v>
      </c>
      <c r="AE96" s="309">
        <v>89968</v>
      </c>
      <c r="AF96" s="309">
        <v>4856</v>
      </c>
      <c r="AG96" s="309">
        <v>288</v>
      </c>
      <c r="AH96" s="309">
        <f t="shared" si="35"/>
        <v>1742758</v>
      </c>
      <c r="AI96" s="309">
        <f t="shared" si="36"/>
        <v>147435</v>
      </c>
      <c r="AJ96" s="309">
        <f t="shared" si="37"/>
        <v>1890193</v>
      </c>
      <c r="AK96" s="309">
        <v>2779</v>
      </c>
      <c r="AL96" s="309">
        <f t="shared" si="38"/>
        <v>235</v>
      </c>
      <c r="AM96" s="311">
        <f t="shared" si="39"/>
        <v>1893207</v>
      </c>
      <c r="AO96" s="458"/>
      <c r="AP96" s="459"/>
      <c r="AQ96" s="459"/>
      <c r="AR96" s="460"/>
      <c r="AS96" s="316"/>
      <c r="AT96" s="458"/>
      <c r="AU96" s="459"/>
      <c r="AV96" s="459"/>
      <c r="AW96" s="459"/>
      <c r="AX96" s="459"/>
      <c r="AY96" s="460"/>
    </row>
    <row r="97" spans="1:51" ht="15" hidden="1" outlineLevel="1" x14ac:dyDescent="0.25">
      <c r="A97" s="295">
        <f t="shared" si="23"/>
        <v>2027</v>
      </c>
      <c r="B97" s="295">
        <f t="shared" si="24"/>
        <v>8</v>
      </c>
      <c r="C97" s="305">
        <f t="shared" si="31"/>
        <v>46600</v>
      </c>
      <c r="E97" s="310">
        <v>783809</v>
      </c>
      <c r="F97" s="309">
        <v>731932</v>
      </c>
      <c r="G97" s="309">
        <v>86640</v>
      </c>
      <c r="H97" s="309">
        <v>4692</v>
      </c>
      <c r="I97" s="309">
        <v>280</v>
      </c>
      <c r="J97" s="309">
        <f t="shared" si="40"/>
        <v>1607353</v>
      </c>
      <c r="K97" s="309">
        <f t="shared" si="41"/>
        <v>135980</v>
      </c>
      <c r="L97" s="309">
        <f t="shared" si="42"/>
        <v>1743333</v>
      </c>
      <c r="M97" s="309">
        <v>1579</v>
      </c>
      <c r="N97" s="309">
        <f t="shared" si="32"/>
        <v>134</v>
      </c>
      <c r="O97" s="311">
        <f t="shared" si="33"/>
        <v>1745046</v>
      </c>
      <c r="P97" s="309"/>
      <c r="Q97" s="310">
        <v>811382.95924648608</v>
      </c>
      <c r="R97" s="309">
        <v>801529.75689941144</v>
      </c>
      <c r="S97" s="309">
        <v>91318</v>
      </c>
      <c r="T97" s="309">
        <f t="shared" si="43"/>
        <v>5227</v>
      </c>
      <c r="U97" s="309">
        <f t="shared" si="43"/>
        <v>280</v>
      </c>
      <c r="V97" s="309">
        <f t="shared" si="44"/>
        <v>1709737.7161458975</v>
      </c>
      <c r="W97" s="309">
        <f t="shared" si="45"/>
        <v>144641.28385410248</v>
      </c>
      <c r="X97" s="309">
        <f t="shared" si="46"/>
        <v>1854379</v>
      </c>
      <c r="Y97" s="309">
        <f t="shared" si="47"/>
        <v>1579</v>
      </c>
      <c r="Z97" s="309">
        <f t="shared" si="34"/>
        <v>134</v>
      </c>
      <c r="AA97" s="311">
        <f t="shared" si="48"/>
        <v>1856092</v>
      </c>
      <c r="AC97" s="310">
        <v>845374</v>
      </c>
      <c r="AD97" s="309">
        <v>819351</v>
      </c>
      <c r="AE97" s="309">
        <v>91318</v>
      </c>
      <c r="AF97" s="309">
        <v>5227</v>
      </c>
      <c r="AG97" s="309">
        <v>280</v>
      </c>
      <c r="AH97" s="309">
        <f t="shared" si="35"/>
        <v>1761550</v>
      </c>
      <c r="AI97" s="309">
        <f t="shared" si="36"/>
        <v>149025</v>
      </c>
      <c r="AJ97" s="309">
        <f t="shared" si="37"/>
        <v>1910575</v>
      </c>
      <c r="AK97" s="309">
        <v>1579</v>
      </c>
      <c r="AL97" s="309">
        <f t="shared" si="38"/>
        <v>134</v>
      </c>
      <c r="AM97" s="311">
        <f t="shared" si="39"/>
        <v>1912288</v>
      </c>
      <c r="AO97" s="458"/>
      <c r="AP97" s="459"/>
      <c r="AQ97" s="459"/>
      <c r="AR97" s="460"/>
      <c r="AS97" s="316"/>
      <c r="AT97" s="458"/>
      <c r="AU97" s="459"/>
      <c r="AV97" s="459"/>
      <c r="AW97" s="459"/>
      <c r="AX97" s="459"/>
      <c r="AY97" s="460"/>
    </row>
    <row r="98" spans="1:51" ht="15" hidden="1" outlineLevel="1" x14ac:dyDescent="0.25">
      <c r="A98" s="295">
        <f t="shared" si="23"/>
        <v>2027</v>
      </c>
      <c r="B98" s="295">
        <f t="shared" si="24"/>
        <v>9</v>
      </c>
      <c r="C98" s="305">
        <f t="shared" si="31"/>
        <v>46631</v>
      </c>
      <c r="E98" s="310">
        <v>730524</v>
      </c>
      <c r="F98" s="309">
        <v>690626</v>
      </c>
      <c r="G98" s="309">
        <v>82951</v>
      </c>
      <c r="H98" s="309">
        <v>4948</v>
      </c>
      <c r="I98" s="309">
        <v>355</v>
      </c>
      <c r="J98" s="309">
        <f t="shared" si="40"/>
        <v>1509404</v>
      </c>
      <c r="K98" s="309">
        <f t="shared" si="41"/>
        <v>127693</v>
      </c>
      <c r="L98" s="309">
        <f>ROUNDDOWN(J98/(1-0.078), 0)</f>
        <v>1637097</v>
      </c>
      <c r="M98" s="309">
        <v>1377</v>
      </c>
      <c r="N98" s="309">
        <f t="shared" si="32"/>
        <v>116</v>
      </c>
      <c r="O98" s="311">
        <f t="shared" si="33"/>
        <v>1638590</v>
      </c>
      <c r="P98" s="309"/>
      <c r="Q98" s="310">
        <v>762517.58441264485</v>
      </c>
      <c r="R98" s="309">
        <v>757797.91114296741</v>
      </c>
      <c r="S98" s="309">
        <v>87411</v>
      </c>
      <c r="T98" s="309">
        <f t="shared" si="43"/>
        <v>5496</v>
      </c>
      <c r="U98" s="309">
        <f t="shared" si="43"/>
        <v>355</v>
      </c>
      <c r="V98" s="309">
        <f t="shared" si="44"/>
        <v>1613577.4955556123</v>
      </c>
      <c r="W98" s="309">
        <f t="shared" si="45"/>
        <v>136506.50444438774</v>
      </c>
      <c r="X98" s="309">
        <f t="shared" si="46"/>
        <v>1750084</v>
      </c>
      <c r="Y98" s="309">
        <f t="shared" si="47"/>
        <v>1377</v>
      </c>
      <c r="Z98" s="309">
        <f t="shared" si="34"/>
        <v>116</v>
      </c>
      <c r="AA98" s="311">
        <f t="shared" si="48"/>
        <v>1751577</v>
      </c>
      <c r="AC98" s="310">
        <v>794705</v>
      </c>
      <c r="AD98" s="309">
        <v>773991</v>
      </c>
      <c r="AE98" s="309">
        <v>87411</v>
      </c>
      <c r="AF98" s="309">
        <v>5496</v>
      </c>
      <c r="AG98" s="309">
        <v>355</v>
      </c>
      <c r="AH98" s="309">
        <f t="shared" si="35"/>
        <v>1661958</v>
      </c>
      <c r="AI98" s="309">
        <f t="shared" si="36"/>
        <v>140599</v>
      </c>
      <c r="AJ98" s="309">
        <f t="shared" si="37"/>
        <v>1802557</v>
      </c>
      <c r="AK98" s="309">
        <v>1377</v>
      </c>
      <c r="AL98" s="309">
        <f t="shared" si="38"/>
        <v>116</v>
      </c>
      <c r="AM98" s="311">
        <f t="shared" si="39"/>
        <v>1804050</v>
      </c>
      <c r="AO98" s="458"/>
      <c r="AP98" s="459"/>
      <c r="AQ98" s="459"/>
      <c r="AR98" s="460"/>
      <c r="AS98" s="316"/>
      <c r="AT98" s="458"/>
      <c r="AU98" s="459"/>
      <c r="AV98" s="459"/>
      <c r="AW98" s="459"/>
      <c r="AX98" s="459"/>
      <c r="AY98" s="460"/>
    </row>
    <row r="99" spans="1:51" ht="15" hidden="1" outlineLevel="1" x14ac:dyDescent="0.25">
      <c r="A99" s="295">
        <f t="shared" si="23"/>
        <v>2027</v>
      </c>
      <c r="B99" s="295">
        <f t="shared" si="24"/>
        <v>10</v>
      </c>
      <c r="C99" s="305">
        <f t="shared" si="31"/>
        <v>46661</v>
      </c>
      <c r="E99" s="310">
        <v>840828</v>
      </c>
      <c r="F99" s="309">
        <v>696732</v>
      </c>
      <c r="G99" s="309">
        <v>78845</v>
      </c>
      <c r="H99" s="309">
        <v>4751</v>
      </c>
      <c r="I99" s="309">
        <v>469</v>
      </c>
      <c r="J99" s="309">
        <f t="shared" si="40"/>
        <v>1621625</v>
      </c>
      <c r="K99" s="309">
        <f t="shared" si="41"/>
        <v>137187</v>
      </c>
      <c r="L99" s="309">
        <f t="shared" si="42"/>
        <v>1758812</v>
      </c>
      <c r="M99" s="309">
        <v>1767</v>
      </c>
      <c r="N99" s="309">
        <f t="shared" si="32"/>
        <v>149</v>
      </c>
      <c r="O99" s="311">
        <f t="shared" si="33"/>
        <v>1760728</v>
      </c>
      <c r="P99" s="309"/>
      <c r="Q99" s="310">
        <v>889865.76982515596</v>
      </c>
      <c r="R99" s="309">
        <v>765696.01458469708</v>
      </c>
      <c r="S99" s="309">
        <v>83558</v>
      </c>
      <c r="T99" s="309">
        <f t="shared" si="43"/>
        <v>5458</v>
      </c>
      <c r="U99" s="309">
        <f t="shared" si="43"/>
        <v>469</v>
      </c>
      <c r="V99" s="309">
        <f t="shared" si="44"/>
        <v>1745046.7844098532</v>
      </c>
      <c r="W99" s="309">
        <f t="shared" si="45"/>
        <v>147628.21559014684</v>
      </c>
      <c r="X99" s="309">
        <f t="shared" si="46"/>
        <v>1892675</v>
      </c>
      <c r="Y99" s="309">
        <f t="shared" si="47"/>
        <v>1767</v>
      </c>
      <c r="Z99" s="309">
        <f t="shared" si="34"/>
        <v>149</v>
      </c>
      <c r="AA99" s="311">
        <f t="shared" si="48"/>
        <v>1894591</v>
      </c>
      <c r="AC99" s="310">
        <v>931893</v>
      </c>
      <c r="AD99" s="309">
        <v>783047</v>
      </c>
      <c r="AE99" s="309">
        <v>83558</v>
      </c>
      <c r="AF99" s="309">
        <v>5458</v>
      </c>
      <c r="AG99" s="309">
        <v>469</v>
      </c>
      <c r="AH99" s="309">
        <f t="shared" si="35"/>
        <v>1804425</v>
      </c>
      <c r="AI99" s="309">
        <f t="shared" si="36"/>
        <v>152652</v>
      </c>
      <c r="AJ99" s="309">
        <f t="shared" si="37"/>
        <v>1957077</v>
      </c>
      <c r="AK99" s="309">
        <v>1767</v>
      </c>
      <c r="AL99" s="309">
        <f t="shared" si="38"/>
        <v>149</v>
      </c>
      <c r="AM99" s="311">
        <f t="shared" si="39"/>
        <v>1958993</v>
      </c>
      <c r="AO99" s="458"/>
      <c r="AP99" s="459"/>
      <c r="AQ99" s="459"/>
      <c r="AR99" s="460"/>
      <c r="AS99" s="316"/>
      <c r="AT99" s="458"/>
      <c r="AU99" s="459"/>
      <c r="AV99" s="459"/>
      <c r="AW99" s="459"/>
      <c r="AX99" s="459"/>
      <c r="AY99" s="460"/>
    </row>
    <row r="100" spans="1:51" ht="15" hidden="1" outlineLevel="1" x14ac:dyDescent="0.25">
      <c r="A100" s="295">
        <f t="shared" si="23"/>
        <v>2027</v>
      </c>
      <c r="B100" s="295">
        <f t="shared" si="24"/>
        <v>11</v>
      </c>
      <c r="C100" s="305">
        <f t="shared" si="31"/>
        <v>46692</v>
      </c>
      <c r="E100" s="310">
        <v>1060576</v>
      </c>
      <c r="F100" s="309">
        <v>723987</v>
      </c>
      <c r="G100" s="309">
        <v>83086</v>
      </c>
      <c r="H100" s="309">
        <v>5280</v>
      </c>
      <c r="I100" s="309">
        <v>779</v>
      </c>
      <c r="J100" s="309">
        <f t="shared" si="40"/>
        <v>1873708</v>
      </c>
      <c r="K100" s="309">
        <f t="shared" si="41"/>
        <v>158513</v>
      </c>
      <c r="L100" s="309">
        <f t="shared" si="42"/>
        <v>2032221</v>
      </c>
      <c r="M100" s="309">
        <v>1763</v>
      </c>
      <c r="N100" s="309">
        <f t="shared" si="32"/>
        <v>149</v>
      </c>
      <c r="O100" s="311">
        <f t="shared" si="33"/>
        <v>2034133</v>
      </c>
      <c r="P100" s="309"/>
      <c r="Q100" s="310">
        <v>1127604.4348994778</v>
      </c>
      <c r="R100" s="309">
        <v>789828.03799531993</v>
      </c>
      <c r="S100" s="309">
        <v>87473</v>
      </c>
      <c r="T100" s="309">
        <f t="shared" si="43"/>
        <v>6069</v>
      </c>
      <c r="U100" s="309">
        <f t="shared" si="43"/>
        <v>779</v>
      </c>
      <c r="V100" s="309">
        <f t="shared" si="44"/>
        <v>2011753.4728947976</v>
      </c>
      <c r="W100" s="309">
        <f t="shared" si="45"/>
        <v>170191.52710520243</v>
      </c>
      <c r="X100" s="309">
        <f t="shared" si="46"/>
        <v>2181945</v>
      </c>
      <c r="Y100" s="309">
        <f t="shared" si="47"/>
        <v>1763</v>
      </c>
      <c r="Z100" s="309">
        <f t="shared" si="34"/>
        <v>149</v>
      </c>
      <c r="AA100" s="311">
        <f t="shared" si="48"/>
        <v>2183857</v>
      </c>
      <c r="AC100" s="310">
        <v>1180654</v>
      </c>
      <c r="AD100" s="309">
        <v>806901</v>
      </c>
      <c r="AE100" s="309">
        <v>87473</v>
      </c>
      <c r="AF100" s="309">
        <v>6069</v>
      </c>
      <c r="AG100" s="309">
        <v>779</v>
      </c>
      <c r="AH100" s="309">
        <f t="shared" si="35"/>
        <v>2081876</v>
      </c>
      <c r="AI100" s="309">
        <f t="shared" si="36"/>
        <v>176124</v>
      </c>
      <c r="AJ100" s="309">
        <f t="shared" si="37"/>
        <v>2258000</v>
      </c>
      <c r="AK100" s="309">
        <v>1763</v>
      </c>
      <c r="AL100" s="309">
        <f t="shared" si="38"/>
        <v>149</v>
      </c>
      <c r="AM100" s="311">
        <f t="shared" si="39"/>
        <v>2259912</v>
      </c>
      <c r="AO100" s="458"/>
      <c r="AP100" s="459"/>
      <c r="AQ100" s="459"/>
      <c r="AR100" s="460"/>
      <c r="AS100" s="316"/>
      <c r="AT100" s="458"/>
      <c r="AU100" s="459"/>
      <c r="AV100" s="459"/>
      <c r="AW100" s="459"/>
      <c r="AX100" s="459"/>
      <c r="AY100" s="460"/>
    </row>
    <row r="101" spans="1:51" ht="15" hidden="1" outlineLevel="1" x14ac:dyDescent="0.25">
      <c r="A101" s="295">
        <f t="shared" si="23"/>
        <v>2027</v>
      </c>
      <c r="B101" s="295">
        <f t="shared" si="24"/>
        <v>12</v>
      </c>
      <c r="C101" s="305">
        <f t="shared" si="31"/>
        <v>46722</v>
      </c>
      <c r="E101" s="310">
        <v>1163965</v>
      </c>
      <c r="F101" s="309">
        <v>750608</v>
      </c>
      <c r="G101" s="309">
        <v>75527</v>
      </c>
      <c r="H101" s="309">
        <v>4856</v>
      </c>
      <c r="I101" s="309">
        <v>841</v>
      </c>
      <c r="J101" s="309">
        <f t="shared" si="40"/>
        <v>1995797</v>
      </c>
      <c r="K101" s="309">
        <f t="shared" si="41"/>
        <v>168842</v>
      </c>
      <c r="L101" s="309">
        <f t="shared" si="42"/>
        <v>2164639</v>
      </c>
      <c r="M101" s="309">
        <v>1649</v>
      </c>
      <c r="N101" s="309">
        <f t="shared" si="32"/>
        <v>140</v>
      </c>
      <c r="O101" s="311">
        <f t="shared" si="33"/>
        <v>2166428</v>
      </c>
      <c r="P101" s="309"/>
      <c r="Q101" s="310">
        <v>1264805.8361477156</v>
      </c>
      <c r="R101" s="309">
        <v>821974.35308776516</v>
      </c>
      <c r="S101" s="309">
        <v>80154</v>
      </c>
      <c r="T101" s="309">
        <f t="shared" si="43"/>
        <v>5712</v>
      </c>
      <c r="U101" s="309">
        <f t="shared" si="43"/>
        <v>841</v>
      </c>
      <c r="V101" s="309">
        <f t="shared" si="44"/>
        <v>2173487.1892354805</v>
      </c>
      <c r="W101" s="309">
        <f t="shared" si="45"/>
        <v>183873.8107645195</v>
      </c>
      <c r="X101" s="309">
        <f t="shared" si="46"/>
        <v>2357361</v>
      </c>
      <c r="Y101" s="309">
        <f t="shared" si="47"/>
        <v>1649</v>
      </c>
      <c r="Z101" s="309">
        <f t="shared" si="34"/>
        <v>140</v>
      </c>
      <c r="AA101" s="311">
        <f t="shared" si="48"/>
        <v>2359150</v>
      </c>
      <c r="AC101" s="310">
        <v>1334262</v>
      </c>
      <c r="AD101" s="309">
        <v>843613</v>
      </c>
      <c r="AE101" s="309">
        <v>80154</v>
      </c>
      <c r="AF101" s="309">
        <v>5712</v>
      </c>
      <c r="AG101" s="309">
        <v>841</v>
      </c>
      <c r="AH101" s="309">
        <f t="shared" si="35"/>
        <v>2264582</v>
      </c>
      <c r="AI101" s="309">
        <f t="shared" si="36"/>
        <v>191581</v>
      </c>
      <c r="AJ101" s="309">
        <f t="shared" si="37"/>
        <v>2456163</v>
      </c>
      <c r="AK101" s="309">
        <v>1649</v>
      </c>
      <c r="AL101" s="309">
        <f t="shared" si="38"/>
        <v>140</v>
      </c>
      <c r="AM101" s="311">
        <f t="shared" si="39"/>
        <v>2457952</v>
      </c>
      <c r="AO101" s="458"/>
      <c r="AP101" s="459"/>
      <c r="AQ101" s="459"/>
      <c r="AR101" s="460"/>
      <c r="AS101" s="316"/>
      <c r="AT101" s="458"/>
      <c r="AU101" s="459"/>
      <c r="AV101" s="459"/>
      <c r="AW101" s="459"/>
      <c r="AX101" s="459"/>
      <c r="AY101" s="460"/>
    </row>
    <row r="102" spans="1:51" ht="15" hidden="1" outlineLevel="1" x14ac:dyDescent="0.25">
      <c r="A102" s="295">
        <f t="shared" si="23"/>
        <v>2028</v>
      </c>
      <c r="B102" s="295">
        <f t="shared" si="24"/>
        <v>1</v>
      </c>
      <c r="C102" s="305">
        <f t="shared" si="31"/>
        <v>46753</v>
      </c>
      <c r="E102" s="310">
        <v>1193054</v>
      </c>
      <c r="F102" s="309">
        <v>769764</v>
      </c>
      <c r="G102" s="309">
        <v>73270</v>
      </c>
      <c r="H102" s="309">
        <v>5229</v>
      </c>
      <c r="I102" s="309">
        <v>981</v>
      </c>
      <c r="J102" s="309">
        <f t="shared" si="40"/>
        <v>2042298</v>
      </c>
      <c r="K102" s="309">
        <f t="shared" si="41"/>
        <v>172776</v>
      </c>
      <c r="L102" s="309">
        <f t="shared" si="42"/>
        <v>2215074</v>
      </c>
      <c r="M102" s="309">
        <v>2243</v>
      </c>
      <c r="N102" s="309">
        <f t="shared" si="32"/>
        <v>190</v>
      </c>
      <c r="O102" s="311">
        <f t="shared" si="33"/>
        <v>2217507</v>
      </c>
      <c r="P102" s="309"/>
      <c r="Q102" s="310">
        <v>1286075.911004564</v>
      </c>
      <c r="R102" s="309">
        <v>841080.43703315244</v>
      </c>
      <c r="S102" s="309">
        <v>77983</v>
      </c>
      <c r="T102" s="309">
        <f t="shared" si="43"/>
        <v>6106</v>
      </c>
      <c r="U102" s="309">
        <f t="shared" si="43"/>
        <v>981</v>
      </c>
      <c r="V102" s="309">
        <f t="shared" si="44"/>
        <v>2212226.3480377165</v>
      </c>
      <c r="W102" s="309">
        <f t="shared" si="45"/>
        <v>187151.65196228353</v>
      </c>
      <c r="X102" s="309">
        <f t="shared" si="46"/>
        <v>2399378</v>
      </c>
      <c r="Y102" s="309">
        <f t="shared" si="47"/>
        <v>2243</v>
      </c>
      <c r="Z102" s="309">
        <f t="shared" si="34"/>
        <v>190</v>
      </c>
      <c r="AA102" s="311">
        <f t="shared" si="48"/>
        <v>2401811</v>
      </c>
      <c r="AC102" s="310">
        <v>1345745</v>
      </c>
      <c r="AD102" s="309">
        <v>861484</v>
      </c>
      <c r="AE102" s="309">
        <v>77983</v>
      </c>
      <c r="AF102" s="309">
        <v>6106</v>
      </c>
      <c r="AG102" s="309">
        <v>981</v>
      </c>
      <c r="AH102" s="309">
        <f t="shared" si="35"/>
        <v>2292299</v>
      </c>
      <c r="AI102" s="309">
        <f t="shared" si="36"/>
        <v>193926</v>
      </c>
      <c r="AJ102" s="309">
        <f t="shared" si="37"/>
        <v>2486225</v>
      </c>
      <c r="AK102" s="309">
        <v>2243</v>
      </c>
      <c r="AL102" s="309">
        <f t="shared" si="38"/>
        <v>190</v>
      </c>
      <c r="AM102" s="311">
        <f t="shared" si="39"/>
        <v>2488658</v>
      </c>
      <c r="AO102" s="458"/>
      <c r="AP102" s="459"/>
      <c r="AQ102" s="459"/>
      <c r="AR102" s="460"/>
      <c r="AS102" s="316"/>
      <c r="AT102" s="458"/>
      <c r="AU102" s="459"/>
      <c r="AV102" s="459"/>
      <c r="AW102" s="459"/>
      <c r="AX102" s="459"/>
      <c r="AY102" s="460"/>
    </row>
    <row r="103" spans="1:51" ht="15" hidden="1" outlineLevel="1" x14ac:dyDescent="0.25">
      <c r="A103" s="295">
        <f t="shared" si="23"/>
        <v>2028</v>
      </c>
      <c r="B103" s="295">
        <f t="shared" si="24"/>
        <v>2</v>
      </c>
      <c r="C103" s="305">
        <f t="shared" si="31"/>
        <v>46784</v>
      </c>
      <c r="E103" s="310">
        <v>1040166</v>
      </c>
      <c r="F103" s="309">
        <v>714306</v>
      </c>
      <c r="G103" s="309">
        <v>73384</v>
      </c>
      <c r="H103" s="309">
        <v>4962</v>
      </c>
      <c r="I103" s="309">
        <v>866</v>
      </c>
      <c r="J103" s="309">
        <f t="shared" si="40"/>
        <v>1833684</v>
      </c>
      <c r="K103" s="309">
        <f t="shared" si="41"/>
        <v>155127</v>
      </c>
      <c r="L103" s="309">
        <f t="shared" si="42"/>
        <v>1988811</v>
      </c>
      <c r="M103" s="309">
        <v>2439</v>
      </c>
      <c r="N103" s="309">
        <f t="shared" si="32"/>
        <v>206</v>
      </c>
      <c r="O103" s="311">
        <f t="shared" si="33"/>
        <v>1991456</v>
      </c>
      <c r="P103" s="309"/>
      <c r="Q103" s="310">
        <v>1115620.3995366823</v>
      </c>
      <c r="R103" s="309">
        <v>777889.70412406279</v>
      </c>
      <c r="S103" s="309">
        <v>77712</v>
      </c>
      <c r="T103" s="309">
        <f t="shared" si="43"/>
        <v>5638</v>
      </c>
      <c r="U103" s="309">
        <f t="shared" si="43"/>
        <v>866</v>
      </c>
      <c r="V103" s="309">
        <f t="shared" si="44"/>
        <v>1977726.1036607451</v>
      </c>
      <c r="W103" s="309">
        <f t="shared" si="45"/>
        <v>167312.89633925492</v>
      </c>
      <c r="X103" s="309">
        <f t="shared" si="46"/>
        <v>2145039</v>
      </c>
      <c r="Y103" s="309">
        <f t="shared" si="47"/>
        <v>2439</v>
      </c>
      <c r="Z103" s="309">
        <f t="shared" si="34"/>
        <v>206</v>
      </c>
      <c r="AA103" s="311">
        <f t="shared" si="48"/>
        <v>2147684</v>
      </c>
      <c r="AC103" s="310">
        <v>1163581</v>
      </c>
      <c r="AD103" s="309">
        <v>793887</v>
      </c>
      <c r="AE103" s="309">
        <v>77712</v>
      </c>
      <c r="AF103" s="309">
        <v>5638</v>
      </c>
      <c r="AG103" s="309">
        <v>866</v>
      </c>
      <c r="AH103" s="309">
        <f t="shared" si="35"/>
        <v>2041684</v>
      </c>
      <c r="AI103" s="309">
        <f t="shared" si="36"/>
        <v>172724</v>
      </c>
      <c r="AJ103" s="309">
        <f t="shared" si="37"/>
        <v>2214408</v>
      </c>
      <c r="AK103" s="309">
        <v>2439</v>
      </c>
      <c r="AL103" s="309">
        <f t="shared" si="38"/>
        <v>206</v>
      </c>
      <c r="AM103" s="311">
        <f t="shared" si="39"/>
        <v>2217053</v>
      </c>
      <c r="AO103" s="458"/>
      <c r="AP103" s="459"/>
      <c r="AQ103" s="459"/>
      <c r="AR103" s="460"/>
      <c r="AS103" s="316"/>
      <c r="AT103" s="458"/>
      <c r="AU103" s="459"/>
      <c r="AV103" s="459"/>
      <c r="AW103" s="459"/>
      <c r="AX103" s="459"/>
      <c r="AY103" s="460"/>
    </row>
    <row r="104" spans="1:51" ht="15" hidden="1" outlineLevel="1" x14ac:dyDescent="0.25">
      <c r="A104" s="295">
        <f t="shared" si="23"/>
        <v>2028</v>
      </c>
      <c r="B104" s="295">
        <f t="shared" si="24"/>
        <v>3</v>
      </c>
      <c r="C104" s="305">
        <f t="shared" si="31"/>
        <v>46813</v>
      </c>
      <c r="E104" s="310">
        <v>1027712</v>
      </c>
      <c r="F104" s="309">
        <v>741511</v>
      </c>
      <c r="G104" s="309">
        <v>80071</v>
      </c>
      <c r="H104" s="309">
        <v>4497</v>
      </c>
      <c r="I104" s="309">
        <v>763</v>
      </c>
      <c r="J104" s="309">
        <f t="shared" si="40"/>
        <v>1854554</v>
      </c>
      <c r="K104" s="309">
        <f t="shared" si="41"/>
        <v>156893</v>
      </c>
      <c r="L104" s="309">
        <f t="shared" si="42"/>
        <v>2011447</v>
      </c>
      <c r="M104" s="309">
        <v>2263</v>
      </c>
      <c r="N104" s="309">
        <f t="shared" si="32"/>
        <v>191</v>
      </c>
      <c r="O104" s="311">
        <f t="shared" si="33"/>
        <v>2013901</v>
      </c>
      <c r="P104" s="309"/>
      <c r="Q104" s="310">
        <v>1100901.1586884151</v>
      </c>
      <c r="R104" s="309">
        <v>816127.61587858363</v>
      </c>
      <c r="S104" s="309">
        <v>84920</v>
      </c>
      <c r="T104" s="309">
        <f t="shared" si="43"/>
        <v>5219</v>
      </c>
      <c r="U104" s="309">
        <f t="shared" si="43"/>
        <v>763</v>
      </c>
      <c r="V104" s="309">
        <f t="shared" si="44"/>
        <v>2007930.7745669987</v>
      </c>
      <c r="W104" s="309">
        <f t="shared" si="45"/>
        <v>169868.22543300129</v>
      </c>
      <c r="X104" s="309">
        <f t="shared" si="46"/>
        <v>2177799</v>
      </c>
      <c r="Y104" s="309">
        <f t="shared" si="47"/>
        <v>2263</v>
      </c>
      <c r="Z104" s="309">
        <f t="shared" si="34"/>
        <v>191</v>
      </c>
      <c r="AA104" s="311">
        <f t="shared" si="48"/>
        <v>2180253</v>
      </c>
      <c r="AC104" s="310">
        <v>1148825</v>
      </c>
      <c r="AD104" s="309">
        <v>834948</v>
      </c>
      <c r="AE104" s="309">
        <v>84920</v>
      </c>
      <c r="AF104" s="309">
        <v>5219</v>
      </c>
      <c r="AG104" s="309">
        <v>763</v>
      </c>
      <c r="AH104" s="309">
        <f t="shared" si="35"/>
        <v>2074675</v>
      </c>
      <c r="AI104" s="309">
        <f t="shared" si="36"/>
        <v>175515</v>
      </c>
      <c r="AJ104" s="309">
        <f t="shared" si="37"/>
        <v>2250190</v>
      </c>
      <c r="AK104" s="309">
        <v>2263</v>
      </c>
      <c r="AL104" s="309">
        <f t="shared" si="38"/>
        <v>191</v>
      </c>
      <c r="AM104" s="311">
        <f t="shared" si="39"/>
        <v>2252644</v>
      </c>
      <c r="AO104" s="458"/>
      <c r="AP104" s="459"/>
      <c r="AQ104" s="459"/>
      <c r="AR104" s="460"/>
      <c r="AS104" s="316"/>
      <c r="AT104" s="458"/>
      <c r="AU104" s="459"/>
      <c r="AV104" s="459"/>
      <c r="AW104" s="459"/>
      <c r="AX104" s="459"/>
      <c r="AY104" s="460"/>
    </row>
    <row r="105" spans="1:51" ht="15" hidden="1" outlineLevel="1" x14ac:dyDescent="0.25">
      <c r="A105" s="295">
        <f t="shared" si="23"/>
        <v>2028</v>
      </c>
      <c r="B105" s="295">
        <f t="shared" si="24"/>
        <v>4</v>
      </c>
      <c r="C105" s="305">
        <f t="shared" si="31"/>
        <v>46844</v>
      </c>
      <c r="E105" s="310">
        <v>922378</v>
      </c>
      <c r="F105" s="309">
        <v>726838</v>
      </c>
      <c r="G105" s="309">
        <v>80985</v>
      </c>
      <c r="H105" s="309">
        <v>4913</v>
      </c>
      <c r="I105" s="309">
        <v>627</v>
      </c>
      <c r="J105" s="309">
        <f t="shared" si="40"/>
        <v>1735741</v>
      </c>
      <c r="K105" s="309">
        <f t="shared" si="41"/>
        <v>146841</v>
      </c>
      <c r="L105" s="309">
        <f t="shared" si="42"/>
        <v>1882582</v>
      </c>
      <c r="M105" s="309">
        <v>2101</v>
      </c>
      <c r="N105" s="309">
        <f t="shared" si="32"/>
        <v>178</v>
      </c>
      <c r="O105" s="311">
        <f t="shared" si="33"/>
        <v>1884861</v>
      </c>
      <c r="P105" s="309"/>
      <c r="Q105" s="310">
        <v>987429.77637785918</v>
      </c>
      <c r="R105" s="309">
        <v>795604.54660793918</v>
      </c>
      <c r="S105" s="309">
        <v>85585</v>
      </c>
      <c r="T105" s="309">
        <f t="shared" si="43"/>
        <v>5530</v>
      </c>
      <c r="U105" s="309">
        <f t="shared" si="43"/>
        <v>627</v>
      </c>
      <c r="V105" s="309">
        <f t="shared" si="44"/>
        <v>1874776.3229857984</v>
      </c>
      <c r="W105" s="309">
        <f t="shared" si="45"/>
        <v>158603.67701420165</v>
      </c>
      <c r="X105" s="309">
        <f t="shared" si="46"/>
        <v>2033380</v>
      </c>
      <c r="Y105" s="309">
        <f t="shared" si="47"/>
        <v>2101</v>
      </c>
      <c r="Z105" s="309">
        <f t="shared" si="34"/>
        <v>178</v>
      </c>
      <c r="AA105" s="311">
        <f t="shared" si="48"/>
        <v>2035659</v>
      </c>
      <c r="AC105" s="310">
        <v>1027534</v>
      </c>
      <c r="AD105" s="309">
        <v>813104</v>
      </c>
      <c r="AE105" s="309">
        <v>85585</v>
      </c>
      <c r="AF105" s="309">
        <v>5530</v>
      </c>
      <c r="AG105" s="309">
        <v>627</v>
      </c>
      <c r="AH105" s="309">
        <f t="shared" si="35"/>
        <v>1932380</v>
      </c>
      <c r="AI105" s="309">
        <f t="shared" si="36"/>
        <v>163477</v>
      </c>
      <c r="AJ105" s="309">
        <f t="shared" si="37"/>
        <v>2095857</v>
      </c>
      <c r="AK105" s="309">
        <v>2101</v>
      </c>
      <c r="AL105" s="309">
        <f t="shared" si="38"/>
        <v>178</v>
      </c>
      <c r="AM105" s="311">
        <f t="shared" si="39"/>
        <v>2098136</v>
      </c>
      <c r="AO105" s="458"/>
      <c r="AP105" s="459"/>
      <c r="AQ105" s="459"/>
      <c r="AR105" s="460"/>
      <c r="AS105" s="316"/>
      <c r="AT105" s="458"/>
      <c r="AU105" s="459"/>
      <c r="AV105" s="459"/>
      <c r="AW105" s="459"/>
      <c r="AX105" s="459"/>
      <c r="AY105" s="460"/>
    </row>
    <row r="106" spans="1:51" ht="15" hidden="1" outlineLevel="1" x14ac:dyDescent="0.25">
      <c r="A106" s="295">
        <f t="shared" si="23"/>
        <v>2028</v>
      </c>
      <c r="B106" s="295">
        <f t="shared" si="24"/>
        <v>5</v>
      </c>
      <c r="C106" s="305">
        <f t="shared" si="31"/>
        <v>46874</v>
      </c>
      <c r="E106" s="310">
        <v>783224</v>
      </c>
      <c r="F106" s="309">
        <v>675611</v>
      </c>
      <c r="G106" s="309">
        <v>76000</v>
      </c>
      <c r="H106" s="309">
        <v>4743</v>
      </c>
      <c r="I106" s="309">
        <v>433</v>
      </c>
      <c r="J106" s="309">
        <f t="shared" si="40"/>
        <v>1540011</v>
      </c>
      <c r="K106" s="309">
        <f t="shared" si="41"/>
        <v>130283</v>
      </c>
      <c r="L106" s="309">
        <f t="shared" si="42"/>
        <v>1670294</v>
      </c>
      <c r="M106" s="309">
        <v>2097</v>
      </c>
      <c r="N106" s="309">
        <f t="shared" si="32"/>
        <v>177</v>
      </c>
      <c r="O106" s="311">
        <f t="shared" si="33"/>
        <v>1672568</v>
      </c>
      <c r="P106" s="309"/>
      <c r="Q106" s="310">
        <v>827428.65040754597</v>
      </c>
      <c r="R106" s="309">
        <v>752725.94759477302</v>
      </c>
      <c r="S106" s="309">
        <v>80820</v>
      </c>
      <c r="T106" s="309">
        <f t="shared" si="43"/>
        <v>5297</v>
      </c>
      <c r="U106" s="309">
        <f t="shared" si="43"/>
        <v>433</v>
      </c>
      <c r="V106" s="309">
        <f t="shared" si="44"/>
        <v>1666704.598002319</v>
      </c>
      <c r="W106" s="309">
        <f t="shared" si="45"/>
        <v>141001.40199768101</v>
      </c>
      <c r="X106" s="309">
        <f t="shared" si="46"/>
        <v>1807706</v>
      </c>
      <c r="Y106" s="309">
        <f t="shared" si="47"/>
        <v>2097</v>
      </c>
      <c r="Z106" s="309">
        <f t="shared" si="34"/>
        <v>177</v>
      </c>
      <c r="AA106" s="311">
        <f t="shared" si="48"/>
        <v>1809980</v>
      </c>
      <c r="AC106" s="310">
        <v>866679</v>
      </c>
      <c r="AD106" s="309">
        <v>770655</v>
      </c>
      <c r="AE106" s="309">
        <v>80820</v>
      </c>
      <c r="AF106" s="309">
        <v>5297</v>
      </c>
      <c r="AG106" s="309">
        <v>433</v>
      </c>
      <c r="AH106" s="309">
        <f t="shared" si="35"/>
        <v>1723884</v>
      </c>
      <c r="AI106" s="309">
        <f t="shared" si="36"/>
        <v>145838</v>
      </c>
      <c r="AJ106" s="309">
        <f t="shared" si="37"/>
        <v>1869722</v>
      </c>
      <c r="AK106" s="309">
        <v>2097</v>
      </c>
      <c r="AL106" s="309">
        <f t="shared" si="38"/>
        <v>177</v>
      </c>
      <c r="AM106" s="311">
        <f t="shared" si="39"/>
        <v>1871996</v>
      </c>
      <c r="AO106" s="458"/>
      <c r="AP106" s="459"/>
      <c r="AQ106" s="459"/>
      <c r="AR106" s="460"/>
      <c r="AS106" s="316"/>
      <c r="AT106" s="458"/>
      <c r="AU106" s="459"/>
      <c r="AV106" s="459"/>
      <c r="AW106" s="459"/>
      <c r="AX106" s="459"/>
      <c r="AY106" s="460"/>
    </row>
    <row r="107" spans="1:51" ht="15" hidden="1" outlineLevel="1" x14ac:dyDescent="0.25">
      <c r="A107" s="295">
        <f t="shared" ref="A107:A170" si="49">A95+1</f>
        <v>2028</v>
      </c>
      <c r="B107" s="295">
        <f t="shared" ref="B107:B170" si="50">B95</f>
        <v>6</v>
      </c>
      <c r="C107" s="305">
        <f t="shared" si="31"/>
        <v>46905</v>
      </c>
      <c r="E107" s="310">
        <v>743101</v>
      </c>
      <c r="F107" s="309">
        <v>698953</v>
      </c>
      <c r="G107" s="309">
        <v>77466</v>
      </c>
      <c r="H107" s="309">
        <v>4631</v>
      </c>
      <c r="I107" s="309">
        <v>316</v>
      </c>
      <c r="J107" s="309">
        <f t="shared" si="40"/>
        <v>1524467</v>
      </c>
      <c r="K107" s="309">
        <f t="shared" si="41"/>
        <v>128968</v>
      </c>
      <c r="L107" s="309">
        <f t="shared" si="42"/>
        <v>1653435</v>
      </c>
      <c r="M107" s="309">
        <v>1727</v>
      </c>
      <c r="N107" s="309">
        <f t="shared" si="32"/>
        <v>146</v>
      </c>
      <c r="O107" s="311">
        <f t="shared" si="33"/>
        <v>1655308</v>
      </c>
      <c r="P107" s="309"/>
      <c r="Q107" s="310">
        <v>775046.12474134425</v>
      </c>
      <c r="R107" s="309">
        <v>773260.17202734062</v>
      </c>
      <c r="S107" s="309">
        <v>82272</v>
      </c>
      <c r="T107" s="309">
        <f t="shared" si="43"/>
        <v>5103</v>
      </c>
      <c r="U107" s="309">
        <f t="shared" si="43"/>
        <v>316</v>
      </c>
      <c r="V107" s="309">
        <f t="shared" si="44"/>
        <v>1635997.2967686849</v>
      </c>
      <c r="W107" s="309">
        <f t="shared" si="45"/>
        <v>138403.70323131513</v>
      </c>
      <c r="X107" s="309">
        <f t="shared" si="46"/>
        <v>1774401</v>
      </c>
      <c r="Y107" s="309">
        <f t="shared" si="47"/>
        <v>1727</v>
      </c>
      <c r="Z107" s="309">
        <f t="shared" si="34"/>
        <v>146</v>
      </c>
      <c r="AA107" s="311">
        <f t="shared" si="48"/>
        <v>1776274</v>
      </c>
      <c r="AC107" s="310">
        <v>807719</v>
      </c>
      <c r="AD107" s="309">
        <v>790520</v>
      </c>
      <c r="AE107" s="309">
        <v>82272</v>
      </c>
      <c r="AF107" s="309">
        <v>5103</v>
      </c>
      <c r="AG107" s="309">
        <v>316</v>
      </c>
      <c r="AH107" s="309">
        <f t="shared" si="35"/>
        <v>1685930</v>
      </c>
      <c r="AI107" s="309">
        <f t="shared" si="36"/>
        <v>142627</v>
      </c>
      <c r="AJ107" s="309">
        <f t="shared" si="37"/>
        <v>1828557</v>
      </c>
      <c r="AK107" s="309">
        <v>1727</v>
      </c>
      <c r="AL107" s="309">
        <f t="shared" si="38"/>
        <v>146</v>
      </c>
      <c r="AM107" s="311">
        <f t="shared" si="39"/>
        <v>1830430</v>
      </c>
      <c r="AO107" s="458"/>
      <c r="AP107" s="459"/>
      <c r="AQ107" s="459"/>
      <c r="AR107" s="460"/>
      <c r="AS107" s="316"/>
      <c r="AT107" s="458"/>
      <c r="AU107" s="459"/>
      <c r="AV107" s="459"/>
      <c r="AW107" s="459"/>
      <c r="AX107" s="459"/>
      <c r="AY107" s="460"/>
    </row>
    <row r="108" spans="1:51" ht="15" hidden="1" outlineLevel="1" x14ac:dyDescent="0.25">
      <c r="A108" s="295">
        <f t="shared" si="49"/>
        <v>2028</v>
      </c>
      <c r="B108" s="295">
        <f t="shared" si="50"/>
        <v>7</v>
      </c>
      <c r="C108" s="305">
        <f t="shared" si="31"/>
        <v>46935</v>
      </c>
      <c r="E108" s="310">
        <v>781413</v>
      </c>
      <c r="F108" s="309">
        <v>729451</v>
      </c>
      <c r="G108" s="309">
        <v>84683</v>
      </c>
      <c r="H108" s="309">
        <v>4385</v>
      </c>
      <c r="I108" s="309">
        <v>288</v>
      </c>
      <c r="J108" s="309">
        <f t="shared" si="40"/>
        <v>1600220</v>
      </c>
      <c r="K108" s="309">
        <f t="shared" si="41"/>
        <v>135377</v>
      </c>
      <c r="L108" s="309">
        <f t="shared" si="42"/>
        <v>1735597</v>
      </c>
      <c r="M108" s="309">
        <v>2779</v>
      </c>
      <c r="N108" s="309">
        <f t="shared" si="32"/>
        <v>235</v>
      </c>
      <c r="O108" s="311">
        <f t="shared" si="33"/>
        <v>1738611</v>
      </c>
      <c r="P108" s="309"/>
      <c r="Q108" s="310">
        <v>814830.67027222458</v>
      </c>
      <c r="R108" s="309">
        <v>809172.92853125883</v>
      </c>
      <c r="S108" s="309">
        <v>89669</v>
      </c>
      <c r="T108" s="309">
        <f t="shared" si="43"/>
        <v>4949</v>
      </c>
      <c r="U108" s="309">
        <f t="shared" si="43"/>
        <v>288</v>
      </c>
      <c r="V108" s="309">
        <f t="shared" si="44"/>
        <v>1718909.5988034834</v>
      </c>
      <c r="W108" s="309">
        <f t="shared" si="45"/>
        <v>145417.40119651658</v>
      </c>
      <c r="X108" s="309">
        <f t="shared" si="46"/>
        <v>1864327</v>
      </c>
      <c r="Y108" s="309">
        <f t="shared" si="47"/>
        <v>2779</v>
      </c>
      <c r="Z108" s="309">
        <f t="shared" si="34"/>
        <v>235</v>
      </c>
      <c r="AA108" s="311">
        <f t="shared" si="48"/>
        <v>1867341</v>
      </c>
      <c r="AC108" s="310">
        <v>852034</v>
      </c>
      <c r="AD108" s="309">
        <v>828314</v>
      </c>
      <c r="AE108" s="309">
        <v>89669</v>
      </c>
      <c r="AF108" s="309">
        <v>4949</v>
      </c>
      <c r="AG108" s="309">
        <v>288</v>
      </c>
      <c r="AH108" s="309">
        <f t="shared" si="35"/>
        <v>1775254</v>
      </c>
      <c r="AI108" s="309">
        <f t="shared" si="36"/>
        <v>150184</v>
      </c>
      <c r="AJ108" s="309">
        <f t="shared" si="37"/>
        <v>1925438</v>
      </c>
      <c r="AK108" s="309">
        <v>2779</v>
      </c>
      <c r="AL108" s="309">
        <f t="shared" si="38"/>
        <v>235</v>
      </c>
      <c r="AM108" s="311">
        <f t="shared" si="39"/>
        <v>1928452</v>
      </c>
      <c r="AO108" s="458"/>
      <c r="AP108" s="459"/>
      <c r="AQ108" s="459"/>
      <c r="AR108" s="460"/>
      <c r="AS108" s="316"/>
      <c r="AT108" s="458"/>
      <c r="AU108" s="459"/>
      <c r="AV108" s="459"/>
      <c r="AW108" s="459"/>
      <c r="AX108" s="459"/>
      <c r="AY108" s="460"/>
    </row>
    <row r="109" spans="1:51" ht="15" hidden="1" outlineLevel="1" x14ac:dyDescent="0.25">
      <c r="A109" s="295">
        <f t="shared" si="49"/>
        <v>2028</v>
      </c>
      <c r="B109" s="295">
        <f t="shared" si="50"/>
        <v>8</v>
      </c>
      <c r="C109" s="305">
        <f t="shared" si="31"/>
        <v>46966</v>
      </c>
      <c r="E109" s="310">
        <v>795322</v>
      </c>
      <c r="F109" s="309">
        <v>729125</v>
      </c>
      <c r="G109" s="309">
        <v>85549</v>
      </c>
      <c r="H109" s="309">
        <v>4669</v>
      </c>
      <c r="I109" s="309">
        <v>280</v>
      </c>
      <c r="J109" s="309">
        <f t="shared" si="40"/>
        <v>1614945</v>
      </c>
      <c r="K109" s="309">
        <f t="shared" si="41"/>
        <v>136622</v>
      </c>
      <c r="L109" s="309">
        <f t="shared" si="42"/>
        <v>1751567</v>
      </c>
      <c r="M109" s="309">
        <v>1579</v>
      </c>
      <c r="N109" s="309">
        <f t="shared" si="32"/>
        <v>134</v>
      </c>
      <c r="O109" s="311">
        <f t="shared" si="33"/>
        <v>1753280</v>
      </c>
      <c r="P109" s="309"/>
      <c r="Q109" s="310">
        <v>829084.67169535754</v>
      </c>
      <c r="R109" s="309">
        <v>811207.29984087055</v>
      </c>
      <c r="S109" s="309">
        <v>90815</v>
      </c>
      <c r="T109" s="309">
        <f t="shared" si="43"/>
        <v>5327</v>
      </c>
      <c r="U109" s="309">
        <f t="shared" si="43"/>
        <v>280</v>
      </c>
      <c r="V109" s="309">
        <f t="shared" si="44"/>
        <v>1736713.971536228</v>
      </c>
      <c r="W109" s="309">
        <f t="shared" si="45"/>
        <v>146924.02846377203</v>
      </c>
      <c r="X109" s="309">
        <f t="shared" si="46"/>
        <v>1883638</v>
      </c>
      <c r="Y109" s="309">
        <f t="shared" si="47"/>
        <v>1579</v>
      </c>
      <c r="Z109" s="309">
        <f t="shared" si="34"/>
        <v>134</v>
      </c>
      <c r="AA109" s="311">
        <f t="shared" si="48"/>
        <v>1885351</v>
      </c>
      <c r="AC109" s="310">
        <v>865568</v>
      </c>
      <c r="AD109" s="309">
        <v>830652</v>
      </c>
      <c r="AE109" s="309">
        <v>90815</v>
      </c>
      <c r="AF109" s="309">
        <v>5327</v>
      </c>
      <c r="AG109" s="309">
        <v>280</v>
      </c>
      <c r="AH109" s="309">
        <f t="shared" si="35"/>
        <v>1792642</v>
      </c>
      <c r="AI109" s="309">
        <f t="shared" si="36"/>
        <v>151655</v>
      </c>
      <c r="AJ109" s="309">
        <f t="shared" si="37"/>
        <v>1944297</v>
      </c>
      <c r="AK109" s="309">
        <v>1579</v>
      </c>
      <c r="AL109" s="309">
        <f t="shared" si="38"/>
        <v>134</v>
      </c>
      <c r="AM109" s="311">
        <f t="shared" si="39"/>
        <v>1946010</v>
      </c>
      <c r="AO109" s="458"/>
      <c r="AP109" s="459"/>
      <c r="AQ109" s="459"/>
      <c r="AR109" s="460"/>
      <c r="AS109" s="316"/>
      <c r="AT109" s="458"/>
      <c r="AU109" s="459"/>
      <c r="AV109" s="459"/>
      <c r="AW109" s="459"/>
      <c r="AX109" s="459"/>
      <c r="AY109" s="460"/>
    </row>
    <row r="110" spans="1:51" ht="15" hidden="1" outlineLevel="1" x14ac:dyDescent="0.25">
      <c r="A110" s="295">
        <f t="shared" si="49"/>
        <v>2028</v>
      </c>
      <c r="B110" s="295">
        <f t="shared" si="50"/>
        <v>9</v>
      </c>
      <c r="C110" s="305">
        <f t="shared" si="31"/>
        <v>46997</v>
      </c>
      <c r="E110" s="310">
        <v>737918</v>
      </c>
      <c r="F110" s="309">
        <v>689083</v>
      </c>
      <c r="G110" s="309">
        <v>82073</v>
      </c>
      <c r="H110" s="309">
        <v>4930</v>
      </c>
      <c r="I110" s="309">
        <v>354</v>
      </c>
      <c r="J110" s="309">
        <f t="shared" si="40"/>
        <v>1514358</v>
      </c>
      <c r="K110" s="309">
        <f t="shared" si="41"/>
        <v>128113</v>
      </c>
      <c r="L110" s="309">
        <f t="shared" si="42"/>
        <v>1642471</v>
      </c>
      <c r="M110" s="309">
        <v>1377</v>
      </c>
      <c r="N110" s="309">
        <f t="shared" si="32"/>
        <v>116</v>
      </c>
      <c r="O110" s="311">
        <f t="shared" si="33"/>
        <v>1643964</v>
      </c>
      <c r="P110" s="309"/>
      <c r="Q110" s="310">
        <v>776954.33904578362</v>
      </c>
      <c r="R110" s="309">
        <v>767600.20798564551</v>
      </c>
      <c r="S110" s="309">
        <v>87089</v>
      </c>
      <c r="T110" s="309">
        <f t="shared" si="43"/>
        <v>5601</v>
      </c>
      <c r="U110" s="309">
        <f t="shared" si="43"/>
        <v>354</v>
      </c>
      <c r="V110" s="309">
        <f t="shared" si="44"/>
        <v>1637598.5470314291</v>
      </c>
      <c r="W110" s="309">
        <f t="shared" si="45"/>
        <v>138538.45296857087</v>
      </c>
      <c r="X110" s="309">
        <f t="shared" si="46"/>
        <v>1776137</v>
      </c>
      <c r="Y110" s="309">
        <f t="shared" si="47"/>
        <v>1377</v>
      </c>
      <c r="Z110" s="309">
        <f t="shared" si="34"/>
        <v>116</v>
      </c>
      <c r="AA110" s="311">
        <f t="shared" si="48"/>
        <v>1777630</v>
      </c>
      <c r="AC110" s="310">
        <v>811349</v>
      </c>
      <c r="AD110" s="309">
        <v>785125</v>
      </c>
      <c r="AE110" s="309">
        <v>87089</v>
      </c>
      <c r="AF110" s="309">
        <v>5601</v>
      </c>
      <c r="AG110" s="309">
        <v>354</v>
      </c>
      <c r="AH110" s="309">
        <f t="shared" si="35"/>
        <v>1689518</v>
      </c>
      <c r="AI110" s="309">
        <f t="shared" si="36"/>
        <v>142931</v>
      </c>
      <c r="AJ110" s="309">
        <f t="shared" si="37"/>
        <v>1832449</v>
      </c>
      <c r="AK110" s="309">
        <v>1377</v>
      </c>
      <c r="AL110" s="309">
        <f t="shared" si="38"/>
        <v>116</v>
      </c>
      <c r="AM110" s="311">
        <f t="shared" si="39"/>
        <v>1833942</v>
      </c>
      <c r="AO110" s="458"/>
      <c r="AP110" s="459"/>
      <c r="AQ110" s="459"/>
      <c r="AR110" s="460"/>
      <c r="AS110" s="316"/>
      <c r="AT110" s="458"/>
      <c r="AU110" s="459"/>
      <c r="AV110" s="459"/>
      <c r="AW110" s="459"/>
      <c r="AX110" s="459"/>
      <c r="AY110" s="460"/>
    </row>
    <row r="111" spans="1:51" ht="15" hidden="1" outlineLevel="1" x14ac:dyDescent="0.25">
      <c r="A111" s="295">
        <f t="shared" si="49"/>
        <v>2028</v>
      </c>
      <c r="B111" s="295">
        <f t="shared" si="50"/>
        <v>10</v>
      </c>
      <c r="C111" s="305">
        <f t="shared" si="31"/>
        <v>47027</v>
      </c>
      <c r="E111" s="310">
        <v>845248</v>
      </c>
      <c r="F111" s="309">
        <v>695021</v>
      </c>
      <c r="G111" s="309">
        <v>77917</v>
      </c>
      <c r="H111" s="309">
        <v>4701</v>
      </c>
      <c r="I111" s="309">
        <v>469</v>
      </c>
      <c r="J111" s="309">
        <f t="shared" si="40"/>
        <v>1623356</v>
      </c>
      <c r="K111" s="309">
        <f t="shared" si="41"/>
        <v>137334</v>
      </c>
      <c r="L111" s="309">
        <f t="shared" si="42"/>
        <v>1760690</v>
      </c>
      <c r="M111" s="309">
        <v>1767</v>
      </c>
      <c r="N111" s="309">
        <f t="shared" si="32"/>
        <v>149</v>
      </c>
      <c r="O111" s="311">
        <f t="shared" si="33"/>
        <v>1762606</v>
      </c>
      <c r="P111" s="309"/>
      <c r="Q111" s="310">
        <v>904206.55761911778</v>
      </c>
      <c r="R111" s="309">
        <v>775906.00953617389</v>
      </c>
      <c r="S111" s="309">
        <v>83213</v>
      </c>
      <c r="T111" s="309">
        <f t="shared" si="43"/>
        <v>5563</v>
      </c>
      <c r="U111" s="309">
        <f t="shared" si="43"/>
        <v>469</v>
      </c>
      <c r="V111" s="309">
        <f t="shared" si="44"/>
        <v>1769357.5671552918</v>
      </c>
      <c r="W111" s="309">
        <f t="shared" si="45"/>
        <v>149685.43284470821</v>
      </c>
      <c r="X111" s="309">
        <f t="shared" si="46"/>
        <v>1919043</v>
      </c>
      <c r="Y111" s="309">
        <f t="shared" si="47"/>
        <v>1767</v>
      </c>
      <c r="Z111" s="309">
        <f t="shared" si="34"/>
        <v>149</v>
      </c>
      <c r="AA111" s="311">
        <f t="shared" si="48"/>
        <v>1920959</v>
      </c>
      <c r="AC111" s="310">
        <v>949253</v>
      </c>
      <c r="AD111" s="309">
        <v>794550</v>
      </c>
      <c r="AE111" s="309">
        <v>83213</v>
      </c>
      <c r="AF111" s="309">
        <v>5563</v>
      </c>
      <c r="AG111" s="309">
        <v>469</v>
      </c>
      <c r="AH111" s="309">
        <f t="shared" si="35"/>
        <v>1833048</v>
      </c>
      <c r="AI111" s="309">
        <f t="shared" si="36"/>
        <v>155073</v>
      </c>
      <c r="AJ111" s="309">
        <f t="shared" si="37"/>
        <v>1988121</v>
      </c>
      <c r="AK111" s="309">
        <v>1767</v>
      </c>
      <c r="AL111" s="309">
        <f t="shared" si="38"/>
        <v>149</v>
      </c>
      <c r="AM111" s="311">
        <f t="shared" si="39"/>
        <v>1990037</v>
      </c>
      <c r="AO111" s="458"/>
      <c r="AP111" s="459"/>
      <c r="AQ111" s="459"/>
      <c r="AR111" s="460"/>
      <c r="AS111" s="316"/>
      <c r="AT111" s="458"/>
      <c r="AU111" s="459"/>
      <c r="AV111" s="459"/>
      <c r="AW111" s="459"/>
      <c r="AX111" s="459"/>
      <c r="AY111" s="460"/>
    </row>
    <row r="112" spans="1:51" ht="15" hidden="1" outlineLevel="1" x14ac:dyDescent="0.25">
      <c r="A112" s="295">
        <f t="shared" si="49"/>
        <v>2028</v>
      </c>
      <c r="B112" s="295">
        <f t="shared" si="50"/>
        <v>11</v>
      </c>
      <c r="C112" s="305">
        <f t="shared" si="31"/>
        <v>47058</v>
      </c>
      <c r="E112" s="310">
        <v>1062806</v>
      </c>
      <c r="F112" s="309">
        <v>723190</v>
      </c>
      <c r="G112" s="309">
        <v>82070</v>
      </c>
      <c r="H112" s="309">
        <v>5227</v>
      </c>
      <c r="I112" s="309">
        <v>778</v>
      </c>
      <c r="J112" s="309">
        <f t="shared" si="40"/>
        <v>1874071</v>
      </c>
      <c r="K112" s="309">
        <f t="shared" si="41"/>
        <v>158544</v>
      </c>
      <c r="L112" s="309">
        <f t="shared" si="42"/>
        <v>2032615</v>
      </c>
      <c r="M112" s="309">
        <v>1763</v>
      </c>
      <c r="N112" s="309">
        <f t="shared" si="32"/>
        <v>149</v>
      </c>
      <c r="O112" s="311">
        <f t="shared" si="33"/>
        <v>2034527</v>
      </c>
      <c r="P112" s="309"/>
      <c r="Q112" s="310">
        <v>1142906.0008180975</v>
      </c>
      <c r="R112" s="309">
        <v>800024.59571674408</v>
      </c>
      <c r="S112" s="309">
        <v>86989</v>
      </c>
      <c r="T112" s="309">
        <f t="shared" si="43"/>
        <v>6185</v>
      </c>
      <c r="U112" s="309">
        <f t="shared" si="43"/>
        <v>778</v>
      </c>
      <c r="V112" s="309">
        <f t="shared" si="44"/>
        <v>2036882.5965348417</v>
      </c>
      <c r="W112" s="309">
        <f t="shared" si="45"/>
        <v>172317.40346515831</v>
      </c>
      <c r="X112" s="309">
        <f t="shared" si="46"/>
        <v>2209200</v>
      </c>
      <c r="Y112" s="309">
        <f t="shared" si="47"/>
        <v>1763</v>
      </c>
      <c r="Z112" s="309">
        <f t="shared" si="34"/>
        <v>149</v>
      </c>
      <c r="AA112" s="311">
        <f t="shared" si="48"/>
        <v>2211112</v>
      </c>
      <c r="AC112" s="310">
        <v>1200158</v>
      </c>
      <c r="AD112" s="309">
        <v>818347</v>
      </c>
      <c r="AE112" s="309">
        <v>86989</v>
      </c>
      <c r="AF112" s="309">
        <v>6185</v>
      </c>
      <c r="AG112" s="309">
        <v>778</v>
      </c>
      <c r="AH112" s="309">
        <f t="shared" si="35"/>
        <v>2112457</v>
      </c>
      <c r="AI112" s="309">
        <f t="shared" si="36"/>
        <v>178711</v>
      </c>
      <c r="AJ112" s="309">
        <f t="shared" si="37"/>
        <v>2291168</v>
      </c>
      <c r="AK112" s="309">
        <v>1763</v>
      </c>
      <c r="AL112" s="309">
        <f t="shared" si="38"/>
        <v>149</v>
      </c>
      <c r="AM112" s="311">
        <f t="shared" si="39"/>
        <v>2293080</v>
      </c>
      <c r="AO112" s="458"/>
      <c r="AP112" s="459"/>
      <c r="AQ112" s="459"/>
      <c r="AR112" s="460"/>
      <c r="AS112" s="316"/>
      <c r="AT112" s="458"/>
      <c r="AU112" s="459"/>
      <c r="AV112" s="459"/>
      <c r="AW112" s="459"/>
      <c r="AX112" s="459"/>
      <c r="AY112" s="460"/>
    </row>
    <row r="113" spans="1:51" ht="15" hidden="1" outlineLevel="1" x14ac:dyDescent="0.25">
      <c r="A113" s="295">
        <f t="shared" si="49"/>
        <v>2028</v>
      </c>
      <c r="B113" s="295">
        <f t="shared" si="50"/>
        <v>12</v>
      </c>
      <c r="C113" s="305">
        <f t="shared" si="31"/>
        <v>47088</v>
      </c>
      <c r="E113" s="310">
        <v>1159234</v>
      </c>
      <c r="F113" s="309">
        <v>750155</v>
      </c>
      <c r="G113" s="309">
        <v>74747</v>
      </c>
      <c r="H113" s="309">
        <v>4786</v>
      </c>
      <c r="I113" s="309">
        <v>839</v>
      </c>
      <c r="J113" s="309">
        <f t="shared" si="40"/>
        <v>1989761</v>
      </c>
      <c r="K113" s="309">
        <f t="shared" si="41"/>
        <v>168331</v>
      </c>
      <c r="L113" s="309">
        <f t="shared" si="42"/>
        <v>2158092</v>
      </c>
      <c r="M113" s="309">
        <v>1649</v>
      </c>
      <c r="N113" s="309">
        <f t="shared" si="32"/>
        <v>140</v>
      </c>
      <c r="O113" s="311">
        <f t="shared" si="33"/>
        <v>2159881</v>
      </c>
      <c r="P113" s="309"/>
      <c r="Q113" s="310">
        <v>1280087.5179513132</v>
      </c>
      <c r="R113" s="309">
        <v>832936.94837317616</v>
      </c>
      <c r="S113" s="309">
        <v>79936</v>
      </c>
      <c r="T113" s="309">
        <f t="shared" si="43"/>
        <v>5821</v>
      </c>
      <c r="U113" s="309">
        <f t="shared" si="43"/>
        <v>839</v>
      </c>
      <c r="V113" s="309">
        <f t="shared" si="44"/>
        <v>2199620.4663244896</v>
      </c>
      <c r="W113" s="309">
        <f t="shared" si="45"/>
        <v>186084.53367551044</v>
      </c>
      <c r="X113" s="309">
        <f t="shared" si="46"/>
        <v>2385705</v>
      </c>
      <c r="Y113" s="309">
        <f t="shared" si="47"/>
        <v>1649</v>
      </c>
      <c r="Z113" s="309">
        <f t="shared" si="34"/>
        <v>140</v>
      </c>
      <c r="AA113" s="311">
        <f t="shared" si="48"/>
        <v>2387494</v>
      </c>
      <c r="AC113" s="310">
        <v>1355207</v>
      </c>
      <c r="AD113" s="309">
        <v>856237</v>
      </c>
      <c r="AE113" s="309">
        <v>79936</v>
      </c>
      <c r="AF113" s="309">
        <v>5821</v>
      </c>
      <c r="AG113" s="309">
        <v>839</v>
      </c>
      <c r="AH113" s="309">
        <f t="shared" si="35"/>
        <v>2298040</v>
      </c>
      <c r="AI113" s="309">
        <f t="shared" si="36"/>
        <v>194411</v>
      </c>
      <c r="AJ113" s="309">
        <f t="shared" si="37"/>
        <v>2492451</v>
      </c>
      <c r="AK113" s="309">
        <v>1649</v>
      </c>
      <c r="AL113" s="309">
        <f t="shared" si="38"/>
        <v>140</v>
      </c>
      <c r="AM113" s="311">
        <f t="shared" si="39"/>
        <v>2494240</v>
      </c>
      <c r="AO113" s="458"/>
      <c r="AP113" s="459"/>
      <c r="AQ113" s="459"/>
      <c r="AR113" s="460"/>
      <c r="AS113" s="316"/>
      <c r="AT113" s="458"/>
      <c r="AU113" s="459"/>
      <c r="AV113" s="459"/>
      <c r="AW113" s="459"/>
      <c r="AX113" s="459"/>
      <c r="AY113" s="460"/>
    </row>
    <row r="114" spans="1:51" ht="15" hidden="1" outlineLevel="1" x14ac:dyDescent="0.25">
      <c r="A114" s="295">
        <f t="shared" si="49"/>
        <v>2029</v>
      </c>
      <c r="B114" s="295">
        <f t="shared" si="50"/>
        <v>1</v>
      </c>
      <c r="C114" s="305">
        <f t="shared" si="31"/>
        <v>47119</v>
      </c>
      <c r="E114" s="310">
        <v>1183975</v>
      </c>
      <c r="F114" s="309">
        <v>759566</v>
      </c>
      <c r="G114" s="309">
        <v>71412</v>
      </c>
      <c r="H114" s="309">
        <v>5164</v>
      </c>
      <c r="I114" s="309">
        <v>970</v>
      </c>
      <c r="J114" s="309">
        <f t="shared" si="40"/>
        <v>2021087</v>
      </c>
      <c r="K114" s="309">
        <f t="shared" si="41"/>
        <v>170981</v>
      </c>
      <c r="L114" s="309">
        <f t="shared" si="42"/>
        <v>2192068</v>
      </c>
      <c r="M114" s="309">
        <v>2325</v>
      </c>
      <c r="N114" s="309">
        <f t="shared" si="32"/>
        <v>197</v>
      </c>
      <c r="O114" s="311">
        <f t="shared" si="33"/>
        <v>2194590</v>
      </c>
      <c r="P114" s="309"/>
      <c r="Q114" s="310">
        <v>1293232.7491930702</v>
      </c>
      <c r="R114" s="309">
        <v>842932.6741068844</v>
      </c>
      <c r="S114" s="309">
        <v>76671</v>
      </c>
      <c r="T114" s="309">
        <f t="shared" si="43"/>
        <v>6222</v>
      </c>
      <c r="U114" s="309">
        <f t="shared" si="43"/>
        <v>970</v>
      </c>
      <c r="V114" s="309">
        <f t="shared" si="44"/>
        <v>2220028.4232999547</v>
      </c>
      <c r="W114" s="309">
        <f t="shared" si="45"/>
        <v>187811.57670004526</v>
      </c>
      <c r="X114" s="309">
        <f t="shared" si="46"/>
        <v>2407840</v>
      </c>
      <c r="Y114" s="309">
        <f t="shared" si="47"/>
        <v>2325</v>
      </c>
      <c r="Z114" s="309">
        <f t="shared" si="34"/>
        <v>197</v>
      </c>
      <c r="AA114" s="311">
        <f t="shared" si="48"/>
        <v>2410362</v>
      </c>
      <c r="AC114" s="310">
        <v>1357517</v>
      </c>
      <c r="AD114" s="309">
        <v>864856</v>
      </c>
      <c r="AE114" s="309">
        <v>76671</v>
      </c>
      <c r="AF114" s="309">
        <v>6222</v>
      </c>
      <c r="AG114" s="309">
        <v>970</v>
      </c>
      <c r="AH114" s="309">
        <f t="shared" si="35"/>
        <v>2306236</v>
      </c>
      <c r="AI114" s="309">
        <f t="shared" si="36"/>
        <v>195105</v>
      </c>
      <c r="AJ114" s="309">
        <f t="shared" si="37"/>
        <v>2501341</v>
      </c>
      <c r="AK114" s="309">
        <v>2325</v>
      </c>
      <c r="AL114" s="309">
        <f t="shared" si="38"/>
        <v>197</v>
      </c>
      <c r="AM114" s="311">
        <f t="shared" si="39"/>
        <v>2503863</v>
      </c>
      <c r="AO114" s="458"/>
      <c r="AP114" s="459"/>
      <c r="AQ114" s="459"/>
      <c r="AR114" s="460"/>
      <c r="AS114" s="316"/>
      <c r="AT114" s="458"/>
      <c r="AU114" s="459"/>
      <c r="AV114" s="459"/>
      <c r="AW114" s="459"/>
      <c r="AX114" s="459"/>
      <c r="AY114" s="460"/>
    </row>
    <row r="115" spans="1:51" ht="15" hidden="1" outlineLevel="1" x14ac:dyDescent="0.25">
      <c r="A115" s="295">
        <f t="shared" si="49"/>
        <v>2029</v>
      </c>
      <c r="B115" s="295">
        <f t="shared" si="50"/>
        <v>2</v>
      </c>
      <c r="C115" s="305">
        <f t="shared" si="31"/>
        <v>47150</v>
      </c>
      <c r="E115" s="310">
        <v>1029549</v>
      </c>
      <c r="F115" s="309">
        <v>705530</v>
      </c>
      <c r="G115" s="309">
        <v>71379</v>
      </c>
      <c r="H115" s="309">
        <v>4930</v>
      </c>
      <c r="I115" s="309">
        <v>853</v>
      </c>
      <c r="J115" s="309">
        <f t="shared" si="40"/>
        <v>1812241</v>
      </c>
      <c r="K115" s="309">
        <f t="shared" si="41"/>
        <v>153313</v>
      </c>
      <c r="L115" s="309">
        <f t="shared" si="42"/>
        <v>1965554</v>
      </c>
      <c r="M115" s="309">
        <v>2433</v>
      </c>
      <c r="N115" s="309">
        <f t="shared" si="32"/>
        <v>206</v>
      </c>
      <c r="O115" s="311">
        <f t="shared" si="33"/>
        <v>1968193</v>
      </c>
      <c r="P115" s="309"/>
      <c r="Q115" s="310">
        <v>1116181.9644059245</v>
      </c>
      <c r="R115" s="309">
        <v>777090.05411433603</v>
      </c>
      <c r="S115" s="309">
        <v>76065</v>
      </c>
      <c r="T115" s="309">
        <f t="shared" si="43"/>
        <v>5745</v>
      </c>
      <c r="U115" s="309">
        <f t="shared" si="43"/>
        <v>853</v>
      </c>
      <c r="V115" s="309">
        <f t="shared" si="44"/>
        <v>1975935.0185202607</v>
      </c>
      <c r="W115" s="309">
        <f t="shared" si="45"/>
        <v>167161.9814797393</v>
      </c>
      <c r="X115" s="309">
        <f t="shared" si="46"/>
        <v>2143097</v>
      </c>
      <c r="Y115" s="309">
        <f t="shared" si="47"/>
        <v>2433</v>
      </c>
      <c r="Z115" s="309">
        <f t="shared" si="34"/>
        <v>206</v>
      </c>
      <c r="AA115" s="311">
        <f t="shared" si="48"/>
        <v>2145736</v>
      </c>
      <c r="AC115" s="310">
        <v>1167888</v>
      </c>
      <c r="AD115" s="309">
        <v>794309</v>
      </c>
      <c r="AE115" s="309">
        <v>76065</v>
      </c>
      <c r="AF115" s="309">
        <v>5745</v>
      </c>
      <c r="AG115" s="309">
        <v>853</v>
      </c>
      <c r="AH115" s="309">
        <f t="shared" si="35"/>
        <v>2044860</v>
      </c>
      <c r="AI115" s="309">
        <f t="shared" si="36"/>
        <v>172992</v>
      </c>
      <c r="AJ115" s="309">
        <f t="shared" si="37"/>
        <v>2217852</v>
      </c>
      <c r="AK115" s="309">
        <v>2433</v>
      </c>
      <c r="AL115" s="309">
        <f t="shared" si="38"/>
        <v>206</v>
      </c>
      <c r="AM115" s="311">
        <f t="shared" si="39"/>
        <v>2220491</v>
      </c>
      <c r="AO115" s="458"/>
      <c r="AP115" s="459"/>
      <c r="AQ115" s="459"/>
      <c r="AR115" s="460"/>
      <c r="AS115" s="316"/>
      <c r="AT115" s="458"/>
      <c r="AU115" s="459"/>
      <c r="AV115" s="459"/>
      <c r="AW115" s="459"/>
      <c r="AX115" s="459"/>
      <c r="AY115" s="460"/>
    </row>
    <row r="116" spans="1:51" ht="15" hidden="1" outlineLevel="1" x14ac:dyDescent="0.25">
      <c r="A116" s="295">
        <f t="shared" si="49"/>
        <v>2029</v>
      </c>
      <c r="B116" s="295">
        <f t="shared" si="50"/>
        <v>3</v>
      </c>
      <c r="C116" s="305">
        <f t="shared" si="31"/>
        <v>47178</v>
      </c>
      <c r="E116" s="310">
        <v>1020166</v>
      </c>
      <c r="F116" s="309">
        <v>737619</v>
      </c>
      <c r="G116" s="309">
        <v>78612</v>
      </c>
      <c r="H116" s="309">
        <v>4450</v>
      </c>
      <c r="I116" s="309">
        <v>759</v>
      </c>
      <c r="J116" s="309">
        <f t="shared" si="40"/>
        <v>1841606</v>
      </c>
      <c r="K116" s="309">
        <f t="shared" si="41"/>
        <v>155797</v>
      </c>
      <c r="L116" s="309">
        <f t="shared" si="42"/>
        <v>1997403</v>
      </c>
      <c r="M116" s="309">
        <v>2339</v>
      </c>
      <c r="N116" s="309">
        <f t="shared" si="32"/>
        <v>198</v>
      </c>
      <c r="O116" s="311">
        <f t="shared" si="33"/>
        <v>1999940</v>
      </c>
      <c r="P116" s="309"/>
      <c r="Q116" s="310">
        <v>1107390.0961555585</v>
      </c>
      <c r="R116" s="309">
        <v>824011.3454099904</v>
      </c>
      <c r="S116" s="309">
        <v>84035</v>
      </c>
      <c r="T116" s="309">
        <f t="shared" si="43"/>
        <v>5318</v>
      </c>
      <c r="U116" s="309">
        <f t="shared" si="43"/>
        <v>759</v>
      </c>
      <c r="V116" s="309">
        <f t="shared" si="44"/>
        <v>2021513.441565549</v>
      </c>
      <c r="W116" s="309">
        <f t="shared" si="45"/>
        <v>171017.558434451</v>
      </c>
      <c r="X116" s="309">
        <f t="shared" si="46"/>
        <v>2192531</v>
      </c>
      <c r="Y116" s="309">
        <f t="shared" si="47"/>
        <v>2339</v>
      </c>
      <c r="Z116" s="309">
        <f t="shared" si="34"/>
        <v>198</v>
      </c>
      <c r="AA116" s="311">
        <f t="shared" si="48"/>
        <v>2195068</v>
      </c>
      <c r="AC116" s="310">
        <v>1158735</v>
      </c>
      <c r="AD116" s="309">
        <v>844220</v>
      </c>
      <c r="AE116" s="309">
        <v>84035</v>
      </c>
      <c r="AF116" s="309">
        <v>5318</v>
      </c>
      <c r="AG116" s="309">
        <v>759</v>
      </c>
      <c r="AH116" s="309">
        <f t="shared" si="35"/>
        <v>2093067</v>
      </c>
      <c r="AI116" s="309">
        <f t="shared" si="36"/>
        <v>177071</v>
      </c>
      <c r="AJ116" s="309">
        <f t="shared" si="37"/>
        <v>2270138</v>
      </c>
      <c r="AK116" s="309">
        <v>2339</v>
      </c>
      <c r="AL116" s="309">
        <f t="shared" si="38"/>
        <v>198</v>
      </c>
      <c r="AM116" s="311">
        <f t="shared" si="39"/>
        <v>2272675</v>
      </c>
      <c r="AO116" s="458"/>
      <c r="AP116" s="459"/>
      <c r="AQ116" s="459"/>
      <c r="AR116" s="460"/>
      <c r="AS116" s="316"/>
      <c r="AT116" s="458"/>
      <c r="AU116" s="459"/>
      <c r="AV116" s="459"/>
      <c r="AW116" s="459"/>
      <c r="AX116" s="459"/>
      <c r="AY116" s="460"/>
    </row>
    <row r="117" spans="1:51" ht="15" hidden="1" outlineLevel="1" x14ac:dyDescent="0.25">
      <c r="A117" s="295">
        <f t="shared" si="49"/>
        <v>2029</v>
      </c>
      <c r="B117" s="295">
        <f t="shared" si="50"/>
        <v>4</v>
      </c>
      <c r="C117" s="305">
        <f t="shared" si="31"/>
        <v>47209</v>
      </c>
      <c r="E117" s="310">
        <v>924226</v>
      </c>
      <c r="F117" s="309">
        <v>727987</v>
      </c>
      <c r="G117" s="309">
        <v>80056</v>
      </c>
      <c r="H117" s="309">
        <v>4894</v>
      </c>
      <c r="I117" s="309">
        <v>626</v>
      </c>
      <c r="J117" s="309">
        <f t="shared" si="40"/>
        <v>1737789</v>
      </c>
      <c r="K117" s="309">
        <f t="shared" si="41"/>
        <v>147015</v>
      </c>
      <c r="L117" s="309">
        <f t="shared" si="42"/>
        <v>1884804</v>
      </c>
      <c r="M117" s="309">
        <v>2172</v>
      </c>
      <c r="N117" s="309">
        <f t="shared" si="32"/>
        <v>184</v>
      </c>
      <c r="O117" s="311">
        <f t="shared" si="33"/>
        <v>1887160</v>
      </c>
      <c r="P117" s="309"/>
      <c r="Q117" s="310">
        <v>1001136.6104705818</v>
      </c>
      <c r="R117" s="309">
        <v>807787.99822841899</v>
      </c>
      <c r="S117" s="309">
        <v>85184</v>
      </c>
      <c r="T117" s="309">
        <f t="shared" si="43"/>
        <v>5635</v>
      </c>
      <c r="U117" s="309">
        <f t="shared" si="43"/>
        <v>626</v>
      </c>
      <c r="V117" s="309">
        <f t="shared" si="44"/>
        <v>1900369.6086990009</v>
      </c>
      <c r="W117" s="309">
        <f t="shared" si="45"/>
        <v>160768.39130099909</v>
      </c>
      <c r="X117" s="309">
        <f t="shared" si="46"/>
        <v>2061138</v>
      </c>
      <c r="Y117" s="309">
        <f t="shared" si="47"/>
        <v>2172</v>
      </c>
      <c r="Z117" s="309">
        <f t="shared" si="34"/>
        <v>184</v>
      </c>
      <c r="AA117" s="311">
        <f t="shared" si="48"/>
        <v>2063494</v>
      </c>
      <c r="AC117" s="310">
        <v>1044225</v>
      </c>
      <c r="AD117" s="309">
        <v>826661</v>
      </c>
      <c r="AE117" s="309">
        <v>85184</v>
      </c>
      <c r="AF117" s="309">
        <v>5635</v>
      </c>
      <c r="AG117" s="309">
        <v>626</v>
      </c>
      <c r="AH117" s="309">
        <f t="shared" si="35"/>
        <v>1962331</v>
      </c>
      <c r="AI117" s="309">
        <f t="shared" si="36"/>
        <v>166011</v>
      </c>
      <c r="AJ117" s="309">
        <f t="shared" si="37"/>
        <v>2128342</v>
      </c>
      <c r="AK117" s="309">
        <v>2172</v>
      </c>
      <c r="AL117" s="309">
        <f t="shared" si="38"/>
        <v>184</v>
      </c>
      <c r="AM117" s="311">
        <f t="shared" si="39"/>
        <v>2130698</v>
      </c>
      <c r="AO117" s="458"/>
      <c r="AP117" s="459"/>
      <c r="AQ117" s="459"/>
      <c r="AR117" s="460"/>
      <c r="AS117" s="316"/>
      <c r="AT117" s="458"/>
      <c r="AU117" s="459"/>
      <c r="AV117" s="459"/>
      <c r="AW117" s="459"/>
      <c r="AX117" s="459"/>
      <c r="AY117" s="460"/>
    </row>
    <row r="118" spans="1:51" ht="15" hidden="1" outlineLevel="1" x14ac:dyDescent="0.25">
      <c r="A118" s="295">
        <f t="shared" si="49"/>
        <v>2029</v>
      </c>
      <c r="B118" s="295">
        <f t="shared" si="50"/>
        <v>5</v>
      </c>
      <c r="C118" s="305">
        <f t="shared" si="31"/>
        <v>47239</v>
      </c>
      <c r="E118" s="310">
        <v>788527</v>
      </c>
      <c r="F118" s="309">
        <v>674694</v>
      </c>
      <c r="G118" s="309">
        <v>75068</v>
      </c>
      <c r="H118" s="309">
        <v>4733</v>
      </c>
      <c r="I118" s="309">
        <v>433</v>
      </c>
      <c r="J118" s="309">
        <f t="shared" si="40"/>
        <v>1543455</v>
      </c>
      <c r="K118" s="309">
        <f t="shared" si="41"/>
        <v>130574</v>
      </c>
      <c r="L118" s="309">
        <f t="shared" si="42"/>
        <v>1674029</v>
      </c>
      <c r="M118" s="309">
        <v>2174</v>
      </c>
      <c r="N118" s="309">
        <f t="shared" si="32"/>
        <v>184</v>
      </c>
      <c r="O118" s="311">
        <f t="shared" si="33"/>
        <v>1676387</v>
      </c>
      <c r="P118" s="309"/>
      <c r="Q118" s="310">
        <v>841542.59957123082</v>
      </c>
      <c r="R118" s="309">
        <v>764010.69702802727</v>
      </c>
      <c r="S118" s="309">
        <v>80440</v>
      </c>
      <c r="T118" s="309">
        <f t="shared" si="43"/>
        <v>5397</v>
      </c>
      <c r="U118" s="309">
        <f t="shared" si="43"/>
        <v>433</v>
      </c>
      <c r="V118" s="309">
        <f t="shared" si="44"/>
        <v>1691823.2965992582</v>
      </c>
      <c r="W118" s="309">
        <f t="shared" si="45"/>
        <v>143125.7034007418</v>
      </c>
      <c r="X118" s="309">
        <f t="shared" si="46"/>
        <v>1834949</v>
      </c>
      <c r="Y118" s="309">
        <f t="shared" si="47"/>
        <v>2174</v>
      </c>
      <c r="Z118" s="309">
        <f t="shared" si="34"/>
        <v>184</v>
      </c>
      <c r="AA118" s="311">
        <f t="shared" si="48"/>
        <v>1837307</v>
      </c>
      <c r="AC118" s="310">
        <v>883422</v>
      </c>
      <c r="AD118" s="309">
        <v>783363</v>
      </c>
      <c r="AE118" s="309">
        <v>80440</v>
      </c>
      <c r="AF118" s="309">
        <v>5397</v>
      </c>
      <c r="AG118" s="309">
        <v>433</v>
      </c>
      <c r="AH118" s="309">
        <f t="shared" si="35"/>
        <v>1753055</v>
      </c>
      <c r="AI118" s="309">
        <f t="shared" si="36"/>
        <v>148306</v>
      </c>
      <c r="AJ118" s="309">
        <f t="shared" si="37"/>
        <v>1901361</v>
      </c>
      <c r="AK118" s="309">
        <v>2174</v>
      </c>
      <c r="AL118" s="309">
        <f t="shared" si="38"/>
        <v>184</v>
      </c>
      <c r="AM118" s="311">
        <f t="shared" si="39"/>
        <v>1903719</v>
      </c>
      <c r="AO118" s="458"/>
      <c r="AP118" s="459"/>
      <c r="AQ118" s="459"/>
      <c r="AR118" s="460"/>
      <c r="AS118" s="316"/>
      <c r="AT118" s="458"/>
      <c r="AU118" s="459"/>
      <c r="AV118" s="459"/>
      <c r="AW118" s="459"/>
      <c r="AX118" s="459"/>
      <c r="AY118" s="460"/>
    </row>
    <row r="119" spans="1:51" ht="15" hidden="1" outlineLevel="1" x14ac:dyDescent="0.25">
      <c r="A119" s="295">
        <f t="shared" si="49"/>
        <v>2029</v>
      </c>
      <c r="B119" s="295">
        <f t="shared" si="50"/>
        <v>6</v>
      </c>
      <c r="C119" s="305">
        <f t="shared" si="31"/>
        <v>47270</v>
      </c>
      <c r="E119" s="310">
        <v>752418</v>
      </c>
      <c r="F119" s="309">
        <v>699665</v>
      </c>
      <c r="G119" s="309">
        <v>76593</v>
      </c>
      <c r="H119" s="309">
        <v>4635</v>
      </c>
      <c r="I119" s="309">
        <v>316</v>
      </c>
      <c r="J119" s="309">
        <f t="shared" si="40"/>
        <v>1533627</v>
      </c>
      <c r="K119" s="309">
        <f t="shared" si="41"/>
        <v>129743</v>
      </c>
      <c r="L119" s="309">
        <f t="shared" si="42"/>
        <v>1663370</v>
      </c>
      <c r="M119" s="309">
        <v>1787</v>
      </c>
      <c r="N119" s="309">
        <f t="shared" si="32"/>
        <v>151</v>
      </c>
      <c r="O119" s="311">
        <f t="shared" si="33"/>
        <v>1665308</v>
      </c>
      <c r="P119" s="309"/>
      <c r="Q119" s="310">
        <v>790983.68070576235</v>
      </c>
      <c r="R119" s="309">
        <v>785071.37757844292</v>
      </c>
      <c r="S119" s="309">
        <v>81945</v>
      </c>
      <c r="T119" s="309">
        <f t="shared" si="43"/>
        <v>5199</v>
      </c>
      <c r="U119" s="309">
        <f t="shared" si="43"/>
        <v>316</v>
      </c>
      <c r="V119" s="309">
        <f t="shared" si="44"/>
        <v>1663515.0582842054</v>
      </c>
      <c r="W119" s="309">
        <f t="shared" si="45"/>
        <v>140730.94171579462</v>
      </c>
      <c r="X119" s="309">
        <f t="shared" si="46"/>
        <v>1804246</v>
      </c>
      <c r="Y119" s="309">
        <f t="shared" si="47"/>
        <v>1787</v>
      </c>
      <c r="Z119" s="309">
        <f t="shared" si="34"/>
        <v>151</v>
      </c>
      <c r="AA119" s="311">
        <f t="shared" si="48"/>
        <v>1806184</v>
      </c>
      <c r="AC119" s="310">
        <v>825762</v>
      </c>
      <c r="AD119" s="309">
        <v>803766</v>
      </c>
      <c r="AE119" s="309">
        <v>81945</v>
      </c>
      <c r="AF119" s="309">
        <v>5199</v>
      </c>
      <c r="AG119" s="309">
        <v>316</v>
      </c>
      <c r="AH119" s="309">
        <f t="shared" si="35"/>
        <v>1716988</v>
      </c>
      <c r="AI119" s="309">
        <f t="shared" si="36"/>
        <v>145255</v>
      </c>
      <c r="AJ119" s="309">
        <f t="shared" si="37"/>
        <v>1862243</v>
      </c>
      <c r="AK119" s="309">
        <v>1787</v>
      </c>
      <c r="AL119" s="309">
        <f t="shared" si="38"/>
        <v>151</v>
      </c>
      <c r="AM119" s="311">
        <f t="shared" si="39"/>
        <v>1864181</v>
      </c>
      <c r="AO119" s="458"/>
      <c r="AP119" s="459"/>
      <c r="AQ119" s="459"/>
      <c r="AR119" s="460"/>
      <c r="AS119" s="316"/>
      <c r="AT119" s="458"/>
      <c r="AU119" s="459"/>
      <c r="AV119" s="459"/>
      <c r="AW119" s="459"/>
      <c r="AX119" s="459"/>
      <c r="AY119" s="460"/>
    </row>
    <row r="120" spans="1:51" ht="15" hidden="1" outlineLevel="1" x14ac:dyDescent="0.25">
      <c r="A120" s="295">
        <f t="shared" si="49"/>
        <v>2029</v>
      </c>
      <c r="B120" s="295">
        <f t="shared" si="50"/>
        <v>7</v>
      </c>
      <c r="C120" s="305">
        <f t="shared" si="31"/>
        <v>47300</v>
      </c>
      <c r="E120" s="310">
        <v>794390</v>
      </c>
      <c r="F120" s="309">
        <v>729898</v>
      </c>
      <c r="G120" s="309">
        <v>83841</v>
      </c>
      <c r="H120" s="309">
        <v>4370</v>
      </c>
      <c r="I120" s="309">
        <v>288</v>
      </c>
      <c r="J120" s="309">
        <f t="shared" si="40"/>
        <v>1612787</v>
      </c>
      <c r="K120" s="309">
        <f t="shared" si="41"/>
        <v>136440</v>
      </c>
      <c r="L120" s="309">
        <f t="shared" si="42"/>
        <v>1749227</v>
      </c>
      <c r="M120" s="309">
        <v>2889</v>
      </c>
      <c r="N120" s="309">
        <f t="shared" si="32"/>
        <v>244</v>
      </c>
      <c r="O120" s="311">
        <f t="shared" si="33"/>
        <v>1752360</v>
      </c>
      <c r="P120" s="309"/>
      <c r="Q120" s="310">
        <v>834442.23718361766</v>
      </c>
      <c r="R120" s="309">
        <v>821977.28487190115</v>
      </c>
      <c r="S120" s="309">
        <v>89378</v>
      </c>
      <c r="T120" s="309">
        <f t="shared" si="43"/>
        <v>5042</v>
      </c>
      <c r="U120" s="309">
        <f t="shared" si="43"/>
        <v>288</v>
      </c>
      <c r="V120" s="309">
        <f t="shared" si="44"/>
        <v>1751127.5220555188</v>
      </c>
      <c r="W120" s="309">
        <f t="shared" si="45"/>
        <v>148143.47794448119</v>
      </c>
      <c r="X120" s="309">
        <f t="shared" si="46"/>
        <v>1899271</v>
      </c>
      <c r="Y120" s="309">
        <f t="shared" si="47"/>
        <v>2889</v>
      </c>
      <c r="Z120" s="309">
        <f t="shared" si="34"/>
        <v>244</v>
      </c>
      <c r="AA120" s="311">
        <f t="shared" si="48"/>
        <v>1902404</v>
      </c>
      <c r="AC120" s="310">
        <v>874137</v>
      </c>
      <c r="AD120" s="309">
        <v>842785</v>
      </c>
      <c r="AE120" s="309">
        <v>89378</v>
      </c>
      <c r="AF120" s="309">
        <v>5042</v>
      </c>
      <c r="AG120" s="309">
        <v>288</v>
      </c>
      <c r="AH120" s="309">
        <f t="shared" si="35"/>
        <v>1811630</v>
      </c>
      <c r="AI120" s="309">
        <f t="shared" si="36"/>
        <v>153262</v>
      </c>
      <c r="AJ120" s="309">
        <f t="shared" si="37"/>
        <v>1964892</v>
      </c>
      <c r="AK120" s="309">
        <v>2889</v>
      </c>
      <c r="AL120" s="309">
        <f t="shared" si="38"/>
        <v>244</v>
      </c>
      <c r="AM120" s="311">
        <f t="shared" si="39"/>
        <v>1968025</v>
      </c>
      <c r="AO120" s="458"/>
      <c r="AP120" s="459"/>
      <c r="AQ120" s="459"/>
      <c r="AR120" s="460"/>
      <c r="AS120" s="316"/>
      <c r="AT120" s="458"/>
      <c r="AU120" s="459"/>
      <c r="AV120" s="459"/>
      <c r="AW120" s="459"/>
      <c r="AX120" s="459"/>
      <c r="AY120" s="460"/>
    </row>
    <row r="121" spans="1:51" ht="15" hidden="1" outlineLevel="1" x14ac:dyDescent="0.25">
      <c r="A121" s="295">
        <f t="shared" si="49"/>
        <v>2029</v>
      </c>
      <c r="B121" s="295">
        <f t="shared" si="50"/>
        <v>8</v>
      </c>
      <c r="C121" s="305">
        <f t="shared" si="31"/>
        <v>47331</v>
      </c>
      <c r="E121" s="310">
        <v>807383</v>
      </c>
      <c r="F121" s="309">
        <v>729201</v>
      </c>
      <c r="G121" s="309">
        <v>84608</v>
      </c>
      <c r="H121" s="309">
        <v>4645</v>
      </c>
      <c r="I121" s="309">
        <v>280</v>
      </c>
      <c r="J121" s="309">
        <f t="shared" si="40"/>
        <v>1626117</v>
      </c>
      <c r="K121" s="309">
        <f t="shared" si="41"/>
        <v>137567</v>
      </c>
      <c r="L121" s="309">
        <f t="shared" si="42"/>
        <v>1763684</v>
      </c>
      <c r="M121" s="309">
        <v>1634</v>
      </c>
      <c r="N121" s="309">
        <f t="shared" si="32"/>
        <v>138</v>
      </c>
      <c r="O121" s="311">
        <f t="shared" si="33"/>
        <v>1765456</v>
      </c>
      <c r="P121" s="309"/>
      <c r="Q121" s="310">
        <v>847933.08499735536</v>
      </c>
      <c r="R121" s="309">
        <v>823505.70824255177</v>
      </c>
      <c r="S121" s="309">
        <v>90459</v>
      </c>
      <c r="T121" s="309">
        <f t="shared" si="43"/>
        <v>5427</v>
      </c>
      <c r="U121" s="309">
        <f t="shared" si="43"/>
        <v>280</v>
      </c>
      <c r="V121" s="309">
        <f t="shared" si="44"/>
        <v>1767604.7932399071</v>
      </c>
      <c r="W121" s="309">
        <f t="shared" si="45"/>
        <v>149537.20676009287</v>
      </c>
      <c r="X121" s="309">
        <f t="shared" si="46"/>
        <v>1917142</v>
      </c>
      <c r="Y121" s="309">
        <f t="shared" si="47"/>
        <v>1634</v>
      </c>
      <c r="Z121" s="309">
        <f t="shared" si="34"/>
        <v>138</v>
      </c>
      <c r="AA121" s="311">
        <f t="shared" si="48"/>
        <v>1918914</v>
      </c>
      <c r="AC121" s="310">
        <v>886807</v>
      </c>
      <c r="AD121" s="309">
        <v>844580</v>
      </c>
      <c r="AE121" s="309">
        <v>90459</v>
      </c>
      <c r="AF121" s="309">
        <v>5427</v>
      </c>
      <c r="AG121" s="309">
        <v>280</v>
      </c>
      <c r="AH121" s="309">
        <f t="shared" si="35"/>
        <v>1827553</v>
      </c>
      <c r="AI121" s="309">
        <f t="shared" si="36"/>
        <v>154609</v>
      </c>
      <c r="AJ121" s="309">
        <f t="shared" si="37"/>
        <v>1982162</v>
      </c>
      <c r="AK121" s="309">
        <v>1634</v>
      </c>
      <c r="AL121" s="309">
        <f t="shared" si="38"/>
        <v>138</v>
      </c>
      <c r="AM121" s="311">
        <f t="shared" si="39"/>
        <v>1983934</v>
      </c>
      <c r="AO121" s="458"/>
      <c r="AP121" s="459"/>
      <c r="AQ121" s="459"/>
      <c r="AR121" s="460"/>
      <c r="AS121" s="316"/>
      <c r="AT121" s="458"/>
      <c r="AU121" s="459"/>
      <c r="AV121" s="459"/>
      <c r="AW121" s="459"/>
      <c r="AX121" s="459"/>
      <c r="AY121" s="460"/>
    </row>
    <row r="122" spans="1:51" ht="15" hidden="1" outlineLevel="1" x14ac:dyDescent="0.25">
      <c r="A122" s="295">
        <f t="shared" si="49"/>
        <v>2029</v>
      </c>
      <c r="B122" s="295">
        <f t="shared" si="50"/>
        <v>9</v>
      </c>
      <c r="C122" s="305">
        <f t="shared" si="31"/>
        <v>47362</v>
      </c>
      <c r="E122" s="310">
        <v>743546</v>
      </c>
      <c r="F122" s="309">
        <v>689643</v>
      </c>
      <c r="G122" s="309">
        <v>81129</v>
      </c>
      <c r="H122" s="309">
        <v>4911</v>
      </c>
      <c r="I122" s="309">
        <v>354</v>
      </c>
      <c r="J122" s="309">
        <f t="shared" si="40"/>
        <v>1519583</v>
      </c>
      <c r="K122" s="309">
        <f t="shared" si="41"/>
        <v>128555</v>
      </c>
      <c r="L122" s="309">
        <f t="shared" si="42"/>
        <v>1648138</v>
      </c>
      <c r="M122" s="309">
        <v>1428</v>
      </c>
      <c r="N122" s="309">
        <f t="shared" si="32"/>
        <v>121</v>
      </c>
      <c r="O122" s="311">
        <f t="shared" si="33"/>
        <v>1649687</v>
      </c>
      <c r="P122" s="309"/>
      <c r="Q122" s="310">
        <v>790191.1693411906</v>
      </c>
      <c r="R122" s="309">
        <v>779271.30676045886</v>
      </c>
      <c r="S122" s="309">
        <v>86698</v>
      </c>
      <c r="T122" s="309">
        <f t="shared" si="43"/>
        <v>5706</v>
      </c>
      <c r="U122" s="309">
        <f t="shared" si="43"/>
        <v>354</v>
      </c>
      <c r="V122" s="309">
        <f t="shared" si="44"/>
        <v>1662220.4761016495</v>
      </c>
      <c r="W122" s="309">
        <f t="shared" si="45"/>
        <v>140621.52389835054</v>
      </c>
      <c r="X122" s="309">
        <f t="shared" si="46"/>
        <v>1802842</v>
      </c>
      <c r="Y122" s="309">
        <f t="shared" si="47"/>
        <v>1428</v>
      </c>
      <c r="Z122" s="309">
        <f t="shared" si="34"/>
        <v>121</v>
      </c>
      <c r="AA122" s="311">
        <f t="shared" si="48"/>
        <v>1804391</v>
      </c>
      <c r="AC122" s="310">
        <v>826718</v>
      </c>
      <c r="AD122" s="309">
        <v>798094</v>
      </c>
      <c r="AE122" s="309">
        <v>86698</v>
      </c>
      <c r="AF122" s="309">
        <v>5706</v>
      </c>
      <c r="AG122" s="309">
        <v>354</v>
      </c>
      <c r="AH122" s="309">
        <f t="shared" si="35"/>
        <v>1717570</v>
      </c>
      <c r="AI122" s="309">
        <f t="shared" si="36"/>
        <v>145304</v>
      </c>
      <c r="AJ122" s="309">
        <f t="shared" si="37"/>
        <v>1862874</v>
      </c>
      <c r="AK122" s="309">
        <v>1428</v>
      </c>
      <c r="AL122" s="309">
        <f t="shared" si="38"/>
        <v>121</v>
      </c>
      <c r="AM122" s="311">
        <f t="shared" si="39"/>
        <v>1864423</v>
      </c>
      <c r="AO122" s="458"/>
      <c r="AP122" s="459"/>
      <c r="AQ122" s="459"/>
      <c r="AR122" s="460"/>
      <c r="AS122" s="316"/>
      <c r="AT122" s="458"/>
      <c r="AU122" s="459"/>
      <c r="AV122" s="459"/>
      <c r="AW122" s="459"/>
      <c r="AX122" s="459"/>
      <c r="AY122" s="460"/>
    </row>
    <row r="123" spans="1:51" ht="15" hidden="1" outlineLevel="1" x14ac:dyDescent="0.25">
      <c r="A123" s="295">
        <f t="shared" si="49"/>
        <v>2029</v>
      </c>
      <c r="B123" s="295">
        <f t="shared" si="50"/>
        <v>10</v>
      </c>
      <c r="C123" s="305">
        <f t="shared" si="31"/>
        <v>47392</v>
      </c>
      <c r="E123" s="310">
        <v>847512</v>
      </c>
      <c r="F123" s="309">
        <v>695099</v>
      </c>
      <c r="G123" s="309">
        <v>76952</v>
      </c>
      <c r="H123" s="309">
        <v>4648</v>
      </c>
      <c r="I123" s="309">
        <v>468</v>
      </c>
      <c r="J123" s="309">
        <f t="shared" si="40"/>
        <v>1624679</v>
      </c>
      <c r="K123" s="309">
        <f t="shared" si="41"/>
        <v>137446</v>
      </c>
      <c r="L123" s="309">
        <f t="shared" si="42"/>
        <v>1762125</v>
      </c>
      <c r="M123" s="309">
        <v>1830</v>
      </c>
      <c r="N123" s="309">
        <f t="shared" si="32"/>
        <v>155</v>
      </c>
      <c r="O123" s="311">
        <f t="shared" si="33"/>
        <v>1764110</v>
      </c>
      <c r="P123" s="309"/>
      <c r="Q123" s="310">
        <v>916965.82510478224</v>
      </c>
      <c r="R123" s="309">
        <v>787792.83396884101</v>
      </c>
      <c r="S123" s="309">
        <v>82832</v>
      </c>
      <c r="T123" s="309">
        <f t="shared" si="43"/>
        <v>5667</v>
      </c>
      <c r="U123" s="309">
        <f t="shared" si="43"/>
        <v>468</v>
      </c>
      <c r="V123" s="309">
        <f t="shared" si="44"/>
        <v>1793725.6590736234</v>
      </c>
      <c r="W123" s="309">
        <f t="shared" si="45"/>
        <v>151747.34092637664</v>
      </c>
      <c r="X123" s="309">
        <f t="shared" si="46"/>
        <v>1945473</v>
      </c>
      <c r="Y123" s="309">
        <f t="shared" si="47"/>
        <v>1830</v>
      </c>
      <c r="Z123" s="309">
        <f t="shared" si="34"/>
        <v>155</v>
      </c>
      <c r="AA123" s="311">
        <f t="shared" si="48"/>
        <v>1947458</v>
      </c>
      <c r="AC123" s="310">
        <v>964922</v>
      </c>
      <c r="AD123" s="309">
        <v>807676</v>
      </c>
      <c r="AE123" s="309">
        <v>82832</v>
      </c>
      <c r="AF123" s="309">
        <v>5667</v>
      </c>
      <c r="AG123" s="309">
        <v>468</v>
      </c>
      <c r="AH123" s="309">
        <f t="shared" si="35"/>
        <v>1861565</v>
      </c>
      <c r="AI123" s="309">
        <f t="shared" si="36"/>
        <v>157486</v>
      </c>
      <c r="AJ123" s="309">
        <f t="shared" si="37"/>
        <v>2019051</v>
      </c>
      <c r="AK123" s="309">
        <v>1830</v>
      </c>
      <c r="AL123" s="309">
        <f t="shared" si="38"/>
        <v>155</v>
      </c>
      <c r="AM123" s="311">
        <f t="shared" si="39"/>
        <v>2021036</v>
      </c>
      <c r="AO123" s="458"/>
      <c r="AP123" s="459"/>
      <c r="AQ123" s="459"/>
      <c r="AR123" s="460"/>
      <c r="AS123" s="316"/>
      <c r="AT123" s="458"/>
      <c r="AU123" s="459"/>
      <c r="AV123" s="459"/>
      <c r="AW123" s="459"/>
      <c r="AX123" s="459"/>
      <c r="AY123" s="460"/>
    </row>
    <row r="124" spans="1:51" ht="15" hidden="1" outlineLevel="1" x14ac:dyDescent="0.25">
      <c r="A124" s="295">
        <f t="shared" si="49"/>
        <v>2029</v>
      </c>
      <c r="B124" s="295">
        <f t="shared" si="50"/>
        <v>11</v>
      </c>
      <c r="C124" s="305">
        <f t="shared" si="31"/>
        <v>47423</v>
      </c>
      <c r="E124" s="310">
        <v>1063739</v>
      </c>
      <c r="F124" s="309">
        <v>724505</v>
      </c>
      <c r="G124" s="309">
        <v>81133</v>
      </c>
      <c r="H124" s="309">
        <v>5172</v>
      </c>
      <c r="I124" s="309">
        <v>776</v>
      </c>
      <c r="J124" s="309">
        <f t="shared" si="40"/>
        <v>1875325</v>
      </c>
      <c r="K124" s="309">
        <f t="shared" si="41"/>
        <v>158650</v>
      </c>
      <c r="L124" s="309">
        <f t="shared" si="42"/>
        <v>2033975</v>
      </c>
      <c r="M124" s="309">
        <v>1832</v>
      </c>
      <c r="N124" s="309">
        <f t="shared" si="32"/>
        <v>155</v>
      </c>
      <c r="O124" s="311">
        <f t="shared" si="33"/>
        <v>2035962</v>
      </c>
      <c r="P124" s="309"/>
      <c r="Q124" s="310">
        <v>1157780.4283664576</v>
      </c>
      <c r="R124" s="309">
        <v>812052.52232259943</v>
      </c>
      <c r="S124" s="309">
        <v>86581</v>
      </c>
      <c r="T124" s="309">
        <f t="shared" si="43"/>
        <v>6300</v>
      </c>
      <c r="U124" s="309">
        <f t="shared" si="43"/>
        <v>776</v>
      </c>
      <c r="V124" s="309">
        <f t="shared" si="44"/>
        <v>2063489.9506890569</v>
      </c>
      <c r="W124" s="309">
        <f t="shared" si="45"/>
        <v>174569.04931094311</v>
      </c>
      <c r="X124" s="309">
        <f t="shared" si="46"/>
        <v>2238059</v>
      </c>
      <c r="Y124" s="309">
        <f t="shared" si="47"/>
        <v>1832</v>
      </c>
      <c r="Z124" s="309">
        <f t="shared" si="34"/>
        <v>155</v>
      </c>
      <c r="AA124" s="311">
        <f t="shared" si="48"/>
        <v>2240046</v>
      </c>
      <c r="AC124" s="310">
        <v>1219094</v>
      </c>
      <c r="AD124" s="309">
        <v>831500</v>
      </c>
      <c r="AE124" s="309">
        <v>86581</v>
      </c>
      <c r="AF124" s="309">
        <v>6300</v>
      </c>
      <c r="AG124" s="309">
        <v>776</v>
      </c>
      <c r="AH124" s="309">
        <f t="shared" si="35"/>
        <v>2144251</v>
      </c>
      <c r="AI124" s="309">
        <f t="shared" si="36"/>
        <v>181401</v>
      </c>
      <c r="AJ124" s="309">
        <f t="shared" si="37"/>
        <v>2325652</v>
      </c>
      <c r="AK124" s="309">
        <v>1832</v>
      </c>
      <c r="AL124" s="309">
        <f t="shared" si="38"/>
        <v>155</v>
      </c>
      <c r="AM124" s="311">
        <f t="shared" si="39"/>
        <v>2327639</v>
      </c>
      <c r="AO124" s="458"/>
      <c r="AP124" s="459"/>
      <c r="AQ124" s="459"/>
      <c r="AR124" s="460"/>
      <c r="AS124" s="316"/>
      <c r="AT124" s="458"/>
      <c r="AU124" s="459"/>
      <c r="AV124" s="459"/>
      <c r="AW124" s="459"/>
      <c r="AX124" s="459"/>
      <c r="AY124" s="460"/>
    </row>
    <row r="125" spans="1:51" ht="15" hidden="1" outlineLevel="1" x14ac:dyDescent="0.25">
      <c r="A125" s="295">
        <f t="shared" si="49"/>
        <v>2029</v>
      </c>
      <c r="B125" s="295">
        <f t="shared" si="50"/>
        <v>12</v>
      </c>
      <c r="C125" s="305">
        <f t="shared" si="31"/>
        <v>47453</v>
      </c>
      <c r="E125" s="310">
        <v>1156607</v>
      </c>
      <c r="F125" s="309">
        <v>751206</v>
      </c>
      <c r="G125" s="309">
        <v>73928</v>
      </c>
      <c r="H125" s="309">
        <v>4714</v>
      </c>
      <c r="I125" s="309">
        <v>839</v>
      </c>
      <c r="J125" s="309">
        <f t="shared" si="40"/>
        <v>1987294</v>
      </c>
      <c r="K125" s="309">
        <f t="shared" si="41"/>
        <v>168122</v>
      </c>
      <c r="L125" s="309">
        <f t="shared" si="42"/>
        <v>2155416</v>
      </c>
      <c r="M125" s="309">
        <v>1718</v>
      </c>
      <c r="N125" s="309">
        <f t="shared" si="32"/>
        <v>145</v>
      </c>
      <c r="O125" s="311">
        <f t="shared" si="33"/>
        <v>2157279</v>
      </c>
      <c r="P125" s="309"/>
      <c r="Q125" s="310">
        <v>1297598.4763205436</v>
      </c>
      <c r="R125" s="309">
        <v>845381.99138205568</v>
      </c>
      <c r="S125" s="309">
        <v>79668</v>
      </c>
      <c r="T125" s="309">
        <f t="shared" si="43"/>
        <v>5930</v>
      </c>
      <c r="U125" s="309">
        <f t="shared" si="43"/>
        <v>839</v>
      </c>
      <c r="V125" s="309">
        <f t="shared" si="44"/>
        <v>2229417.4677025992</v>
      </c>
      <c r="W125" s="309">
        <f t="shared" si="45"/>
        <v>188605.53229740076</v>
      </c>
      <c r="X125" s="309">
        <f t="shared" si="46"/>
        <v>2418023</v>
      </c>
      <c r="Y125" s="309">
        <f t="shared" si="47"/>
        <v>1718</v>
      </c>
      <c r="Z125" s="309">
        <f t="shared" si="34"/>
        <v>145</v>
      </c>
      <c r="AA125" s="311">
        <f t="shared" si="48"/>
        <v>2419886</v>
      </c>
      <c r="AC125" s="310">
        <v>1378212</v>
      </c>
      <c r="AD125" s="309">
        <v>870158</v>
      </c>
      <c r="AE125" s="309">
        <v>79668</v>
      </c>
      <c r="AF125" s="309">
        <v>5930</v>
      </c>
      <c r="AG125" s="309">
        <v>839</v>
      </c>
      <c r="AH125" s="309">
        <f t="shared" si="35"/>
        <v>2334807</v>
      </c>
      <c r="AI125" s="309">
        <f t="shared" si="36"/>
        <v>197522</v>
      </c>
      <c r="AJ125" s="309">
        <f t="shared" si="37"/>
        <v>2532329</v>
      </c>
      <c r="AK125" s="309">
        <v>1718</v>
      </c>
      <c r="AL125" s="309">
        <f t="shared" si="38"/>
        <v>145</v>
      </c>
      <c r="AM125" s="311">
        <f t="shared" si="39"/>
        <v>2534192</v>
      </c>
      <c r="AO125" s="458"/>
      <c r="AP125" s="459"/>
      <c r="AQ125" s="459"/>
      <c r="AR125" s="460"/>
      <c r="AS125" s="316"/>
      <c r="AT125" s="458"/>
      <c r="AU125" s="459"/>
      <c r="AV125" s="459"/>
      <c r="AW125" s="459"/>
      <c r="AX125" s="459"/>
      <c r="AY125" s="460"/>
    </row>
    <row r="126" spans="1:51" ht="15" hidden="1" outlineLevel="1" x14ac:dyDescent="0.25">
      <c r="A126" s="295">
        <f t="shared" si="49"/>
        <v>2030</v>
      </c>
      <c r="B126" s="295">
        <f t="shared" si="50"/>
        <v>1</v>
      </c>
      <c r="C126" s="305">
        <f t="shared" si="31"/>
        <v>47484</v>
      </c>
      <c r="E126" s="310">
        <v>1182987</v>
      </c>
      <c r="F126" s="309">
        <v>760635</v>
      </c>
      <c r="G126" s="309">
        <v>70618</v>
      </c>
      <c r="H126" s="309">
        <v>5097</v>
      </c>
      <c r="I126" s="309">
        <v>968</v>
      </c>
      <c r="J126" s="309">
        <f t="shared" si="40"/>
        <v>2020305</v>
      </c>
      <c r="K126" s="309">
        <f t="shared" si="41"/>
        <v>170915</v>
      </c>
      <c r="L126" s="309">
        <f t="shared" si="42"/>
        <v>2191220</v>
      </c>
      <c r="M126" s="309">
        <v>2325</v>
      </c>
      <c r="N126" s="309">
        <f t="shared" si="32"/>
        <v>197</v>
      </c>
      <c r="O126" s="311">
        <f t="shared" si="33"/>
        <v>2193742</v>
      </c>
      <c r="P126" s="309"/>
      <c r="Q126" s="310">
        <v>1310117.5803114849</v>
      </c>
      <c r="R126" s="309">
        <v>855238.67820871947</v>
      </c>
      <c r="S126" s="309">
        <v>76429</v>
      </c>
      <c r="T126" s="309">
        <f t="shared" si="43"/>
        <v>6337</v>
      </c>
      <c r="U126" s="309">
        <f t="shared" si="43"/>
        <v>968</v>
      </c>
      <c r="V126" s="309">
        <f t="shared" si="44"/>
        <v>2249090.2585202046</v>
      </c>
      <c r="W126" s="309">
        <f t="shared" si="45"/>
        <v>190269.74147979543</v>
      </c>
      <c r="X126" s="309">
        <f t="shared" si="46"/>
        <v>2439360</v>
      </c>
      <c r="Y126" s="309">
        <f t="shared" si="47"/>
        <v>2325</v>
      </c>
      <c r="Z126" s="309">
        <f t="shared" si="34"/>
        <v>197</v>
      </c>
      <c r="AA126" s="311">
        <f t="shared" si="48"/>
        <v>2441882</v>
      </c>
      <c r="AC126" s="310">
        <v>1378868</v>
      </c>
      <c r="AD126" s="309">
        <v>878543</v>
      </c>
      <c r="AE126" s="309">
        <v>76429</v>
      </c>
      <c r="AF126" s="309">
        <v>6337</v>
      </c>
      <c r="AG126" s="309">
        <v>968</v>
      </c>
      <c r="AH126" s="309">
        <f t="shared" si="35"/>
        <v>2341145</v>
      </c>
      <c r="AI126" s="309">
        <f t="shared" si="36"/>
        <v>198058</v>
      </c>
      <c r="AJ126" s="309">
        <f t="shared" si="37"/>
        <v>2539203</v>
      </c>
      <c r="AK126" s="309">
        <v>2325</v>
      </c>
      <c r="AL126" s="309">
        <f t="shared" si="38"/>
        <v>197</v>
      </c>
      <c r="AM126" s="311">
        <f t="shared" si="39"/>
        <v>2541725</v>
      </c>
      <c r="AO126" s="458"/>
      <c r="AP126" s="459"/>
      <c r="AQ126" s="459"/>
      <c r="AR126" s="460"/>
      <c r="AS126" s="316"/>
      <c r="AT126" s="458"/>
      <c r="AU126" s="459"/>
      <c r="AV126" s="459"/>
      <c r="AW126" s="459"/>
      <c r="AX126" s="459"/>
      <c r="AY126" s="460"/>
    </row>
    <row r="127" spans="1:51" ht="15" hidden="1" outlineLevel="1" x14ac:dyDescent="0.25">
      <c r="A127" s="295">
        <f t="shared" si="49"/>
        <v>2030</v>
      </c>
      <c r="B127" s="295">
        <f t="shared" si="50"/>
        <v>2</v>
      </c>
      <c r="C127" s="305">
        <f t="shared" si="31"/>
        <v>47515</v>
      </c>
      <c r="E127" s="310">
        <v>1030276</v>
      </c>
      <c r="F127" s="309">
        <v>708129</v>
      </c>
      <c r="G127" s="309">
        <v>70655</v>
      </c>
      <c r="H127" s="309">
        <v>4897</v>
      </c>
      <c r="I127" s="309">
        <v>850</v>
      </c>
      <c r="J127" s="309">
        <f t="shared" si="40"/>
        <v>1814807</v>
      </c>
      <c r="K127" s="309">
        <f t="shared" si="41"/>
        <v>153530</v>
      </c>
      <c r="L127" s="309">
        <f t="shared" si="42"/>
        <v>1968337</v>
      </c>
      <c r="M127" s="309">
        <v>2433</v>
      </c>
      <c r="N127" s="309">
        <f t="shared" si="32"/>
        <v>206</v>
      </c>
      <c r="O127" s="311">
        <f t="shared" si="33"/>
        <v>1970976</v>
      </c>
      <c r="P127" s="309"/>
      <c r="Q127" s="310">
        <v>1131175.438448854</v>
      </c>
      <c r="R127" s="309">
        <v>789239.32956646394</v>
      </c>
      <c r="S127" s="309">
        <v>75825</v>
      </c>
      <c r="T127" s="309">
        <f t="shared" si="43"/>
        <v>5852</v>
      </c>
      <c r="U127" s="309">
        <f t="shared" si="43"/>
        <v>850</v>
      </c>
      <c r="V127" s="309">
        <f t="shared" si="44"/>
        <v>2002941.7680153181</v>
      </c>
      <c r="W127" s="309">
        <f t="shared" si="45"/>
        <v>169446.23198468192</v>
      </c>
      <c r="X127" s="309">
        <f t="shared" si="46"/>
        <v>2172388</v>
      </c>
      <c r="Y127" s="309">
        <f t="shared" si="47"/>
        <v>2433</v>
      </c>
      <c r="Z127" s="309">
        <f t="shared" si="34"/>
        <v>206</v>
      </c>
      <c r="AA127" s="311">
        <f t="shared" si="48"/>
        <v>2175027</v>
      </c>
      <c r="AC127" s="310">
        <v>1186442</v>
      </c>
      <c r="AD127" s="309">
        <v>807592</v>
      </c>
      <c r="AE127" s="309">
        <v>75825</v>
      </c>
      <c r="AF127" s="309">
        <v>5852</v>
      </c>
      <c r="AG127" s="309">
        <v>850</v>
      </c>
      <c r="AH127" s="309">
        <f t="shared" si="35"/>
        <v>2076561</v>
      </c>
      <c r="AI127" s="309">
        <f t="shared" si="36"/>
        <v>175674</v>
      </c>
      <c r="AJ127" s="309">
        <f t="shared" si="37"/>
        <v>2252235</v>
      </c>
      <c r="AK127" s="309">
        <v>2433</v>
      </c>
      <c r="AL127" s="309">
        <f t="shared" si="38"/>
        <v>206</v>
      </c>
      <c r="AM127" s="311">
        <f t="shared" si="39"/>
        <v>2254874</v>
      </c>
      <c r="AO127" s="458"/>
      <c r="AP127" s="459"/>
      <c r="AQ127" s="459"/>
      <c r="AR127" s="460"/>
      <c r="AS127" s="316"/>
      <c r="AT127" s="458"/>
      <c r="AU127" s="459"/>
      <c r="AV127" s="459"/>
      <c r="AW127" s="459"/>
      <c r="AX127" s="459"/>
      <c r="AY127" s="460"/>
    </row>
    <row r="128" spans="1:51" ht="15" hidden="1" outlineLevel="1" x14ac:dyDescent="0.25">
      <c r="A128" s="295">
        <f t="shared" si="49"/>
        <v>2030</v>
      </c>
      <c r="B128" s="295">
        <f t="shared" si="50"/>
        <v>3</v>
      </c>
      <c r="C128" s="305">
        <f t="shared" si="31"/>
        <v>47543</v>
      </c>
      <c r="E128" s="310">
        <v>1021849</v>
      </c>
      <c r="F128" s="309">
        <v>739856</v>
      </c>
      <c r="G128" s="309">
        <v>77799</v>
      </c>
      <c r="H128" s="309">
        <v>4401</v>
      </c>
      <c r="I128" s="309">
        <v>758</v>
      </c>
      <c r="J128" s="309">
        <f t="shared" si="40"/>
        <v>1844663</v>
      </c>
      <c r="K128" s="309">
        <f t="shared" si="41"/>
        <v>156056</v>
      </c>
      <c r="L128" s="309">
        <f t="shared" si="42"/>
        <v>2000719</v>
      </c>
      <c r="M128" s="309">
        <v>2339</v>
      </c>
      <c r="N128" s="309">
        <f t="shared" si="32"/>
        <v>198</v>
      </c>
      <c r="O128" s="311">
        <f t="shared" si="33"/>
        <v>2003256</v>
      </c>
      <c r="P128" s="309"/>
      <c r="Q128" s="310">
        <v>1123945.4596388065</v>
      </c>
      <c r="R128" s="309">
        <v>837618.85745932267</v>
      </c>
      <c r="S128" s="309">
        <v>83792</v>
      </c>
      <c r="T128" s="309">
        <f t="shared" si="43"/>
        <v>5417</v>
      </c>
      <c r="U128" s="309">
        <f t="shared" si="43"/>
        <v>758</v>
      </c>
      <c r="V128" s="309">
        <f t="shared" si="44"/>
        <v>2051531.3170981291</v>
      </c>
      <c r="W128" s="309">
        <f t="shared" si="45"/>
        <v>173556.68290187092</v>
      </c>
      <c r="X128" s="309">
        <f t="shared" si="46"/>
        <v>2225088</v>
      </c>
      <c r="Y128" s="309">
        <f t="shared" si="47"/>
        <v>2339</v>
      </c>
      <c r="Z128" s="309">
        <f t="shared" si="34"/>
        <v>198</v>
      </c>
      <c r="AA128" s="311">
        <f t="shared" si="48"/>
        <v>2227625</v>
      </c>
      <c r="AC128" s="310">
        <v>1178664</v>
      </c>
      <c r="AD128" s="309">
        <v>859218</v>
      </c>
      <c r="AE128" s="309">
        <v>83792</v>
      </c>
      <c r="AF128" s="309">
        <v>5417</v>
      </c>
      <c r="AG128" s="309">
        <v>758</v>
      </c>
      <c r="AH128" s="309">
        <f t="shared" si="35"/>
        <v>2127849</v>
      </c>
      <c r="AI128" s="309">
        <f t="shared" si="36"/>
        <v>180013</v>
      </c>
      <c r="AJ128" s="309">
        <f t="shared" si="37"/>
        <v>2307862</v>
      </c>
      <c r="AK128" s="309">
        <v>2339</v>
      </c>
      <c r="AL128" s="309">
        <f t="shared" si="38"/>
        <v>198</v>
      </c>
      <c r="AM128" s="311">
        <f t="shared" si="39"/>
        <v>2310399</v>
      </c>
      <c r="AO128" s="458"/>
      <c r="AP128" s="459"/>
      <c r="AQ128" s="459"/>
      <c r="AR128" s="460"/>
      <c r="AS128" s="316"/>
      <c r="AT128" s="458"/>
      <c r="AU128" s="459"/>
      <c r="AV128" s="459"/>
      <c r="AW128" s="459"/>
      <c r="AX128" s="459"/>
      <c r="AY128" s="460"/>
    </row>
    <row r="129" spans="1:51" ht="15" hidden="1" outlineLevel="1" x14ac:dyDescent="0.25">
      <c r="A129" s="295">
        <f t="shared" si="49"/>
        <v>2030</v>
      </c>
      <c r="B129" s="295">
        <f t="shared" si="50"/>
        <v>4</v>
      </c>
      <c r="C129" s="305">
        <f t="shared" si="31"/>
        <v>47574</v>
      </c>
      <c r="E129" s="310">
        <v>926999</v>
      </c>
      <c r="F129" s="309">
        <v>730622</v>
      </c>
      <c r="G129" s="309">
        <v>79289</v>
      </c>
      <c r="H129" s="309">
        <v>4873</v>
      </c>
      <c r="I129" s="309">
        <v>626</v>
      </c>
      <c r="J129" s="309">
        <f t="shared" si="40"/>
        <v>1742409</v>
      </c>
      <c r="K129" s="309">
        <f t="shared" si="41"/>
        <v>147406</v>
      </c>
      <c r="L129" s="309">
        <f t="shared" si="42"/>
        <v>1889815</v>
      </c>
      <c r="M129" s="309">
        <v>2172</v>
      </c>
      <c r="N129" s="309">
        <f t="shared" si="32"/>
        <v>184</v>
      </c>
      <c r="O129" s="311">
        <f t="shared" si="33"/>
        <v>1892171</v>
      </c>
      <c r="P129" s="309"/>
      <c r="Q129" s="310">
        <v>1016414.9719799213</v>
      </c>
      <c r="R129" s="309">
        <v>821361.27606688091</v>
      </c>
      <c r="S129" s="309">
        <v>84949</v>
      </c>
      <c r="T129" s="309">
        <f t="shared" si="43"/>
        <v>5739</v>
      </c>
      <c r="U129" s="309">
        <f t="shared" si="43"/>
        <v>626</v>
      </c>
      <c r="V129" s="309">
        <f t="shared" si="44"/>
        <v>1929090.2480468024</v>
      </c>
      <c r="W129" s="309">
        <f t="shared" si="45"/>
        <v>163198.75195319764</v>
      </c>
      <c r="X129" s="309">
        <f t="shared" si="46"/>
        <v>2092289</v>
      </c>
      <c r="Y129" s="309">
        <f t="shared" si="47"/>
        <v>2172</v>
      </c>
      <c r="Z129" s="309">
        <f t="shared" si="34"/>
        <v>184</v>
      </c>
      <c r="AA129" s="311">
        <f t="shared" si="48"/>
        <v>2094645</v>
      </c>
      <c r="AC129" s="310">
        <v>1062457</v>
      </c>
      <c r="AD129" s="309">
        <v>841706</v>
      </c>
      <c r="AE129" s="309">
        <v>84949</v>
      </c>
      <c r="AF129" s="309">
        <v>5739</v>
      </c>
      <c r="AG129" s="309">
        <v>626</v>
      </c>
      <c r="AH129" s="309">
        <f t="shared" si="35"/>
        <v>1995477</v>
      </c>
      <c r="AI129" s="309">
        <f t="shared" si="36"/>
        <v>168815</v>
      </c>
      <c r="AJ129" s="309">
        <f t="shared" si="37"/>
        <v>2164292</v>
      </c>
      <c r="AK129" s="309">
        <v>2172</v>
      </c>
      <c r="AL129" s="309">
        <f t="shared" si="38"/>
        <v>184</v>
      </c>
      <c r="AM129" s="311">
        <f t="shared" si="39"/>
        <v>2166648</v>
      </c>
      <c r="AO129" s="458"/>
      <c r="AP129" s="459"/>
      <c r="AQ129" s="459"/>
      <c r="AR129" s="460"/>
      <c r="AS129" s="316"/>
      <c r="AT129" s="458"/>
      <c r="AU129" s="459"/>
      <c r="AV129" s="459"/>
      <c r="AW129" s="459"/>
      <c r="AX129" s="459"/>
      <c r="AY129" s="460"/>
    </row>
    <row r="130" spans="1:51" ht="15" hidden="1" outlineLevel="1" x14ac:dyDescent="0.25">
      <c r="A130" s="295">
        <f t="shared" si="49"/>
        <v>2030</v>
      </c>
      <c r="B130" s="295">
        <f t="shared" si="50"/>
        <v>5</v>
      </c>
      <c r="C130" s="305">
        <f t="shared" si="31"/>
        <v>47604</v>
      </c>
      <c r="E130" s="310">
        <v>794337</v>
      </c>
      <c r="F130" s="309">
        <v>675855</v>
      </c>
      <c r="G130" s="309">
        <v>74307</v>
      </c>
      <c r="H130" s="309">
        <v>4723</v>
      </c>
      <c r="I130" s="309">
        <v>433</v>
      </c>
      <c r="J130" s="309">
        <f t="shared" si="40"/>
        <v>1549655</v>
      </c>
      <c r="K130" s="309">
        <f t="shared" si="41"/>
        <v>131099</v>
      </c>
      <c r="L130" s="309">
        <f t="shared" si="42"/>
        <v>1680754</v>
      </c>
      <c r="M130" s="309">
        <v>2174</v>
      </c>
      <c r="N130" s="309">
        <f t="shared" si="32"/>
        <v>184</v>
      </c>
      <c r="O130" s="311">
        <f t="shared" si="33"/>
        <v>1683112</v>
      </c>
      <c r="P130" s="309"/>
      <c r="Q130" s="310">
        <v>856841.25482655759</v>
      </c>
      <c r="R130" s="309">
        <v>777174.82047026115</v>
      </c>
      <c r="S130" s="309">
        <v>80226</v>
      </c>
      <c r="T130" s="309">
        <f t="shared" si="43"/>
        <v>5497</v>
      </c>
      <c r="U130" s="309">
        <f t="shared" si="43"/>
        <v>433</v>
      </c>
      <c r="V130" s="309">
        <f t="shared" si="44"/>
        <v>1720172.0752968187</v>
      </c>
      <c r="W130" s="309">
        <f t="shared" si="45"/>
        <v>145523.92470318126</v>
      </c>
      <c r="X130" s="309">
        <f t="shared" si="46"/>
        <v>1865696</v>
      </c>
      <c r="Y130" s="309">
        <f t="shared" si="47"/>
        <v>2174</v>
      </c>
      <c r="Z130" s="309">
        <f t="shared" si="34"/>
        <v>184</v>
      </c>
      <c r="AA130" s="311">
        <f t="shared" si="48"/>
        <v>1868054</v>
      </c>
      <c r="AC130" s="310">
        <v>901308</v>
      </c>
      <c r="AD130" s="309">
        <v>798077</v>
      </c>
      <c r="AE130" s="309">
        <v>80226</v>
      </c>
      <c r="AF130" s="309">
        <v>5497</v>
      </c>
      <c r="AG130" s="309">
        <v>433</v>
      </c>
      <c r="AH130" s="309">
        <f t="shared" si="35"/>
        <v>1785541</v>
      </c>
      <c r="AI130" s="309">
        <f t="shared" si="36"/>
        <v>151054</v>
      </c>
      <c r="AJ130" s="309">
        <f t="shared" si="37"/>
        <v>1936595</v>
      </c>
      <c r="AK130" s="309">
        <v>2174</v>
      </c>
      <c r="AL130" s="309">
        <f t="shared" si="38"/>
        <v>184</v>
      </c>
      <c r="AM130" s="311">
        <f t="shared" si="39"/>
        <v>1938953</v>
      </c>
      <c r="AO130" s="458"/>
      <c r="AP130" s="459"/>
      <c r="AQ130" s="459"/>
      <c r="AR130" s="460"/>
      <c r="AS130" s="316"/>
      <c r="AT130" s="458"/>
      <c r="AU130" s="459"/>
      <c r="AV130" s="459"/>
      <c r="AW130" s="459"/>
      <c r="AX130" s="459"/>
      <c r="AY130" s="460"/>
    </row>
    <row r="131" spans="1:51" ht="15" hidden="1" outlineLevel="1" x14ac:dyDescent="0.25">
      <c r="A131" s="295">
        <f t="shared" si="49"/>
        <v>2030</v>
      </c>
      <c r="B131" s="295">
        <f t="shared" si="50"/>
        <v>6</v>
      </c>
      <c r="C131" s="305">
        <f t="shared" si="31"/>
        <v>47635</v>
      </c>
      <c r="E131" s="310">
        <v>763419</v>
      </c>
      <c r="F131" s="309">
        <v>702727</v>
      </c>
      <c r="G131" s="309">
        <v>75862</v>
      </c>
      <c r="H131" s="309">
        <v>4638</v>
      </c>
      <c r="I131" s="309">
        <v>316</v>
      </c>
      <c r="J131" s="309">
        <f t="shared" si="40"/>
        <v>1546962</v>
      </c>
      <c r="K131" s="309">
        <f t="shared" si="41"/>
        <v>130871</v>
      </c>
      <c r="L131" s="309">
        <f t="shared" si="42"/>
        <v>1677833</v>
      </c>
      <c r="M131" s="309">
        <v>1787</v>
      </c>
      <c r="N131" s="309">
        <f t="shared" si="32"/>
        <v>151</v>
      </c>
      <c r="O131" s="311">
        <f t="shared" si="33"/>
        <v>1679771</v>
      </c>
      <c r="P131" s="309"/>
      <c r="Q131" s="310">
        <v>809146.98562849325</v>
      </c>
      <c r="R131" s="309">
        <v>799097.81308042898</v>
      </c>
      <c r="S131" s="309">
        <v>81754</v>
      </c>
      <c r="T131" s="309">
        <f t="shared" si="43"/>
        <v>5295</v>
      </c>
      <c r="U131" s="309">
        <f t="shared" si="43"/>
        <v>316</v>
      </c>
      <c r="V131" s="309">
        <f t="shared" si="44"/>
        <v>1695609.7987089222</v>
      </c>
      <c r="W131" s="309">
        <f t="shared" si="45"/>
        <v>143446.20129107777</v>
      </c>
      <c r="X131" s="309">
        <f t="shared" si="46"/>
        <v>1839056</v>
      </c>
      <c r="Y131" s="309">
        <f t="shared" si="47"/>
        <v>1787</v>
      </c>
      <c r="Z131" s="309">
        <f t="shared" si="34"/>
        <v>151</v>
      </c>
      <c r="AA131" s="311">
        <f t="shared" si="48"/>
        <v>1840994</v>
      </c>
      <c r="AC131" s="310">
        <v>846031</v>
      </c>
      <c r="AD131" s="309">
        <v>819399</v>
      </c>
      <c r="AE131" s="309">
        <v>81754</v>
      </c>
      <c r="AF131" s="309">
        <v>5295</v>
      </c>
      <c r="AG131" s="309">
        <v>316</v>
      </c>
      <c r="AH131" s="309">
        <f t="shared" si="35"/>
        <v>1752795</v>
      </c>
      <c r="AI131" s="309">
        <f t="shared" si="36"/>
        <v>148284</v>
      </c>
      <c r="AJ131" s="309">
        <f t="shared" si="37"/>
        <v>1901079</v>
      </c>
      <c r="AK131" s="309">
        <v>1787</v>
      </c>
      <c r="AL131" s="309">
        <f t="shared" si="38"/>
        <v>151</v>
      </c>
      <c r="AM131" s="311">
        <f t="shared" si="39"/>
        <v>1903017</v>
      </c>
      <c r="AO131" s="458"/>
      <c r="AP131" s="459"/>
      <c r="AQ131" s="459"/>
      <c r="AR131" s="460"/>
      <c r="AS131" s="316"/>
      <c r="AT131" s="458"/>
      <c r="AU131" s="459"/>
      <c r="AV131" s="459"/>
      <c r="AW131" s="459"/>
      <c r="AX131" s="459"/>
      <c r="AY131" s="460"/>
    </row>
    <row r="132" spans="1:51" ht="15" hidden="1" outlineLevel="1" x14ac:dyDescent="0.25">
      <c r="A132" s="295">
        <f t="shared" si="49"/>
        <v>2030</v>
      </c>
      <c r="B132" s="295">
        <f t="shared" si="50"/>
        <v>7</v>
      </c>
      <c r="C132" s="305">
        <f t="shared" si="31"/>
        <v>47665</v>
      </c>
      <c r="E132" s="310">
        <v>807966</v>
      </c>
      <c r="F132" s="309">
        <v>732145</v>
      </c>
      <c r="G132" s="309">
        <v>83090</v>
      </c>
      <c r="H132" s="309">
        <v>4354</v>
      </c>
      <c r="I132" s="309">
        <v>288</v>
      </c>
      <c r="J132" s="309">
        <f t="shared" si="40"/>
        <v>1627843</v>
      </c>
      <c r="K132" s="309">
        <f t="shared" si="41"/>
        <v>137713</v>
      </c>
      <c r="L132" s="309">
        <f t="shared" si="42"/>
        <v>1765556</v>
      </c>
      <c r="M132" s="309">
        <v>2889</v>
      </c>
      <c r="N132" s="309">
        <f t="shared" si="32"/>
        <v>244</v>
      </c>
      <c r="O132" s="311">
        <f t="shared" si="33"/>
        <v>1768689</v>
      </c>
      <c r="P132" s="309"/>
      <c r="Q132" s="310">
        <v>855138.72939675709</v>
      </c>
      <c r="R132" s="309">
        <v>836754.38035570993</v>
      </c>
      <c r="S132" s="309">
        <v>89176</v>
      </c>
      <c r="T132" s="309">
        <f t="shared" si="43"/>
        <v>5135</v>
      </c>
      <c r="U132" s="309">
        <f t="shared" si="43"/>
        <v>288</v>
      </c>
      <c r="V132" s="309">
        <f t="shared" si="44"/>
        <v>1786492.1097524669</v>
      </c>
      <c r="W132" s="309">
        <f t="shared" si="45"/>
        <v>151134.8902475331</v>
      </c>
      <c r="X132" s="309">
        <f t="shared" si="46"/>
        <v>1937627</v>
      </c>
      <c r="Y132" s="309">
        <f t="shared" si="47"/>
        <v>2889</v>
      </c>
      <c r="Z132" s="309">
        <f t="shared" si="34"/>
        <v>244</v>
      </c>
      <c r="AA132" s="311">
        <f t="shared" si="48"/>
        <v>1940760</v>
      </c>
      <c r="AC132" s="310">
        <v>897294</v>
      </c>
      <c r="AD132" s="309">
        <v>859445</v>
      </c>
      <c r="AE132" s="309">
        <v>89176</v>
      </c>
      <c r="AF132" s="309">
        <v>5135</v>
      </c>
      <c r="AG132" s="309">
        <v>288</v>
      </c>
      <c r="AH132" s="309">
        <f t="shared" si="35"/>
        <v>1851338</v>
      </c>
      <c r="AI132" s="309">
        <f t="shared" si="36"/>
        <v>156621</v>
      </c>
      <c r="AJ132" s="309">
        <f t="shared" si="37"/>
        <v>2007959</v>
      </c>
      <c r="AK132" s="309">
        <v>2889</v>
      </c>
      <c r="AL132" s="309">
        <f t="shared" si="38"/>
        <v>244</v>
      </c>
      <c r="AM132" s="311">
        <f t="shared" si="39"/>
        <v>2011092</v>
      </c>
      <c r="AO132" s="458"/>
      <c r="AP132" s="459"/>
      <c r="AQ132" s="459"/>
      <c r="AR132" s="460"/>
      <c r="AS132" s="316"/>
      <c r="AT132" s="458"/>
      <c r="AU132" s="459"/>
      <c r="AV132" s="459"/>
      <c r="AW132" s="459"/>
      <c r="AX132" s="459"/>
      <c r="AY132" s="460"/>
    </row>
    <row r="133" spans="1:51" ht="15" hidden="1" outlineLevel="1" x14ac:dyDescent="0.25">
      <c r="A133" s="295">
        <f t="shared" si="49"/>
        <v>2030</v>
      </c>
      <c r="B133" s="295">
        <f t="shared" si="50"/>
        <v>8</v>
      </c>
      <c r="C133" s="305">
        <f t="shared" si="31"/>
        <v>47696</v>
      </c>
      <c r="E133" s="310">
        <v>821007</v>
      </c>
      <c r="F133" s="309">
        <v>732568</v>
      </c>
      <c r="G133" s="309">
        <v>83838</v>
      </c>
      <c r="H133" s="309">
        <v>4620</v>
      </c>
      <c r="I133" s="309">
        <v>280</v>
      </c>
      <c r="J133" s="309">
        <f t="shared" si="40"/>
        <v>1642313</v>
      </c>
      <c r="K133" s="309">
        <f t="shared" si="41"/>
        <v>138938</v>
      </c>
      <c r="L133" s="309">
        <f t="shared" si="42"/>
        <v>1781251</v>
      </c>
      <c r="M133" s="309">
        <v>1634</v>
      </c>
      <c r="N133" s="309">
        <f t="shared" si="32"/>
        <v>138</v>
      </c>
      <c r="O133" s="311">
        <f t="shared" si="33"/>
        <v>1783023</v>
      </c>
      <c r="P133" s="309"/>
      <c r="Q133" s="310">
        <v>869026.3569448191</v>
      </c>
      <c r="R133" s="309">
        <v>839032.84325663536</v>
      </c>
      <c r="S133" s="309">
        <v>90279</v>
      </c>
      <c r="T133" s="309">
        <f t="shared" si="43"/>
        <v>5527</v>
      </c>
      <c r="U133" s="309">
        <f t="shared" si="43"/>
        <v>280</v>
      </c>
      <c r="V133" s="309">
        <f t="shared" si="44"/>
        <v>1804145.2002014546</v>
      </c>
      <c r="W133" s="309">
        <f t="shared" si="45"/>
        <v>152628.79979854543</v>
      </c>
      <c r="X133" s="309">
        <f t="shared" si="46"/>
        <v>1956774</v>
      </c>
      <c r="Y133" s="309">
        <f t="shared" si="47"/>
        <v>1634</v>
      </c>
      <c r="Z133" s="309">
        <f t="shared" si="34"/>
        <v>138</v>
      </c>
      <c r="AA133" s="311">
        <f t="shared" si="48"/>
        <v>1958546</v>
      </c>
      <c r="AC133" s="310">
        <v>910278</v>
      </c>
      <c r="AD133" s="309">
        <v>861971</v>
      </c>
      <c r="AE133" s="309">
        <v>90279</v>
      </c>
      <c r="AF133" s="309">
        <v>5527</v>
      </c>
      <c r="AG133" s="309">
        <v>280</v>
      </c>
      <c r="AH133" s="309">
        <f t="shared" si="35"/>
        <v>1868335</v>
      </c>
      <c r="AI133" s="309">
        <f t="shared" si="36"/>
        <v>158059</v>
      </c>
      <c r="AJ133" s="309">
        <f t="shared" si="37"/>
        <v>2026394</v>
      </c>
      <c r="AK133" s="309">
        <v>1634</v>
      </c>
      <c r="AL133" s="309">
        <f t="shared" si="38"/>
        <v>138</v>
      </c>
      <c r="AM133" s="311">
        <f t="shared" si="39"/>
        <v>2028166</v>
      </c>
      <c r="AO133" s="458"/>
      <c r="AP133" s="459"/>
      <c r="AQ133" s="459"/>
      <c r="AR133" s="460"/>
      <c r="AS133" s="316"/>
      <c r="AT133" s="458"/>
      <c r="AU133" s="459"/>
      <c r="AV133" s="459"/>
      <c r="AW133" s="459"/>
      <c r="AX133" s="459"/>
      <c r="AY133" s="460"/>
    </row>
    <row r="134" spans="1:51" ht="15" hidden="1" outlineLevel="1" x14ac:dyDescent="0.25">
      <c r="A134" s="295">
        <f t="shared" si="49"/>
        <v>2030</v>
      </c>
      <c r="B134" s="295">
        <f t="shared" si="50"/>
        <v>9</v>
      </c>
      <c r="C134" s="305">
        <f t="shared" si="31"/>
        <v>47727</v>
      </c>
      <c r="E134" s="310">
        <v>754675</v>
      </c>
      <c r="F134" s="309">
        <v>693832</v>
      </c>
      <c r="G134" s="309">
        <v>80394</v>
      </c>
      <c r="H134" s="309">
        <v>4891</v>
      </c>
      <c r="I134" s="309">
        <v>354</v>
      </c>
      <c r="J134" s="309">
        <f t="shared" si="40"/>
        <v>1534146</v>
      </c>
      <c r="K134" s="309">
        <f t="shared" si="41"/>
        <v>129787</v>
      </c>
      <c r="L134" s="309">
        <f t="shared" si="42"/>
        <v>1663933</v>
      </c>
      <c r="M134" s="309">
        <v>1428</v>
      </c>
      <c r="N134" s="309">
        <f t="shared" si="32"/>
        <v>121</v>
      </c>
      <c r="O134" s="311">
        <f t="shared" si="33"/>
        <v>1665482</v>
      </c>
      <c r="P134" s="309"/>
      <c r="Q134" s="310">
        <v>809159.48260736722</v>
      </c>
      <c r="R134" s="309">
        <v>795304.13202679541</v>
      </c>
      <c r="S134" s="309">
        <v>86503</v>
      </c>
      <c r="T134" s="309">
        <f t="shared" si="43"/>
        <v>5811</v>
      </c>
      <c r="U134" s="309">
        <f t="shared" si="43"/>
        <v>354</v>
      </c>
      <c r="V134" s="309">
        <f t="shared" si="44"/>
        <v>1697131.6146341627</v>
      </c>
      <c r="W134" s="309">
        <f t="shared" si="45"/>
        <v>143575.38536583725</v>
      </c>
      <c r="X134" s="309">
        <f t="shared" si="46"/>
        <v>1840707</v>
      </c>
      <c r="Y134" s="309">
        <f t="shared" si="47"/>
        <v>1428</v>
      </c>
      <c r="Z134" s="309">
        <f t="shared" si="34"/>
        <v>121</v>
      </c>
      <c r="AA134" s="311">
        <f t="shared" si="48"/>
        <v>1842256</v>
      </c>
      <c r="AC134" s="310">
        <v>847803</v>
      </c>
      <c r="AD134" s="309">
        <v>815660</v>
      </c>
      <c r="AE134" s="309">
        <v>86503</v>
      </c>
      <c r="AF134" s="309">
        <v>5811</v>
      </c>
      <c r="AG134" s="309">
        <v>354</v>
      </c>
      <c r="AH134" s="309">
        <f t="shared" si="35"/>
        <v>1756131</v>
      </c>
      <c r="AI134" s="309">
        <f t="shared" si="36"/>
        <v>148566</v>
      </c>
      <c r="AJ134" s="309">
        <f t="shared" si="37"/>
        <v>1904697</v>
      </c>
      <c r="AK134" s="309">
        <v>1428</v>
      </c>
      <c r="AL134" s="309">
        <f t="shared" si="38"/>
        <v>121</v>
      </c>
      <c r="AM134" s="311">
        <f t="shared" si="39"/>
        <v>1906246</v>
      </c>
      <c r="AO134" s="458"/>
      <c r="AP134" s="459"/>
      <c r="AQ134" s="459"/>
      <c r="AR134" s="460"/>
      <c r="AS134" s="316"/>
      <c r="AT134" s="458"/>
      <c r="AU134" s="459"/>
      <c r="AV134" s="459"/>
      <c r="AW134" s="459"/>
      <c r="AX134" s="459"/>
      <c r="AY134" s="460"/>
    </row>
    <row r="135" spans="1:51" ht="15" hidden="1" outlineLevel="1" x14ac:dyDescent="0.25">
      <c r="A135" s="295">
        <f t="shared" si="49"/>
        <v>2030</v>
      </c>
      <c r="B135" s="295">
        <f t="shared" si="50"/>
        <v>10</v>
      </c>
      <c r="C135" s="305">
        <f t="shared" si="31"/>
        <v>47757</v>
      </c>
      <c r="E135" s="310">
        <v>854902</v>
      </c>
      <c r="F135" s="309">
        <v>699612</v>
      </c>
      <c r="G135" s="309">
        <v>76165</v>
      </c>
      <c r="H135" s="309">
        <v>4595</v>
      </c>
      <c r="I135" s="309">
        <v>468</v>
      </c>
      <c r="J135" s="309">
        <f t="shared" si="40"/>
        <v>1635742</v>
      </c>
      <c r="K135" s="309">
        <f t="shared" si="41"/>
        <v>138381</v>
      </c>
      <c r="L135" s="309">
        <f>ROUNDDOWN(J135/(1-0.078), 0)</f>
        <v>1774123</v>
      </c>
      <c r="M135" s="309">
        <v>1830</v>
      </c>
      <c r="N135" s="309">
        <f t="shared" si="32"/>
        <v>155</v>
      </c>
      <c r="O135" s="311">
        <f t="shared" si="33"/>
        <v>1776108</v>
      </c>
      <c r="P135" s="309"/>
      <c r="Q135" s="310">
        <v>935619.93803026993</v>
      </c>
      <c r="R135" s="309">
        <v>804330.26742551022</v>
      </c>
      <c r="S135" s="309">
        <v>82632</v>
      </c>
      <c r="T135" s="309">
        <f t="shared" si="43"/>
        <v>5770</v>
      </c>
      <c r="U135" s="309">
        <f t="shared" si="43"/>
        <v>468</v>
      </c>
      <c r="V135" s="309">
        <f t="shared" si="44"/>
        <v>1828820.20545578</v>
      </c>
      <c r="W135" s="309">
        <f t="shared" si="45"/>
        <v>154715.79454421997</v>
      </c>
      <c r="X135" s="309">
        <f t="shared" si="46"/>
        <v>1983536</v>
      </c>
      <c r="Y135" s="309">
        <f t="shared" si="47"/>
        <v>1830</v>
      </c>
      <c r="Z135" s="309">
        <f t="shared" si="34"/>
        <v>155</v>
      </c>
      <c r="AA135" s="311">
        <f t="shared" si="48"/>
        <v>1985521</v>
      </c>
      <c r="AC135" s="310">
        <v>986438</v>
      </c>
      <c r="AD135" s="309">
        <v>825697</v>
      </c>
      <c r="AE135" s="309">
        <v>82632</v>
      </c>
      <c r="AF135" s="309">
        <v>5770</v>
      </c>
      <c r="AG135" s="309">
        <v>468</v>
      </c>
      <c r="AH135" s="309">
        <f t="shared" si="35"/>
        <v>1901005</v>
      </c>
      <c r="AI135" s="309">
        <f t="shared" si="36"/>
        <v>160823</v>
      </c>
      <c r="AJ135" s="309">
        <f t="shared" si="37"/>
        <v>2061828</v>
      </c>
      <c r="AK135" s="309">
        <v>1830</v>
      </c>
      <c r="AL135" s="309">
        <f t="shared" si="38"/>
        <v>155</v>
      </c>
      <c r="AM135" s="311">
        <f t="shared" si="39"/>
        <v>2063813</v>
      </c>
      <c r="AO135" s="458"/>
      <c r="AP135" s="459"/>
      <c r="AQ135" s="459"/>
      <c r="AR135" s="460"/>
      <c r="AS135" s="316"/>
      <c r="AT135" s="458"/>
      <c r="AU135" s="459"/>
      <c r="AV135" s="459"/>
      <c r="AW135" s="459"/>
      <c r="AX135" s="459"/>
      <c r="AY135" s="460"/>
    </row>
    <row r="136" spans="1:51" ht="15" hidden="1" outlineLevel="1" x14ac:dyDescent="0.25">
      <c r="A136" s="295">
        <f t="shared" si="49"/>
        <v>2030</v>
      </c>
      <c r="B136" s="295">
        <f t="shared" si="50"/>
        <v>11</v>
      </c>
      <c r="C136" s="305">
        <f t="shared" si="31"/>
        <v>47788</v>
      </c>
      <c r="E136" s="310">
        <v>1068653</v>
      </c>
      <c r="F136" s="309">
        <v>730453</v>
      </c>
      <c r="G136" s="309">
        <v>80387</v>
      </c>
      <c r="H136" s="309">
        <v>5116</v>
      </c>
      <c r="I136" s="309">
        <v>775</v>
      </c>
      <c r="J136" s="309">
        <f t="shared" si="40"/>
        <v>1885384</v>
      </c>
      <c r="K136" s="309">
        <f t="shared" si="41"/>
        <v>159501</v>
      </c>
      <c r="L136" s="309">
        <f t="shared" si="42"/>
        <v>2044885</v>
      </c>
      <c r="M136" s="309">
        <v>1832</v>
      </c>
      <c r="N136" s="309">
        <f t="shared" si="32"/>
        <v>155</v>
      </c>
      <c r="O136" s="311">
        <f t="shared" si="33"/>
        <v>2046872</v>
      </c>
      <c r="P136" s="309"/>
      <c r="Q136" s="310">
        <v>1177799.3176876674</v>
      </c>
      <c r="R136" s="309">
        <v>829004.21643815772</v>
      </c>
      <c r="S136" s="309">
        <v>86367</v>
      </c>
      <c r="T136" s="309">
        <f t="shared" si="43"/>
        <v>6415</v>
      </c>
      <c r="U136" s="309">
        <f t="shared" si="43"/>
        <v>775</v>
      </c>
      <c r="V136" s="309">
        <f t="shared" si="44"/>
        <v>2100360.5341258254</v>
      </c>
      <c r="W136" s="309">
        <f t="shared" si="45"/>
        <v>177687.46587417461</v>
      </c>
      <c r="X136" s="309">
        <f t="shared" si="46"/>
        <v>2278048</v>
      </c>
      <c r="Y136" s="309">
        <f t="shared" si="47"/>
        <v>1832</v>
      </c>
      <c r="Z136" s="309">
        <f t="shared" si="34"/>
        <v>155</v>
      </c>
      <c r="AA136" s="311">
        <f t="shared" si="48"/>
        <v>2280035</v>
      </c>
      <c r="AC136" s="310">
        <v>1243110</v>
      </c>
      <c r="AD136" s="309">
        <v>849846</v>
      </c>
      <c r="AE136" s="309">
        <v>86367</v>
      </c>
      <c r="AF136" s="309">
        <v>6415</v>
      </c>
      <c r="AG136" s="309">
        <v>775</v>
      </c>
      <c r="AH136" s="309">
        <f t="shared" si="35"/>
        <v>2186513</v>
      </c>
      <c r="AI136" s="309">
        <f t="shared" si="36"/>
        <v>184976</v>
      </c>
      <c r="AJ136" s="309">
        <f t="shared" si="37"/>
        <v>2371489</v>
      </c>
      <c r="AK136" s="309">
        <v>1832</v>
      </c>
      <c r="AL136" s="309">
        <f t="shared" si="38"/>
        <v>155</v>
      </c>
      <c r="AM136" s="311">
        <f t="shared" si="39"/>
        <v>2373476</v>
      </c>
      <c r="AO136" s="458"/>
      <c r="AP136" s="459"/>
      <c r="AQ136" s="459"/>
      <c r="AR136" s="460"/>
      <c r="AS136" s="316"/>
      <c r="AT136" s="458"/>
      <c r="AU136" s="459"/>
      <c r="AV136" s="459"/>
      <c r="AW136" s="459"/>
      <c r="AX136" s="459"/>
      <c r="AY136" s="460"/>
    </row>
    <row r="137" spans="1:51" ht="15" hidden="1" outlineLevel="1" x14ac:dyDescent="0.25">
      <c r="A137" s="295">
        <f t="shared" si="49"/>
        <v>2030</v>
      </c>
      <c r="B137" s="295">
        <f t="shared" si="50"/>
        <v>12</v>
      </c>
      <c r="C137" s="305">
        <f t="shared" si="31"/>
        <v>47818</v>
      </c>
      <c r="E137" s="310">
        <v>1155027</v>
      </c>
      <c r="F137" s="309">
        <v>755607</v>
      </c>
      <c r="G137" s="309">
        <v>73072</v>
      </c>
      <c r="H137" s="309">
        <v>4642</v>
      </c>
      <c r="I137" s="309">
        <v>837</v>
      </c>
      <c r="J137" s="309">
        <f t="shared" si="40"/>
        <v>1989185</v>
      </c>
      <c r="K137" s="309">
        <f t="shared" si="41"/>
        <v>168282</v>
      </c>
      <c r="L137" s="309">
        <f t="shared" si="42"/>
        <v>2157467</v>
      </c>
      <c r="M137" s="309">
        <v>1718</v>
      </c>
      <c r="N137" s="309">
        <f t="shared" si="32"/>
        <v>145</v>
      </c>
      <c r="O137" s="311">
        <f t="shared" si="33"/>
        <v>2159330</v>
      </c>
      <c r="P137" s="309"/>
      <c r="Q137" s="310">
        <v>1316733.1421715927</v>
      </c>
      <c r="R137" s="309">
        <v>862095.89928155183</v>
      </c>
      <c r="S137" s="309">
        <v>79357</v>
      </c>
      <c r="T137" s="309">
        <f t="shared" si="43"/>
        <v>6037</v>
      </c>
      <c r="U137" s="309">
        <f t="shared" si="43"/>
        <v>837</v>
      </c>
      <c r="V137" s="309">
        <f t="shared" si="44"/>
        <v>2265060.0414531445</v>
      </c>
      <c r="W137" s="309">
        <f t="shared" si="45"/>
        <v>191620.95854685549</v>
      </c>
      <c r="X137" s="309">
        <f t="shared" si="46"/>
        <v>2456681</v>
      </c>
      <c r="Y137" s="309">
        <f t="shared" si="47"/>
        <v>1718</v>
      </c>
      <c r="Z137" s="309">
        <f t="shared" si="34"/>
        <v>145</v>
      </c>
      <c r="AA137" s="311">
        <f t="shared" si="48"/>
        <v>2458544</v>
      </c>
      <c r="AC137" s="310">
        <v>1402722</v>
      </c>
      <c r="AD137" s="309">
        <v>888746</v>
      </c>
      <c r="AE137" s="309">
        <v>79357</v>
      </c>
      <c r="AF137" s="309">
        <v>6037</v>
      </c>
      <c r="AG137" s="309">
        <v>837</v>
      </c>
      <c r="AH137" s="309">
        <f t="shared" si="35"/>
        <v>2377699</v>
      </c>
      <c r="AI137" s="309">
        <f t="shared" si="36"/>
        <v>201150</v>
      </c>
      <c r="AJ137" s="309">
        <f t="shared" si="37"/>
        <v>2578849</v>
      </c>
      <c r="AK137" s="309">
        <v>1718</v>
      </c>
      <c r="AL137" s="309">
        <f t="shared" si="38"/>
        <v>145</v>
      </c>
      <c r="AM137" s="311">
        <f t="shared" si="39"/>
        <v>2580712</v>
      </c>
      <c r="AO137" s="458"/>
      <c r="AP137" s="459"/>
      <c r="AQ137" s="459"/>
      <c r="AR137" s="460"/>
      <c r="AS137" s="316"/>
      <c r="AT137" s="458"/>
      <c r="AU137" s="459"/>
      <c r="AV137" s="459"/>
      <c r="AW137" s="459"/>
      <c r="AX137" s="459"/>
      <c r="AY137" s="460"/>
    </row>
    <row r="138" spans="1:51" ht="15" hidden="1" outlineLevel="1" x14ac:dyDescent="0.25">
      <c r="A138" s="295">
        <f t="shared" si="49"/>
        <v>2031</v>
      </c>
      <c r="B138" s="295">
        <f t="shared" si="50"/>
        <v>1</v>
      </c>
      <c r="C138" s="305">
        <f t="shared" si="31"/>
        <v>47849</v>
      </c>
      <c r="E138" s="310">
        <v>1188089</v>
      </c>
      <c r="F138" s="309">
        <v>766262</v>
      </c>
      <c r="G138" s="309">
        <v>69745</v>
      </c>
      <c r="H138" s="309">
        <v>5029</v>
      </c>
      <c r="I138" s="309">
        <v>969</v>
      </c>
      <c r="J138" s="309">
        <f t="shared" si="40"/>
        <v>2030094</v>
      </c>
      <c r="K138" s="309">
        <f t="shared" si="41"/>
        <v>171743</v>
      </c>
      <c r="L138" s="309">
        <f t="shared" si="42"/>
        <v>2201837</v>
      </c>
      <c r="M138" s="309">
        <v>2325</v>
      </c>
      <c r="N138" s="309">
        <f t="shared" si="32"/>
        <v>197</v>
      </c>
      <c r="O138" s="311">
        <f t="shared" si="33"/>
        <v>2204359</v>
      </c>
      <c r="P138" s="309"/>
      <c r="Q138" s="310">
        <v>1334044.4341271278</v>
      </c>
      <c r="R138" s="309">
        <v>872761.38628445438</v>
      </c>
      <c r="S138" s="309">
        <v>76106</v>
      </c>
      <c r="T138" s="309">
        <f t="shared" si="43"/>
        <v>6452</v>
      </c>
      <c r="U138" s="309">
        <f t="shared" si="43"/>
        <v>969</v>
      </c>
      <c r="V138" s="309">
        <f t="shared" si="44"/>
        <v>2290332.820411582</v>
      </c>
      <c r="W138" s="309">
        <f t="shared" si="45"/>
        <v>193759.17958841799</v>
      </c>
      <c r="X138" s="309">
        <f t="shared" si="46"/>
        <v>2484092</v>
      </c>
      <c r="Y138" s="309">
        <f t="shared" si="47"/>
        <v>2325</v>
      </c>
      <c r="Z138" s="309">
        <f t="shared" si="34"/>
        <v>197</v>
      </c>
      <c r="AA138" s="311">
        <f t="shared" si="48"/>
        <v>2486614</v>
      </c>
      <c r="AC138" s="310">
        <v>1407207</v>
      </c>
      <c r="AD138" s="309">
        <v>897813</v>
      </c>
      <c r="AE138" s="309">
        <v>76106</v>
      </c>
      <c r="AF138" s="309">
        <v>6452</v>
      </c>
      <c r="AG138" s="309">
        <v>969</v>
      </c>
      <c r="AH138" s="309">
        <f t="shared" si="35"/>
        <v>2388547</v>
      </c>
      <c r="AI138" s="309">
        <f t="shared" si="36"/>
        <v>202068</v>
      </c>
      <c r="AJ138" s="309">
        <f t="shared" si="37"/>
        <v>2590615</v>
      </c>
      <c r="AK138" s="309">
        <v>2325</v>
      </c>
      <c r="AL138" s="309">
        <f t="shared" si="38"/>
        <v>197</v>
      </c>
      <c r="AM138" s="311">
        <f t="shared" si="39"/>
        <v>2593137</v>
      </c>
      <c r="AO138" s="458"/>
      <c r="AP138" s="459"/>
      <c r="AQ138" s="459"/>
      <c r="AR138" s="460"/>
      <c r="AS138" s="316"/>
      <c r="AT138" s="458"/>
      <c r="AU138" s="459"/>
      <c r="AV138" s="459"/>
      <c r="AW138" s="459"/>
      <c r="AX138" s="459"/>
      <c r="AY138" s="460"/>
    </row>
    <row r="139" spans="1:51" ht="15" hidden="1" outlineLevel="1" x14ac:dyDescent="0.25">
      <c r="A139" s="295">
        <f t="shared" si="49"/>
        <v>2031</v>
      </c>
      <c r="B139" s="295">
        <f t="shared" si="50"/>
        <v>2</v>
      </c>
      <c r="C139" s="305">
        <f t="shared" si="31"/>
        <v>47880</v>
      </c>
      <c r="E139" s="310">
        <v>1037249</v>
      </c>
      <c r="F139" s="309">
        <v>714359</v>
      </c>
      <c r="G139" s="309">
        <v>69847</v>
      </c>
      <c r="H139" s="309">
        <v>4863</v>
      </c>
      <c r="I139" s="309">
        <v>852</v>
      </c>
      <c r="J139" s="309">
        <f t="shared" si="40"/>
        <v>1827170</v>
      </c>
      <c r="K139" s="309">
        <f t="shared" si="41"/>
        <v>154577</v>
      </c>
      <c r="L139" s="309">
        <f>ROUNDUP(J139/(1-0.078), 0)</f>
        <v>1981747</v>
      </c>
      <c r="M139" s="309">
        <v>2433</v>
      </c>
      <c r="N139" s="309">
        <f t="shared" si="32"/>
        <v>206</v>
      </c>
      <c r="O139" s="311">
        <f t="shared" si="33"/>
        <v>1984386</v>
      </c>
      <c r="P139" s="309"/>
      <c r="Q139" s="310">
        <v>1153184.3336731573</v>
      </c>
      <c r="R139" s="309">
        <v>805574.05842531356</v>
      </c>
      <c r="S139" s="309">
        <v>75501</v>
      </c>
      <c r="T139" s="309">
        <f t="shared" si="43"/>
        <v>5957</v>
      </c>
      <c r="U139" s="309">
        <f t="shared" si="43"/>
        <v>852</v>
      </c>
      <c r="V139" s="309">
        <f t="shared" si="44"/>
        <v>2041068.3920984708</v>
      </c>
      <c r="W139" s="309">
        <f t="shared" si="45"/>
        <v>172671.60790152918</v>
      </c>
      <c r="X139" s="309">
        <f t="shared" si="46"/>
        <v>2213740</v>
      </c>
      <c r="Y139" s="309">
        <f t="shared" si="47"/>
        <v>2433</v>
      </c>
      <c r="Z139" s="309">
        <f t="shared" si="34"/>
        <v>206</v>
      </c>
      <c r="AA139" s="311">
        <f t="shared" si="48"/>
        <v>2216379</v>
      </c>
      <c r="AC139" s="310">
        <v>1211997</v>
      </c>
      <c r="AD139" s="309">
        <v>825372</v>
      </c>
      <c r="AE139" s="309">
        <v>75501</v>
      </c>
      <c r="AF139" s="309">
        <v>5957</v>
      </c>
      <c r="AG139" s="309">
        <v>852</v>
      </c>
      <c r="AH139" s="309">
        <f t="shared" si="35"/>
        <v>2119679</v>
      </c>
      <c r="AI139" s="309">
        <f t="shared" si="36"/>
        <v>179322</v>
      </c>
      <c r="AJ139" s="309">
        <f t="shared" si="37"/>
        <v>2299001</v>
      </c>
      <c r="AK139" s="309">
        <v>2433</v>
      </c>
      <c r="AL139" s="309">
        <f t="shared" si="38"/>
        <v>206</v>
      </c>
      <c r="AM139" s="311">
        <f t="shared" si="39"/>
        <v>2301640</v>
      </c>
      <c r="AO139" s="458"/>
      <c r="AP139" s="459"/>
      <c r="AQ139" s="459"/>
      <c r="AR139" s="460"/>
      <c r="AS139" s="316"/>
      <c r="AT139" s="458"/>
      <c r="AU139" s="459"/>
      <c r="AV139" s="459"/>
      <c r="AW139" s="459"/>
      <c r="AX139" s="459"/>
      <c r="AY139" s="460"/>
    </row>
    <row r="140" spans="1:51" ht="15" hidden="1" outlineLevel="1" x14ac:dyDescent="0.25">
      <c r="A140" s="295">
        <f t="shared" si="49"/>
        <v>2031</v>
      </c>
      <c r="B140" s="295">
        <f t="shared" si="50"/>
        <v>3</v>
      </c>
      <c r="C140" s="305">
        <f t="shared" si="31"/>
        <v>47908</v>
      </c>
      <c r="E140" s="310">
        <v>1027693</v>
      </c>
      <c r="F140" s="309">
        <v>744546</v>
      </c>
      <c r="G140" s="309">
        <v>76873</v>
      </c>
      <c r="H140" s="309">
        <v>4351</v>
      </c>
      <c r="I140" s="309">
        <v>759</v>
      </c>
      <c r="J140" s="309">
        <f t="shared" si="40"/>
        <v>1854222</v>
      </c>
      <c r="K140" s="309">
        <f t="shared" si="41"/>
        <v>156865</v>
      </c>
      <c r="L140" s="309">
        <f t="shared" si="42"/>
        <v>2011087</v>
      </c>
      <c r="M140" s="309">
        <v>2339</v>
      </c>
      <c r="N140" s="309">
        <f t="shared" si="32"/>
        <v>198</v>
      </c>
      <c r="O140" s="311">
        <f t="shared" si="33"/>
        <v>2013624</v>
      </c>
      <c r="P140" s="309"/>
      <c r="Q140" s="310">
        <v>1145044.5827302914</v>
      </c>
      <c r="R140" s="309">
        <v>854566.60138968227</v>
      </c>
      <c r="S140" s="309">
        <v>83428</v>
      </c>
      <c r="T140" s="309">
        <f t="shared" si="43"/>
        <v>5514</v>
      </c>
      <c r="U140" s="309">
        <f t="shared" si="43"/>
        <v>759</v>
      </c>
      <c r="V140" s="309">
        <f t="shared" si="44"/>
        <v>2089312.1841199738</v>
      </c>
      <c r="W140" s="309">
        <f t="shared" si="45"/>
        <v>176752.8158800262</v>
      </c>
      <c r="X140" s="309">
        <f t="shared" si="46"/>
        <v>2266065</v>
      </c>
      <c r="Y140" s="309">
        <f t="shared" si="47"/>
        <v>2339</v>
      </c>
      <c r="Z140" s="309">
        <f t="shared" si="34"/>
        <v>198</v>
      </c>
      <c r="AA140" s="311">
        <f t="shared" si="48"/>
        <v>2268602</v>
      </c>
      <c r="AC140" s="310">
        <v>1203149</v>
      </c>
      <c r="AD140" s="309">
        <v>877924</v>
      </c>
      <c r="AE140" s="309">
        <v>83428</v>
      </c>
      <c r="AF140" s="309">
        <v>5514</v>
      </c>
      <c r="AG140" s="309">
        <v>759</v>
      </c>
      <c r="AH140" s="309">
        <f t="shared" si="35"/>
        <v>2170774</v>
      </c>
      <c r="AI140" s="309">
        <f t="shared" si="36"/>
        <v>183645</v>
      </c>
      <c r="AJ140" s="309">
        <f t="shared" si="37"/>
        <v>2354419</v>
      </c>
      <c r="AK140" s="309">
        <v>2339</v>
      </c>
      <c r="AL140" s="309">
        <f t="shared" si="38"/>
        <v>198</v>
      </c>
      <c r="AM140" s="311">
        <f t="shared" si="39"/>
        <v>2356956</v>
      </c>
      <c r="AO140" s="458"/>
      <c r="AP140" s="459"/>
      <c r="AQ140" s="459"/>
      <c r="AR140" s="460"/>
      <c r="AS140" s="316"/>
      <c r="AT140" s="458"/>
      <c r="AU140" s="459"/>
      <c r="AV140" s="459"/>
      <c r="AW140" s="459"/>
      <c r="AX140" s="459"/>
      <c r="AY140" s="460"/>
    </row>
    <row r="141" spans="1:51" ht="15" hidden="1" outlineLevel="1" x14ac:dyDescent="0.25">
      <c r="A141" s="295">
        <f t="shared" si="49"/>
        <v>2031</v>
      </c>
      <c r="B141" s="295">
        <f t="shared" si="50"/>
        <v>4</v>
      </c>
      <c r="C141" s="305">
        <f t="shared" si="31"/>
        <v>47939</v>
      </c>
      <c r="E141" s="310">
        <v>933171</v>
      </c>
      <c r="F141" s="309">
        <v>735603</v>
      </c>
      <c r="G141" s="309">
        <v>78388</v>
      </c>
      <c r="H141" s="309">
        <v>4852</v>
      </c>
      <c r="I141" s="309">
        <v>625</v>
      </c>
      <c r="J141" s="309">
        <f t="shared" si="40"/>
        <v>1752639</v>
      </c>
      <c r="K141" s="309">
        <f t="shared" si="41"/>
        <v>148271</v>
      </c>
      <c r="L141" s="309">
        <f t="shared" si="42"/>
        <v>1900910</v>
      </c>
      <c r="M141" s="309">
        <v>2172</v>
      </c>
      <c r="N141" s="309">
        <f t="shared" si="32"/>
        <v>184</v>
      </c>
      <c r="O141" s="311">
        <f t="shared" si="33"/>
        <v>1903266</v>
      </c>
      <c r="P141" s="309"/>
      <c r="Q141" s="310">
        <v>1036023.0291429082</v>
      </c>
      <c r="R141" s="309">
        <v>837594.14707771502</v>
      </c>
      <c r="S141" s="309">
        <v>84583</v>
      </c>
      <c r="T141" s="309">
        <f t="shared" si="43"/>
        <v>5842</v>
      </c>
      <c r="U141" s="309">
        <f t="shared" si="43"/>
        <v>625</v>
      </c>
      <c r="V141" s="309">
        <f t="shared" si="44"/>
        <v>1964667.1762206233</v>
      </c>
      <c r="W141" s="309">
        <f t="shared" si="45"/>
        <v>166207.82377937669</v>
      </c>
      <c r="X141" s="309">
        <f t="shared" si="46"/>
        <v>2130875</v>
      </c>
      <c r="Y141" s="309">
        <f t="shared" si="47"/>
        <v>2172</v>
      </c>
      <c r="Z141" s="309">
        <f t="shared" si="34"/>
        <v>184</v>
      </c>
      <c r="AA141" s="311">
        <f t="shared" si="48"/>
        <v>2133231</v>
      </c>
      <c r="AC141" s="310">
        <v>1085047</v>
      </c>
      <c r="AD141" s="309">
        <v>859795</v>
      </c>
      <c r="AE141" s="309">
        <v>84583</v>
      </c>
      <c r="AF141" s="309">
        <v>5842</v>
      </c>
      <c r="AG141" s="309">
        <v>625</v>
      </c>
      <c r="AH141" s="309">
        <f t="shared" si="35"/>
        <v>2035892</v>
      </c>
      <c r="AI141" s="309">
        <f t="shared" si="36"/>
        <v>172234</v>
      </c>
      <c r="AJ141" s="309">
        <f t="shared" si="37"/>
        <v>2208126</v>
      </c>
      <c r="AK141" s="309">
        <v>2172</v>
      </c>
      <c r="AL141" s="309">
        <f t="shared" si="38"/>
        <v>184</v>
      </c>
      <c r="AM141" s="311">
        <f t="shared" si="39"/>
        <v>2210482</v>
      </c>
      <c r="AO141" s="458"/>
      <c r="AP141" s="459"/>
      <c r="AQ141" s="459"/>
      <c r="AR141" s="460"/>
      <c r="AS141" s="316"/>
      <c r="AT141" s="458"/>
      <c r="AU141" s="459"/>
      <c r="AV141" s="459"/>
      <c r="AW141" s="459"/>
      <c r="AX141" s="459"/>
      <c r="AY141" s="460"/>
    </row>
    <row r="142" spans="1:51" ht="15" hidden="1" outlineLevel="1" x14ac:dyDescent="0.25">
      <c r="A142" s="295">
        <f t="shared" si="49"/>
        <v>2031</v>
      </c>
      <c r="B142" s="295">
        <f t="shared" si="50"/>
        <v>5</v>
      </c>
      <c r="C142" s="305">
        <f t="shared" si="31"/>
        <v>47969</v>
      </c>
      <c r="E142" s="310">
        <v>801862</v>
      </c>
      <c r="F142" s="309">
        <v>677966</v>
      </c>
      <c r="G142" s="309">
        <v>73389</v>
      </c>
      <c r="H142" s="309">
        <v>4711</v>
      </c>
      <c r="I142" s="309">
        <v>433</v>
      </c>
      <c r="J142" s="309">
        <f t="shared" si="40"/>
        <v>1558361</v>
      </c>
      <c r="K142" s="309">
        <f t="shared" si="41"/>
        <v>131835</v>
      </c>
      <c r="L142" s="309">
        <f t="shared" si="42"/>
        <v>1690196</v>
      </c>
      <c r="M142" s="309">
        <v>2174</v>
      </c>
      <c r="N142" s="309">
        <f t="shared" si="32"/>
        <v>184</v>
      </c>
      <c r="O142" s="311">
        <f t="shared" si="33"/>
        <v>1692554</v>
      </c>
      <c r="P142" s="309"/>
      <c r="Q142" s="310">
        <v>874747.83034755522</v>
      </c>
      <c r="R142" s="309">
        <v>791598.18767553649</v>
      </c>
      <c r="S142" s="309">
        <v>79856</v>
      </c>
      <c r="T142" s="309">
        <f t="shared" si="43"/>
        <v>5595</v>
      </c>
      <c r="U142" s="309">
        <f t="shared" si="43"/>
        <v>433</v>
      </c>
      <c r="V142" s="309">
        <f t="shared" si="44"/>
        <v>1752230.0180230918</v>
      </c>
      <c r="W142" s="309">
        <f t="shared" si="45"/>
        <v>148235.98197690817</v>
      </c>
      <c r="X142" s="309">
        <f t="shared" si="46"/>
        <v>1900466</v>
      </c>
      <c r="Y142" s="309">
        <f t="shared" si="47"/>
        <v>2174</v>
      </c>
      <c r="Z142" s="309">
        <f t="shared" si="34"/>
        <v>184</v>
      </c>
      <c r="AA142" s="311">
        <f t="shared" si="48"/>
        <v>1902824</v>
      </c>
      <c r="AC142" s="310">
        <v>921841</v>
      </c>
      <c r="AD142" s="309">
        <v>814436</v>
      </c>
      <c r="AE142" s="309">
        <v>79856</v>
      </c>
      <c r="AF142" s="309">
        <v>5595</v>
      </c>
      <c r="AG142" s="309">
        <v>433</v>
      </c>
      <c r="AH142" s="309">
        <f t="shared" si="35"/>
        <v>1822161</v>
      </c>
      <c r="AI142" s="309">
        <f t="shared" si="36"/>
        <v>154152</v>
      </c>
      <c r="AJ142" s="309">
        <f t="shared" si="37"/>
        <v>1976313</v>
      </c>
      <c r="AK142" s="309">
        <v>2174</v>
      </c>
      <c r="AL142" s="309">
        <f t="shared" si="38"/>
        <v>184</v>
      </c>
      <c r="AM142" s="311">
        <f t="shared" si="39"/>
        <v>1978671</v>
      </c>
      <c r="AO142" s="458"/>
      <c r="AP142" s="459"/>
      <c r="AQ142" s="459"/>
      <c r="AR142" s="460"/>
      <c r="AS142" s="316"/>
      <c r="AT142" s="458"/>
      <c r="AU142" s="459"/>
      <c r="AV142" s="459"/>
      <c r="AW142" s="459"/>
      <c r="AX142" s="459"/>
      <c r="AY142" s="460"/>
    </row>
    <row r="143" spans="1:51" ht="15" hidden="1" outlineLevel="1" x14ac:dyDescent="0.25">
      <c r="A143" s="295">
        <f t="shared" si="49"/>
        <v>2031</v>
      </c>
      <c r="B143" s="295">
        <f t="shared" si="50"/>
        <v>6</v>
      </c>
      <c r="C143" s="305">
        <f t="shared" si="31"/>
        <v>48000</v>
      </c>
      <c r="E143" s="310">
        <v>773243</v>
      </c>
      <c r="F143" s="309">
        <v>704142</v>
      </c>
      <c r="G143" s="309">
        <v>74938</v>
      </c>
      <c r="H143" s="309">
        <v>4641</v>
      </c>
      <c r="I143" s="309">
        <v>316</v>
      </c>
      <c r="J143" s="309">
        <f t="shared" si="40"/>
        <v>1557280</v>
      </c>
      <c r="K143" s="309">
        <f t="shared" si="41"/>
        <v>131744</v>
      </c>
      <c r="L143" s="309">
        <f t="shared" si="42"/>
        <v>1689024</v>
      </c>
      <c r="M143" s="309">
        <v>1787</v>
      </c>
      <c r="N143" s="309">
        <f t="shared" si="32"/>
        <v>151</v>
      </c>
      <c r="O143" s="311">
        <f t="shared" si="33"/>
        <v>1690962</v>
      </c>
      <c r="P143" s="309"/>
      <c r="Q143" s="310">
        <v>826360.56584372139</v>
      </c>
      <c r="R143" s="309">
        <v>812569.08428543876</v>
      </c>
      <c r="S143" s="309">
        <v>81359</v>
      </c>
      <c r="T143" s="309">
        <f t="shared" si="43"/>
        <v>5390</v>
      </c>
      <c r="U143" s="309">
        <f t="shared" si="43"/>
        <v>316</v>
      </c>
      <c r="V143" s="309">
        <f t="shared" si="44"/>
        <v>1725994.6501291601</v>
      </c>
      <c r="W143" s="309">
        <f t="shared" si="45"/>
        <v>146017.34987083985</v>
      </c>
      <c r="X143" s="309">
        <f t="shared" si="46"/>
        <v>1872012</v>
      </c>
      <c r="Y143" s="309">
        <f t="shared" si="47"/>
        <v>1787</v>
      </c>
      <c r="Z143" s="309">
        <f t="shared" si="34"/>
        <v>151</v>
      </c>
      <c r="AA143" s="311">
        <f t="shared" si="48"/>
        <v>1873950</v>
      </c>
      <c r="AC143" s="310">
        <v>865402</v>
      </c>
      <c r="AD143" s="309">
        <v>834845</v>
      </c>
      <c r="AE143" s="309">
        <v>81359</v>
      </c>
      <c r="AF143" s="309">
        <v>5390</v>
      </c>
      <c r="AG143" s="309">
        <v>316</v>
      </c>
      <c r="AH143" s="309">
        <f t="shared" si="35"/>
        <v>1787312</v>
      </c>
      <c r="AI143" s="309">
        <f t="shared" si="36"/>
        <v>151204</v>
      </c>
      <c r="AJ143" s="309">
        <f t="shared" si="37"/>
        <v>1938516</v>
      </c>
      <c r="AK143" s="309">
        <v>1787</v>
      </c>
      <c r="AL143" s="309">
        <f t="shared" si="38"/>
        <v>151</v>
      </c>
      <c r="AM143" s="311">
        <f t="shared" si="39"/>
        <v>1940454</v>
      </c>
      <c r="AO143" s="458"/>
      <c r="AP143" s="459"/>
      <c r="AQ143" s="459"/>
      <c r="AR143" s="460"/>
      <c r="AS143" s="316"/>
      <c r="AT143" s="458"/>
      <c r="AU143" s="459"/>
      <c r="AV143" s="459"/>
      <c r="AW143" s="459"/>
      <c r="AX143" s="459"/>
      <c r="AY143" s="460"/>
    </row>
    <row r="144" spans="1:51" ht="15" hidden="1" outlineLevel="1" x14ac:dyDescent="0.25">
      <c r="A144" s="295">
        <f t="shared" si="49"/>
        <v>2031</v>
      </c>
      <c r="B144" s="295">
        <f t="shared" si="50"/>
        <v>7</v>
      </c>
      <c r="C144" s="305">
        <f t="shared" si="31"/>
        <v>48030</v>
      </c>
      <c r="E144" s="310">
        <v>820785</v>
      </c>
      <c r="F144" s="309">
        <v>733346</v>
      </c>
      <c r="G144" s="309">
        <v>82156</v>
      </c>
      <c r="H144" s="309">
        <v>4337</v>
      </c>
      <c r="I144" s="309">
        <v>288</v>
      </c>
      <c r="J144" s="309">
        <f t="shared" si="40"/>
        <v>1640912</v>
      </c>
      <c r="K144" s="309">
        <f t="shared" si="41"/>
        <v>138819</v>
      </c>
      <c r="L144" s="309">
        <f t="shared" si="42"/>
        <v>1779731</v>
      </c>
      <c r="M144" s="309">
        <v>2889</v>
      </c>
      <c r="N144" s="309">
        <f t="shared" si="32"/>
        <v>244</v>
      </c>
      <c r="O144" s="311">
        <f t="shared" si="33"/>
        <v>1782864</v>
      </c>
      <c r="P144" s="309"/>
      <c r="Q144" s="310">
        <v>875687.25137127785</v>
      </c>
      <c r="R144" s="309">
        <v>850797.47718396806</v>
      </c>
      <c r="S144" s="309">
        <v>88796</v>
      </c>
      <c r="T144" s="309">
        <f t="shared" si="43"/>
        <v>5226</v>
      </c>
      <c r="U144" s="309">
        <f t="shared" si="43"/>
        <v>288</v>
      </c>
      <c r="V144" s="309">
        <f t="shared" si="44"/>
        <v>1820794.7285552458</v>
      </c>
      <c r="W144" s="309">
        <f t="shared" si="45"/>
        <v>154037.27144475421</v>
      </c>
      <c r="X144" s="309">
        <f t="shared" si="46"/>
        <v>1974832</v>
      </c>
      <c r="Y144" s="309">
        <f t="shared" si="47"/>
        <v>2889</v>
      </c>
      <c r="Z144" s="309">
        <f t="shared" si="34"/>
        <v>244</v>
      </c>
      <c r="AA144" s="311">
        <f t="shared" si="48"/>
        <v>1977965</v>
      </c>
      <c r="AC144" s="310">
        <v>920352</v>
      </c>
      <c r="AD144" s="309">
        <v>875755</v>
      </c>
      <c r="AE144" s="309">
        <v>88796</v>
      </c>
      <c r="AF144" s="309">
        <v>5226</v>
      </c>
      <c r="AG144" s="309">
        <v>288</v>
      </c>
      <c r="AH144" s="309">
        <f t="shared" si="35"/>
        <v>1890417</v>
      </c>
      <c r="AI144" s="309">
        <f t="shared" si="36"/>
        <v>159927</v>
      </c>
      <c r="AJ144" s="309">
        <f t="shared" si="37"/>
        <v>2050344</v>
      </c>
      <c r="AK144" s="309">
        <v>2889</v>
      </c>
      <c r="AL144" s="309">
        <f t="shared" si="38"/>
        <v>244</v>
      </c>
      <c r="AM144" s="311">
        <f t="shared" si="39"/>
        <v>2053477</v>
      </c>
      <c r="AO144" s="458"/>
      <c r="AP144" s="459"/>
      <c r="AQ144" s="459"/>
      <c r="AR144" s="460"/>
      <c r="AS144" s="316"/>
      <c r="AT144" s="458"/>
      <c r="AU144" s="459"/>
      <c r="AV144" s="459"/>
      <c r="AW144" s="459"/>
      <c r="AX144" s="459"/>
      <c r="AY144" s="460"/>
    </row>
    <row r="145" spans="1:51" ht="15" hidden="1" outlineLevel="1" x14ac:dyDescent="0.25">
      <c r="A145" s="295">
        <f t="shared" si="49"/>
        <v>2031</v>
      </c>
      <c r="B145" s="295">
        <f t="shared" si="50"/>
        <v>8</v>
      </c>
      <c r="C145" s="305">
        <f t="shared" si="31"/>
        <v>48061</v>
      </c>
      <c r="E145" s="310">
        <v>835148</v>
      </c>
      <c r="F145" s="309">
        <v>734747</v>
      </c>
      <c r="G145" s="309">
        <v>82910</v>
      </c>
      <c r="H145" s="309">
        <v>4594</v>
      </c>
      <c r="I145" s="309">
        <v>280</v>
      </c>
      <c r="J145" s="309">
        <f t="shared" si="40"/>
        <v>1657679</v>
      </c>
      <c r="K145" s="309">
        <f t="shared" si="41"/>
        <v>140237</v>
      </c>
      <c r="L145" s="309">
        <f t="shared" si="42"/>
        <v>1797916</v>
      </c>
      <c r="M145" s="309">
        <v>1634</v>
      </c>
      <c r="N145" s="309">
        <f t="shared" si="32"/>
        <v>138</v>
      </c>
      <c r="O145" s="311">
        <f t="shared" si="33"/>
        <v>1799688</v>
      </c>
      <c r="P145" s="309"/>
      <c r="Q145" s="310">
        <v>891155.89780985506</v>
      </c>
      <c r="R145" s="309">
        <v>853773.43895152619</v>
      </c>
      <c r="S145" s="309">
        <v>89936</v>
      </c>
      <c r="T145" s="309">
        <f t="shared" si="43"/>
        <v>5625</v>
      </c>
      <c r="U145" s="309">
        <f t="shared" si="43"/>
        <v>280</v>
      </c>
      <c r="V145" s="309">
        <f t="shared" si="44"/>
        <v>1840770.3367613812</v>
      </c>
      <c r="W145" s="309">
        <f t="shared" si="45"/>
        <v>155726.66323861876</v>
      </c>
      <c r="X145" s="309">
        <f t="shared" si="46"/>
        <v>1996497</v>
      </c>
      <c r="Y145" s="309">
        <f t="shared" si="47"/>
        <v>1634</v>
      </c>
      <c r="Z145" s="309">
        <f t="shared" si="34"/>
        <v>138</v>
      </c>
      <c r="AA145" s="311">
        <f t="shared" si="48"/>
        <v>1998269</v>
      </c>
      <c r="AC145" s="310">
        <v>934852</v>
      </c>
      <c r="AD145" s="309">
        <v>878927</v>
      </c>
      <c r="AE145" s="309">
        <v>89936</v>
      </c>
      <c r="AF145" s="309">
        <v>5625</v>
      </c>
      <c r="AG145" s="309">
        <v>280</v>
      </c>
      <c r="AH145" s="309">
        <f t="shared" si="35"/>
        <v>1909620</v>
      </c>
      <c r="AI145" s="309">
        <f t="shared" si="36"/>
        <v>161551</v>
      </c>
      <c r="AJ145" s="309">
        <f t="shared" si="37"/>
        <v>2071171</v>
      </c>
      <c r="AK145" s="309">
        <v>1634</v>
      </c>
      <c r="AL145" s="309">
        <f t="shared" si="38"/>
        <v>138</v>
      </c>
      <c r="AM145" s="311">
        <f t="shared" si="39"/>
        <v>2072943</v>
      </c>
      <c r="AO145" s="458"/>
      <c r="AP145" s="459"/>
      <c r="AQ145" s="459"/>
      <c r="AR145" s="460"/>
      <c r="AS145" s="316"/>
      <c r="AT145" s="458"/>
      <c r="AU145" s="459"/>
      <c r="AV145" s="459"/>
      <c r="AW145" s="459"/>
      <c r="AX145" s="459"/>
      <c r="AY145" s="460"/>
    </row>
    <row r="146" spans="1:51" ht="15" hidden="1" outlineLevel="1" x14ac:dyDescent="0.25">
      <c r="A146" s="295">
        <f t="shared" si="49"/>
        <v>2031</v>
      </c>
      <c r="B146" s="295">
        <f t="shared" si="50"/>
        <v>9</v>
      </c>
      <c r="C146" s="305">
        <f t="shared" si="31"/>
        <v>48092</v>
      </c>
      <c r="E146" s="310">
        <v>765823</v>
      </c>
      <c r="F146" s="309">
        <v>696076</v>
      </c>
      <c r="G146" s="309">
        <v>79523</v>
      </c>
      <c r="H146" s="309">
        <v>4870</v>
      </c>
      <c r="I146" s="309">
        <v>354</v>
      </c>
      <c r="J146" s="309">
        <f t="shared" si="40"/>
        <v>1546646</v>
      </c>
      <c r="K146" s="309">
        <f t="shared" si="41"/>
        <v>130845</v>
      </c>
      <c r="L146" s="309">
        <f>ROUNDUP(J146/(1-0.078), 0)</f>
        <v>1677491</v>
      </c>
      <c r="M146" s="309">
        <v>1428</v>
      </c>
      <c r="N146" s="309">
        <f t="shared" si="32"/>
        <v>121</v>
      </c>
      <c r="O146" s="311">
        <f t="shared" si="33"/>
        <v>1679040</v>
      </c>
      <c r="P146" s="309"/>
      <c r="Q146" s="310">
        <v>828537.62238076585</v>
      </c>
      <c r="R146" s="309">
        <v>809974.84228819818</v>
      </c>
      <c r="S146" s="309">
        <v>86174</v>
      </c>
      <c r="T146" s="309">
        <f t="shared" si="43"/>
        <v>5914</v>
      </c>
      <c r="U146" s="309">
        <f t="shared" si="43"/>
        <v>354</v>
      </c>
      <c r="V146" s="309">
        <f t="shared" si="44"/>
        <v>1730954.464668964</v>
      </c>
      <c r="W146" s="309">
        <f t="shared" si="45"/>
        <v>146436.53533103596</v>
      </c>
      <c r="X146" s="309">
        <f t="shared" si="46"/>
        <v>1877391</v>
      </c>
      <c r="Y146" s="309">
        <f t="shared" si="47"/>
        <v>1428</v>
      </c>
      <c r="Z146" s="309">
        <f t="shared" si="34"/>
        <v>121</v>
      </c>
      <c r="AA146" s="311">
        <f t="shared" si="48"/>
        <v>1878940</v>
      </c>
      <c r="AC146" s="310">
        <v>869350</v>
      </c>
      <c r="AD146" s="309">
        <v>832162</v>
      </c>
      <c r="AE146" s="309">
        <v>86174</v>
      </c>
      <c r="AF146" s="309">
        <v>5914</v>
      </c>
      <c r="AG146" s="309">
        <v>354</v>
      </c>
      <c r="AH146" s="309">
        <f t="shared" si="35"/>
        <v>1793954</v>
      </c>
      <c r="AI146" s="309">
        <f t="shared" si="36"/>
        <v>151766</v>
      </c>
      <c r="AJ146" s="309">
        <f t="shared" si="37"/>
        <v>1945720</v>
      </c>
      <c r="AK146" s="309">
        <v>1428</v>
      </c>
      <c r="AL146" s="309">
        <f t="shared" si="38"/>
        <v>121</v>
      </c>
      <c r="AM146" s="311">
        <f t="shared" si="39"/>
        <v>1947269</v>
      </c>
      <c r="AO146" s="458"/>
      <c r="AP146" s="459"/>
      <c r="AQ146" s="459"/>
      <c r="AR146" s="460"/>
      <c r="AS146" s="316"/>
      <c r="AT146" s="458"/>
      <c r="AU146" s="459"/>
      <c r="AV146" s="459"/>
      <c r="AW146" s="459"/>
      <c r="AX146" s="459"/>
      <c r="AY146" s="460"/>
    </row>
    <row r="147" spans="1:51" ht="15" hidden="1" outlineLevel="1" x14ac:dyDescent="0.25">
      <c r="A147" s="295">
        <f t="shared" si="49"/>
        <v>2031</v>
      </c>
      <c r="B147" s="295">
        <f t="shared" si="50"/>
        <v>10</v>
      </c>
      <c r="C147" s="305">
        <f t="shared" si="31"/>
        <v>48122</v>
      </c>
      <c r="E147" s="310">
        <v>862600</v>
      </c>
      <c r="F147" s="309">
        <v>702021</v>
      </c>
      <c r="G147" s="309">
        <v>75265</v>
      </c>
      <c r="H147" s="309">
        <v>4541</v>
      </c>
      <c r="I147" s="309">
        <v>469</v>
      </c>
      <c r="J147" s="309">
        <f t="shared" si="40"/>
        <v>1644896</v>
      </c>
      <c r="K147" s="309">
        <f t="shared" si="41"/>
        <v>139156</v>
      </c>
      <c r="L147" s="309">
        <f t="shared" si="42"/>
        <v>1784052</v>
      </c>
      <c r="M147" s="309">
        <v>1830</v>
      </c>
      <c r="N147" s="309">
        <f t="shared" si="32"/>
        <v>155</v>
      </c>
      <c r="O147" s="311">
        <f t="shared" si="33"/>
        <v>1786037</v>
      </c>
      <c r="P147" s="309"/>
      <c r="Q147" s="310">
        <v>955249.77414530574</v>
      </c>
      <c r="R147" s="309">
        <v>819040.48782097886</v>
      </c>
      <c r="S147" s="309">
        <v>82315</v>
      </c>
      <c r="T147" s="309">
        <f t="shared" si="43"/>
        <v>5873</v>
      </c>
      <c r="U147" s="309">
        <f t="shared" si="43"/>
        <v>469</v>
      </c>
      <c r="V147" s="309">
        <f t="shared" si="44"/>
        <v>1862947.2619662846</v>
      </c>
      <c r="W147" s="309">
        <f t="shared" si="45"/>
        <v>157602.7380337154</v>
      </c>
      <c r="X147" s="309">
        <f t="shared" si="46"/>
        <v>2020550</v>
      </c>
      <c r="Y147" s="309">
        <f t="shared" si="47"/>
        <v>1830</v>
      </c>
      <c r="Z147" s="309">
        <f t="shared" si="34"/>
        <v>155</v>
      </c>
      <c r="AA147" s="311">
        <f t="shared" si="48"/>
        <v>2022535</v>
      </c>
      <c r="AC147" s="310">
        <v>1009003</v>
      </c>
      <c r="AD147" s="309">
        <v>842170</v>
      </c>
      <c r="AE147" s="309">
        <v>82315</v>
      </c>
      <c r="AF147" s="309">
        <v>5873</v>
      </c>
      <c r="AG147" s="309">
        <v>469</v>
      </c>
      <c r="AH147" s="309">
        <f t="shared" si="35"/>
        <v>1939830</v>
      </c>
      <c r="AI147" s="309">
        <f t="shared" si="36"/>
        <v>164107</v>
      </c>
      <c r="AJ147" s="309">
        <f t="shared" si="37"/>
        <v>2103937</v>
      </c>
      <c r="AK147" s="309">
        <v>1830</v>
      </c>
      <c r="AL147" s="309">
        <f t="shared" si="38"/>
        <v>155</v>
      </c>
      <c r="AM147" s="311">
        <f t="shared" si="39"/>
        <v>2105922</v>
      </c>
      <c r="AO147" s="458"/>
      <c r="AP147" s="459"/>
      <c r="AQ147" s="459"/>
      <c r="AR147" s="460"/>
      <c r="AS147" s="316"/>
      <c r="AT147" s="458"/>
      <c r="AU147" s="459"/>
      <c r="AV147" s="459"/>
      <c r="AW147" s="459"/>
      <c r="AX147" s="459"/>
      <c r="AY147" s="460"/>
    </row>
    <row r="148" spans="1:51" ht="15" hidden="1" outlineLevel="1" x14ac:dyDescent="0.25">
      <c r="A148" s="295">
        <f t="shared" si="49"/>
        <v>2031</v>
      </c>
      <c r="B148" s="295">
        <f t="shared" si="50"/>
        <v>11</v>
      </c>
      <c r="C148" s="305">
        <f t="shared" si="31"/>
        <v>48153</v>
      </c>
      <c r="E148" s="310">
        <v>1071223</v>
      </c>
      <c r="F148" s="309">
        <v>733195</v>
      </c>
      <c r="G148" s="309">
        <v>79504</v>
      </c>
      <c r="H148" s="309">
        <v>5060</v>
      </c>
      <c r="I148" s="309">
        <v>773</v>
      </c>
      <c r="J148" s="309">
        <f t="shared" si="40"/>
        <v>1889755</v>
      </c>
      <c r="K148" s="309">
        <f t="shared" si="41"/>
        <v>159871</v>
      </c>
      <c r="L148" s="309">
        <f>ROUND(J148/(1-0.078), 0)</f>
        <v>2049626</v>
      </c>
      <c r="M148" s="309">
        <v>1832</v>
      </c>
      <c r="N148" s="309">
        <f t="shared" si="32"/>
        <v>155</v>
      </c>
      <c r="O148" s="311">
        <f t="shared" si="33"/>
        <v>2051613</v>
      </c>
      <c r="P148" s="309"/>
      <c r="Q148" s="310">
        <v>1196466.2326255289</v>
      </c>
      <c r="R148" s="309">
        <v>842939.23537033983</v>
      </c>
      <c r="S148" s="309">
        <v>86017</v>
      </c>
      <c r="T148" s="309">
        <f t="shared" si="43"/>
        <v>6528</v>
      </c>
      <c r="U148" s="309">
        <f t="shared" si="43"/>
        <v>773</v>
      </c>
      <c r="V148" s="309">
        <f t="shared" si="44"/>
        <v>2132723.467995869</v>
      </c>
      <c r="W148" s="309">
        <f t="shared" si="45"/>
        <v>180425.532004131</v>
      </c>
      <c r="X148" s="309">
        <f t="shared" si="46"/>
        <v>2313149</v>
      </c>
      <c r="Y148" s="309">
        <f t="shared" si="47"/>
        <v>1832</v>
      </c>
      <c r="Z148" s="309">
        <f t="shared" si="34"/>
        <v>155</v>
      </c>
      <c r="AA148" s="311">
        <f t="shared" si="48"/>
        <v>2315136</v>
      </c>
      <c r="AC148" s="310">
        <v>1265886</v>
      </c>
      <c r="AD148" s="309">
        <v>865433</v>
      </c>
      <c r="AE148" s="309">
        <v>86017</v>
      </c>
      <c r="AF148" s="309">
        <v>6528</v>
      </c>
      <c r="AG148" s="309">
        <v>773</v>
      </c>
      <c r="AH148" s="309">
        <f t="shared" si="35"/>
        <v>2224637</v>
      </c>
      <c r="AI148" s="309">
        <f t="shared" si="36"/>
        <v>188201</v>
      </c>
      <c r="AJ148" s="309">
        <f t="shared" si="37"/>
        <v>2412838</v>
      </c>
      <c r="AK148" s="309">
        <v>1832</v>
      </c>
      <c r="AL148" s="309">
        <f t="shared" si="38"/>
        <v>155</v>
      </c>
      <c r="AM148" s="311">
        <f t="shared" si="39"/>
        <v>2414825</v>
      </c>
      <c r="AO148" s="458"/>
      <c r="AP148" s="459"/>
      <c r="AQ148" s="459"/>
      <c r="AR148" s="460"/>
      <c r="AS148" s="316"/>
      <c r="AT148" s="458"/>
      <c r="AU148" s="459"/>
      <c r="AV148" s="459"/>
      <c r="AW148" s="459"/>
      <c r="AX148" s="459"/>
      <c r="AY148" s="460"/>
    </row>
    <row r="149" spans="1:51" ht="15" hidden="1" outlineLevel="1" x14ac:dyDescent="0.25">
      <c r="A149" s="295">
        <f t="shared" si="49"/>
        <v>2031</v>
      </c>
      <c r="B149" s="295">
        <f t="shared" si="50"/>
        <v>12</v>
      </c>
      <c r="C149" s="305">
        <f t="shared" si="31"/>
        <v>48183</v>
      </c>
      <c r="E149" s="310">
        <v>1148032</v>
      </c>
      <c r="F149" s="309">
        <v>755773</v>
      </c>
      <c r="G149" s="309">
        <v>72123</v>
      </c>
      <c r="H149" s="309">
        <v>4568</v>
      </c>
      <c r="I149" s="309">
        <v>831</v>
      </c>
      <c r="J149" s="309">
        <f t="shared" si="40"/>
        <v>1981327</v>
      </c>
      <c r="K149" s="309">
        <f t="shared" si="41"/>
        <v>167618</v>
      </c>
      <c r="L149" s="309">
        <f t="shared" si="42"/>
        <v>2148945</v>
      </c>
      <c r="M149" s="309">
        <v>1718</v>
      </c>
      <c r="N149" s="309">
        <f t="shared" si="32"/>
        <v>145</v>
      </c>
      <c r="O149" s="311">
        <f t="shared" si="33"/>
        <v>2150808</v>
      </c>
      <c r="P149" s="309"/>
      <c r="Q149" s="310">
        <v>1331235.3331097728</v>
      </c>
      <c r="R149" s="309">
        <v>874926.65474999323</v>
      </c>
      <c r="S149" s="309">
        <v>78950</v>
      </c>
      <c r="T149" s="309">
        <f t="shared" si="43"/>
        <v>6144</v>
      </c>
      <c r="U149" s="309">
        <f t="shared" si="43"/>
        <v>831</v>
      </c>
      <c r="V149" s="309">
        <f t="shared" si="44"/>
        <v>2292086.987859766</v>
      </c>
      <c r="W149" s="309">
        <f t="shared" si="45"/>
        <v>193908.012140234</v>
      </c>
      <c r="X149" s="309">
        <f t="shared" si="46"/>
        <v>2485995</v>
      </c>
      <c r="Y149" s="309">
        <f t="shared" si="47"/>
        <v>1718</v>
      </c>
      <c r="Z149" s="309">
        <f t="shared" si="34"/>
        <v>145</v>
      </c>
      <c r="AA149" s="311">
        <f t="shared" si="48"/>
        <v>2487858</v>
      </c>
      <c r="AC149" s="310">
        <v>1422728</v>
      </c>
      <c r="AD149" s="309">
        <v>903781</v>
      </c>
      <c r="AE149" s="309">
        <v>78950</v>
      </c>
      <c r="AF149" s="309">
        <v>6144</v>
      </c>
      <c r="AG149" s="309">
        <v>831</v>
      </c>
      <c r="AH149" s="309">
        <f t="shared" si="35"/>
        <v>2412434</v>
      </c>
      <c r="AI149" s="309">
        <f t="shared" si="36"/>
        <v>204089</v>
      </c>
      <c r="AJ149" s="309">
        <f t="shared" si="37"/>
        <v>2616523</v>
      </c>
      <c r="AK149" s="309">
        <v>1718</v>
      </c>
      <c r="AL149" s="309">
        <f t="shared" si="38"/>
        <v>145</v>
      </c>
      <c r="AM149" s="311">
        <f t="shared" si="39"/>
        <v>2618386</v>
      </c>
      <c r="AO149" s="458"/>
      <c r="AP149" s="459"/>
      <c r="AQ149" s="459"/>
      <c r="AR149" s="460"/>
      <c r="AS149" s="316"/>
      <c r="AT149" s="458"/>
      <c r="AU149" s="459"/>
      <c r="AV149" s="459"/>
      <c r="AW149" s="459"/>
      <c r="AX149" s="459"/>
      <c r="AY149" s="460"/>
    </row>
    <row r="150" spans="1:51" ht="15" hidden="1" outlineLevel="1" x14ac:dyDescent="0.25">
      <c r="A150" s="295">
        <f t="shared" si="49"/>
        <v>2032</v>
      </c>
      <c r="B150" s="295">
        <f t="shared" si="50"/>
        <v>1</v>
      </c>
      <c r="C150" s="305">
        <f t="shared" si="31"/>
        <v>48214</v>
      </c>
      <c r="E150" s="310">
        <v>1195002</v>
      </c>
      <c r="F150" s="309">
        <v>778962</v>
      </c>
      <c r="G150" s="309">
        <v>69781</v>
      </c>
      <c r="H150" s="309">
        <v>4960</v>
      </c>
      <c r="I150" s="309">
        <v>974</v>
      </c>
      <c r="J150" s="309">
        <f t="shared" si="40"/>
        <v>2049679</v>
      </c>
      <c r="K150" s="309">
        <f t="shared" si="41"/>
        <v>173400</v>
      </c>
      <c r="L150" s="309">
        <f t="shared" si="42"/>
        <v>2223079</v>
      </c>
      <c r="M150" s="309">
        <v>2325</v>
      </c>
      <c r="N150" s="309">
        <f t="shared" si="32"/>
        <v>197</v>
      </c>
      <c r="O150" s="311">
        <f t="shared" si="33"/>
        <v>2225601</v>
      </c>
      <c r="P150" s="309"/>
      <c r="Q150" s="310">
        <v>1360735.3767250925</v>
      </c>
      <c r="R150" s="309">
        <v>897072.86162814382</v>
      </c>
      <c r="S150" s="309">
        <v>76675</v>
      </c>
      <c r="T150" s="309">
        <f t="shared" si="43"/>
        <v>6566</v>
      </c>
      <c r="U150" s="309">
        <f t="shared" si="43"/>
        <v>974</v>
      </c>
      <c r="V150" s="309">
        <f t="shared" si="44"/>
        <v>2342023.2383532366</v>
      </c>
      <c r="W150" s="309">
        <f t="shared" si="45"/>
        <v>198131.76164676342</v>
      </c>
      <c r="X150" s="309">
        <f t="shared" si="46"/>
        <v>2540155</v>
      </c>
      <c r="Y150" s="309">
        <f t="shared" si="47"/>
        <v>2325</v>
      </c>
      <c r="Z150" s="309">
        <f t="shared" si="34"/>
        <v>197</v>
      </c>
      <c r="AA150" s="311">
        <f t="shared" si="48"/>
        <v>2542677</v>
      </c>
      <c r="AC150" s="310">
        <v>1438422</v>
      </c>
      <c r="AD150" s="309">
        <v>924132</v>
      </c>
      <c r="AE150" s="309">
        <v>76675</v>
      </c>
      <c r="AF150" s="309">
        <v>6566</v>
      </c>
      <c r="AG150" s="309">
        <v>974</v>
      </c>
      <c r="AH150" s="309">
        <f t="shared" si="35"/>
        <v>2446769</v>
      </c>
      <c r="AI150" s="309">
        <f t="shared" si="36"/>
        <v>206993</v>
      </c>
      <c r="AJ150" s="309">
        <f t="shared" si="37"/>
        <v>2653762</v>
      </c>
      <c r="AK150" s="309">
        <v>2325</v>
      </c>
      <c r="AL150" s="309">
        <f t="shared" si="38"/>
        <v>197</v>
      </c>
      <c r="AM150" s="311">
        <f t="shared" si="39"/>
        <v>2656284</v>
      </c>
      <c r="AO150" s="458"/>
      <c r="AP150" s="459"/>
      <c r="AQ150" s="459"/>
      <c r="AR150" s="460"/>
      <c r="AS150" s="316"/>
      <c r="AT150" s="458"/>
      <c r="AU150" s="459"/>
      <c r="AV150" s="459"/>
      <c r="AW150" s="459"/>
      <c r="AX150" s="459"/>
      <c r="AY150" s="460"/>
    </row>
    <row r="151" spans="1:51" ht="15" hidden="1" outlineLevel="1" x14ac:dyDescent="0.25">
      <c r="A151" s="295">
        <f t="shared" si="49"/>
        <v>2032</v>
      </c>
      <c r="B151" s="295">
        <f t="shared" si="50"/>
        <v>2</v>
      </c>
      <c r="C151" s="305">
        <f t="shared" si="31"/>
        <v>48245</v>
      </c>
      <c r="E151" s="310">
        <v>1052756</v>
      </c>
      <c r="F151" s="309">
        <v>728220</v>
      </c>
      <c r="G151" s="309">
        <v>70059</v>
      </c>
      <c r="H151" s="309">
        <v>4828</v>
      </c>
      <c r="I151" s="309">
        <v>864</v>
      </c>
      <c r="J151" s="309">
        <f t="shared" si="40"/>
        <v>1856727</v>
      </c>
      <c r="K151" s="309">
        <f t="shared" si="41"/>
        <v>157077</v>
      </c>
      <c r="L151" s="309">
        <f t="shared" si="42"/>
        <v>2013804</v>
      </c>
      <c r="M151" s="309">
        <v>2520</v>
      </c>
      <c r="N151" s="309">
        <f t="shared" si="32"/>
        <v>213</v>
      </c>
      <c r="O151" s="311">
        <f t="shared" si="33"/>
        <v>2016537</v>
      </c>
      <c r="P151" s="309"/>
      <c r="Q151" s="310">
        <v>1188168.9394302494</v>
      </c>
      <c r="R151" s="309">
        <v>832308.12327075435</v>
      </c>
      <c r="S151" s="309">
        <v>76373</v>
      </c>
      <c r="T151" s="309">
        <f t="shared" si="43"/>
        <v>6062</v>
      </c>
      <c r="U151" s="309">
        <f t="shared" si="43"/>
        <v>864</v>
      </c>
      <c r="V151" s="309">
        <f t="shared" si="44"/>
        <v>2103776.0627010036</v>
      </c>
      <c r="W151" s="309">
        <f t="shared" si="45"/>
        <v>177976.93729899637</v>
      </c>
      <c r="X151" s="309">
        <f t="shared" si="46"/>
        <v>2281753</v>
      </c>
      <c r="Y151" s="309">
        <f t="shared" si="47"/>
        <v>2520</v>
      </c>
      <c r="Z151" s="309">
        <f t="shared" si="34"/>
        <v>213</v>
      </c>
      <c r="AA151" s="311">
        <f t="shared" si="48"/>
        <v>2284486</v>
      </c>
      <c r="AC151" s="310">
        <v>1250619</v>
      </c>
      <c r="AD151" s="309">
        <v>853732</v>
      </c>
      <c r="AE151" s="309">
        <v>76373</v>
      </c>
      <c r="AF151" s="309">
        <v>6062</v>
      </c>
      <c r="AG151" s="309">
        <v>864</v>
      </c>
      <c r="AH151" s="309">
        <f t="shared" si="35"/>
        <v>2187650</v>
      </c>
      <c r="AI151" s="309">
        <f t="shared" si="36"/>
        <v>185072</v>
      </c>
      <c r="AJ151" s="309">
        <f t="shared" si="37"/>
        <v>2372722</v>
      </c>
      <c r="AK151" s="309">
        <v>2520</v>
      </c>
      <c r="AL151" s="309">
        <f t="shared" si="38"/>
        <v>213</v>
      </c>
      <c r="AM151" s="311">
        <f t="shared" si="39"/>
        <v>2375455</v>
      </c>
      <c r="AO151" s="458"/>
      <c r="AP151" s="459"/>
      <c r="AQ151" s="459"/>
      <c r="AR151" s="460"/>
      <c r="AS151" s="316"/>
      <c r="AT151" s="458"/>
      <c r="AU151" s="459"/>
      <c r="AV151" s="459"/>
      <c r="AW151" s="459"/>
      <c r="AX151" s="459"/>
      <c r="AY151" s="460"/>
    </row>
    <row r="152" spans="1:51" ht="15" hidden="1" outlineLevel="1" x14ac:dyDescent="0.25">
      <c r="A152" s="295">
        <f t="shared" si="49"/>
        <v>2032</v>
      </c>
      <c r="B152" s="295">
        <f t="shared" si="50"/>
        <v>3</v>
      </c>
      <c r="C152" s="305">
        <f t="shared" si="31"/>
        <v>48274</v>
      </c>
      <c r="E152" s="310">
        <v>1047138</v>
      </c>
      <c r="F152" s="309">
        <v>751876</v>
      </c>
      <c r="G152" s="309">
        <v>76478</v>
      </c>
      <c r="H152" s="309">
        <v>4301</v>
      </c>
      <c r="I152" s="309">
        <v>765</v>
      </c>
      <c r="J152" s="309">
        <f t="shared" si="40"/>
        <v>1880558</v>
      </c>
      <c r="K152" s="309">
        <f t="shared" si="41"/>
        <v>159093</v>
      </c>
      <c r="L152" s="309">
        <f t="shared" si="42"/>
        <v>2039651</v>
      </c>
      <c r="M152" s="309">
        <v>2339</v>
      </c>
      <c r="N152" s="309">
        <f t="shared" si="32"/>
        <v>198</v>
      </c>
      <c r="O152" s="311">
        <f t="shared" si="33"/>
        <v>2042188</v>
      </c>
      <c r="P152" s="309"/>
      <c r="Q152" s="310">
        <v>1177702.8347534495</v>
      </c>
      <c r="R152" s="309">
        <v>874203.80966480484</v>
      </c>
      <c r="S152" s="309">
        <v>83501</v>
      </c>
      <c r="T152" s="309">
        <f t="shared" si="43"/>
        <v>5611</v>
      </c>
      <c r="U152" s="309">
        <f t="shared" si="43"/>
        <v>765</v>
      </c>
      <c r="V152" s="309">
        <f t="shared" si="44"/>
        <v>2141783.6444182545</v>
      </c>
      <c r="W152" s="309">
        <f t="shared" si="45"/>
        <v>181192.35558174551</v>
      </c>
      <c r="X152" s="309">
        <f t="shared" si="46"/>
        <v>2322976</v>
      </c>
      <c r="Y152" s="309">
        <f t="shared" si="47"/>
        <v>2339</v>
      </c>
      <c r="Z152" s="309">
        <f t="shared" si="34"/>
        <v>198</v>
      </c>
      <c r="AA152" s="311">
        <f t="shared" si="48"/>
        <v>2325513</v>
      </c>
      <c r="AC152" s="310">
        <v>1239240</v>
      </c>
      <c r="AD152" s="309">
        <v>899477</v>
      </c>
      <c r="AE152" s="309">
        <v>83501</v>
      </c>
      <c r="AF152" s="309">
        <v>5611</v>
      </c>
      <c r="AG152" s="309">
        <v>765</v>
      </c>
      <c r="AH152" s="309">
        <f t="shared" si="35"/>
        <v>2228594</v>
      </c>
      <c r="AI152" s="309">
        <f t="shared" si="36"/>
        <v>188536</v>
      </c>
      <c r="AJ152" s="309">
        <f t="shared" si="37"/>
        <v>2417130</v>
      </c>
      <c r="AK152" s="309">
        <v>2339</v>
      </c>
      <c r="AL152" s="309">
        <f t="shared" si="38"/>
        <v>198</v>
      </c>
      <c r="AM152" s="311">
        <f t="shared" si="39"/>
        <v>2419667</v>
      </c>
      <c r="AO152" s="458"/>
      <c r="AP152" s="459"/>
      <c r="AQ152" s="459"/>
      <c r="AR152" s="460"/>
      <c r="AS152" s="316"/>
      <c r="AT152" s="458"/>
      <c r="AU152" s="459"/>
      <c r="AV152" s="459"/>
      <c r="AW152" s="459"/>
      <c r="AX152" s="459"/>
      <c r="AY152" s="460"/>
    </row>
    <row r="153" spans="1:51" ht="15" hidden="1" outlineLevel="1" x14ac:dyDescent="0.25">
      <c r="A153" s="295">
        <f t="shared" si="49"/>
        <v>2032</v>
      </c>
      <c r="B153" s="295">
        <f t="shared" si="50"/>
        <v>4</v>
      </c>
      <c r="C153" s="305">
        <f t="shared" si="31"/>
        <v>48305</v>
      </c>
      <c r="E153" s="310">
        <v>944323</v>
      </c>
      <c r="F153" s="309">
        <v>739502</v>
      </c>
      <c r="G153" s="309">
        <v>77567</v>
      </c>
      <c r="H153" s="309">
        <v>4830</v>
      </c>
      <c r="I153" s="309">
        <v>627</v>
      </c>
      <c r="J153" s="309">
        <f t="shared" si="40"/>
        <v>1766849</v>
      </c>
      <c r="K153" s="309">
        <f t="shared" si="41"/>
        <v>149473</v>
      </c>
      <c r="L153" s="309">
        <f t="shared" si="42"/>
        <v>1916322</v>
      </c>
      <c r="M153" s="309">
        <v>2172</v>
      </c>
      <c r="N153" s="309">
        <f t="shared" si="32"/>
        <v>184</v>
      </c>
      <c r="O153" s="311">
        <f t="shared" si="33"/>
        <v>1918678</v>
      </c>
      <c r="P153" s="309"/>
      <c r="Q153" s="310">
        <v>1059156.0772195677</v>
      </c>
      <c r="R153" s="309">
        <v>851710.09728367697</v>
      </c>
      <c r="S153" s="309">
        <v>84178</v>
      </c>
      <c r="T153" s="309">
        <f t="shared" si="43"/>
        <v>5944</v>
      </c>
      <c r="U153" s="309">
        <f t="shared" si="43"/>
        <v>627</v>
      </c>
      <c r="V153" s="309">
        <f t="shared" si="44"/>
        <v>2001615.1745032447</v>
      </c>
      <c r="W153" s="309">
        <f t="shared" si="45"/>
        <v>169333.82549675531</v>
      </c>
      <c r="X153" s="309">
        <f t="shared" si="46"/>
        <v>2170949</v>
      </c>
      <c r="Y153" s="309">
        <f t="shared" si="47"/>
        <v>2172</v>
      </c>
      <c r="Z153" s="309">
        <f t="shared" si="34"/>
        <v>184</v>
      </c>
      <c r="AA153" s="311">
        <f t="shared" si="48"/>
        <v>2173305</v>
      </c>
      <c r="AC153" s="310">
        <v>1111193</v>
      </c>
      <c r="AD153" s="309">
        <v>875878</v>
      </c>
      <c r="AE153" s="309">
        <v>84178</v>
      </c>
      <c r="AF153" s="309">
        <v>5944</v>
      </c>
      <c r="AG153" s="309">
        <v>627</v>
      </c>
      <c r="AH153" s="309">
        <f t="shared" si="35"/>
        <v>2077820</v>
      </c>
      <c r="AI153" s="309">
        <f t="shared" si="36"/>
        <v>175781</v>
      </c>
      <c r="AJ153" s="309">
        <f t="shared" si="37"/>
        <v>2253601</v>
      </c>
      <c r="AK153" s="309">
        <v>2172</v>
      </c>
      <c r="AL153" s="309">
        <f t="shared" si="38"/>
        <v>184</v>
      </c>
      <c r="AM153" s="311">
        <f t="shared" si="39"/>
        <v>2255957</v>
      </c>
      <c r="AO153" s="458"/>
      <c r="AP153" s="459"/>
      <c r="AQ153" s="459"/>
      <c r="AR153" s="460"/>
      <c r="AS153" s="316"/>
      <c r="AT153" s="458"/>
      <c r="AU153" s="459"/>
      <c r="AV153" s="459"/>
      <c r="AW153" s="459"/>
      <c r="AX153" s="459"/>
      <c r="AY153" s="460"/>
    </row>
    <row r="154" spans="1:51" ht="15" hidden="1" outlineLevel="1" x14ac:dyDescent="0.25">
      <c r="A154" s="295">
        <f t="shared" si="49"/>
        <v>2032</v>
      </c>
      <c r="B154" s="295">
        <f t="shared" si="50"/>
        <v>5</v>
      </c>
      <c r="C154" s="305">
        <f t="shared" si="31"/>
        <v>48335</v>
      </c>
      <c r="E154" s="310">
        <v>809994</v>
      </c>
      <c r="F154" s="309">
        <v>680221</v>
      </c>
      <c r="G154" s="309">
        <v>72627</v>
      </c>
      <c r="H154" s="309">
        <v>4699</v>
      </c>
      <c r="I154" s="309">
        <v>433</v>
      </c>
      <c r="J154" s="309">
        <f t="shared" si="40"/>
        <v>1567974</v>
      </c>
      <c r="K154" s="309">
        <f t="shared" si="41"/>
        <v>132649</v>
      </c>
      <c r="L154" s="309">
        <f t="shared" si="42"/>
        <v>1700623</v>
      </c>
      <c r="M154" s="309">
        <v>2174</v>
      </c>
      <c r="N154" s="309">
        <f t="shared" si="32"/>
        <v>184</v>
      </c>
      <c r="O154" s="311">
        <f t="shared" si="33"/>
        <v>1702981</v>
      </c>
      <c r="P154" s="309"/>
      <c r="Q154" s="310">
        <v>892486.29088072793</v>
      </c>
      <c r="R154" s="309">
        <v>804422.23497801251</v>
      </c>
      <c r="S154" s="309">
        <v>79479</v>
      </c>
      <c r="T154" s="309">
        <f t="shared" si="43"/>
        <v>5693</v>
      </c>
      <c r="U154" s="309">
        <f t="shared" si="43"/>
        <v>433</v>
      </c>
      <c r="V154" s="309">
        <f t="shared" si="44"/>
        <v>1782513.5258587403</v>
      </c>
      <c r="W154" s="309">
        <f t="shared" si="45"/>
        <v>150798.47414125968</v>
      </c>
      <c r="X154" s="309">
        <f t="shared" si="46"/>
        <v>1933312</v>
      </c>
      <c r="Y154" s="309">
        <f t="shared" si="47"/>
        <v>2174</v>
      </c>
      <c r="Z154" s="309">
        <f t="shared" si="34"/>
        <v>184</v>
      </c>
      <c r="AA154" s="311">
        <f t="shared" si="48"/>
        <v>1935670</v>
      </c>
      <c r="AC154" s="310">
        <v>942232</v>
      </c>
      <c r="AD154" s="309">
        <v>829278</v>
      </c>
      <c r="AE154" s="309">
        <v>79479</v>
      </c>
      <c r="AF154" s="309">
        <v>5693</v>
      </c>
      <c r="AG154" s="309">
        <v>433</v>
      </c>
      <c r="AH154" s="309">
        <f t="shared" si="35"/>
        <v>1857115</v>
      </c>
      <c r="AI154" s="309">
        <f t="shared" si="36"/>
        <v>157110</v>
      </c>
      <c r="AJ154" s="309">
        <f t="shared" si="37"/>
        <v>2014225</v>
      </c>
      <c r="AK154" s="309">
        <v>2174</v>
      </c>
      <c r="AL154" s="309">
        <f t="shared" si="38"/>
        <v>184</v>
      </c>
      <c r="AM154" s="311">
        <f t="shared" si="39"/>
        <v>2016583</v>
      </c>
      <c r="AO154" s="458"/>
      <c r="AP154" s="459"/>
      <c r="AQ154" s="459"/>
      <c r="AR154" s="460"/>
      <c r="AS154" s="316"/>
      <c r="AT154" s="458"/>
      <c r="AU154" s="459"/>
      <c r="AV154" s="459"/>
      <c r="AW154" s="459"/>
      <c r="AX154" s="459"/>
      <c r="AY154" s="460"/>
    </row>
    <row r="155" spans="1:51" ht="15" hidden="1" outlineLevel="1" x14ac:dyDescent="0.25">
      <c r="A155" s="295">
        <f t="shared" si="49"/>
        <v>2032</v>
      </c>
      <c r="B155" s="295">
        <f t="shared" si="50"/>
        <v>6</v>
      </c>
      <c r="C155" s="305">
        <f t="shared" si="31"/>
        <v>48366</v>
      </c>
      <c r="E155" s="310">
        <v>786846</v>
      </c>
      <c r="F155" s="309">
        <v>707660</v>
      </c>
      <c r="G155" s="309">
        <v>74282</v>
      </c>
      <c r="H155" s="309">
        <v>4642</v>
      </c>
      <c r="I155" s="309">
        <v>316</v>
      </c>
      <c r="J155" s="309">
        <f t="shared" si="40"/>
        <v>1573746</v>
      </c>
      <c r="K155" s="309">
        <f t="shared" si="41"/>
        <v>133137</v>
      </c>
      <c r="L155" s="309">
        <f t="shared" si="42"/>
        <v>1706883</v>
      </c>
      <c r="M155" s="309">
        <v>1787</v>
      </c>
      <c r="N155" s="309">
        <f t="shared" si="32"/>
        <v>151</v>
      </c>
      <c r="O155" s="311">
        <f t="shared" si="33"/>
        <v>1708821</v>
      </c>
      <c r="P155" s="309"/>
      <c r="Q155" s="310">
        <v>846719.98718263337</v>
      </c>
      <c r="R155" s="309">
        <v>826294.41250538779</v>
      </c>
      <c r="S155" s="309">
        <v>81049</v>
      </c>
      <c r="T155" s="309">
        <f t="shared" si="43"/>
        <v>5483</v>
      </c>
      <c r="U155" s="309">
        <f t="shared" si="43"/>
        <v>316</v>
      </c>
      <c r="V155" s="309">
        <f t="shared" si="44"/>
        <v>1759862.3996880213</v>
      </c>
      <c r="W155" s="309">
        <f t="shared" si="45"/>
        <v>148881.60031197872</v>
      </c>
      <c r="X155" s="309">
        <f t="shared" si="46"/>
        <v>1908744</v>
      </c>
      <c r="Y155" s="309">
        <f t="shared" si="47"/>
        <v>1787</v>
      </c>
      <c r="Z155" s="309">
        <f t="shared" si="34"/>
        <v>151</v>
      </c>
      <c r="AA155" s="311">
        <f t="shared" si="48"/>
        <v>1910682</v>
      </c>
      <c r="AC155" s="310">
        <v>887914</v>
      </c>
      <c r="AD155" s="309">
        <v>850575</v>
      </c>
      <c r="AE155" s="309">
        <v>81049</v>
      </c>
      <c r="AF155" s="309">
        <v>5483</v>
      </c>
      <c r="AG155" s="309">
        <v>316</v>
      </c>
      <c r="AH155" s="309">
        <f t="shared" si="35"/>
        <v>1825337</v>
      </c>
      <c r="AI155" s="309">
        <f t="shared" si="36"/>
        <v>154421</v>
      </c>
      <c r="AJ155" s="309">
        <f t="shared" si="37"/>
        <v>1979758</v>
      </c>
      <c r="AK155" s="309">
        <v>1787</v>
      </c>
      <c r="AL155" s="309">
        <f t="shared" si="38"/>
        <v>151</v>
      </c>
      <c r="AM155" s="311">
        <f t="shared" si="39"/>
        <v>1981696</v>
      </c>
      <c r="AO155" s="458"/>
      <c r="AP155" s="459"/>
      <c r="AQ155" s="459"/>
      <c r="AR155" s="460"/>
      <c r="AS155" s="316"/>
      <c r="AT155" s="458"/>
      <c r="AU155" s="459"/>
      <c r="AV155" s="459"/>
      <c r="AW155" s="459"/>
      <c r="AX155" s="459"/>
      <c r="AY155" s="460"/>
    </row>
    <row r="156" spans="1:51" ht="15" hidden="1" outlineLevel="1" x14ac:dyDescent="0.25">
      <c r="A156" s="295">
        <f t="shared" si="49"/>
        <v>2032</v>
      </c>
      <c r="B156" s="295">
        <f t="shared" si="50"/>
        <v>7</v>
      </c>
      <c r="C156" s="305">
        <f t="shared" si="31"/>
        <v>48396</v>
      </c>
      <c r="E156" s="310">
        <v>836619</v>
      </c>
      <c r="F156" s="309">
        <v>737141</v>
      </c>
      <c r="G156" s="309">
        <v>81469</v>
      </c>
      <c r="H156" s="309">
        <v>4319</v>
      </c>
      <c r="I156" s="309">
        <v>288</v>
      </c>
      <c r="J156" s="309">
        <f t="shared" si="40"/>
        <v>1659836</v>
      </c>
      <c r="K156" s="309">
        <f t="shared" si="41"/>
        <v>140420</v>
      </c>
      <c r="L156" s="309">
        <f t="shared" si="42"/>
        <v>1800256</v>
      </c>
      <c r="M156" s="309">
        <v>2889</v>
      </c>
      <c r="N156" s="309">
        <f t="shared" si="32"/>
        <v>244</v>
      </c>
      <c r="O156" s="311">
        <f t="shared" si="33"/>
        <v>1803389</v>
      </c>
      <c r="P156" s="309"/>
      <c r="Q156" s="310">
        <v>898761.75970573223</v>
      </c>
      <c r="R156" s="309">
        <v>864376.63926479488</v>
      </c>
      <c r="S156" s="309">
        <v>88419</v>
      </c>
      <c r="T156" s="309">
        <f t="shared" si="43"/>
        <v>5317</v>
      </c>
      <c r="U156" s="309">
        <f t="shared" si="43"/>
        <v>288</v>
      </c>
      <c r="V156" s="309">
        <f t="shared" si="44"/>
        <v>1857162.3989705271</v>
      </c>
      <c r="W156" s="309">
        <f t="shared" si="45"/>
        <v>157113.60102947289</v>
      </c>
      <c r="X156" s="309">
        <f t="shared" si="46"/>
        <v>2014276</v>
      </c>
      <c r="Y156" s="309">
        <f t="shared" si="47"/>
        <v>2889</v>
      </c>
      <c r="Z156" s="309">
        <f t="shared" si="34"/>
        <v>244</v>
      </c>
      <c r="AA156" s="311">
        <f t="shared" si="48"/>
        <v>2017409</v>
      </c>
      <c r="AC156" s="310">
        <v>945921</v>
      </c>
      <c r="AD156" s="309">
        <v>891567</v>
      </c>
      <c r="AE156" s="309">
        <v>88419</v>
      </c>
      <c r="AF156" s="309">
        <v>5317</v>
      </c>
      <c r="AG156" s="309">
        <v>288</v>
      </c>
      <c r="AH156" s="309">
        <f t="shared" si="35"/>
        <v>1931512</v>
      </c>
      <c r="AI156" s="309">
        <f t="shared" si="36"/>
        <v>163403</v>
      </c>
      <c r="AJ156" s="309">
        <f t="shared" si="37"/>
        <v>2094915</v>
      </c>
      <c r="AK156" s="309">
        <v>2889</v>
      </c>
      <c r="AL156" s="309">
        <f t="shared" si="38"/>
        <v>244</v>
      </c>
      <c r="AM156" s="311">
        <f t="shared" si="39"/>
        <v>2098048</v>
      </c>
      <c r="AO156" s="458"/>
      <c r="AP156" s="459"/>
      <c r="AQ156" s="459"/>
      <c r="AR156" s="460"/>
      <c r="AS156" s="316"/>
      <c r="AT156" s="458"/>
      <c r="AU156" s="459"/>
      <c r="AV156" s="459"/>
      <c r="AW156" s="459"/>
      <c r="AX156" s="459"/>
      <c r="AY156" s="460"/>
    </row>
    <row r="157" spans="1:51" ht="15" hidden="1" outlineLevel="1" x14ac:dyDescent="0.25">
      <c r="A157" s="295">
        <f t="shared" si="49"/>
        <v>2032</v>
      </c>
      <c r="B157" s="295">
        <f t="shared" si="50"/>
        <v>8</v>
      </c>
      <c r="C157" s="305">
        <f t="shared" si="31"/>
        <v>48427</v>
      </c>
      <c r="E157" s="310">
        <v>850086</v>
      </c>
      <c r="F157" s="309">
        <v>738004</v>
      </c>
      <c r="G157" s="309">
        <v>82271</v>
      </c>
      <c r="H157" s="309">
        <v>4567</v>
      </c>
      <c r="I157" s="309">
        <v>280</v>
      </c>
      <c r="J157" s="309">
        <f t="shared" si="40"/>
        <v>1675208</v>
      </c>
      <c r="K157" s="309">
        <f t="shared" si="41"/>
        <v>141720</v>
      </c>
      <c r="L157" s="309">
        <f t="shared" si="42"/>
        <v>1816928</v>
      </c>
      <c r="M157" s="309">
        <v>1634</v>
      </c>
      <c r="N157" s="309">
        <f t="shared" si="32"/>
        <v>138</v>
      </c>
      <c r="O157" s="311">
        <f t="shared" si="33"/>
        <v>1818700</v>
      </c>
      <c r="P157" s="309"/>
      <c r="Q157" s="310">
        <v>912885.74447469204</v>
      </c>
      <c r="R157" s="309">
        <v>866980.81957226992</v>
      </c>
      <c r="S157" s="309">
        <v>89550</v>
      </c>
      <c r="T157" s="309">
        <f t="shared" si="43"/>
        <v>5722</v>
      </c>
      <c r="U157" s="309">
        <f t="shared" si="43"/>
        <v>280</v>
      </c>
      <c r="V157" s="309">
        <f t="shared" si="44"/>
        <v>1875418.564046962</v>
      </c>
      <c r="W157" s="309">
        <f t="shared" si="45"/>
        <v>158658.43595303805</v>
      </c>
      <c r="X157" s="309">
        <f t="shared" si="46"/>
        <v>2034077</v>
      </c>
      <c r="Y157" s="309">
        <f t="shared" si="47"/>
        <v>1634</v>
      </c>
      <c r="Z157" s="309">
        <f t="shared" si="34"/>
        <v>138</v>
      </c>
      <c r="AA157" s="311">
        <f t="shared" si="48"/>
        <v>2035849</v>
      </c>
      <c r="AC157" s="310">
        <v>958984</v>
      </c>
      <c r="AD157" s="309">
        <v>894240</v>
      </c>
      <c r="AE157" s="309">
        <v>89550</v>
      </c>
      <c r="AF157" s="309">
        <v>5722</v>
      </c>
      <c r="AG157" s="309">
        <v>280</v>
      </c>
      <c r="AH157" s="309">
        <f t="shared" si="35"/>
        <v>1948776</v>
      </c>
      <c r="AI157" s="309">
        <f t="shared" si="36"/>
        <v>164864</v>
      </c>
      <c r="AJ157" s="309">
        <f t="shared" si="37"/>
        <v>2113640</v>
      </c>
      <c r="AK157" s="309">
        <v>1634</v>
      </c>
      <c r="AL157" s="309">
        <f t="shared" si="38"/>
        <v>138</v>
      </c>
      <c r="AM157" s="311">
        <f t="shared" si="39"/>
        <v>2115412</v>
      </c>
      <c r="AO157" s="458"/>
      <c r="AP157" s="459"/>
      <c r="AQ157" s="459"/>
      <c r="AR157" s="460"/>
      <c r="AS157" s="316"/>
      <c r="AT157" s="458"/>
      <c r="AU157" s="459"/>
      <c r="AV157" s="459"/>
      <c r="AW157" s="459"/>
      <c r="AX157" s="459"/>
      <c r="AY157" s="460"/>
    </row>
    <row r="158" spans="1:51" ht="15" hidden="1" outlineLevel="1" x14ac:dyDescent="0.25">
      <c r="A158" s="295">
        <f t="shared" si="49"/>
        <v>2032</v>
      </c>
      <c r="B158" s="295">
        <f t="shared" si="50"/>
        <v>9</v>
      </c>
      <c r="C158" s="305">
        <f t="shared" ref="C158:C221" si="51">DATE(A158,B158,1)</f>
        <v>48458</v>
      </c>
      <c r="E158" s="310">
        <v>778213</v>
      </c>
      <c r="F158" s="309">
        <v>701433</v>
      </c>
      <c r="G158" s="309">
        <v>78986</v>
      </c>
      <c r="H158" s="309">
        <v>4847</v>
      </c>
      <c r="I158" s="309">
        <v>354</v>
      </c>
      <c r="J158" s="309">
        <f t="shared" si="40"/>
        <v>1563833</v>
      </c>
      <c r="K158" s="309">
        <f t="shared" si="41"/>
        <v>132298</v>
      </c>
      <c r="L158" s="309">
        <f t="shared" si="42"/>
        <v>1696131</v>
      </c>
      <c r="M158" s="309">
        <v>1428</v>
      </c>
      <c r="N158" s="309">
        <f t="shared" ref="N158:N221" si="52">ROUND(M158/(1-0.078)-M158, 0)</f>
        <v>121</v>
      </c>
      <c r="O158" s="311">
        <f t="shared" ref="O158:O221" si="53">SUM(L158:N158)</f>
        <v>1697680</v>
      </c>
      <c r="P158" s="309"/>
      <c r="Q158" s="310">
        <v>847611.29640014248</v>
      </c>
      <c r="R158" s="309">
        <v>823863.45986680593</v>
      </c>
      <c r="S158" s="309">
        <v>85837</v>
      </c>
      <c r="T158" s="309">
        <f t="shared" si="43"/>
        <v>6015</v>
      </c>
      <c r="U158" s="309">
        <f t="shared" si="43"/>
        <v>354</v>
      </c>
      <c r="V158" s="309">
        <f t="shared" si="44"/>
        <v>1763680.7562669483</v>
      </c>
      <c r="W158" s="309">
        <f t="shared" si="45"/>
        <v>149205.2437330517</v>
      </c>
      <c r="X158" s="309">
        <f t="shared" si="46"/>
        <v>1912886</v>
      </c>
      <c r="Y158" s="309">
        <f t="shared" si="47"/>
        <v>1428</v>
      </c>
      <c r="Z158" s="309">
        <f t="shared" ref="Z158:Z221" si="54">ROUND(Y158/(1-0.078)-Y158, 0)</f>
        <v>121</v>
      </c>
      <c r="AA158" s="311">
        <f t="shared" si="48"/>
        <v>1914435</v>
      </c>
      <c r="AC158" s="310">
        <v>890550</v>
      </c>
      <c r="AD158" s="309">
        <v>847739</v>
      </c>
      <c r="AE158" s="309">
        <v>85837</v>
      </c>
      <c r="AF158" s="309">
        <v>6015</v>
      </c>
      <c r="AG158" s="309">
        <v>354</v>
      </c>
      <c r="AH158" s="309">
        <f t="shared" ref="AH158:AH221" si="55">SUM(AC158:AG158)</f>
        <v>1830495</v>
      </c>
      <c r="AI158" s="309">
        <f t="shared" ref="AI158:AI221" si="56">AJ158-AH158</f>
        <v>154857</v>
      </c>
      <c r="AJ158" s="309">
        <f t="shared" ref="AJ158:AJ221" si="57">ROUND(AH158/(1-0.078), 0)</f>
        <v>1985352</v>
      </c>
      <c r="AK158" s="309">
        <v>1428</v>
      </c>
      <c r="AL158" s="309">
        <f t="shared" ref="AL158:AL221" si="58">N158</f>
        <v>121</v>
      </c>
      <c r="AM158" s="311">
        <f t="shared" ref="AM158:AM221" si="59">SUM(AJ158:AL158)</f>
        <v>1986901</v>
      </c>
      <c r="AO158" s="458"/>
      <c r="AP158" s="459"/>
      <c r="AQ158" s="459"/>
      <c r="AR158" s="460"/>
      <c r="AS158" s="316"/>
      <c r="AT158" s="458"/>
      <c r="AU158" s="459"/>
      <c r="AV158" s="459"/>
      <c r="AW158" s="459"/>
      <c r="AX158" s="459"/>
      <c r="AY158" s="460"/>
    </row>
    <row r="159" spans="1:51" ht="15" hidden="1" outlineLevel="1" x14ac:dyDescent="0.25">
      <c r="A159" s="295">
        <f t="shared" si="49"/>
        <v>2032</v>
      </c>
      <c r="B159" s="295">
        <f t="shared" si="50"/>
        <v>10</v>
      </c>
      <c r="C159" s="305">
        <f t="shared" si="51"/>
        <v>48488</v>
      </c>
      <c r="E159" s="310">
        <v>874364</v>
      </c>
      <c r="F159" s="309">
        <v>709610</v>
      </c>
      <c r="G159" s="309">
        <v>74791</v>
      </c>
      <c r="H159" s="309">
        <v>4485</v>
      </c>
      <c r="I159" s="309">
        <v>470</v>
      </c>
      <c r="J159" s="309">
        <f t="shared" ref="J159:J222" si="60">SUM(E159:I159)</f>
        <v>1663720</v>
      </c>
      <c r="K159" s="309">
        <f t="shared" ref="K159:K222" si="61">L159-J159</f>
        <v>140749</v>
      </c>
      <c r="L159" s="309">
        <f t="shared" ref="L159:L222" si="62">ROUND(J159/(1-0.078), 0)</f>
        <v>1804469</v>
      </c>
      <c r="M159" s="309">
        <v>1830</v>
      </c>
      <c r="N159" s="309">
        <f t="shared" si="52"/>
        <v>155</v>
      </c>
      <c r="O159" s="311">
        <f t="shared" si="53"/>
        <v>1806454</v>
      </c>
      <c r="P159" s="309"/>
      <c r="Q159" s="310">
        <v>975960.79604599951</v>
      </c>
      <c r="R159" s="309">
        <v>833679.6168358454</v>
      </c>
      <c r="S159" s="309">
        <v>81997</v>
      </c>
      <c r="T159" s="309">
        <f t="shared" ref="T159:U222" si="63">AF159</f>
        <v>5973</v>
      </c>
      <c r="U159" s="309">
        <f t="shared" si="63"/>
        <v>470</v>
      </c>
      <c r="V159" s="309">
        <f t="shared" ref="V159:V222" si="64">SUM(Q159:U159)</f>
        <v>1898080.4128818449</v>
      </c>
      <c r="W159" s="309">
        <f t="shared" ref="W159:W222" si="65">X159-V159</f>
        <v>160575.58711815509</v>
      </c>
      <c r="X159" s="309">
        <f t="shared" ref="X159:X222" si="66">ROUND(V159/(1-0.078), 0)</f>
        <v>2058656</v>
      </c>
      <c r="Y159" s="309">
        <f t="shared" ref="Y159:Y222" si="67">M159</f>
        <v>1830</v>
      </c>
      <c r="Z159" s="309">
        <f t="shared" si="54"/>
        <v>155</v>
      </c>
      <c r="AA159" s="311">
        <f t="shared" ref="AA159:AA222" si="68">SUM(X159:Z159)</f>
        <v>2060641</v>
      </c>
      <c r="AC159" s="310">
        <v>1032539</v>
      </c>
      <c r="AD159" s="309">
        <v>858215</v>
      </c>
      <c r="AE159" s="309">
        <v>81997</v>
      </c>
      <c r="AF159" s="309">
        <v>5973</v>
      </c>
      <c r="AG159" s="309">
        <v>470</v>
      </c>
      <c r="AH159" s="309">
        <f t="shared" si="55"/>
        <v>1979194</v>
      </c>
      <c r="AI159" s="309">
        <f t="shared" si="56"/>
        <v>167437</v>
      </c>
      <c r="AJ159" s="309">
        <f t="shared" si="57"/>
        <v>2146631</v>
      </c>
      <c r="AK159" s="309">
        <v>1830</v>
      </c>
      <c r="AL159" s="309">
        <f t="shared" si="58"/>
        <v>155</v>
      </c>
      <c r="AM159" s="311">
        <f t="shared" si="59"/>
        <v>2148616</v>
      </c>
      <c r="AO159" s="458"/>
      <c r="AP159" s="459"/>
      <c r="AQ159" s="459"/>
      <c r="AR159" s="460"/>
      <c r="AS159" s="316"/>
      <c r="AT159" s="458"/>
      <c r="AU159" s="459"/>
      <c r="AV159" s="459"/>
      <c r="AW159" s="459"/>
      <c r="AX159" s="459"/>
      <c r="AY159" s="460"/>
    </row>
    <row r="160" spans="1:51" ht="15" hidden="1" outlineLevel="1" x14ac:dyDescent="0.25">
      <c r="A160" s="295">
        <f t="shared" si="49"/>
        <v>2032</v>
      </c>
      <c r="B160" s="295">
        <f t="shared" si="50"/>
        <v>11</v>
      </c>
      <c r="C160" s="305">
        <f t="shared" si="51"/>
        <v>48519</v>
      </c>
      <c r="E160" s="310">
        <v>1081980</v>
      </c>
      <c r="F160" s="309">
        <v>739598</v>
      </c>
      <c r="G160" s="309">
        <v>79089</v>
      </c>
      <c r="H160" s="309">
        <v>5001</v>
      </c>
      <c r="I160" s="309">
        <v>772</v>
      </c>
      <c r="J160" s="309">
        <f t="shared" si="60"/>
        <v>1906440</v>
      </c>
      <c r="K160" s="309">
        <f t="shared" si="61"/>
        <v>161283</v>
      </c>
      <c r="L160" s="309">
        <f>ROUNDUP(J160/(1-0.078), 0)</f>
        <v>2067723</v>
      </c>
      <c r="M160" s="309">
        <v>1832</v>
      </c>
      <c r="N160" s="309">
        <f t="shared" si="52"/>
        <v>155</v>
      </c>
      <c r="O160" s="311">
        <f t="shared" si="53"/>
        <v>2069710</v>
      </c>
      <c r="P160" s="309"/>
      <c r="Q160" s="310">
        <v>1215776.0363031141</v>
      </c>
      <c r="R160" s="309">
        <v>856766.42150844075</v>
      </c>
      <c r="S160" s="309">
        <v>85663</v>
      </c>
      <c r="T160" s="309">
        <f t="shared" si="63"/>
        <v>6639</v>
      </c>
      <c r="U160" s="309">
        <f t="shared" si="63"/>
        <v>772</v>
      </c>
      <c r="V160" s="309">
        <f t="shared" si="64"/>
        <v>2165616.4578115549</v>
      </c>
      <c r="W160" s="309">
        <f t="shared" si="65"/>
        <v>183208.54218844511</v>
      </c>
      <c r="X160" s="309">
        <f t="shared" si="66"/>
        <v>2348825</v>
      </c>
      <c r="Y160" s="309">
        <f t="shared" si="67"/>
        <v>1832</v>
      </c>
      <c r="Z160" s="309">
        <f t="shared" si="54"/>
        <v>155</v>
      </c>
      <c r="AA160" s="311">
        <f t="shared" si="68"/>
        <v>2350812</v>
      </c>
      <c r="AC160" s="310">
        <v>1289084</v>
      </c>
      <c r="AD160" s="309">
        <v>880508</v>
      </c>
      <c r="AE160" s="309">
        <v>85663</v>
      </c>
      <c r="AF160" s="309">
        <v>6639</v>
      </c>
      <c r="AG160" s="309">
        <v>772</v>
      </c>
      <c r="AH160" s="309">
        <f t="shared" si="55"/>
        <v>2262666</v>
      </c>
      <c r="AI160" s="309">
        <f t="shared" si="56"/>
        <v>191419</v>
      </c>
      <c r="AJ160" s="309">
        <f t="shared" si="57"/>
        <v>2454085</v>
      </c>
      <c r="AK160" s="309">
        <v>1832</v>
      </c>
      <c r="AL160" s="309">
        <f t="shared" si="58"/>
        <v>155</v>
      </c>
      <c r="AM160" s="311">
        <f t="shared" si="59"/>
        <v>2456072</v>
      </c>
      <c r="AO160" s="458"/>
      <c r="AP160" s="459"/>
      <c r="AQ160" s="459"/>
      <c r="AR160" s="460"/>
      <c r="AS160" s="316"/>
      <c r="AT160" s="458"/>
      <c r="AU160" s="459"/>
      <c r="AV160" s="459"/>
      <c r="AW160" s="459"/>
      <c r="AX160" s="459"/>
      <c r="AY160" s="460"/>
    </row>
    <row r="161" spans="1:51" ht="15" hidden="1" outlineLevel="1" x14ac:dyDescent="0.25">
      <c r="A161" s="295">
        <f t="shared" si="49"/>
        <v>2032</v>
      </c>
      <c r="B161" s="295">
        <f t="shared" si="50"/>
        <v>12</v>
      </c>
      <c r="C161" s="305">
        <f t="shared" si="51"/>
        <v>48549</v>
      </c>
      <c r="E161" s="310">
        <v>1151321</v>
      </c>
      <c r="F161" s="309">
        <v>762745</v>
      </c>
      <c r="G161" s="309">
        <v>71754</v>
      </c>
      <c r="H161" s="309">
        <v>4493</v>
      </c>
      <c r="I161" s="309">
        <v>826</v>
      </c>
      <c r="J161" s="309">
        <f t="shared" si="60"/>
        <v>1991139</v>
      </c>
      <c r="K161" s="309">
        <f t="shared" si="61"/>
        <v>168448</v>
      </c>
      <c r="L161" s="309">
        <f t="shared" si="62"/>
        <v>2159587</v>
      </c>
      <c r="M161" s="309">
        <v>1718</v>
      </c>
      <c r="N161" s="309">
        <f t="shared" si="52"/>
        <v>145</v>
      </c>
      <c r="O161" s="311">
        <f t="shared" si="53"/>
        <v>2161450</v>
      </c>
      <c r="P161" s="309"/>
      <c r="Q161" s="310">
        <v>1345544.207722421</v>
      </c>
      <c r="R161" s="309">
        <v>888114.531594606</v>
      </c>
      <c r="S161" s="309">
        <v>78597</v>
      </c>
      <c r="T161" s="309">
        <f t="shared" si="63"/>
        <v>6248</v>
      </c>
      <c r="U161" s="309">
        <f t="shared" si="63"/>
        <v>826</v>
      </c>
      <c r="V161" s="309">
        <f t="shared" si="64"/>
        <v>2319329.7393170269</v>
      </c>
      <c r="W161" s="309">
        <f t="shared" si="65"/>
        <v>196212.26068297308</v>
      </c>
      <c r="X161" s="309">
        <f t="shared" si="66"/>
        <v>2515542</v>
      </c>
      <c r="Y161" s="309">
        <f t="shared" si="67"/>
        <v>1718</v>
      </c>
      <c r="Z161" s="309">
        <f t="shared" si="54"/>
        <v>145</v>
      </c>
      <c r="AA161" s="311">
        <f t="shared" si="68"/>
        <v>2517405</v>
      </c>
      <c r="AC161" s="310">
        <v>1442210</v>
      </c>
      <c r="AD161" s="309">
        <v>918399</v>
      </c>
      <c r="AE161" s="309">
        <v>78597</v>
      </c>
      <c r="AF161" s="309">
        <v>6248</v>
      </c>
      <c r="AG161" s="309">
        <v>826</v>
      </c>
      <c r="AH161" s="309">
        <f t="shared" si="55"/>
        <v>2446280</v>
      </c>
      <c r="AI161" s="309">
        <f t="shared" si="56"/>
        <v>206952</v>
      </c>
      <c r="AJ161" s="309">
        <f t="shared" si="57"/>
        <v>2653232</v>
      </c>
      <c r="AK161" s="309">
        <v>1718</v>
      </c>
      <c r="AL161" s="309">
        <f t="shared" si="58"/>
        <v>145</v>
      </c>
      <c r="AM161" s="311">
        <f t="shared" si="59"/>
        <v>2655095</v>
      </c>
      <c r="AO161" s="458"/>
      <c r="AP161" s="459"/>
      <c r="AQ161" s="459"/>
      <c r="AR161" s="460"/>
      <c r="AS161" s="316"/>
      <c r="AT161" s="458"/>
      <c r="AU161" s="459"/>
      <c r="AV161" s="459"/>
      <c r="AW161" s="459"/>
      <c r="AX161" s="459"/>
      <c r="AY161" s="460"/>
    </row>
    <row r="162" spans="1:51" ht="15" hidden="1" outlineLevel="1" x14ac:dyDescent="0.25">
      <c r="A162" s="295">
        <f t="shared" si="49"/>
        <v>2033</v>
      </c>
      <c r="B162" s="295">
        <f t="shared" si="50"/>
        <v>1</v>
      </c>
      <c r="C162" s="305">
        <f t="shared" si="51"/>
        <v>48580</v>
      </c>
      <c r="E162" s="310">
        <v>1190906</v>
      </c>
      <c r="F162" s="309">
        <v>775918</v>
      </c>
      <c r="G162" s="309">
        <v>68449</v>
      </c>
      <c r="H162" s="309">
        <v>4889</v>
      </c>
      <c r="I162" s="309">
        <v>962</v>
      </c>
      <c r="J162" s="309">
        <f t="shared" si="60"/>
        <v>2041124</v>
      </c>
      <c r="K162" s="309">
        <f t="shared" si="61"/>
        <v>172676</v>
      </c>
      <c r="L162" s="309">
        <f t="shared" si="62"/>
        <v>2213800</v>
      </c>
      <c r="M162" s="309">
        <v>2325</v>
      </c>
      <c r="N162" s="309">
        <f t="shared" si="52"/>
        <v>197</v>
      </c>
      <c r="O162" s="311">
        <f t="shared" si="53"/>
        <v>2216322</v>
      </c>
      <c r="P162" s="309"/>
      <c r="Q162" s="310">
        <v>1367049.5884466672</v>
      </c>
      <c r="R162" s="309">
        <v>899859.9097753372</v>
      </c>
      <c r="S162" s="309">
        <v>75366</v>
      </c>
      <c r="T162" s="309">
        <f t="shared" si="63"/>
        <v>6677</v>
      </c>
      <c r="U162" s="309">
        <f t="shared" si="63"/>
        <v>962</v>
      </c>
      <c r="V162" s="309">
        <f t="shared" si="64"/>
        <v>2349914.4982220046</v>
      </c>
      <c r="W162" s="309">
        <f t="shared" si="65"/>
        <v>198799.50177799538</v>
      </c>
      <c r="X162" s="309">
        <f t="shared" si="66"/>
        <v>2548714</v>
      </c>
      <c r="Y162" s="309">
        <f t="shared" si="67"/>
        <v>2325</v>
      </c>
      <c r="Z162" s="309">
        <f t="shared" si="54"/>
        <v>197</v>
      </c>
      <c r="AA162" s="311">
        <f t="shared" si="68"/>
        <v>2551236</v>
      </c>
      <c r="AC162" s="310">
        <v>1449035</v>
      </c>
      <c r="AD162" s="309">
        <v>928243</v>
      </c>
      <c r="AE162" s="309">
        <v>75366</v>
      </c>
      <c r="AF162" s="309">
        <v>6677</v>
      </c>
      <c r="AG162" s="309">
        <v>962</v>
      </c>
      <c r="AH162" s="309">
        <f t="shared" si="55"/>
        <v>2460283</v>
      </c>
      <c r="AI162" s="309">
        <f t="shared" si="56"/>
        <v>208137</v>
      </c>
      <c r="AJ162" s="309">
        <f t="shared" si="57"/>
        <v>2668420</v>
      </c>
      <c r="AK162" s="309">
        <v>2325</v>
      </c>
      <c r="AL162" s="309">
        <f t="shared" si="58"/>
        <v>197</v>
      </c>
      <c r="AM162" s="311">
        <f t="shared" si="59"/>
        <v>2670942</v>
      </c>
      <c r="AO162" s="458"/>
      <c r="AP162" s="459"/>
      <c r="AQ162" s="459"/>
      <c r="AR162" s="460"/>
      <c r="AS162" s="316"/>
      <c r="AT162" s="458"/>
      <c r="AU162" s="459"/>
      <c r="AV162" s="459"/>
      <c r="AW162" s="459"/>
      <c r="AX162" s="459"/>
      <c r="AY162" s="460"/>
    </row>
    <row r="163" spans="1:51" ht="15" hidden="1" outlineLevel="1" x14ac:dyDescent="0.25">
      <c r="A163" s="295">
        <f t="shared" si="49"/>
        <v>2033</v>
      </c>
      <c r="B163" s="295">
        <f t="shared" si="50"/>
        <v>2</v>
      </c>
      <c r="C163" s="305">
        <f t="shared" si="51"/>
        <v>48611</v>
      </c>
      <c r="E163" s="310">
        <v>1046421</v>
      </c>
      <c r="F163" s="309">
        <v>725587</v>
      </c>
      <c r="G163" s="309">
        <v>68675</v>
      </c>
      <c r="H163" s="309">
        <v>4791</v>
      </c>
      <c r="I163" s="309">
        <v>846</v>
      </c>
      <c r="J163" s="309">
        <f t="shared" si="60"/>
        <v>1846320</v>
      </c>
      <c r="K163" s="309">
        <f t="shared" si="61"/>
        <v>156196</v>
      </c>
      <c r="L163" s="309">
        <f t="shared" si="62"/>
        <v>2002516</v>
      </c>
      <c r="M163" s="309">
        <v>2433</v>
      </c>
      <c r="N163" s="309">
        <f t="shared" si="52"/>
        <v>206</v>
      </c>
      <c r="O163" s="311">
        <f t="shared" si="53"/>
        <v>2005155</v>
      </c>
      <c r="P163" s="309"/>
      <c r="Q163" s="310">
        <v>1184991.3056441441</v>
      </c>
      <c r="R163" s="309">
        <v>831940.88932020334</v>
      </c>
      <c r="S163" s="309">
        <v>74777</v>
      </c>
      <c r="T163" s="309">
        <f t="shared" si="63"/>
        <v>6164</v>
      </c>
      <c r="U163" s="309">
        <f t="shared" si="63"/>
        <v>846</v>
      </c>
      <c r="V163" s="309">
        <f t="shared" si="64"/>
        <v>2098719.1949643474</v>
      </c>
      <c r="W163" s="309">
        <f t="shared" si="65"/>
        <v>177548.80503565259</v>
      </c>
      <c r="X163" s="309">
        <f t="shared" si="66"/>
        <v>2276268</v>
      </c>
      <c r="Y163" s="309">
        <f t="shared" si="67"/>
        <v>2433</v>
      </c>
      <c r="Z163" s="309">
        <f t="shared" si="54"/>
        <v>206</v>
      </c>
      <c r="AA163" s="311">
        <f t="shared" si="68"/>
        <v>2278907</v>
      </c>
      <c r="AC163" s="310">
        <v>1250991</v>
      </c>
      <c r="AD163" s="309">
        <v>854540</v>
      </c>
      <c r="AE163" s="309">
        <v>74777</v>
      </c>
      <c r="AF163" s="309">
        <v>6164</v>
      </c>
      <c r="AG163" s="309">
        <v>846</v>
      </c>
      <c r="AH163" s="309">
        <f t="shared" si="55"/>
        <v>2187318</v>
      </c>
      <c r="AI163" s="309">
        <f t="shared" si="56"/>
        <v>185044</v>
      </c>
      <c r="AJ163" s="309">
        <f t="shared" si="57"/>
        <v>2372362</v>
      </c>
      <c r="AK163" s="309">
        <v>2433</v>
      </c>
      <c r="AL163" s="309">
        <f t="shared" si="58"/>
        <v>206</v>
      </c>
      <c r="AM163" s="311">
        <f t="shared" si="59"/>
        <v>2375001</v>
      </c>
      <c r="AO163" s="458"/>
      <c r="AP163" s="459"/>
      <c r="AQ163" s="459"/>
      <c r="AR163" s="460"/>
      <c r="AS163" s="316"/>
      <c r="AT163" s="458"/>
      <c r="AU163" s="459"/>
      <c r="AV163" s="459"/>
      <c r="AW163" s="459"/>
      <c r="AX163" s="459"/>
      <c r="AY163" s="460"/>
    </row>
    <row r="164" spans="1:51" ht="15" hidden="1" outlineLevel="1" x14ac:dyDescent="0.25">
      <c r="A164" s="295">
        <f t="shared" si="49"/>
        <v>2033</v>
      </c>
      <c r="B164" s="295">
        <f t="shared" si="50"/>
        <v>3</v>
      </c>
      <c r="C164" s="305">
        <f t="shared" si="51"/>
        <v>48639</v>
      </c>
      <c r="E164" s="310">
        <v>1040409</v>
      </c>
      <c r="F164" s="309">
        <v>754296</v>
      </c>
      <c r="G164" s="309">
        <v>75599</v>
      </c>
      <c r="H164" s="309">
        <v>4248</v>
      </c>
      <c r="I164" s="309">
        <v>755</v>
      </c>
      <c r="J164" s="309">
        <f t="shared" si="60"/>
        <v>1875307</v>
      </c>
      <c r="K164" s="309">
        <f t="shared" si="61"/>
        <v>158648</v>
      </c>
      <c r="L164" s="309">
        <f>ROUNDDOWN(J164/(1-0.078), 0)</f>
        <v>2033955</v>
      </c>
      <c r="M164" s="309">
        <v>2339</v>
      </c>
      <c r="N164" s="309">
        <f t="shared" si="52"/>
        <v>198</v>
      </c>
      <c r="O164" s="311">
        <f t="shared" si="53"/>
        <v>2036492</v>
      </c>
      <c r="P164" s="309"/>
      <c r="Q164" s="310">
        <v>1179398.7459427246</v>
      </c>
      <c r="R164" s="309">
        <v>883145.8212305659</v>
      </c>
      <c r="S164" s="309">
        <v>82635</v>
      </c>
      <c r="T164" s="309">
        <f t="shared" si="63"/>
        <v>5705</v>
      </c>
      <c r="U164" s="309">
        <f t="shared" si="63"/>
        <v>755</v>
      </c>
      <c r="V164" s="309">
        <f t="shared" si="64"/>
        <v>2151639.5671732905</v>
      </c>
      <c r="W164" s="309">
        <f t="shared" si="65"/>
        <v>182025.43282670947</v>
      </c>
      <c r="X164" s="309">
        <f t="shared" si="66"/>
        <v>2333665</v>
      </c>
      <c r="Y164" s="309">
        <f t="shared" si="67"/>
        <v>2339</v>
      </c>
      <c r="Z164" s="309">
        <f t="shared" si="54"/>
        <v>198</v>
      </c>
      <c r="AA164" s="311">
        <f t="shared" si="68"/>
        <v>2336202</v>
      </c>
      <c r="AC164" s="310">
        <v>1244179</v>
      </c>
      <c r="AD164" s="309">
        <v>909831</v>
      </c>
      <c r="AE164" s="309">
        <v>82635</v>
      </c>
      <c r="AF164" s="309">
        <v>5705</v>
      </c>
      <c r="AG164" s="309">
        <v>755</v>
      </c>
      <c r="AH164" s="309">
        <f t="shared" si="55"/>
        <v>2243105</v>
      </c>
      <c r="AI164" s="309">
        <f t="shared" si="56"/>
        <v>189764</v>
      </c>
      <c r="AJ164" s="309">
        <f t="shared" si="57"/>
        <v>2432869</v>
      </c>
      <c r="AK164" s="309">
        <v>2339</v>
      </c>
      <c r="AL164" s="309">
        <f t="shared" si="58"/>
        <v>198</v>
      </c>
      <c r="AM164" s="311">
        <f t="shared" si="59"/>
        <v>2435406</v>
      </c>
      <c r="AO164" s="458"/>
      <c r="AP164" s="459"/>
      <c r="AQ164" s="459"/>
      <c r="AR164" s="460"/>
      <c r="AS164" s="316"/>
      <c r="AT164" s="458"/>
      <c r="AU164" s="459"/>
      <c r="AV164" s="459"/>
      <c r="AW164" s="459"/>
      <c r="AX164" s="459"/>
      <c r="AY164" s="460"/>
    </row>
    <row r="165" spans="1:51" ht="15" hidden="1" outlineLevel="1" x14ac:dyDescent="0.25">
      <c r="A165" s="295">
        <f t="shared" si="49"/>
        <v>2033</v>
      </c>
      <c r="B165" s="295">
        <f t="shared" si="50"/>
        <v>4</v>
      </c>
      <c r="C165" s="305">
        <f t="shared" si="51"/>
        <v>48670</v>
      </c>
      <c r="E165" s="310">
        <v>948301</v>
      </c>
      <c r="F165" s="309">
        <v>748083</v>
      </c>
      <c r="G165" s="309">
        <v>77169</v>
      </c>
      <c r="H165" s="309">
        <v>4806</v>
      </c>
      <c r="I165" s="309">
        <v>623</v>
      </c>
      <c r="J165" s="309">
        <f t="shared" si="60"/>
        <v>1778982</v>
      </c>
      <c r="K165" s="309">
        <f t="shared" si="61"/>
        <v>150499</v>
      </c>
      <c r="L165" s="309">
        <f>ROUNDDOWN(J165/(1-0.078), 0)</f>
        <v>1929481</v>
      </c>
      <c r="M165" s="309">
        <v>2172</v>
      </c>
      <c r="N165" s="309">
        <f t="shared" si="52"/>
        <v>184</v>
      </c>
      <c r="O165" s="311">
        <f t="shared" si="53"/>
        <v>1931837</v>
      </c>
      <c r="P165" s="309"/>
      <c r="Q165" s="310">
        <v>1071101.8572399826</v>
      </c>
      <c r="R165" s="309">
        <v>865694.24427238328</v>
      </c>
      <c r="S165" s="309">
        <v>83794</v>
      </c>
      <c r="T165" s="309">
        <f t="shared" si="63"/>
        <v>6044</v>
      </c>
      <c r="U165" s="309">
        <f t="shared" si="63"/>
        <v>623</v>
      </c>
      <c r="V165" s="309">
        <f t="shared" si="64"/>
        <v>2027257.101512366</v>
      </c>
      <c r="W165" s="309">
        <f t="shared" si="65"/>
        <v>171502.89848763403</v>
      </c>
      <c r="X165" s="309">
        <f t="shared" si="66"/>
        <v>2198760</v>
      </c>
      <c r="Y165" s="309">
        <f t="shared" si="67"/>
        <v>2172</v>
      </c>
      <c r="Z165" s="309">
        <f t="shared" si="54"/>
        <v>184</v>
      </c>
      <c r="AA165" s="311">
        <f t="shared" si="68"/>
        <v>2201116</v>
      </c>
      <c r="AC165" s="310">
        <v>1126039</v>
      </c>
      <c r="AD165" s="309">
        <v>891436</v>
      </c>
      <c r="AE165" s="309">
        <v>83794</v>
      </c>
      <c r="AF165" s="309">
        <v>6044</v>
      </c>
      <c r="AG165" s="309">
        <v>623</v>
      </c>
      <c r="AH165" s="309">
        <f t="shared" si="55"/>
        <v>2107936</v>
      </c>
      <c r="AI165" s="309">
        <f t="shared" si="56"/>
        <v>178329</v>
      </c>
      <c r="AJ165" s="309">
        <f t="shared" si="57"/>
        <v>2286265</v>
      </c>
      <c r="AK165" s="309">
        <v>2172</v>
      </c>
      <c r="AL165" s="309">
        <f t="shared" si="58"/>
        <v>184</v>
      </c>
      <c r="AM165" s="311">
        <f t="shared" si="59"/>
        <v>2288621</v>
      </c>
      <c r="AO165" s="458"/>
      <c r="AP165" s="459"/>
      <c r="AQ165" s="459"/>
      <c r="AR165" s="460"/>
      <c r="AS165" s="316"/>
      <c r="AT165" s="458"/>
      <c r="AU165" s="459"/>
      <c r="AV165" s="459"/>
      <c r="AW165" s="459"/>
      <c r="AX165" s="459"/>
      <c r="AY165" s="460"/>
    </row>
    <row r="166" spans="1:51" ht="15" hidden="1" outlineLevel="1" x14ac:dyDescent="0.25">
      <c r="A166" s="295">
        <f t="shared" si="49"/>
        <v>2033</v>
      </c>
      <c r="B166" s="295">
        <f t="shared" si="50"/>
        <v>5</v>
      </c>
      <c r="C166" s="305">
        <f t="shared" si="51"/>
        <v>48700</v>
      </c>
      <c r="E166" s="310">
        <v>819031</v>
      </c>
      <c r="F166" s="309">
        <v>686678</v>
      </c>
      <c r="G166" s="309">
        <v>72281</v>
      </c>
      <c r="H166" s="309">
        <v>4684</v>
      </c>
      <c r="I166" s="309">
        <v>432</v>
      </c>
      <c r="J166" s="309">
        <f t="shared" si="60"/>
        <v>1583106</v>
      </c>
      <c r="K166" s="309">
        <f t="shared" si="61"/>
        <v>133929</v>
      </c>
      <c r="L166" s="309">
        <f t="shared" si="62"/>
        <v>1717035</v>
      </c>
      <c r="M166" s="309">
        <v>2174</v>
      </c>
      <c r="N166" s="309">
        <f t="shared" si="52"/>
        <v>184</v>
      </c>
      <c r="O166" s="311">
        <f t="shared" si="53"/>
        <v>1719393</v>
      </c>
      <c r="P166" s="309"/>
      <c r="Q166" s="310">
        <v>908589.61409597599</v>
      </c>
      <c r="R166" s="309">
        <v>817821.1943356588</v>
      </c>
      <c r="S166" s="309">
        <v>79136</v>
      </c>
      <c r="T166" s="309">
        <f t="shared" si="63"/>
        <v>5788</v>
      </c>
      <c r="U166" s="309">
        <f t="shared" si="63"/>
        <v>432</v>
      </c>
      <c r="V166" s="309">
        <f t="shared" si="64"/>
        <v>1811766.8084316347</v>
      </c>
      <c r="W166" s="309">
        <f t="shared" si="65"/>
        <v>153273.19156836532</v>
      </c>
      <c r="X166" s="309">
        <f t="shared" si="66"/>
        <v>1965040</v>
      </c>
      <c r="Y166" s="309">
        <f t="shared" si="67"/>
        <v>2174</v>
      </c>
      <c r="Z166" s="309">
        <f t="shared" si="54"/>
        <v>184</v>
      </c>
      <c r="AA166" s="311">
        <f t="shared" si="68"/>
        <v>1967398</v>
      </c>
      <c r="AC166" s="310">
        <v>960870</v>
      </c>
      <c r="AD166" s="309">
        <v>844350</v>
      </c>
      <c r="AE166" s="309">
        <v>79136</v>
      </c>
      <c r="AF166" s="309">
        <v>5788</v>
      </c>
      <c r="AG166" s="309">
        <v>432</v>
      </c>
      <c r="AH166" s="309">
        <f t="shared" si="55"/>
        <v>1890576</v>
      </c>
      <c r="AI166" s="309">
        <f t="shared" si="56"/>
        <v>159940</v>
      </c>
      <c r="AJ166" s="309">
        <f t="shared" si="57"/>
        <v>2050516</v>
      </c>
      <c r="AK166" s="309">
        <v>2174</v>
      </c>
      <c r="AL166" s="309">
        <f t="shared" si="58"/>
        <v>184</v>
      </c>
      <c r="AM166" s="311">
        <f t="shared" si="59"/>
        <v>2052874</v>
      </c>
      <c r="AO166" s="458"/>
      <c r="AP166" s="459"/>
      <c r="AQ166" s="459"/>
      <c r="AR166" s="460"/>
      <c r="AS166" s="316"/>
      <c r="AT166" s="458"/>
      <c r="AU166" s="459"/>
      <c r="AV166" s="459"/>
      <c r="AW166" s="459"/>
      <c r="AX166" s="459"/>
      <c r="AY166" s="460"/>
    </row>
    <row r="167" spans="1:51" ht="15" hidden="1" outlineLevel="1" x14ac:dyDescent="0.25">
      <c r="A167" s="295">
        <f t="shared" si="49"/>
        <v>2033</v>
      </c>
      <c r="B167" s="295">
        <f t="shared" si="50"/>
        <v>6</v>
      </c>
      <c r="C167" s="305">
        <f t="shared" si="51"/>
        <v>48731</v>
      </c>
      <c r="E167" s="310">
        <v>801335</v>
      </c>
      <c r="F167" s="309">
        <v>716342</v>
      </c>
      <c r="G167" s="309">
        <v>74026</v>
      </c>
      <c r="H167" s="309">
        <v>4641</v>
      </c>
      <c r="I167" s="309">
        <v>316</v>
      </c>
      <c r="J167" s="309">
        <f t="shared" si="60"/>
        <v>1596660</v>
      </c>
      <c r="K167" s="309">
        <f t="shared" si="61"/>
        <v>135075</v>
      </c>
      <c r="L167" s="309">
        <f t="shared" si="62"/>
        <v>1731735</v>
      </c>
      <c r="M167" s="309">
        <v>1787</v>
      </c>
      <c r="N167" s="309">
        <f t="shared" si="52"/>
        <v>151</v>
      </c>
      <c r="O167" s="311">
        <f t="shared" si="53"/>
        <v>1733673</v>
      </c>
      <c r="P167" s="309"/>
      <c r="Q167" s="310">
        <v>867283.70986294665</v>
      </c>
      <c r="R167" s="309">
        <v>840941.99948912649</v>
      </c>
      <c r="S167" s="309">
        <v>80799</v>
      </c>
      <c r="T167" s="309">
        <f t="shared" si="63"/>
        <v>5575</v>
      </c>
      <c r="U167" s="309">
        <f t="shared" si="63"/>
        <v>316</v>
      </c>
      <c r="V167" s="309">
        <f t="shared" si="64"/>
        <v>1794915.7093520733</v>
      </c>
      <c r="W167" s="309">
        <f t="shared" si="65"/>
        <v>151847.29064792674</v>
      </c>
      <c r="X167" s="309">
        <f t="shared" si="66"/>
        <v>1946763</v>
      </c>
      <c r="Y167" s="309">
        <f t="shared" si="67"/>
        <v>1787</v>
      </c>
      <c r="Z167" s="309">
        <f t="shared" si="54"/>
        <v>151</v>
      </c>
      <c r="AA167" s="311">
        <f t="shared" si="68"/>
        <v>1948701</v>
      </c>
      <c r="AC167" s="310">
        <v>910545</v>
      </c>
      <c r="AD167" s="309">
        <v>866949</v>
      </c>
      <c r="AE167" s="309">
        <v>80799</v>
      </c>
      <c r="AF167" s="309">
        <v>5575</v>
      </c>
      <c r="AG167" s="309">
        <v>316</v>
      </c>
      <c r="AH167" s="309">
        <f t="shared" si="55"/>
        <v>1864184</v>
      </c>
      <c r="AI167" s="309">
        <f t="shared" si="56"/>
        <v>157708</v>
      </c>
      <c r="AJ167" s="309">
        <f t="shared" si="57"/>
        <v>2021892</v>
      </c>
      <c r="AK167" s="309">
        <v>1787</v>
      </c>
      <c r="AL167" s="309">
        <f t="shared" si="58"/>
        <v>151</v>
      </c>
      <c r="AM167" s="311">
        <f t="shared" si="59"/>
        <v>2023830</v>
      </c>
      <c r="AO167" s="458"/>
      <c r="AP167" s="459"/>
      <c r="AQ167" s="459"/>
      <c r="AR167" s="460"/>
      <c r="AS167" s="316"/>
      <c r="AT167" s="458"/>
      <c r="AU167" s="459"/>
      <c r="AV167" s="459"/>
      <c r="AW167" s="459"/>
      <c r="AX167" s="459"/>
      <c r="AY167" s="460"/>
    </row>
    <row r="168" spans="1:51" ht="15" hidden="1" outlineLevel="1" x14ac:dyDescent="0.25">
      <c r="A168" s="295">
        <f t="shared" si="49"/>
        <v>2033</v>
      </c>
      <c r="B168" s="295">
        <f t="shared" si="50"/>
        <v>7</v>
      </c>
      <c r="C168" s="305">
        <f t="shared" si="51"/>
        <v>48761</v>
      </c>
      <c r="E168" s="310">
        <v>853265</v>
      </c>
      <c r="F168" s="309">
        <v>746363</v>
      </c>
      <c r="G168" s="309">
        <v>81184</v>
      </c>
      <c r="H168" s="309">
        <v>4300</v>
      </c>
      <c r="I168" s="309">
        <v>288</v>
      </c>
      <c r="J168" s="309">
        <f t="shared" si="60"/>
        <v>1685400</v>
      </c>
      <c r="K168" s="309">
        <f t="shared" si="61"/>
        <v>142583</v>
      </c>
      <c r="L168" s="309">
        <f t="shared" si="62"/>
        <v>1827983</v>
      </c>
      <c r="M168" s="309">
        <v>2889</v>
      </c>
      <c r="N168" s="309">
        <f t="shared" si="52"/>
        <v>244</v>
      </c>
      <c r="O168" s="311">
        <f t="shared" si="53"/>
        <v>1831116</v>
      </c>
      <c r="P168" s="309"/>
      <c r="Q168" s="310">
        <v>922002.83460228774</v>
      </c>
      <c r="R168" s="309">
        <v>879700.07443849859</v>
      </c>
      <c r="S168" s="309">
        <v>88147</v>
      </c>
      <c r="T168" s="309">
        <f t="shared" si="63"/>
        <v>5405</v>
      </c>
      <c r="U168" s="309">
        <f t="shared" si="63"/>
        <v>288</v>
      </c>
      <c r="V168" s="309">
        <f t="shared" si="64"/>
        <v>1895542.9090407863</v>
      </c>
      <c r="W168" s="309">
        <f t="shared" si="65"/>
        <v>160360.09095921367</v>
      </c>
      <c r="X168" s="309">
        <f t="shared" si="66"/>
        <v>2055903</v>
      </c>
      <c r="Y168" s="309">
        <f t="shared" si="67"/>
        <v>2889</v>
      </c>
      <c r="Z168" s="309">
        <f t="shared" si="54"/>
        <v>244</v>
      </c>
      <c r="AA168" s="311">
        <f t="shared" si="68"/>
        <v>2059036</v>
      </c>
      <c r="AC168" s="310">
        <v>971558</v>
      </c>
      <c r="AD168" s="309">
        <v>908811</v>
      </c>
      <c r="AE168" s="309">
        <v>88147</v>
      </c>
      <c r="AF168" s="309">
        <v>5405</v>
      </c>
      <c r="AG168" s="309">
        <v>288</v>
      </c>
      <c r="AH168" s="309">
        <f t="shared" si="55"/>
        <v>1974209</v>
      </c>
      <c r="AI168" s="309">
        <f t="shared" si="56"/>
        <v>167016</v>
      </c>
      <c r="AJ168" s="309">
        <f t="shared" si="57"/>
        <v>2141225</v>
      </c>
      <c r="AK168" s="309">
        <v>2889</v>
      </c>
      <c r="AL168" s="309">
        <f t="shared" si="58"/>
        <v>244</v>
      </c>
      <c r="AM168" s="311">
        <f t="shared" si="59"/>
        <v>2144358</v>
      </c>
      <c r="AO168" s="458"/>
      <c r="AP168" s="459"/>
      <c r="AQ168" s="459"/>
      <c r="AR168" s="460"/>
      <c r="AS168" s="316"/>
      <c r="AT168" s="458"/>
      <c r="AU168" s="459"/>
      <c r="AV168" s="459"/>
      <c r="AW168" s="459"/>
      <c r="AX168" s="459"/>
      <c r="AY168" s="460"/>
    </row>
    <row r="169" spans="1:51" ht="15" hidden="1" outlineLevel="1" x14ac:dyDescent="0.25">
      <c r="A169" s="295">
        <f t="shared" si="49"/>
        <v>2033</v>
      </c>
      <c r="B169" s="295">
        <f t="shared" si="50"/>
        <v>8</v>
      </c>
      <c r="C169" s="305">
        <f t="shared" si="51"/>
        <v>48792</v>
      </c>
      <c r="E169" s="310">
        <v>865581</v>
      </c>
      <c r="F169" s="309">
        <v>745709</v>
      </c>
      <c r="G169" s="309">
        <v>81939</v>
      </c>
      <c r="H169" s="309">
        <v>4539</v>
      </c>
      <c r="I169" s="309">
        <v>280</v>
      </c>
      <c r="J169" s="309">
        <f t="shared" si="60"/>
        <v>1698048</v>
      </c>
      <c r="K169" s="309">
        <f t="shared" si="61"/>
        <v>143653</v>
      </c>
      <c r="L169" s="309">
        <f t="shared" si="62"/>
        <v>1841701</v>
      </c>
      <c r="M169" s="309">
        <v>1634</v>
      </c>
      <c r="N169" s="309">
        <f t="shared" si="52"/>
        <v>138</v>
      </c>
      <c r="O169" s="311">
        <f t="shared" si="53"/>
        <v>1843473</v>
      </c>
      <c r="P169" s="309"/>
      <c r="Q169" s="310">
        <v>934732.18185677344</v>
      </c>
      <c r="R169" s="309">
        <v>881544.09339621884</v>
      </c>
      <c r="S169" s="309">
        <v>89221</v>
      </c>
      <c r="T169" s="309">
        <f t="shared" si="63"/>
        <v>5817</v>
      </c>
      <c r="U169" s="309">
        <f t="shared" si="63"/>
        <v>280</v>
      </c>
      <c r="V169" s="309">
        <f t="shared" si="64"/>
        <v>1911594.2752529923</v>
      </c>
      <c r="W169" s="309">
        <f t="shared" si="65"/>
        <v>161718.72474700771</v>
      </c>
      <c r="X169" s="309">
        <f t="shared" si="66"/>
        <v>2073313</v>
      </c>
      <c r="Y169" s="309">
        <f t="shared" si="67"/>
        <v>1634</v>
      </c>
      <c r="Z169" s="309">
        <f t="shared" si="54"/>
        <v>138</v>
      </c>
      <c r="AA169" s="311">
        <f t="shared" si="68"/>
        <v>2075085</v>
      </c>
      <c r="AC169" s="310">
        <v>983111</v>
      </c>
      <c r="AD169" s="309">
        <v>910597</v>
      </c>
      <c r="AE169" s="309">
        <v>89221</v>
      </c>
      <c r="AF169" s="309">
        <v>5817</v>
      </c>
      <c r="AG169" s="309">
        <v>280</v>
      </c>
      <c r="AH169" s="309">
        <f t="shared" si="55"/>
        <v>1989026</v>
      </c>
      <c r="AI169" s="309">
        <f t="shared" si="56"/>
        <v>168269</v>
      </c>
      <c r="AJ169" s="309">
        <f t="shared" si="57"/>
        <v>2157295</v>
      </c>
      <c r="AK169" s="309">
        <v>1634</v>
      </c>
      <c r="AL169" s="309">
        <f t="shared" si="58"/>
        <v>138</v>
      </c>
      <c r="AM169" s="311">
        <f t="shared" si="59"/>
        <v>2159067</v>
      </c>
      <c r="AO169" s="458"/>
      <c r="AP169" s="459"/>
      <c r="AQ169" s="459"/>
      <c r="AR169" s="460"/>
      <c r="AS169" s="316"/>
      <c r="AT169" s="458"/>
      <c r="AU169" s="459"/>
      <c r="AV169" s="459"/>
      <c r="AW169" s="459"/>
      <c r="AX169" s="459"/>
      <c r="AY169" s="460"/>
    </row>
    <row r="170" spans="1:51" ht="15" hidden="1" outlineLevel="1" x14ac:dyDescent="0.25">
      <c r="A170" s="295">
        <f t="shared" si="49"/>
        <v>2033</v>
      </c>
      <c r="B170" s="295">
        <f t="shared" si="50"/>
        <v>9</v>
      </c>
      <c r="C170" s="305">
        <f t="shared" si="51"/>
        <v>48823</v>
      </c>
      <c r="E170" s="310">
        <v>788943</v>
      </c>
      <c r="F170" s="309">
        <v>710080</v>
      </c>
      <c r="G170" s="309">
        <v>78650</v>
      </c>
      <c r="H170" s="309">
        <v>4823</v>
      </c>
      <c r="I170" s="309">
        <v>354</v>
      </c>
      <c r="J170" s="309">
        <f t="shared" si="60"/>
        <v>1582850</v>
      </c>
      <c r="K170" s="309">
        <f t="shared" si="61"/>
        <v>133907</v>
      </c>
      <c r="L170" s="309">
        <f t="shared" si="62"/>
        <v>1716757</v>
      </c>
      <c r="M170" s="309">
        <v>1428</v>
      </c>
      <c r="N170" s="309">
        <f t="shared" si="52"/>
        <v>121</v>
      </c>
      <c r="O170" s="311">
        <f t="shared" si="53"/>
        <v>1718306</v>
      </c>
      <c r="P170" s="309"/>
      <c r="Q170" s="310">
        <v>864570.53410089749</v>
      </c>
      <c r="R170" s="309">
        <v>838420.0643799965</v>
      </c>
      <c r="S170" s="309">
        <v>85511</v>
      </c>
      <c r="T170" s="309">
        <f t="shared" si="63"/>
        <v>6115</v>
      </c>
      <c r="U170" s="309">
        <f t="shared" si="63"/>
        <v>354</v>
      </c>
      <c r="V170" s="309">
        <f t="shared" si="64"/>
        <v>1794970.598480894</v>
      </c>
      <c r="W170" s="309">
        <f t="shared" si="65"/>
        <v>151852.401519106</v>
      </c>
      <c r="X170" s="309">
        <f t="shared" si="66"/>
        <v>1946823</v>
      </c>
      <c r="Y170" s="309">
        <f t="shared" si="67"/>
        <v>1428</v>
      </c>
      <c r="Z170" s="309">
        <f t="shared" si="54"/>
        <v>121</v>
      </c>
      <c r="AA170" s="311">
        <f t="shared" si="68"/>
        <v>1948372</v>
      </c>
      <c r="AC170" s="310">
        <v>909517</v>
      </c>
      <c r="AD170" s="309">
        <v>863655</v>
      </c>
      <c r="AE170" s="309">
        <v>85511</v>
      </c>
      <c r="AF170" s="309">
        <v>6115</v>
      </c>
      <c r="AG170" s="309">
        <v>354</v>
      </c>
      <c r="AH170" s="309">
        <f t="shared" si="55"/>
        <v>1865152</v>
      </c>
      <c r="AI170" s="309">
        <f t="shared" si="56"/>
        <v>157789</v>
      </c>
      <c r="AJ170" s="309">
        <f t="shared" si="57"/>
        <v>2022941</v>
      </c>
      <c r="AK170" s="309">
        <v>1428</v>
      </c>
      <c r="AL170" s="309">
        <f t="shared" si="58"/>
        <v>121</v>
      </c>
      <c r="AM170" s="311">
        <f t="shared" si="59"/>
        <v>2024490</v>
      </c>
      <c r="AO170" s="458"/>
      <c r="AP170" s="459"/>
      <c r="AQ170" s="459"/>
      <c r="AR170" s="460"/>
      <c r="AS170" s="316"/>
      <c r="AT170" s="458"/>
      <c r="AU170" s="459"/>
      <c r="AV170" s="459"/>
      <c r="AW170" s="459"/>
      <c r="AX170" s="459"/>
      <c r="AY170" s="460"/>
    </row>
    <row r="171" spans="1:51" ht="15" hidden="1" outlineLevel="1" x14ac:dyDescent="0.25">
      <c r="A171" s="295">
        <f t="shared" ref="A171:A234" si="69">A159+1</f>
        <v>2033</v>
      </c>
      <c r="B171" s="295">
        <f t="shared" ref="B171:B234" si="70">B159</f>
        <v>10</v>
      </c>
      <c r="C171" s="305">
        <f t="shared" si="51"/>
        <v>48853</v>
      </c>
      <c r="E171" s="310">
        <v>879713</v>
      </c>
      <c r="F171" s="309">
        <v>718304</v>
      </c>
      <c r="G171" s="309">
        <v>74461</v>
      </c>
      <c r="H171" s="309">
        <v>4428</v>
      </c>
      <c r="I171" s="309">
        <v>468</v>
      </c>
      <c r="J171" s="309">
        <f t="shared" si="60"/>
        <v>1677374</v>
      </c>
      <c r="K171" s="309">
        <f t="shared" si="61"/>
        <v>141904</v>
      </c>
      <c r="L171" s="309">
        <f t="shared" si="62"/>
        <v>1819278</v>
      </c>
      <c r="M171" s="309">
        <v>1830</v>
      </c>
      <c r="N171" s="309">
        <f t="shared" si="52"/>
        <v>155</v>
      </c>
      <c r="O171" s="311">
        <f t="shared" si="53"/>
        <v>1821263</v>
      </c>
      <c r="P171" s="309"/>
      <c r="Q171" s="310">
        <v>989228.98020594602</v>
      </c>
      <c r="R171" s="309">
        <v>848115.7281449798</v>
      </c>
      <c r="S171" s="309">
        <v>81676</v>
      </c>
      <c r="T171" s="309">
        <f t="shared" si="63"/>
        <v>6072</v>
      </c>
      <c r="U171" s="309">
        <f t="shared" si="63"/>
        <v>468</v>
      </c>
      <c r="V171" s="309">
        <f t="shared" si="64"/>
        <v>1925560.7083509257</v>
      </c>
      <c r="W171" s="309">
        <f t="shared" si="65"/>
        <v>162900.29164907429</v>
      </c>
      <c r="X171" s="309">
        <f t="shared" si="66"/>
        <v>2088461</v>
      </c>
      <c r="Y171" s="309">
        <f t="shared" si="67"/>
        <v>1830</v>
      </c>
      <c r="Z171" s="309">
        <f t="shared" si="54"/>
        <v>155</v>
      </c>
      <c r="AA171" s="311">
        <f t="shared" si="68"/>
        <v>2090446</v>
      </c>
      <c r="AC171" s="310">
        <v>1048521</v>
      </c>
      <c r="AD171" s="309">
        <v>873833</v>
      </c>
      <c r="AE171" s="309">
        <v>81676</v>
      </c>
      <c r="AF171" s="309">
        <v>6072</v>
      </c>
      <c r="AG171" s="309">
        <v>468</v>
      </c>
      <c r="AH171" s="309">
        <f t="shared" si="55"/>
        <v>2010570</v>
      </c>
      <c r="AI171" s="309">
        <f t="shared" si="56"/>
        <v>170092</v>
      </c>
      <c r="AJ171" s="309">
        <f t="shared" si="57"/>
        <v>2180662</v>
      </c>
      <c r="AK171" s="309">
        <v>1830</v>
      </c>
      <c r="AL171" s="309">
        <f t="shared" si="58"/>
        <v>155</v>
      </c>
      <c r="AM171" s="311">
        <f t="shared" si="59"/>
        <v>2182647</v>
      </c>
      <c r="AO171" s="458"/>
      <c r="AP171" s="459"/>
      <c r="AQ171" s="459"/>
      <c r="AR171" s="460"/>
      <c r="AS171" s="316"/>
      <c r="AT171" s="458"/>
      <c r="AU171" s="459"/>
      <c r="AV171" s="459"/>
      <c r="AW171" s="459"/>
      <c r="AX171" s="459"/>
      <c r="AY171" s="460"/>
    </row>
    <row r="172" spans="1:51" ht="15" hidden="1" outlineLevel="1" x14ac:dyDescent="0.25">
      <c r="A172" s="295">
        <f t="shared" si="69"/>
        <v>2033</v>
      </c>
      <c r="B172" s="295">
        <f t="shared" si="70"/>
        <v>11</v>
      </c>
      <c r="C172" s="305">
        <f t="shared" si="51"/>
        <v>48884</v>
      </c>
      <c r="E172" s="310">
        <v>1087092</v>
      </c>
      <c r="F172" s="309">
        <v>748668</v>
      </c>
      <c r="G172" s="309">
        <v>78739</v>
      </c>
      <c r="H172" s="309">
        <v>4941</v>
      </c>
      <c r="I172" s="309">
        <v>768</v>
      </c>
      <c r="J172" s="309">
        <f t="shared" si="60"/>
        <v>1920208</v>
      </c>
      <c r="K172" s="309">
        <f t="shared" si="61"/>
        <v>162447</v>
      </c>
      <c r="L172" s="309">
        <f t="shared" si="62"/>
        <v>2082655</v>
      </c>
      <c r="M172" s="309">
        <v>1832</v>
      </c>
      <c r="N172" s="309">
        <f t="shared" si="52"/>
        <v>155</v>
      </c>
      <c r="O172" s="311">
        <f t="shared" si="53"/>
        <v>2084642</v>
      </c>
      <c r="P172" s="309"/>
      <c r="Q172" s="310">
        <v>1230320.8224763183</v>
      </c>
      <c r="R172" s="309">
        <v>871336.41770782019</v>
      </c>
      <c r="S172" s="309">
        <v>85325</v>
      </c>
      <c r="T172" s="309">
        <f t="shared" si="63"/>
        <v>6749</v>
      </c>
      <c r="U172" s="309">
        <f t="shared" si="63"/>
        <v>768</v>
      </c>
      <c r="V172" s="309">
        <f t="shared" si="64"/>
        <v>2194499.2401841385</v>
      </c>
      <c r="W172" s="309">
        <f t="shared" si="65"/>
        <v>185651.75981586147</v>
      </c>
      <c r="X172" s="309">
        <f t="shared" si="66"/>
        <v>2380151</v>
      </c>
      <c r="Y172" s="309">
        <f t="shared" si="67"/>
        <v>1832</v>
      </c>
      <c r="Z172" s="309">
        <f t="shared" si="54"/>
        <v>155</v>
      </c>
      <c r="AA172" s="311">
        <f t="shared" si="68"/>
        <v>2382138</v>
      </c>
      <c r="AC172" s="310">
        <v>1307282</v>
      </c>
      <c r="AD172" s="309">
        <v>895982</v>
      </c>
      <c r="AE172" s="309">
        <v>85325</v>
      </c>
      <c r="AF172" s="309">
        <v>6749</v>
      </c>
      <c r="AG172" s="309">
        <v>768</v>
      </c>
      <c r="AH172" s="309">
        <f t="shared" si="55"/>
        <v>2296106</v>
      </c>
      <c r="AI172" s="309">
        <f t="shared" si="56"/>
        <v>194248</v>
      </c>
      <c r="AJ172" s="309">
        <f t="shared" si="57"/>
        <v>2490354</v>
      </c>
      <c r="AK172" s="309">
        <v>1832</v>
      </c>
      <c r="AL172" s="309">
        <f t="shared" si="58"/>
        <v>155</v>
      </c>
      <c r="AM172" s="311">
        <f t="shared" si="59"/>
        <v>2492341</v>
      </c>
      <c r="AO172" s="458"/>
      <c r="AP172" s="459"/>
      <c r="AQ172" s="459"/>
      <c r="AR172" s="460"/>
      <c r="AS172" s="316"/>
      <c r="AT172" s="458"/>
      <c r="AU172" s="459"/>
      <c r="AV172" s="459"/>
      <c r="AW172" s="459"/>
      <c r="AX172" s="459"/>
      <c r="AY172" s="460"/>
    </row>
    <row r="173" spans="1:51" ht="15" hidden="1" outlineLevel="1" x14ac:dyDescent="0.25">
      <c r="A173" s="295">
        <f t="shared" si="69"/>
        <v>2033</v>
      </c>
      <c r="B173" s="295">
        <f t="shared" si="70"/>
        <v>12</v>
      </c>
      <c r="C173" s="305">
        <f t="shared" si="51"/>
        <v>48914</v>
      </c>
      <c r="E173" s="310">
        <v>1158446</v>
      </c>
      <c r="F173" s="309">
        <v>773491</v>
      </c>
      <c r="G173" s="309">
        <v>71537</v>
      </c>
      <c r="H173" s="309">
        <v>4416</v>
      </c>
      <c r="I173" s="309">
        <v>825</v>
      </c>
      <c r="J173" s="309">
        <f t="shared" si="60"/>
        <v>2008715</v>
      </c>
      <c r="K173" s="309">
        <f t="shared" si="61"/>
        <v>169935</v>
      </c>
      <c r="L173" s="309">
        <f t="shared" si="62"/>
        <v>2178650</v>
      </c>
      <c r="M173" s="309">
        <v>1718</v>
      </c>
      <c r="N173" s="309">
        <f t="shared" si="52"/>
        <v>145</v>
      </c>
      <c r="O173" s="311">
        <f t="shared" si="53"/>
        <v>2180513</v>
      </c>
      <c r="P173" s="309"/>
      <c r="Q173" s="310">
        <v>1365390.3544571281</v>
      </c>
      <c r="R173" s="309">
        <v>904165.85309882287</v>
      </c>
      <c r="S173" s="309">
        <v>78402</v>
      </c>
      <c r="T173" s="309">
        <f t="shared" si="63"/>
        <v>6351</v>
      </c>
      <c r="U173" s="309">
        <f t="shared" si="63"/>
        <v>825</v>
      </c>
      <c r="V173" s="309">
        <f t="shared" si="64"/>
        <v>2355134.2075559511</v>
      </c>
      <c r="W173" s="309">
        <f t="shared" si="65"/>
        <v>199240.79244404892</v>
      </c>
      <c r="X173" s="309">
        <f t="shared" si="66"/>
        <v>2554375</v>
      </c>
      <c r="Y173" s="309">
        <f t="shared" si="67"/>
        <v>1718</v>
      </c>
      <c r="Z173" s="309">
        <f t="shared" si="54"/>
        <v>145</v>
      </c>
      <c r="AA173" s="311">
        <f t="shared" si="68"/>
        <v>2556238</v>
      </c>
      <c r="AC173" s="310">
        <v>1466996</v>
      </c>
      <c r="AD173" s="309">
        <v>935579</v>
      </c>
      <c r="AE173" s="309">
        <v>78402</v>
      </c>
      <c r="AF173" s="309">
        <v>6351</v>
      </c>
      <c r="AG173" s="309">
        <v>825</v>
      </c>
      <c r="AH173" s="309">
        <f t="shared" si="55"/>
        <v>2488153</v>
      </c>
      <c r="AI173" s="309">
        <f t="shared" si="56"/>
        <v>210495</v>
      </c>
      <c r="AJ173" s="309">
        <f t="shared" si="57"/>
        <v>2698648</v>
      </c>
      <c r="AK173" s="309">
        <v>1718</v>
      </c>
      <c r="AL173" s="309">
        <f t="shared" si="58"/>
        <v>145</v>
      </c>
      <c r="AM173" s="311">
        <f t="shared" si="59"/>
        <v>2700511</v>
      </c>
      <c r="AO173" s="458"/>
      <c r="AP173" s="459"/>
      <c r="AQ173" s="459"/>
      <c r="AR173" s="460"/>
      <c r="AS173" s="316"/>
      <c r="AT173" s="458"/>
      <c r="AU173" s="459"/>
      <c r="AV173" s="459"/>
      <c r="AW173" s="459"/>
      <c r="AX173" s="459"/>
      <c r="AY173" s="460"/>
    </row>
    <row r="174" spans="1:51" ht="15" hidden="1" outlineLevel="1" x14ac:dyDescent="0.25">
      <c r="A174" s="295">
        <f t="shared" si="69"/>
        <v>2034</v>
      </c>
      <c r="B174" s="295">
        <f t="shared" si="70"/>
        <v>1</v>
      </c>
      <c r="C174" s="305">
        <f t="shared" si="51"/>
        <v>48945</v>
      </c>
      <c r="E174" s="310">
        <v>1204507</v>
      </c>
      <c r="F174" s="309">
        <v>786782</v>
      </c>
      <c r="G174" s="309">
        <v>68284</v>
      </c>
      <c r="H174" s="309">
        <v>4817</v>
      </c>
      <c r="I174" s="309">
        <v>962</v>
      </c>
      <c r="J174" s="309">
        <f t="shared" si="60"/>
        <v>2065352</v>
      </c>
      <c r="K174" s="309">
        <f t="shared" si="61"/>
        <v>174726</v>
      </c>
      <c r="L174" s="309">
        <f t="shared" si="62"/>
        <v>2240078</v>
      </c>
      <c r="M174" s="309">
        <v>2325</v>
      </c>
      <c r="N174" s="309">
        <f t="shared" si="52"/>
        <v>197</v>
      </c>
      <c r="O174" s="311">
        <f t="shared" si="53"/>
        <v>2242600</v>
      </c>
      <c r="P174" s="309"/>
      <c r="Q174" s="310">
        <v>1390399.8673052604</v>
      </c>
      <c r="R174" s="309">
        <v>916574.34070838219</v>
      </c>
      <c r="S174" s="309">
        <v>75205</v>
      </c>
      <c r="T174" s="309">
        <f t="shared" si="63"/>
        <v>6787</v>
      </c>
      <c r="U174" s="309">
        <f t="shared" si="63"/>
        <v>962</v>
      </c>
      <c r="V174" s="309">
        <f t="shared" si="64"/>
        <v>2389928.2080136426</v>
      </c>
      <c r="W174" s="309">
        <f t="shared" si="65"/>
        <v>202184.79198635742</v>
      </c>
      <c r="X174" s="309">
        <f t="shared" si="66"/>
        <v>2592113</v>
      </c>
      <c r="Y174" s="309">
        <f t="shared" si="67"/>
        <v>2325</v>
      </c>
      <c r="Z174" s="309">
        <f t="shared" si="54"/>
        <v>197</v>
      </c>
      <c r="AA174" s="311">
        <f t="shared" si="68"/>
        <v>2594635</v>
      </c>
      <c r="AC174" s="310">
        <v>1476527</v>
      </c>
      <c r="AD174" s="309">
        <v>946070</v>
      </c>
      <c r="AE174" s="309">
        <v>75205</v>
      </c>
      <c r="AF174" s="309">
        <v>6787</v>
      </c>
      <c r="AG174" s="309">
        <v>962</v>
      </c>
      <c r="AH174" s="309">
        <f t="shared" si="55"/>
        <v>2505551</v>
      </c>
      <c r="AI174" s="309">
        <f t="shared" si="56"/>
        <v>211966</v>
      </c>
      <c r="AJ174" s="309">
        <f t="shared" si="57"/>
        <v>2717517</v>
      </c>
      <c r="AK174" s="309">
        <v>2325</v>
      </c>
      <c r="AL174" s="309">
        <f t="shared" si="58"/>
        <v>197</v>
      </c>
      <c r="AM174" s="311">
        <f t="shared" si="59"/>
        <v>2720039</v>
      </c>
      <c r="AO174" s="458"/>
      <c r="AP174" s="459"/>
      <c r="AQ174" s="459"/>
      <c r="AR174" s="460"/>
      <c r="AS174" s="316"/>
      <c r="AT174" s="458"/>
      <c r="AU174" s="459"/>
      <c r="AV174" s="459"/>
      <c r="AW174" s="459"/>
      <c r="AX174" s="459"/>
      <c r="AY174" s="460"/>
    </row>
    <row r="175" spans="1:51" ht="15" hidden="1" outlineLevel="1" x14ac:dyDescent="0.25">
      <c r="A175" s="295">
        <f t="shared" si="69"/>
        <v>2034</v>
      </c>
      <c r="B175" s="295">
        <f t="shared" si="70"/>
        <v>2</v>
      </c>
      <c r="C175" s="305">
        <f t="shared" si="51"/>
        <v>48976</v>
      </c>
      <c r="E175" s="310">
        <v>1053658</v>
      </c>
      <c r="F175" s="309">
        <v>735694</v>
      </c>
      <c r="G175" s="309">
        <v>68485</v>
      </c>
      <c r="H175" s="309">
        <v>4754</v>
      </c>
      <c r="I175" s="309">
        <v>843</v>
      </c>
      <c r="J175" s="309">
        <f t="shared" si="60"/>
        <v>1863434</v>
      </c>
      <c r="K175" s="309">
        <f t="shared" si="61"/>
        <v>157644</v>
      </c>
      <c r="L175" s="309">
        <f t="shared" si="62"/>
        <v>2021078</v>
      </c>
      <c r="M175" s="309">
        <v>2433</v>
      </c>
      <c r="N175" s="309">
        <f t="shared" si="52"/>
        <v>206</v>
      </c>
      <c r="O175" s="311">
        <f t="shared" si="53"/>
        <v>2023717</v>
      </c>
      <c r="P175" s="309"/>
      <c r="Q175" s="310">
        <v>1200876.1692853966</v>
      </c>
      <c r="R175" s="309">
        <v>846857.14139231865</v>
      </c>
      <c r="S175" s="309">
        <v>74597</v>
      </c>
      <c r="T175" s="309">
        <f t="shared" si="63"/>
        <v>6265</v>
      </c>
      <c r="U175" s="309">
        <f t="shared" si="63"/>
        <v>843</v>
      </c>
      <c r="V175" s="309">
        <f t="shared" si="64"/>
        <v>2129438.3106777151</v>
      </c>
      <c r="W175" s="309">
        <f t="shared" si="65"/>
        <v>180147.68932228489</v>
      </c>
      <c r="X175" s="309">
        <f t="shared" si="66"/>
        <v>2309586</v>
      </c>
      <c r="Y175" s="309">
        <f t="shared" si="67"/>
        <v>2433</v>
      </c>
      <c r="Z175" s="309">
        <f t="shared" si="54"/>
        <v>206</v>
      </c>
      <c r="AA175" s="311">
        <f t="shared" si="68"/>
        <v>2312225</v>
      </c>
      <c r="AC175" s="310">
        <v>1270201</v>
      </c>
      <c r="AD175" s="309">
        <v>870513</v>
      </c>
      <c r="AE175" s="309">
        <v>74597</v>
      </c>
      <c r="AF175" s="309">
        <v>6265</v>
      </c>
      <c r="AG175" s="309">
        <v>843</v>
      </c>
      <c r="AH175" s="309">
        <f t="shared" si="55"/>
        <v>2222419</v>
      </c>
      <c r="AI175" s="309">
        <f t="shared" si="56"/>
        <v>188014</v>
      </c>
      <c r="AJ175" s="309">
        <f t="shared" si="57"/>
        <v>2410433</v>
      </c>
      <c r="AK175" s="309">
        <v>2433</v>
      </c>
      <c r="AL175" s="309">
        <f t="shared" si="58"/>
        <v>206</v>
      </c>
      <c r="AM175" s="311">
        <f t="shared" si="59"/>
        <v>2413072</v>
      </c>
      <c r="AO175" s="458"/>
      <c r="AP175" s="459"/>
      <c r="AQ175" s="459"/>
      <c r="AR175" s="460"/>
      <c r="AS175" s="316"/>
      <c r="AT175" s="458"/>
      <c r="AU175" s="459"/>
      <c r="AV175" s="459"/>
      <c r="AW175" s="459"/>
      <c r="AX175" s="459"/>
      <c r="AY175" s="460"/>
    </row>
    <row r="176" spans="1:51" ht="15" hidden="1" outlineLevel="1" x14ac:dyDescent="0.25">
      <c r="A176" s="295">
        <f t="shared" si="69"/>
        <v>2034</v>
      </c>
      <c r="B176" s="295">
        <f t="shared" si="70"/>
        <v>3</v>
      </c>
      <c r="C176" s="305">
        <f t="shared" si="51"/>
        <v>49004</v>
      </c>
      <c r="E176" s="310">
        <v>1046047</v>
      </c>
      <c r="F176" s="309">
        <v>764316</v>
      </c>
      <c r="G176" s="309">
        <v>75415</v>
      </c>
      <c r="H176" s="309">
        <v>4197</v>
      </c>
      <c r="I176" s="309">
        <v>752</v>
      </c>
      <c r="J176" s="309">
        <f t="shared" si="60"/>
        <v>1890727</v>
      </c>
      <c r="K176" s="309">
        <f t="shared" si="61"/>
        <v>159953</v>
      </c>
      <c r="L176" s="309">
        <f t="shared" si="62"/>
        <v>2050680</v>
      </c>
      <c r="M176" s="309">
        <v>2339</v>
      </c>
      <c r="N176" s="309">
        <f t="shared" si="52"/>
        <v>198</v>
      </c>
      <c r="O176" s="311">
        <f t="shared" si="53"/>
        <v>2053217</v>
      </c>
      <c r="P176" s="309"/>
      <c r="Q176" s="310">
        <v>1194065.5953981073</v>
      </c>
      <c r="R176" s="309">
        <v>899191.43466331461</v>
      </c>
      <c r="S176" s="309">
        <v>82461</v>
      </c>
      <c r="T176" s="309">
        <f t="shared" si="63"/>
        <v>5799</v>
      </c>
      <c r="U176" s="309">
        <f t="shared" si="63"/>
        <v>752</v>
      </c>
      <c r="V176" s="309">
        <f t="shared" si="64"/>
        <v>2182269.0300614219</v>
      </c>
      <c r="W176" s="309">
        <f t="shared" si="65"/>
        <v>184616.96993857808</v>
      </c>
      <c r="X176" s="309">
        <f t="shared" si="66"/>
        <v>2366886</v>
      </c>
      <c r="Y176" s="309">
        <f t="shared" si="67"/>
        <v>2339</v>
      </c>
      <c r="Z176" s="309">
        <f t="shared" si="54"/>
        <v>198</v>
      </c>
      <c r="AA176" s="311">
        <f t="shared" si="68"/>
        <v>2369423</v>
      </c>
      <c r="AC176" s="310">
        <v>1262017</v>
      </c>
      <c r="AD176" s="309">
        <v>927304</v>
      </c>
      <c r="AE176" s="309">
        <v>82461</v>
      </c>
      <c r="AF176" s="309">
        <v>5799</v>
      </c>
      <c r="AG176" s="309">
        <v>752</v>
      </c>
      <c r="AH176" s="309">
        <f t="shared" si="55"/>
        <v>2278333</v>
      </c>
      <c r="AI176" s="309">
        <f t="shared" si="56"/>
        <v>192744</v>
      </c>
      <c r="AJ176" s="309">
        <f t="shared" si="57"/>
        <v>2471077</v>
      </c>
      <c r="AK176" s="309">
        <v>2339</v>
      </c>
      <c r="AL176" s="309">
        <f t="shared" si="58"/>
        <v>198</v>
      </c>
      <c r="AM176" s="311">
        <f t="shared" si="59"/>
        <v>2473614</v>
      </c>
      <c r="AO176" s="458"/>
      <c r="AP176" s="459"/>
      <c r="AQ176" s="459"/>
      <c r="AR176" s="460"/>
      <c r="AS176" s="316"/>
      <c r="AT176" s="458"/>
      <c r="AU176" s="459"/>
      <c r="AV176" s="459"/>
      <c r="AW176" s="459"/>
      <c r="AX176" s="459"/>
      <c r="AY176" s="460"/>
    </row>
    <row r="177" spans="1:51" ht="15" hidden="1" outlineLevel="1" x14ac:dyDescent="0.25">
      <c r="A177" s="295">
        <f t="shared" si="69"/>
        <v>2034</v>
      </c>
      <c r="B177" s="295">
        <f t="shared" si="70"/>
        <v>4</v>
      </c>
      <c r="C177" s="305">
        <f t="shared" si="51"/>
        <v>49035</v>
      </c>
      <c r="E177" s="310">
        <v>956394</v>
      </c>
      <c r="F177" s="309">
        <v>759478</v>
      </c>
      <c r="G177" s="309">
        <v>77013</v>
      </c>
      <c r="H177" s="309">
        <v>4783</v>
      </c>
      <c r="I177" s="309">
        <v>621</v>
      </c>
      <c r="J177" s="309">
        <f t="shared" si="60"/>
        <v>1798289</v>
      </c>
      <c r="K177" s="309">
        <f t="shared" si="61"/>
        <v>152132</v>
      </c>
      <c r="L177" s="309">
        <f>ROUNDDOWN(J177/(1-0.078), 0)</f>
        <v>1950421</v>
      </c>
      <c r="M177" s="309">
        <v>2172</v>
      </c>
      <c r="N177" s="309">
        <f t="shared" si="52"/>
        <v>184</v>
      </c>
      <c r="O177" s="311">
        <f t="shared" si="53"/>
        <v>1952777</v>
      </c>
      <c r="P177" s="309"/>
      <c r="Q177" s="310">
        <v>1087671.5919807621</v>
      </c>
      <c r="R177" s="309">
        <v>882123.04353355081</v>
      </c>
      <c r="S177" s="309">
        <v>83649</v>
      </c>
      <c r="T177" s="309">
        <f t="shared" si="63"/>
        <v>6142</v>
      </c>
      <c r="U177" s="309">
        <f t="shared" si="63"/>
        <v>621</v>
      </c>
      <c r="V177" s="309">
        <f t="shared" si="64"/>
        <v>2060206.6355143129</v>
      </c>
      <c r="W177" s="309">
        <f t="shared" si="65"/>
        <v>174290.36448568711</v>
      </c>
      <c r="X177" s="309">
        <f t="shared" si="66"/>
        <v>2234497</v>
      </c>
      <c r="Y177" s="309">
        <f t="shared" si="67"/>
        <v>2172</v>
      </c>
      <c r="Z177" s="309">
        <f t="shared" si="54"/>
        <v>184</v>
      </c>
      <c r="AA177" s="311">
        <f t="shared" si="68"/>
        <v>2236853</v>
      </c>
      <c r="AC177" s="310">
        <v>1145502</v>
      </c>
      <c r="AD177" s="309">
        <v>909591</v>
      </c>
      <c r="AE177" s="309">
        <v>83649</v>
      </c>
      <c r="AF177" s="309">
        <v>6142</v>
      </c>
      <c r="AG177" s="309">
        <v>621</v>
      </c>
      <c r="AH177" s="309">
        <f t="shared" si="55"/>
        <v>2145505</v>
      </c>
      <c r="AI177" s="309">
        <f t="shared" si="56"/>
        <v>181507</v>
      </c>
      <c r="AJ177" s="309">
        <f t="shared" si="57"/>
        <v>2327012</v>
      </c>
      <c r="AK177" s="309">
        <v>2172</v>
      </c>
      <c r="AL177" s="309">
        <f t="shared" si="58"/>
        <v>184</v>
      </c>
      <c r="AM177" s="311">
        <f t="shared" si="59"/>
        <v>2329368</v>
      </c>
      <c r="AO177" s="458"/>
      <c r="AP177" s="459"/>
      <c r="AQ177" s="459"/>
      <c r="AR177" s="460"/>
      <c r="AS177" s="316"/>
      <c r="AT177" s="458"/>
      <c r="AU177" s="459"/>
      <c r="AV177" s="459"/>
      <c r="AW177" s="459"/>
      <c r="AX177" s="459"/>
      <c r="AY177" s="460"/>
    </row>
    <row r="178" spans="1:51" ht="15" hidden="1" outlineLevel="1" x14ac:dyDescent="0.25">
      <c r="A178" s="295">
        <f t="shared" si="69"/>
        <v>2034</v>
      </c>
      <c r="B178" s="295">
        <f t="shared" si="70"/>
        <v>5</v>
      </c>
      <c r="C178" s="305">
        <f t="shared" si="51"/>
        <v>49065</v>
      </c>
      <c r="E178" s="310">
        <v>830006</v>
      </c>
      <c r="F178" s="309">
        <v>695953</v>
      </c>
      <c r="G178" s="309">
        <v>72152</v>
      </c>
      <c r="H178" s="309">
        <v>4672</v>
      </c>
      <c r="I178" s="309">
        <v>433</v>
      </c>
      <c r="J178" s="309">
        <f t="shared" si="60"/>
        <v>1603216</v>
      </c>
      <c r="K178" s="309">
        <f t="shared" si="61"/>
        <v>135630</v>
      </c>
      <c r="L178" s="309">
        <f t="shared" si="62"/>
        <v>1738846</v>
      </c>
      <c r="M178" s="309">
        <v>2174</v>
      </c>
      <c r="N178" s="309">
        <f t="shared" si="52"/>
        <v>184</v>
      </c>
      <c r="O178" s="311">
        <f t="shared" si="53"/>
        <v>1741204</v>
      </c>
      <c r="P178" s="309"/>
      <c r="Q178" s="310">
        <v>926951.69167860399</v>
      </c>
      <c r="R178" s="309">
        <v>833814.41129084025</v>
      </c>
      <c r="S178" s="309">
        <v>79015</v>
      </c>
      <c r="T178" s="309">
        <f t="shared" si="63"/>
        <v>5882</v>
      </c>
      <c r="U178" s="309">
        <f t="shared" si="63"/>
        <v>433</v>
      </c>
      <c r="V178" s="309">
        <f t="shared" si="64"/>
        <v>1846096.1029694444</v>
      </c>
      <c r="W178" s="309">
        <f t="shared" si="65"/>
        <v>156176.89703055564</v>
      </c>
      <c r="X178" s="309">
        <f t="shared" si="66"/>
        <v>2002273</v>
      </c>
      <c r="Y178" s="309">
        <f t="shared" si="67"/>
        <v>2174</v>
      </c>
      <c r="Z178" s="309">
        <f t="shared" si="54"/>
        <v>184</v>
      </c>
      <c r="AA178" s="311">
        <f t="shared" si="68"/>
        <v>2004631</v>
      </c>
      <c r="AC178" s="310">
        <v>981717</v>
      </c>
      <c r="AD178" s="309">
        <v>862171</v>
      </c>
      <c r="AE178" s="309">
        <v>79015</v>
      </c>
      <c r="AF178" s="309">
        <v>5882</v>
      </c>
      <c r="AG178" s="309">
        <v>433</v>
      </c>
      <c r="AH178" s="309">
        <f t="shared" si="55"/>
        <v>1929218</v>
      </c>
      <c r="AI178" s="309">
        <f t="shared" si="56"/>
        <v>163209</v>
      </c>
      <c r="AJ178" s="309">
        <f t="shared" si="57"/>
        <v>2092427</v>
      </c>
      <c r="AK178" s="309">
        <v>2174</v>
      </c>
      <c r="AL178" s="309">
        <f t="shared" si="58"/>
        <v>184</v>
      </c>
      <c r="AM178" s="311">
        <f t="shared" si="59"/>
        <v>2094785</v>
      </c>
      <c r="AO178" s="458"/>
      <c r="AP178" s="459"/>
      <c r="AQ178" s="459"/>
      <c r="AR178" s="460"/>
      <c r="AS178" s="316"/>
      <c r="AT178" s="458"/>
      <c r="AU178" s="459"/>
      <c r="AV178" s="459"/>
      <c r="AW178" s="459"/>
      <c r="AX178" s="459"/>
      <c r="AY178" s="460"/>
    </row>
    <row r="179" spans="1:51" ht="15" hidden="1" outlineLevel="1" x14ac:dyDescent="0.25">
      <c r="A179" s="295">
        <f t="shared" si="69"/>
        <v>2034</v>
      </c>
      <c r="B179" s="295">
        <f t="shared" si="70"/>
        <v>6</v>
      </c>
      <c r="C179" s="305">
        <f t="shared" si="51"/>
        <v>49096</v>
      </c>
      <c r="E179" s="310">
        <v>815887</v>
      </c>
      <c r="F179" s="309">
        <v>727414</v>
      </c>
      <c r="G179" s="309">
        <v>73891</v>
      </c>
      <c r="H179" s="309">
        <v>4643</v>
      </c>
      <c r="I179" s="309">
        <v>316</v>
      </c>
      <c r="J179" s="309">
        <f t="shared" si="60"/>
        <v>1622151</v>
      </c>
      <c r="K179" s="309">
        <f t="shared" si="61"/>
        <v>137232</v>
      </c>
      <c r="L179" s="309">
        <f t="shared" si="62"/>
        <v>1759383</v>
      </c>
      <c r="M179" s="309">
        <v>1787</v>
      </c>
      <c r="N179" s="309">
        <f t="shared" si="52"/>
        <v>151</v>
      </c>
      <c r="O179" s="311">
        <f t="shared" si="53"/>
        <v>1761321</v>
      </c>
      <c r="P179" s="309"/>
      <c r="Q179" s="310">
        <v>888286.10809409979</v>
      </c>
      <c r="R179" s="309">
        <v>857948.28583306563</v>
      </c>
      <c r="S179" s="309">
        <v>80670</v>
      </c>
      <c r="T179" s="309">
        <f t="shared" si="63"/>
        <v>5665</v>
      </c>
      <c r="U179" s="309">
        <f t="shared" si="63"/>
        <v>316</v>
      </c>
      <c r="V179" s="309">
        <f t="shared" si="64"/>
        <v>1832885.3939271653</v>
      </c>
      <c r="W179" s="309">
        <f t="shared" si="65"/>
        <v>155059.60607283469</v>
      </c>
      <c r="X179" s="309">
        <f t="shared" si="66"/>
        <v>1987945</v>
      </c>
      <c r="Y179" s="309">
        <f t="shared" si="67"/>
        <v>1787</v>
      </c>
      <c r="Z179" s="309">
        <f t="shared" si="54"/>
        <v>151</v>
      </c>
      <c r="AA179" s="311">
        <f t="shared" si="68"/>
        <v>1989883</v>
      </c>
      <c r="AC179" s="310">
        <v>933611</v>
      </c>
      <c r="AD179" s="309">
        <v>885909</v>
      </c>
      <c r="AE179" s="309">
        <v>80670</v>
      </c>
      <c r="AF179" s="309">
        <v>5665</v>
      </c>
      <c r="AG179" s="309">
        <v>316</v>
      </c>
      <c r="AH179" s="309">
        <f t="shared" si="55"/>
        <v>1906171</v>
      </c>
      <c r="AI179" s="309">
        <f t="shared" si="56"/>
        <v>161260</v>
      </c>
      <c r="AJ179" s="309">
        <f t="shared" si="57"/>
        <v>2067431</v>
      </c>
      <c r="AK179" s="309">
        <v>1787</v>
      </c>
      <c r="AL179" s="309">
        <f t="shared" si="58"/>
        <v>151</v>
      </c>
      <c r="AM179" s="311">
        <f t="shared" si="59"/>
        <v>2069369</v>
      </c>
      <c r="AO179" s="458"/>
      <c r="AP179" s="459"/>
      <c r="AQ179" s="459"/>
      <c r="AR179" s="460"/>
      <c r="AS179" s="316"/>
      <c r="AT179" s="458"/>
      <c r="AU179" s="459"/>
      <c r="AV179" s="459"/>
      <c r="AW179" s="459"/>
      <c r="AX179" s="459"/>
      <c r="AY179" s="460"/>
    </row>
    <row r="180" spans="1:51" ht="15" hidden="1" outlineLevel="1" x14ac:dyDescent="0.25">
      <c r="A180" s="295">
        <f t="shared" si="69"/>
        <v>2034</v>
      </c>
      <c r="B180" s="295">
        <f t="shared" si="70"/>
        <v>7</v>
      </c>
      <c r="C180" s="305">
        <f t="shared" si="51"/>
        <v>49126</v>
      </c>
      <c r="E180" s="310">
        <v>870399</v>
      </c>
      <c r="F180" s="309">
        <v>757240</v>
      </c>
      <c r="G180" s="309">
        <v>81020</v>
      </c>
      <c r="H180" s="309">
        <v>4283</v>
      </c>
      <c r="I180" s="309">
        <v>288</v>
      </c>
      <c r="J180" s="309">
        <f t="shared" si="60"/>
        <v>1713230</v>
      </c>
      <c r="K180" s="309">
        <f t="shared" si="61"/>
        <v>144937</v>
      </c>
      <c r="L180" s="309">
        <f t="shared" si="62"/>
        <v>1858167</v>
      </c>
      <c r="M180" s="309">
        <v>2889</v>
      </c>
      <c r="N180" s="309">
        <f t="shared" si="52"/>
        <v>244</v>
      </c>
      <c r="O180" s="311">
        <f t="shared" si="53"/>
        <v>1861300</v>
      </c>
      <c r="P180" s="309"/>
      <c r="Q180" s="310">
        <v>945866.09349536616</v>
      </c>
      <c r="R180" s="309">
        <v>897192.88921725471</v>
      </c>
      <c r="S180" s="309">
        <v>87987</v>
      </c>
      <c r="T180" s="309">
        <f t="shared" si="63"/>
        <v>5493</v>
      </c>
      <c r="U180" s="309">
        <f t="shared" si="63"/>
        <v>288</v>
      </c>
      <c r="V180" s="309">
        <f t="shared" si="64"/>
        <v>1936826.9827126209</v>
      </c>
      <c r="W180" s="309">
        <f t="shared" si="65"/>
        <v>163853.01728737913</v>
      </c>
      <c r="X180" s="309">
        <f t="shared" si="66"/>
        <v>2100680</v>
      </c>
      <c r="Y180" s="309">
        <f t="shared" si="67"/>
        <v>2889</v>
      </c>
      <c r="Z180" s="309">
        <f t="shared" si="54"/>
        <v>244</v>
      </c>
      <c r="AA180" s="311">
        <f t="shared" si="68"/>
        <v>2103813</v>
      </c>
      <c r="AC180" s="310">
        <v>997808</v>
      </c>
      <c r="AD180" s="309">
        <v>928528</v>
      </c>
      <c r="AE180" s="309">
        <v>87987</v>
      </c>
      <c r="AF180" s="309">
        <v>5493</v>
      </c>
      <c r="AG180" s="309">
        <v>288</v>
      </c>
      <c r="AH180" s="309">
        <f t="shared" si="55"/>
        <v>2020104</v>
      </c>
      <c r="AI180" s="309">
        <f t="shared" si="56"/>
        <v>170898</v>
      </c>
      <c r="AJ180" s="309">
        <f t="shared" si="57"/>
        <v>2191002</v>
      </c>
      <c r="AK180" s="309">
        <v>2889</v>
      </c>
      <c r="AL180" s="309">
        <f t="shared" si="58"/>
        <v>244</v>
      </c>
      <c r="AM180" s="311">
        <f t="shared" si="59"/>
        <v>2194135</v>
      </c>
      <c r="AO180" s="458"/>
      <c r="AP180" s="459"/>
      <c r="AQ180" s="459"/>
      <c r="AR180" s="460"/>
      <c r="AS180" s="316"/>
      <c r="AT180" s="458"/>
      <c r="AU180" s="459"/>
      <c r="AV180" s="459"/>
      <c r="AW180" s="459"/>
      <c r="AX180" s="459"/>
      <c r="AY180" s="460"/>
    </row>
    <row r="181" spans="1:51" ht="15" hidden="1" outlineLevel="1" x14ac:dyDescent="0.25">
      <c r="A181" s="295">
        <f t="shared" si="69"/>
        <v>2034</v>
      </c>
      <c r="B181" s="295">
        <f t="shared" si="70"/>
        <v>8</v>
      </c>
      <c r="C181" s="305">
        <f t="shared" si="51"/>
        <v>49157</v>
      </c>
      <c r="E181" s="310">
        <v>882200</v>
      </c>
      <c r="F181" s="309">
        <v>756826</v>
      </c>
      <c r="G181" s="309">
        <v>81764</v>
      </c>
      <c r="H181" s="309">
        <v>4514</v>
      </c>
      <c r="I181" s="309">
        <v>280</v>
      </c>
      <c r="J181" s="309">
        <f t="shared" si="60"/>
        <v>1725584</v>
      </c>
      <c r="K181" s="309">
        <f t="shared" si="61"/>
        <v>145982</v>
      </c>
      <c r="L181" s="309">
        <f t="shared" si="62"/>
        <v>1871566</v>
      </c>
      <c r="M181" s="309">
        <v>1634</v>
      </c>
      <c r="N181" s="309">
        <f t="shared" si="52"/>
        <v>138</v>
      </c>
      <c r="O181" s="311">
        <f t="shared" si="53"/>
        <v>1873338</v>
      </c>
      <c r="P181" s="309"/>
      <c r="Q181" s="310">
        <v>958264.43505400314</v>
      </c>
      <c r="R181" s="309">
        <v>899493.63859643671</v>
      </c>
      <c r="S181" s="309">
        <v>89057</v>
      </c>
      <c r="T181" s="309">
        <f t="shared" si="63"/>
        <v>5911</v>
      </c>
      <c r="U181" s="309">
        <f t="shared" si="63"/>
        <v>280</v>
      </c>
      <c r="V181" s="309">
        <f t="shared" si="64"/>
        <v>1953006.0736504397</v>
      </c>
      <c r="W181" s="309">
        <f t="shared" si="65"/>
        <v>165221.92634956026</v>
      </c>
      <c r="X181" s="309">
        <f t="shared" si="66"/>
        <v>2118228</v>
      </c>
      <c r="Y181" s="309">
        <f t="shared" si="67"/>
        <v>1634</v>
      </c>
      <c r="Z181" s="309">
        <f t="shared" si="54"/>
        <v>138</v>
      </c>
      <c r="AA181" s="311">
        <f t="shared" si="68"/>
        <v>2120000</v>
      </c>
      <c r="AC181" s="310">
        <v>1008917</v>
      </c>
      <c r="AD181" s="309">
        <v>930721</v>
      </c>
      <c r="AE181" s="309">
        <v>89057</v>
      </c>
      <c r="AF181" s="309">
        <v>5911</v>
      </c>
      <c r="AG181" s="309">
        <v>280</v>
      </c>
      <c r="AH181" s="309">
        <f t="shared" si="55"/>
        <v>2034886</v>
      </c>
      <c r="AI181" s="309">
        <f t="shared" si="56"/>
        <v>172149</v>
      </c>
      <c r="AJ181" s="309">
        <f t="shared" si="57"/>
        <v>2207035</v>
      </c>
      <c r="AK181" s="309">
        <v>1634</v>
      </c>
      <c r="AL181" s="309">
        <f t="shared" si="58"/>
        <v>138</v>
      </c>
      <c r="AM181" s="311">
        <f t="shared" si="59"/>
        <v>2208807</v>
      </c>
      <c r="AO181" s="458"/>
      <c r="AP181" s="459"/>
      <c r="AQ181" s="459"/>
      <c r="AR181" s="460"/>
      <c r="AS181" s="316"/>
      <c r="AT181" s="458"/>
      <c r="AU181" s="459"/>
      <c r="AV181" s="459"/>
      <c r="AW181" s="459"/>
      <c r="AX181" s="459"/>
      <c r="AY181" s="460"/>
    </row>
    <row r="182" spans="1:51" ht="15" hidden="1" outlineLevel="1" x14ac:dyDescent="0.25">
      <c r="A182" s="295">
        <f t="shared" si="69"/>
        <v>2034</v>
      </c>
      <c r="B182" s="295">
        <f t="shared" si="70"/>
        <v>9</v>
      </c>
      <c r="C182" s="305">
        <f t="shared" si="51"/>
        <v>49188</v>
      </c>
      <c r="E182" s="310">
        <v>801903</v>
      </c>
      <c r="F182" s="309">
        <v>722615</v>
      </c>
      <c r="G182" s="309">
        <v>78475</v>
      </c>
      <c r="H182" s="309">
        <v>4804</v>
      </c>
      <c r="I182" s="309">
        <v>353</v>
      </c>
      <c r="J182" s="309">
        <f t="shared" si="60"/>
        <v>1608150</v>
      </c>
      <c r="K182" s="309">
        <f t="shared" si="61"/>
        <v>136047</v>
      </c>
      <c r="L182" s="309">
        <f t="shared" si="62"/>
        <v>1744197</v>
      </c>
      <c r="M182" s="309">
        <v>1428</v>
      </c>
      <c r="N182" s="309">
        <f t="shared" si="52"/>
        <v>121</v>
      </c>
      <c r="O182" s="311">
        <f t="shared" si="53"/>
        <v>1745746</v>
      </c>
      <c r="P182" s="309"/>
      <c r="Q182" s="310">
        <v>884411.75400255632</v>
      </c>
      <c r="R182" s="309">
        <v>856955.50047722622</v>
      </c>
      <c r="S182" s="309">
        <v>85355</v>
      </c>
      <c r="T182" s="309">
        <f t="shared" si="63"/>
        <v>6213</v>
      </c>
      <c r="U182" s="309">
        <f t="shared" si="63"/>
        <v>353</v>
      </c>
      <c r="V182" s="309">
        <f t="shared" si="64"/>
        <v>1833288.2544797827</v>
      </c>
      <c r="W182" s="309">
        <f t="shared" si="65"/>
        <v>155093.74552021734</v>
      </c>
      <c r="X182" s="309">
        <f t="shared" si="66"/>
        <v>1988382</v>
      </c>
      <c r="Y182" s="309">
        <f t="shared" si="67"/>
        <v>1428</v>
      </c>
      <c r="Z182" s="309">
        <f t="shared" si="54"/>
        <v>121</v>
      </c>
      <c r="AA182" s="311">
        <f t="shared" si="68"/>
        <v>1989931</v>
      </c>
      <c r="AC182" s="310">
        <v>931385</v>
      </c>
      <c r="AD182" s="309">
        <v>883977</v>
      </c>
      <c r="AE182" s="309">
        <v>85355</v>
      </c>
      <c r="AF182" s="309">
        <v>6213</v>
      </c>
      <c r="AG182" s="309">
        <v>353</v>
      </c>
      <c r="AH182" s="309">
        <f t="shared" si="55"/>
        <v>1907283</v>
      </c>
      <c r="AI182" s="309">
        <f t="shared" si="56"/>
        <v>161354</v>
      </c>
      <c r="AJ182" s="309">
        <f t="shared" si="57"/>
        <v>2068637</v>
      </c>
      <c r="AK182" s="309">
        <v>1428</v>
      </c>
      <c r="AL182" s="309">
        <f t="shared" si="58"/>
        <v>121</v>
      </c>
      <c r="AM182" s="311">
        <f t="shared" si="59"/>
        <v>2070186</v>
      </c>
      <c r="AO182" s="458"/>
      <c r="AP182" s="459"/>
      <c r="AQ182" s="459"/>
      <c r="AR182" s="460"/>
      <c r="AS182" s="316"/>
      <c r="AT182" s="458"/>
      <c r="AU182" s="459"/>
      <c r="AV182" s="459"/>
      <c r="AW182" s="459"/>
      <c r="AX182" s="459"/>
      <c r="AY182" s="460"/>
    </row>
    <row r="183" spans="1:51" ht="15" hidden="1" outlineLevel="1" x14ac:dyDescent="0.25">
      <c r="A183" s="295">
        <f t="shared" si="69"/>
        <v>2034</v>
      </c>
      <c r="B183" s="295">
        <f t="shared" si="70"/>
        <v>10</v>
      </c>
      <c r="C183" s="305">
        <f t="shared" si="51"/>
        <v>49218</v>
      </c>
      <c r="E183" s="310">
        <v>891222</v>
      </c>
      <c r="F183" s="309">
        <v>730667</v>
      </c>
      <c r="G183" s="309">
        <v>74304</v>
      </c>
      <c r="H183" s="309">
        <v>4379</v>
      </c>
      <c r="I183" s="309">
        <v>467</v>
      </c>
      <c r="J183" s="309">
        <f t="shared" si="60"/>
        <v>1701039</v>
      </c>
      <c r="K183" s="309">
        <f t="shared" si="61"/>
        <v>143905</v>
      </c>
      <c r="L183" s="309">
        <f>ROUNDDOWN(J183/(1-0.078), 0)</f>
        <v>1844944</v>
      </c>
      <c r="M183" s="309">
        <v>1830</v>
      </c>
      <c r="N183" s="309">
        <f t="shared" si="52"/>
        <v>155</v>
      </c>
      <c r="O183" s="311">
        <f t="shared" si="53"/>
        <v>1846929</v>
      </c>
      <c r="P183" s="309"/>
      <c r="Q183" s="310">
        <v>1008590.8911065512</v>
      </c>
      <c r="R183" s="309">
        <v>867284.64904795133</v>
      </c>
      <c r="S183" s="309">
        <v>81521</v>
      </c>
      <c r="T183" s="309">
        <f t="shared" si="63"/>
        <v>6169</v>
      </c>
      <c r="U183" s="309">
        <f t="shared" si="63"/>
        <v>467</v>
      </c>
      <c r="V183" s="309">
        <f t="shared" si="64"/>
        <v>1964032.5401545025</v>
      </c>
      <c r="W183" s="309">
        <f t="shared" si="65"/>
        <v>166154.45984549751</v>
      </c>
      <c r="X183" s="309">
        <f t="shared" si="66"/>
        <v>2130187</v>
      </c>
      <c r="Y183" s="309">
        <f t="shared" si="67"/>
        <v>1830</v>
      </c>
      <c r="Z183" s="309">
        <f t="shared" si="54"/>
        <v>155</v>
      </c>
      <c r="AA183" s="311">
        <f t="shared" si="68"/>
        <v>2132172</v>
      </c>
      <c r="AC183" s="310">
        <v>1070585</v>
      </c>
      <c r="AD183" s="309">
        <v>894686</v>
      </c>
      <c r="AE183" s="309">
        <v>81521</v>
      </c>
      <c r="AF183" s="309">
        <v>6169</v>
      </c>
      <c r="AG183" s="309">
        <v>467</v>
      </c>
      <c r="AH183" s="309">
        <f t="shared" si="55"/>
        <v>2053428</v>
      </c>
      <c r="AI183" s="309">
        <f t="shared" si="56"/>
        <v>173717</v>
      </c>
      <c r="AJ183" s="309">
        <f t="shared" si="57"/>
        <v>2227145</v>
      </c>
      <c r="AK183" s="309">
        <v>1830</v>
      </c>
      <c r="AL183" s="309">
        <f t="shared" si="58"/>
        <v>155</v>
      </c>
      <c r="AM183" s="311">
        <f t="shared" si="59"/>
        <v>2229130</v>
      </c>
      <c r="AO183" s="458"/>
      <c r="AP183" s="459"/>
      <c r="AQ183" s="459"/>
      <c r="AR183" s="460"/>
      <c r="AS183" s="316"/>
      <c r="AT183" s="458"/>
      <c r="AU183" s="459"/>
      <c r="AV183" s="459"/>
      <c r="AW183" s="459"/>
      <c r="AX183" s="459"/>
      <c r="AY183" s="460"/>
    </row>
    <row r="184" spans="1:51" ht="15" hidden="1" outlineLevel="1" x14ac:dyDescent="0.25">
      <c r="A184" s="295">
        <f t="shared" si="69"/>
        <v>2034</v>
      </c>
      <c r="B184" s="295">
        <f t="shared" si="70"/>
        <v>11</v>
      </c>
      <c r="C184" s="305">
        <f t="shared" si="51"/>
        <v>49249</v>
      </c>
      <c r="E184" s="310">
        <v>1100453</v>
      </c>
      <c r="F184" s="309">
        <v>762489</v>
      </c>
      <c r="G184" s="309">
        <v>78567</v>
      </c>
      <c r="H184" s="309">
        <v>4892</v>
      </c>
      <c r="I184" s="309">
        <v>768</v>
      </c>
      <c r="J184" s="309">
        <f t="shared" si="60"/>
        <v>1947169</v>
      </c>
      <c r="K184" s="309">
        <f t="shared" si="61"/>
        <v>164728</v>
      </c>
      <c r="L184" s="309">
        <f t="shared" si="62"/>
        <v>2111897</v>
      </c>
      <c r="M184" s="309">
        <v>1832</v>
      </c>
      <c r="N184" s="309">
        <f t="shared" si="52"/>
        <v>155</v>
      </c>
      <c r="O184" s="311">
        <f t="shared" si="53"/>
        <v>2113884</v>
      </c>
      <c r="P184" s="309"/>
      <c r="Q184" s="310">
        <v>1253827.9647896641</v>
      </c>
      <c r="R184" s="309">
        <v>891321.92257449077</v>
      </c>
      <c r="S184" s="309">
        <v>85165</v>
      </c>
      <c r="T184" s="309">
        <f t="shared" si="63"/>
        <v>6856</v>
      </c>
      <c r="U184" s="309">
        <f t="shared" si="63"/>
        <v>768</v>
      </c>
      <c r="V184" s="309">
        <f t="shared" si="64"/>
        <v>2237938.8873641547</v>
      </c>
      <c r="W184" s="309">
        <f t="shared" si="65"/>
        <v>189327.11263584532</v>
      </c>
      <c r="X184" s="309">
        <f t="shared" si="66"/>
        <v>2427266</v>
      </c>
      <c r="Y184" s="309">
        <f t="shared" si="67"/>
        <v>1832</v>
      </c>
      <c r="Z184" s="309">
        <f t="shared" si="54"/>
        <v>155</v>
      </c>
      <c r="AA184" s="311">
        <f t="shared" si="68"/>
        <v>2429253</v>
      </c>
      <c r="AC184" s="310">
        <v>1334441</v>
      </c>
      <c r="AD184" s="309">
        <v>917519</v>
      </c>
      <c r="AE184" s="309">
        <v>85165</v>
      </c>
      <c r="AF184" s="309">
        <v>6856</v>
      </c>
      <c r="AG184" s="309">
        <v>768</v>
      </c>
      <c r="AH184" s="309">
        <f t="shared" si="55"/>
        <v>2344749</v>
      </c>
      <c r="AI184" s="309">
        <f t="shared" si="56"/>
        <v>198363</v>
      </c>
      <c r="AJ184" s="309">
        <f t="shared" si="57"/>
        <v>2543112</v>
      </c>
      <c r="AK184" s="309">
        <v>1832</v>
      </c>
      <c r="AL184" s="309">
        <f t="shared" si="58"/>
        <v>155</v>
      </c>
      <c r="AM184" s="311">
        <f t="shared" si="59"/>
        <v>2545099</v>
      </c>
      <c r="AO184" s="458"/>
      <c r="AP184" s="459"/>
      <c r="AQ184" s="459"/>
      <c r="AR184" s="460"/>
      <c r="AS184" s="316"/>
      <c r="AT184" s="458"/>
      <c r="AU184" s="459"/>
      <c r="AV184" s="459"/>
      <c r="AW184" s="459"/>
      <c r="AX184" s="459"/>
      <c r="AY184" s="460"/>
    </row>
    <row r="185" spans="1:51" ht="15" hidden="1" outlineLevel="1" x14ac:dyDescent="0.25">
      <c r="A185" s="295">
        <f t="shared" si="69"/>
        <v>2034</v>
      </c>
      <c r="B185" s="295">
        <f t="shared" si="70"/>
        <v>12</v>
      </c>
      <c r="C185" s="305">
        <f t="shared" si="51"/>
        <v>49279</v>
      </c>
      <c r="E185" s="310">
        <v>1171001</v>
      </c>
      <c r="F185" s="309">
        <v>787565</v>
      </c>
      <c r="G185" s="309">
        <v>71263</v>
      </c>
      <c r="H185" s="309">
        <v>4353</v>
      </c>
      <c r="I185" s="309">
        <v>826</v>
      </c>
      <c r="J185" s="309">
        <f t="shared" si="60"/>
        <v>2035008</v>
      </c>
      <c r="K185" s="309">
        <f t="shared" si="61"/>
        <v>172159</v>
      </c>
      <c r="L185" s="309">
        <f t="shared" si="62"/>
        <v>2207167</v>
      </c>
      <c r="M185" s="309">
        <v>1718</v>
      </c>
      <c r="N185" s="309">
        <f t="shared" si="52"/>
        <v>145</v>
      </c>
      <c r="O185" s="311">
        <f t="shared" si="53"/>
        <v>2209030</v>
      </c>
      <c r="P185" s="309"/>
      <c r="Q185" s="310">
        <v>1391471.0995348669</v>
      </c>
      <c r="R185" s="309">
        <v>924543.99615232612</v>
      </c>
      <c r="S185" s="309">
        <v>78153</v>
      </c>
      <c r="T185" s="309">
        <f t="shared" si="63"/>
        <v>6452</v>
      </c>
      <c r="U185" s="309">
        <f t="shared" si="63"/>
        <v>826</v>
      </c>
      <c r="V185" s="309">
        <f t="shared" si="64"/>
        <v>2401446.0956871929</v>
      </c>
      <c r="W185" s="309">
        <f t="shared" si="65"/>
        <v>203158.90431280714</v>
      </c>
      <c r="X185" s="309">
        <f t="shared" si="66"/>
        <v>2604605</v>
      </c>
      <c r="Y185" s="309">
        <f t="shared" si="67"/>
        <v>1718</v>
      </c>
      <c r="Z185" s="309">
        <f t="shared" si="54"/>
        <v>145</v>
      </c>
      <c r="AA185" s="311">
        <f t="shared" si="68"/>
        <v>2606468</v>
      </c>
      <c r="AC185" s="310">
        <v>1498031</v>
      </c>
      <c r="AD185" s="309">
        <v>958054</v>
      </c>
      <c r="AE185" s="309">
        <v>78153</v>
      </c>
      <c r="AF185" s="309">
        <v>6452</v>
      </c>
      <c r="AG185" s="309">
        <v>826</v>
      </c>
      <c r="AH185" s="309">
        <f t="shared" si="55"/>
        <v>2541516</v>
      </c>
      <c r="AI185" s="309">
        <f t="shared" si="56"/>
        <v>215009</v>
      </c>
      <c r="AJ185" s="309">
        <f t="shared" si="57"/>
        <v>2756525</v>
      </c>
      <c r="AK185" s="309">
        <v>1718</v>
      </c>
      <c r="AL185" s="309">
        <f t="shared" si="58"/>
        <v>145</v>
      </c>
      <c r="AM185" s="311">
        <f t="shared" si="59"/>
        <v>2758388</v>
      </c>
      <c r="AO185" s="458"/>
      <c r="AP185" s="459"/>
      <c r="AQ185" s="459"/>
      <c r="AR185" s="460"/>
      <c r="AS185" s="316"/>
      <c r="AT185" s="458"/>
      <c r="AU185" s="459"/>
      <c r="AV185" s="459"/>
      <c r="AW185" s="459"/>
      <c r="AX185" s="459"/>
      <c r="AY185" s="460"/>
    </row>
    <row r="186" spans="1:51" ht="15" hidden="1" outlineLevel="1" x14ac:dyDescent="0.25">
      <c r="A186" s="295">
        <f t="shared" si="69"/>
        <v>2035</v>
      </c>
      <c r="B186" s="295">
        <f t="shared" si="70"/>
        <v>1</v>
      </c>
      <c r="C186" s="305">
        <f t="shared" si="51"/>
        <v>49310</v>
      </c>
      <c r="E186" s="310">
        <v>1217432</v>
      </c>
      <c r="F186" s="309">
        <v>799256</v>
      </c>
      <c r="G186" s="309">
        <v>67981</v>
      </c>
      <c r="H186" s="309">
        <v>4764</v>
      </c>
      <c r="I186" s="309">
        <v>962</v>
      </c>
      <c r="J186" s="309">
        <f t="shared" si="60"/>
        <v>2090395</v>
      </c>
      <c r="K186" s="309">
        <f t="shared" si="61"/>
        <v>176845</v>
      </c>
      <c r="L186" s="309">
        <f t="shared" si="62"/>
        <v>2267240</v>
      </c>
      <c r="M186" s="309">
        <v>2325</v>
      </c>
      <c r="N186" s="309">
        <f t="shared" si="52"/>
        <v>197</v>
      </c>
      <c r="O186" s="311">
        <f t="shared" si="53"/>
        <v>2269762</v>
      </c>
      <c r="P186" s="309"/>
      <c r="Q186" s="310">
        <v>1413462.8564802876</v>
      </c>
      <c r="R186" s="309">
        <v>935842.63727467984</v>
      </c>
      <c r="S186" s="309">
        <v>74902</v>
      </c>
      <c r="T186" s="309">
        <f t="shared" si="63"/>
        <v>6894</v>
      </c>
      <c r="U186" s="309">
        <f t="shared" si="63"/>
        <v>962</v>
      </c>
      <c r="V186" s="309">
        <f t="shared" si="64"/>
        <v>2432063.4937549676</v>
      </c>
      <c r="W186" s="309">
        <f t="shared" si="65"/>
        <v>205749.50624503242</v>
      </c>
      <c r="X186" s="309">
        <f t="shared" si="66"/>
        <v>2637813</v>
      </c>
      <c r="Y186" s="309">
        <f t="shared" si="67"/>
        <v>2325</v>
      </c>
      <c r="Z186" s="309">
        <f t="shared" si="54"/>
        <v>197</v>
      </c>
      <c r="AA186" s="311">
        <f t="shared" si="68"/>
        <v>2640335</v>
      </c>
      <c r="AC186" s="310">
        <v>1503752</v>
      </c>
      <c r="AD186" s="309">
        <v>967312</v>
      </c>
      <c r="AE186" s="309">
        <v>74902</v>
      </c>
      <c r="AF186" s="309">
        <v>6894</v>
      </c>
      <c r="AG186" s="309">
        <v>962</v>
      </c>
      <c r="AH186" s="309">
        <f t="shared" si="55"/>
        <v>2553822</v>
      </c>
      <c r="AI186" s="309">
        <f t="shared" si="56"/>
        <v>216050</v>
      </c>
      <c r="AJ186" s="309">
        <f t="shared" si="57"/>
        <v>2769872</v>
      </c>
      <c r="AK186" s="309">
        <v>2325</v>
      </c>
      <c r="AL186" s="309">
        <f t="shared" si="58"/>
        <v>197</v>
      </c>
      <c r="AM186" s="311">
        <f t="shared" si="59"/>
        <v>2772394</v>
      </c>
      <c r="AO186" s="458"/>
      <c r="AP186" s="459"/>
      <c r="AQ186" s="459"/>
      <c r="AR186" s="460"/>
      <c r="AS186" s="316"/>
      <c r="AT186" s="458"/>
      <c r="AU186" s="459"/>
      <c r="AV186" s="459"/>
      <c r="AW186" s="459"/>
      <c r="AX186" s="459"/>
      <c r="AY186" s="460"/>
    </row>
    <row r="187" spans="1:51" ht="15" hidden="1" outlineLevel="1" x14ac:dyDescent="0.25">
      <c r="A187" s="295">
        <f t="shared" si="69"/>
        <v>2035</v>
      </c>
      <c r="B187" s="295">
        <f t="shared" si="70"/>
        <v>2</v>
      </c>
      <c r="C187" s="305">
        <f t="shared" si="51"/>
        <v>49341</v>
      </c>
      <c r="E187" s="310">
        <v>1057603</v>
      </c>
      <c r="F187" s="309">
        <v>746556</v>
      </c>
      <c r="G187" s="309">
        <v>68152</v>
      </c>
      <c r="H187" s="309">
        <v>4736</v>
      </c>
      <c r="I187" s="309">
        <v>838</v>
      </c>
      <c r="J187" s="309">
        <f t="shared" si="60"/>
        <v>1877885</v>
      </c>
      <c r="K187" s="309">
        <f t="shared" si="61"/>
        <v>158866</v>
      </c>
      <c r="L187" s="309">
        <f>ROUNDDOWN(J187/(1-0.078), 0)</f>
        <v>2036751</v>
      </c>
      <c r="M187" s="309">
        <v>2433</v>
      </c>
      <c r="N187" s="309">
        <f t="shared" si="52"/>
        <v>206</v>
      </c>
      <c r="O187" s="311">
        <f t="shared" si="53"/>
        <v>2039390</v>
      </c>
      <c r="P187" s="309"/>
      <c r="Q187" s="310">
        <v>1213893.9188200624</v>
      </c>
      <c r="R187" s="309">
        <v>863285.91216622584</v>
      </c>
      <c r="S187" s="309">
        <v>74273</v>
      </c>
      <c r="T187" s="309">
        <f t="shared" si="63"/>
        <v>6364</v>
      </c>
      <c r="U187" s="309">
        <f t="shared" si="63"/>
        <v>838</v>
      </c>
      <c r="V187" s="309">
        <f t="shared" si="64"/>
        <v>2158654.8309862884</v>
      </c>
      <c r="W187" s="309">
        <f t="shared" si="65"/>
        <v>182619.16901371162</v>
      </c>
      <c r="X187" s="309">
        <f t="shared" si="66"/>
        <v>2341274</v>
      </c>
      <c r="Y187" s="309">
        <f t="shared" si="67"/>
        <v>2433</v>
      </c>
      <c r="Z187" s="309">
        <f t="shared" si="54"/>
        <v>206</v>
      </c>
      <c r="AA187" s="311">
        <f t="shared" si="68"/>
        <v>2343913</v>
      </c>
      <c r="AC187" s="310">
        <v>1286589</v>
      </c>
      <c r="AD187" s="309">
        <v>888655</v>
      </c>
      <c r="AE187" s="309">
        <v>74273</v>
      </c>
      <c r="AF187" s="309">
        <v>6364</v>
      </c>
      <c r="AG187" s="309">
        <v>838</v>
      </c>
      <c r="AH187" s="309">
        <f t="shared" si="55"/>
        <v>2256719</v>
      </c>
      <c r="AI187" s="309">
        <f t="shared" si="56"/>
        <v>190915</v>
      </c>
      <c r="AJ187" s="309">
        <f t="shared" si="57"/>
        <v>2447634</v>
      </c>
      <c r="AK187" s="309">
        <v>2433</v>
      </c>
      <c r="AL187" s="309">
        <f t="shared" si="58"/>
        <v>206</v>
      </c>
      <c r="AM187" s="311">
        <f t="shared" si="59"/>
        <v>2450273</v>
      </c>
      <c r="AO187" s="458"/>
      <c r="AP187" s="459"/>
      <c r="AQ187" s="459"/>
      <c r="AR187" s="460"/>
      <c r="AS187" s="316"/>
      <c r="AT187" s="458"/>
      <c r="AU187" s="459"/>
      <c r="AV187" s="459"/>
      <c r="AW187" s="459"/>
      <c r="AX187" s="459"/>
      <c r="AY187" s="460"/>
    </row>
    <row r="188" spans="1:51" ht="15" hidden="1" outlineLevel="1" x14ac:dyDescent="0.25">
      <c r="A188" s="295">
        <f t="shared" si="69"/>
        <v>2035</v>
      </c>
      <c r="B188" s="295">
        <f t="shared" si="70"/>
        <v>3</v>
      </c>
      <c r="C188" s="305">
        <f t="shared" si="51"/>
        <v>49369</v>
      </c>
      <c r="E188" s="310">
        <v>1052866</v>
      </c>
      <c r="F188" s="309">
        <v>775916</v>
      </c>
      <c r="G188" s="309">
        <v>75063</v>
      </c>
      <c r="H188" s="309">
        <v>4171</v>
      </c>
      <c r="I188" s="309">
        <v>750</v>
      </c>
      <c r="J188" s="309">
        <f t="shared" si="60"/>
        <v>1908766</v>
      </c>
      <c r="K188" s="309">
        <f t="shared" si="61"/>
        <v>161479</v>
      </c>
      <c r="L188" s="309">
        <f t="shared" si="62"/>
        <v>2070245</v>
      </c>
      <c r="M188" s="309">
        <v>2339</v>
      </c>
      <c r="N188" s="309">
        <f t="shared" si="52"/>
        <v>198</v>
      </c>
      <c r="O188" s="311">
        <f t="shared" si="53"/>
        <v>2072782</v>
      </c>
      <c r="P188" s="309"/>
      <c r="Q188" s="310">
        <v>1210870.0662387139</v>
      </c>
      <c r="R188" s="309">
        <v>917372.8868947369</v>
      </c>
      <c r="S188" s="309">
        <v>82129</v>
      </c>
      <c r="T188" s="309">
        <f t="shared" si="63"/>
        <v>5889</v>
      </c>
      <c r="U188" s="309">
        <f t="shared" si="63"/>
        <v>750</v>
      </c>
      <c r="V188" s="309">
        <f t="shared" si="64"/>
        <v>2217010.9531334508</v>
      </c>
      <c r="W188" s="309">
        <f t="shared" si="65"/>
        <v>187556.04686654918</v>
      </c>
      <c r="X188" s="309">
        <f t="shared" si="66"/>
        <v>2404567</v>
      </c>
      <c r="Y188" s="309">
        <f t="shared" si="67"/>
        <v>2339</v>
      </c>
      <c r="Z188" s="309">
        <f t="shared" si="54"/>
        <v>198</v>
      </c>
      <c r="AA188" s="311">
        <f t="shared" si="68"/>
        <v>2407104</v>
      </c>
      <c r="AC188" s="310">
        <v>1282060</v>
      </c>
      <c r="AD188" s="309">
        <v>947624</v>
      </c>
      <c r="AE188" s="309">
        <v>82129</v>
      </c>
      <c r="AF188" s="309">
        <v>5889</v>
      </c>
      <c r="AG188" s="309">
        <v>750</v>
      </c>
      <c r="AH188" s="309">
        <f t="shared" si="55"/>
        <v>2318452</v>
      </c>
      <c r="AI188" s="309">
        <f t="shared" si="56"/>
        <v>196138</v>
      </c>
      <c r="AJ188" s="309">
        <f t="shared" si="57"/>
        <v>2514590</v>
      </c>
      <c r="AK188" s="309">
        <v>2339</v>
      </c>
      <c r="AL188" s="309">
        <f t="shared" si="58"/>
        <v>198</v>
      </c>
      <c r="AM188" s="311">
        <f t="shared" si="59"/>
        <v>2517127</v>
      </c>
      <c r="AO188" s="458"/>
      <c r="AP188" s="459"/>
      <c r="AQ188" s="459"/>
      <c r="AR188" s="460"/>
      <c r="AS188" s="316"/>
      <c r="AT188" s="458"/>
      <c r="AU188" s="459"/>
      <c r="AV188" s="459"/>
      <c r="AW188" s="459"/>
      <c r="AX188" s="459"/>
      <c r="AY188" s="460"/>
    </row>
    <row r="189" spans="1:51" ht="15" hidden="1" outlineLevel="1" x14ac:dyDescent="0.25">
      <c r="A189" s="295">
        <f t="shared" si="69"/>
        <v>2035</v>
      </c>
      <c r="B189" s="295">
        <f t="shared" si="70"/>
        <v>4</v>
      </c>
      <c r="C189" s="305">
        <f t="shared" si="51"/>
        <v>49400</v>
      </c>
      <c r="E189" s="310">
        <v>969864</v>
      </c>
      <c r="F189" s="309">
        <v>771341</v>
      </c>
      <c r="G189" s="309">
        <v>76702</v>
      </c>
      <c r="H189" s="309">
        <v>4787</v>
      </c>
      <c r="I189" s="309">
        <v>622</v>
      </c>
      <c r="J189" s="309">
        <f t="shared" si="60"/>
        <v>1823316</v>
      </c>
      <c r="K189" s="309">
        <f t="shared" si="61"/>
        <v>154250</v>
      </c>
      <c r="L189" s="309">
        <f t="shared" si="62"/>
        <v>1977566</v>
      </c>
      <c r="M189" s="309">
        <v>2172</v>
      </c>
      <c r="N189" s="309">
        <f t="shared" si="52"/>
        <v>184</v>
      </c>
      <c r="O189" s="311">
        <f t="shared" si="53"/>
        <v>1979922</v>
      </c>
      <c r="P189" s="309"/>
      <c r="Q189" s="310">
        <v>1108875.0412748468</v>
      </c>
      <c r="R189" s="309">
        <v>900398.77964682481</v>
      </c>
      <c r="S189" s="309">
        <v>83335</v>
      </c>
      <c r="T189" s="309">
        <f t="shared" si="63"/>
        <v>6238</v>
      </c>
      <c r="U189" s="309">
        <f t="shared" si="63"/>
        <v>622</v>
      </c>
      <c r="V189" s="309">
        <f t="shared" si="64"/>
        <v>2099468.8209216716</v>
      </c>
      <c r="W189" s="309">
        <f t="shared" si="65"/>
        <v>177612.17907832842</v>
      </c>
      <c r="X189" s="309">
        <f t="shared" si="66"/>
        <v>2277081</v>
      </c>
      <c r="Y189" s="309">
        <f t="shared" si="67"/>
        <v>2172</v>
      </c>
      <c r="Z189" s="309">
        <f t="shared" si="54"/>
        <v>184</v>
      </c>
      <c r="AA189" s="311">
        <f t="shared" si="68"/>
        <v>2279437</v>
      </c>
      <c r="AC189" s="310">
        <v>1169669</v>
      </c>
      <c r="AD189" s="309">
        <v>930234</v>
      </c>
      <c r="AE189" s="309">
        <v>83335</v>
      </c>
      <c r="AF189" s="309">
        <v>6238</v>
      </c>
      <c r="AG189" s="309">
        <v>622</v>
      </c>
      <c r="AH189" s="309">
        <f t="shared" si="55"/>
        <v>2190098</v>
      </c>
      <c r="AI189" s="309">
        <f t="shared" si="56"/>
        <v>185279</v>
      </c>
      <c r="AJ189" s="309">
        <f t="shared" si="57"/>
        <v>2375377</v>
      </c>
      <c r="AK189" s="309">
        <v>2172</v>
      </c>
      <c r="AL189" s="309">
        <f t="shared" si="58"/>
        <v>184</v>
      </c>
      <c r="AM189" s="311">
        <f t="shared" si="59"/>
        <v>2377733</v>
      </c>
      <c r="AO189" s="458"/>
      <c r="AP189" s="459"/>
      <c r="AQ189" s="459"/>
      <c r="AR189" s="460"/>
      <c r="AS189" s="316"/>
      <c r="AT189" s="458"/>
      <c r="AU189" s="459"/>
      <c r="AV189" s="459"/>
      <c r="AW189" s="459"/>
      <c r="AX189" s="459"/>
      <c r="AY189" s="460"/>
    </row>
    <row r="190" spans="1:51" ht="15" hidden="1" outlineLevel="1" x14ac:dyDescent="0.25">
      <c r="A190" s="295">
        <f t="shared" si="69"/>
        <v>2035</v>
      </c>
      <c r="B190" s="295">
        <f t="shared" si="70"/>
        <v>5</v>
      </c>
      <c r="C190" s="305">
        <f t="shared" si="51"/>
        <v>49430</v>
      </c>
      <c r="E190" s="310">
        <v>842668</v>
      </c>
      <c r="F190" s="309">
        <v>705338</v>
      </c>
      <c r="G190" s="309">
        <v>71848</v>
      </c>
      <c r="H190" s="309">
        <v>4688</v>
      </c>
      <c r="I190" s="309">
        <v>433</v>
      </c>
      <c r="J190" s="309">
        <f t="shared" si="60"/>
        <v>1624975</v>
      </c>
      <c r="K190" s="309">
        <f t="shared" si="61"/>
        <v>137471</v>
      </c>
      <c r="L190" s="309">
        <f t="shared" si="62"/>
        <v>1762446</v>
      </c>
      <c r="M190" s="309">
        <v>2174</v>
      </c>
      <c r="N190" s="309">
        <f t="shared" si="52"/>
        <v>184</v>
      </c>
      <c r="O190" s="311">
        <f t="shared" si="53"/>
        <v>1764804</v>
      </c>
      <c r="P190" s="309"/>
      <c r="Q190" s="310">
        <v>947084.73201370565</v>
      </c>
      <c r="R190" s="309">
        <v>850410.38618280762</v>
      </c>
      <c r="S190" s="309">
        <v>78718</v>
      </c>
      <c r="T190" s="309">
        <f t="shared" si="63"/>
        <v>5973</v>
      </c>
      <c r="U190" s="309">
        <f t="shared" si="63"/>
        <v>433</v>
      </c>
      <c r="V190" s="309">
        <f t="shared" si="64"/>
        <v>1882619.1181965133</v>
      </c>
      <c r="W190" s="309">
        <f t="shared" si="65"/>
        <v>159266.88180348673</v>
      </c>
      <c r="X190" s="309">
        <f t="shared" si="66"/>
        <v>2041886</v>
      </c>
      <c r="Y190" s="309">
        <f t="shared" si="67"/>
        <v>2174</v>
      </c>
      <c r="Z190" s="309">
        <f t="shared" si="54"/>
        <v>184</v>
      </c>
      <c r="AA190" s="311">
        <f t="shared" si="68"/>
        <v>2044244</v>
      </c>
      <c r="AC190" s="310">
        <v>1004419</v>
      </c>
      <c r="AD190" s="309">
        <v>881255</v>
      </c>
      <c r="AE190" s="309">
        <v>78718</v>
      </c>
      <c r="AF190" s="309">
        <v>5973</v>
      </c>
      <c r="AG190" s="309">
        <v>433</v>
      </c>
      <c r="AH190" s="309">
        <f t="shared" si="55"/>
        <v>1970798</v>
      </c>
      <c r="AI190" s="309">
        <f t="shared" si="56"/>
        <v>166727</v>
      </c>
      <c r="AJ190" s="309">
        <f t="shared" si="57"/>
        <v>2137525</v>
      </c>
      <c r="AK190" s="309">
        <v>2174</v>
      </c>
      <c r="AL190" s="309">
        <f t="shared" si="58"/>
        <v>184</v>
      </c>
      <c r="AM190" s="311">
        <f t="shared" si="59"/>
        <v>2139883</v>
      </c>
      <c r="AO190" s="458"/>
      <c r="AP190" s="459"/>
      <c r="AQ190" s="459"/>
      <c r="AR190" s="460"/>
      <c r="AS190" s="316"/>
      <c r="AT190" s="458"/>
      <c r="AU190" s="459"/>
      <c r="AV190" s="459"/>
      <c r="AW190" s="459"/>
      <c r="AX190" s="459"/>
      <c r="AY190" s="460"/>
    </row>
    <row r="191" spans="1:51" ht="15" hidden="1" outlineLevel="1" x14ac:dyDescent="0.25">
      <c r="A191" s="295">
        <f t="shared" si="69"/>
        <v>2035</v>
      </c>
      <c r="B191" s="295">
        <f t="shared" si="70"/>
        <v>6</v>
      </c>
      <c r="C191" s="305">
        <f t="shared" si="51"/>
        <v>49461</v>
      </c>
      <c r="E191" s="310">
        <v>831258</v>
      </c>
      <c r="F191" s="309">
        <v>738403</v>
      </c>
      <c r="G191" s="309">
        <v>73658</v>
      </c>
      <c r="H191" s="309">
        <v>4674</v>
      </c>
      <c r="I191" s="309">
        <v>316</v>
      </c>
      <c r="J191" s="309">
        <f t="shared" si="60"/>
        <v>1648309</v>
      </c>
      <c r="K191" s="309">
        <f t="shared" si="61"/>
        <v>139445</v>
      </c>
      <c r="L191" s="309">
        <f t="shared" si="62"/>
        <v>1787754</v>
      </c>
      <c r="M191" s="309">
        <v>1787</v>
      </c>
      <c r="N191" s="309">
        <f t="shared" si="52"/>
        <v>151</v>
      </c>
      <c r="O191" s="311">
        <f t="shared" si="53"/>
        <v>1789692</v>
      </c>
      <c r="P191" s="309"/>
      <c r="Q191" s="310">
        <v>910082.8783369459</v>
      </c>
      <c r="R191" s="309">
        <v>875104.2914872152</v>
      </c>
      <c r="S191" s="309">
        <v>80451</v>
      </c>
      <c r="T191" s="309">
        <f t="shared" si="63"/>
        <v>5753</v>
      </c>
      <c r="U191" s="309">
        <f t="shared" si="63"/>
        <v>316</v>
      </c>
      <c r="V191" s="309">
        <f t="shared" si="64"/>
        <v>1871707.1698241611</v>
      </c>
      <c r="W191" s="309">
        <f t="shared" si="65"/>
        <v>158343.8301758389</v>
      </c>
      <c r="X191" s="309">
        <f t="shared" si="66"/>
        <v>2030051</v>
      </c>
      <c r="Y191" s="309">
        <f t="shared" si="67"/>
        <v>1787</v>
      </c>
      <c r="Z191" s="309">
        <f t="shared" si="54"/>
        <v>151</v>
      </c>
      <c r="AA191" s="311">
        <f t="shared" si="68"/>
        <v>2031989</v>
      </c>
      <c r="AC191" s="310">
        <v>957578</v>
      </c>
      <c r="AD191" s="309">
        <v>905624</v>
      </c>
      <c r="AE191" s="309">
        <v>80451</v>
      </c>
      <c r="AF191" s="309">
        <v>5753</v>
      </c>
      <c r="AG191" s="309">
        <v>316</v>
      </c>
      <c r="AH191" s="309">
        <f t="shared" si="55"/>
        <v>1949722</v>
      </c>
      <c r="AI191" s="309">
        <f t="shared" si="56"/>
        <v>164944</v>
      </c>
      <c r="AJ191" s="309">
        <f t="shared" si="57"/>
        <v>2114666</v>
      </c>
      <c r="AK191" s="309">
        <v>1787</v>
      </c>
      <c r="AL191" s="309">
        <f t="shared" si="58"/>
        <v>151</v>
      </c>
      <c r="AM191" s="311">
        <f t="shared" si="59"/>
        <v>2116604</v>
      </c>
      <c r="AO191" s="458"/>
      <c r="AP191" s="459"/>
      <c r="AQ191" s="459"/>
      <c r="AR191" s="460"/>
      <c r="AS191" s="316"/>
      <c r="AT191" s="458"/>
      <c r="AU191" s="459"/>
      <c r="AV191" s="459"/>
      <c r="AW191" s="459"/>
      <c r="AX191" s="459"/>
      <c r="AY191" s="460"/>
    </row>
    <row r="192" spans="1:51" ht="15" hidden="1" outlineLevel="1" x14ac:dyDescent="0.25">
      <c r="A192" s="295">
        <f t="shared" si="69"/>
        <v>2035</v>
      </c>
      <c r="B192" s="295">
        <f t="shared" si="70"/>
        <v>7</v>
      </c>
      <c r="C192" s="305">
        <f t="shared" si="51"/>
        <v>49491</v>
      </c>
      <c r="E192" s="310">
        <v>889848</v>
      </c>
      <c r="F192" s="309">
        <v>767869</v>
      </c>
      <c r="G192" s="309">
        <v>80852</v>
      </c>
      <c r="H192" s="309">
        <v>4309</v>
      </c>
      <c r="I192" s="309">
        <v>288</v>
      </c>
      <c r="J192" s="309">
        <f t="shared" si="60"/>
        <v>1743166</v>
      </c>
      <c r="K192" s="309">
        <f t="shared" si="61"/>
        <v>147469</v>
      </c>
      <c r="L192" s="309">
        <f>ROUNDDOWN(J192/(1-0.078), 0)</f>
        <v>1890635</v>
      </c>
      <c r="M192" s="309">
        <v>2889</v>
      </c>
      <c r="N192" s="309">
        <f t="shared" si="52"/>
        <v>244</v>
      </c>
      <c r="O192" s="311">
        <f t="shared" si="53"/>
        <v>1893768</v>
      </c>
      <c r="P192" s="309"/>
      <c r="Q192" s="310">
        <v>971491.60749215132</v>
      </c>
      <c r="R192" s="309">
        <v>915356.85371899325</v>
      </c>
      <c r="S192" s="309">
        <v>87814</v>
      </c>
      <c r="T192" s="309">
        <f t="shared" si="63"/>
        <v>5577</v>
      </c>
      <c r="U192" s="309">
        <f t="shared" si="63"/>
        <v>288</v>
      </c>
      <c r="V192" s="309">
        <f t="shared" si="64"/>
        <v>1980527.4612111445</v>
      </c>
      <c r="W192" s="309">
        <f t="shared" si="65"/>
        <v>167550.53878885554</v>
      </c>
      <c r="X192" s="309">
        <f t="shared" si="66"/>
        <v>2148078</v>
      </c>
      <c r="Y192" s="309">
        <f t="shared" si="67"/>
        <v>2889</v>
      </c>
      <c r="Z192" s="309">
        <f t="shared" si="54"/>
        <v>244</v>
      </c>
      <c r="AA192" s="311">
        <f t="shared" si="68"/>
        <v>2151211</v>
      </c>
      <c r="AC192" s="310">
        <v>1025941</v>
      </c>
      <c r="AD192" s="309">
        <v>949557</v>
      </c>
      <c r="AE192" s="309">
        <v>87814</v>
      </c>
      <c r="AF192" s="309">
        <v>5577</v>
      </c>
      <c r="AG192" s="309">
        <v>288</v>
      </c>
      <c r="AH192" s="309">
        <f t="shared" si="55"/>
        <v>2069177</v>
      </c>
      <c r="AI192" s="309">
        <f t="shared" si="56"/>
        <v>175050</v>
      </c>
      <c r="AJ192" s="309">
        <f t="shared" si="57"/>
        <v>2244227</v>
      </c>
      <c r="AK192" s="309">
        <v>2889</v>
      </c>
      <c r="AL192" s="309">
        <f t="shared" si="58"/>
        <v>244</v>
      </c>
      <c r="AM192" s="311">
        <f t="shared" si="59"/>
        <v>2247360</v>
      </c>
      <c r="AO192" s="458"/>
      <c r="AP192" s="459"/>
      <c r="AQ192" s="459"/>
      <c r="AR192" s="460"/>
      <c r="AS192" s="316"/>
      <c r="AT192" s="458"/>
      <c r="AU192" s="459"/>
      <c r="AV192" s="459"/>
      <c r="AW192" s="459"/>
      <c r="AX192" s="459"/>
      <c r="AY192" s="460"/>
    </row>
    <row r="193" spans="1:51" ht="15" hidden="1" outlineLevel="1" x14ac:dyDescent="0.25">
      <c r="A193" s="295">
        <f t="shared" si="69"/>
        <v>2035</v>
      </c>
      <c r="B193" s="295">
        <f t="shared" si="70"/>
        <v>8</v>
      </c>
      <c r="C193" s="305">
        <f t="shared" si="51"/>
        <v>49522</v>
      </c>
      <c r="E193" s="310">
        <v>901058</v>
      </c>
      <c r="F193" s="309">
        <v>766894</v>
      </c>
      <c r="G193" s="309">
        <v>81523</v>
      </c>
      <c r="H193" s="309">
        <v>4547</v>
      </c>
      <c r="I193" s="309">
        <v>280</v>
      </c>
      <c r="J193" s="309">
        <f t="shared" si="60"/>
        <v>1754302</v>
      </c>
      <c r="K193" s="309">
        <f t="shared" si="61"/>
        <v>148412</v>
      </c>
      <c r="L193" s="309">
        <f t="shared" si="62"/>
        <v>1902714</v>
      </c>
      <c r="M193" s="309">
        <v>1634</v>
      </c>
      <c r="N193" s="309">
        <f t="shared" si="52"/>
        <v>138</v>
      </c>
      <c r="O193" s="311">
        <f t="shared" si="53"/>
        <v>1904486</v>
      </c>
      <c r="P193" s="309"/>
      <c r="Q193" s="310">
        <v>983493.52488262416</v>
      </c>
      <c r="R193" s="309">
        <v>916799.4013262291</v>
      </c>
      <c r="S193" s="309">
        <v>88819</v>
      </c>
      <c r="T193" s="309">
        <f t="shared" si="63"/>
        <v>6001</v>
      </c>
      <c r="U193" s="309">
        <f t="shared" si="63"/>
        <v>280</v>
      </c>
      <c r="V193" s="309">
        <f t="shared" si="64"/>
        <v>1995392.9262088533</v>
      </c>
      <c r="W193" s="309">
        <f t="shared" si="65"/>
        <v>168808.07379114674</v>
      </c>
      <c r="X193" s="309">
        <f t="shared" si="66"/>
        <v>2164201</v>
      </c>
      <c r="Y193" s="309">
        <f t="shared" si="67"/>
        <v>1634</v>
      </c>
      <c r="Z193" s="309">
        <f t="shared" si="54"/>
        <v>138</v>
      </c>
      <c r="AA193" s="311">
        <f t="shared" si="68"/>
        <v>2165973</v>
      </c>
      <c r="AC193" s="310">
        <v>1036551</v>
      </c>
      <c r="AD193" s="309">
        <v>950798</v>
      </c>
      <c r="AE193" s="309">
        <v>88819</v>
      </c>
      <c r="AF193" s="309">
        <v>6001</v>
      </c>
      <c r="AG193" s="309">
        <v>280</v>
      </c>
      <c r="AH193" s="309">
        <f t="shared" si="55"/>
        <v>2082449</v>
      </c>
      <c r="AI193" s="309">
        <f t="shared" si="56"/>
        <v>176172</v>
      </c>
      <c r="AJ193" s="309">
        <f t="shared" si="57"/>
        <v>2258621</v>
      </c>
      <c r="AK193" s="309">
        <v>1634</v>
      </c>
      <c r="AL193" s="309">
        <f t="shared" si="58"/>
        <v>138</v>
      </c>
      <c r="AM193" s="311">
        <f t="shared" si="59"/>
        <v>2260393</v>
      </c>
      <c r="AO193" s="458"/>
      <c r="AP193" s="459"/>
      <c r="AQ193" s="459"/>
      <c r="AR193" s="460"/>
      <c r="AS193" s="316"/>
      <c r="AT193" s="458"/>
      <c r="AU193" s="459"/>
      <c r="AV193" s="459"/>
      <c r="AW193" s="459"/>
      <c r="AX193" s="459"/>
      <c r="AY193" s="460"/>
    </row>
    <row r="194" spans="1:51" ht="15" hidden="1" outlineLevel="1" x14ac:dyDescent="0.25">
      <c r="A194" s="295">
        <f t="shared" si="69"/>
        <v>2035</v>
      </c>
      <c r="B194" s="295">
        <f t="shared" si="70"/>
        <v>9</v>
      </c>
      <c r="C194" s="305">
        <f t="shared" si="51"/>
        <v>49553</v>
      </c>
      <c r="E194" s="310">
        <v>815148</v>
      </c>
      <c r="F194" s="309">
        <v>733193</v>
      </c>
      <c r="G194" s="309">
        <v>78181</v>
      </c>
      <c r="H194" s="309">
        <v>4851</v>
      </c>
      <c r="I194" s="309">
        <v>353</v>
      </c>
      <c r="J194" s="309">
        <f t="shared" si="60"/>
        <v>1631726</v>
      </c>
      <c r="K194" s="309">
        <f t="shared" si="61"/>
        <v>138042</v>
      </c>
      <c r="L194" s="309">
        <f t="shared" si="62"/>
        <v>1769768</v>
      </c>
      <c r="M194" s="309">
        <v>1428</v>
      </c>
      <c r="N194" s="309">
        <f t="shared" si="52"/>
        <v>121</v>
      </c>
      <c r="O194" s="311">
        <f t="shared" si="53"/>
        <v>1771317</v>
      </c>
      <c r="P194" s="309"/>
      <c r="Q194" s="310">
        <v>903949.32870046259</v>
      </c>
      <c r="R194" s="309">
        <v>873783.32908380567</v>
      </c>
      <c r="S194" s="309">
        <v>85073</v>
      </c>
      <c r="T194" s="309">
        <f t="shared" si="63"/>
        <v>6308</v>
      </c>
      <c r="U194" s="309">
        <f t="shared" si="63"/>
        <v>353</v>
      </c>
      <c r="V194" s="309">
        <f t="shared" si="64"/>
        <v>1869466.6577842683</v>
      </c>
      <c r="W194" s="309">
        <f t="shared" si="65"/>
        <v>158154.34221573174</v>
      </c>
      <c r="X194" s="309">
        <f t="shared" si="66"/>
        <v>2027621</v>
      </c>
      <c r="Y194" s="309">
        <f t="shared" si="67"/>
        <v>1428</v>
      </c>
      <c r="Z194" s="309">
        <f t="shared" si="54"/>
        <v>121</v>
      </c>
      <c r="AA194" s="311">
        <f t="shared" si="68"/>
        <v>2029170</v>
      </c>
      <c r="AC194" s="310">
        <v>953086</v>
      </c>
      <c r="AD194" s="309">
        <v>903083</v>
      </c>
      <c r="AE194" s="309">
        <v>85073</v>
      </c>
      <c r="AF194" s="309">
        <v>6308</v>
      </c>
      <c r="AG194" s="309">
        <v>353</v>
      </c>
      <c r="AH194" s="309">
        <f t="shared" si="55"/>
        <v>1947903</v>
      </c>
      <c r="AI194" s="309">
        <f t="shared" si="56"/>
        <v>164790</v>
      </c>
      <c r="AJ194" s="309">
        <f t="shared" si="57"/>
        <v>2112693</v>
      </c>
      <c r="AK194" s="309">
        <v>1428</v>
      </c>
      <c r="AL194" s="309">
        <f t="shared" si="58"/>
        <v>121</v>
      </c>
      <c r="AM194" s="311">
        <f t="shared" si="59"/>
        <v>2114242</v>
      </c>
      <c r="AO194" s="458"/>
      <c r="AP194" s="459"/>
      <c r="AQ194" s="459"/>
      <c r="AR194" s="460"/>
      <c r="AS194" s="316"/>
      <c r="AT194" s="458"/>
      <c r="AU194" s="459"/>
      <c r="AV194" s="459"/>
      <c r="AW194" s="459"/>
      <c r="AX194" s="459"/>
      <c r="AY194" s="460"/>
    </row>
    <row r="195" spans="1:51" ht="15" hidden="1" outlineLevel="1" x14ac:dyDescent="0.25">
      <c r="A195" s="295">
        <f t="shared" si="69"/>
        <v>2035</v>
      </c>
      <c r="B195" s="295">
        <f t="shared" si="70"/>
        <v>10</v>
      </c>
      <c r="C195" s="305">
        <f t="shared" si="51"/>
        <v>49583</v>
      </c>
      <c r="E195" s="310">
        <v>900864</v>
      </c>
      <c r="F195" s="309">
        <v>740070</v>
      </c>
      <c r="G195" s="309">
        <v>74012</v>
      </c>
      <c r="H195" s="309">
        <v>4427</v>
      </c>
      <c r="I195" s="309">
        <v>466</v>
      </c>
      <c r="J195" s="309">
        <f t="shared" si="60"/>
        <v>1719839</v>
      </c>
      <c r="K195" s="309">
        <f t="shared" si="61"/>
        <v>145496</v>
      </c>
      <c r="L195" s="309">
        <f t="shared" si="62"/>
        <v>1865335</v>
      </c>
      <c r="M195" s="309">
        <v>1830</v>
      </c>
      <c r="N195" s="309">
        <f t="shared" si="52"/>
        <v>155</v>
      </c>
      <c r="O195" s="311">
        <f t="shared" si="53"/>
        <v>1867320</v>
      </c>
      <c r="P195" s="309"/>
      <c r="Q195" s="310">
        <v>1025380.5110778855</v>
      </c>
      <c r="R195" s="309">
        <v>883691.65702811535</v>
      </c>
      <c r="S195" s="309">
        <v>81228</v>
      </c>
      <c r="T195" s="309">
        <f t="shared" si="63"/>
        <v>6263</v>
      </c>
      <c r="U195" s="309">
        <f t="shared" si="63"/>
        <v>466</v>
      </c>
      <c r="V195" s="309">
        <f t="shared" si="64"/>
        <v>1997029.1681060009</v>
      </c>
      <c r="W195" s="309">
        <f t="shared" si="65"/>
        <v>168945.83189399913</v>
      </c>
      <c r="X195" s="309">
        <f t="shared" si="66"/>
        <v>2165975</v>
      </c>
      <c r="Y195" s="309">
        <f t="shared" si="67"/>
        <v>1830</v>
      </c>
      <c r="Z195" s="309">
        <f t="shared" si="54"/>
        <v>155</v>
      </c>
      <c r="AA195" s="311">
        <f t="shared" si="68"/>
        <v>2167960</v>
      </c>
      <c r="AC195" s="310">
        <v>1090222</v>
      </c>
      <c r="AD195" s="309">
        <v>913218</v>
      </c>
      <c r="AE195" s="309">
        <v>81228</v>
      </c>
      <c r="AF195" s="309">
        <v>6263</v>
      </c>
      <c r="AG195" s="309">
        <v>466</v>
      </c>
      <c r="AH195" s="309">
        <f t="shared" si="55"/>
        <v>2091397</v>
      </c>
      <c r="AI195" s="309">
        <f t="shared" si="56"/>
        <v>176929</v>
      </c>
      <c r="AJ195" s="309">
        <f t="shared" si="57"/>
        <v>2268326</v>
      </c>
      <c r="AK195" s="309">
        <v>1830</v>
      </c>
      <c r="AL195" s="309">
        <f t="shared" si="58"/>
        <v>155</v>
      </c>
      <c r="AM195" s="311">
        <f t="shared" si="59"/>
        <v>2270311</v>
      </c>
      <c r="AO195" s="458"/>
      <c r="AP195" s="459"/>
      <c r="AQ195" s="459"/>
      <c r="AR195" s="460"/>
      <c r="AS195" s="316"/>
      <c r="AT195" s="458"/>
      <c r="AU195" s="459"/>
      <c r="AV195" s="459"/>
      <c r="AW195" s="459"/>
      <c r="AX195" s="459"/>
      <c r="AY195" s="460"/>
    </row>
    <row r="196" spans="1:51" ht="15" hidden="1" outlineLevel="1" x14ac:dyDescent="0.25">
      <c r="A196" s="295">
        <f t="shared" si="69"/>
        <v>2035</v>
      </c>
      <c r="B196" s="295">
        <f t="shared" si="70"/>
        <v>11</v>
      </c>
      <c r="C196" s="305">
        <f t="shared" si="51"/>
        <v>49614</v>
      </c>
      <c r="E196" s="310">
        <v>1109940</v>
      </c>
      <c r="F196" s="309">
        <v>772525</v>
      </c>
      <c r="G196" s="309">
        <v>78252</v>
      </c>
      <c r="H196" s="309">
        <v>4962</v>
      </c>
      <c r="I196" s="309">
        <v>766</v>
      </c>
      <c r="J196" s="309">
        <f t="shared" si="60"/>
        <v>1966445</v>
      </c>
      <c r="K196" s="309">
        <f t="shared" si="61"/>
        <v>166359</v>
      </c>
      <c r="L196" s="309">
        <f t="shared" si="62"/>
        <v>2132804</v>
      </c>
      <c r="M196" s="309">
        <v>1832</v>
      </c>
      <c r="N196" s="309">
        <f t="shared" si="52"/>
        <v>155</v>
      </c>
      <c r="O196" s="311">
        <f t="shared" si="53"/>
        <v>2134791</v>
      </c>
      <c r="P196" s="309"/>
      <c r="Q196" s="310">
        <v>1272557.9858794212</v>
      </c>
      <c r="R196" s="309">
        <v>907605.16148603556</v>
      </c>
      <c r="S196" s="309">
        <v>84853</v>
      </c>
      <c r="T196" s="309">
        <f t="shared" si="63"/>
        <v>6960</v>
      </c>
      <c r="U196" s="309">
        <f t="shared" si="63"/>
        <v>766</v>
      </c>
      <c r="V196" s="309">
        <f t="shared" si="64"/>
        <v>2272742.1473654569</v>
      </c>
      <c r="W196" s="309">
        <f t="shared" si="65"/>
        <v>192270.85263454309</v>
      </c>
      <c r="X196" s="309">
        <f t="shared" si="66"/>
        <v>2465013</v>
      </c>
      <c r="Y196" s="309">
        <f t="shared" si="67"/>
        <v>1832</v>
      </c>
      <c r="Z196" s="309">
        <f t="shared" si="54"/>
        <v>155</v>
      </c>
      <c r="AA196" s="311">
        <f t="shared" si="68"/>
        <v>2467000</v>
      </c>
      <c r="AC196" s="310">
        <v>1357026</v>
      </c>
      <c r="AD196" s="309">
        <v>935737</v>
      </c>
      <c r="AE196" s="309">
        <v>84853</v>
      </c>
      <c r="AF196" s="309">
        <v>6960</v>
      </c>
      <c r="AG196" s="309">
        <v>766</v>
      </c>
      <c r="AH196" s="309">
        <f t="shared" si="55"/>
        <v>2385342</v>
      </c>
      <c r="AI196" s="309">
        <f t="shared" si="56"/>
        <v>201797</v>
      </c>
      <c r="AJ196" s="309">
        <f t="shared" si="57"/>
        <v>2587139</v>
      </c>
      <c r="AK196" s="309">
        <v>1832</v>
      </c>
      <c r="AL196" s="309">
        <f t="shared" si="58"/>
        <v>155</v>
      </c>
      <c r="AM196" s="311">
        <f t="shared" si="59"/>
        <v>2589126</v>
      </c>
      <c r="AO196" s="458"/>
      <c r="AP196" s="459"/>
      <c r="AQ196" s="459"/>
      <c r="AR196" s="460"/>
      <c r="AS196" s="316"/>
      <c r="AT196" s="458"/>
      <c r="AU196" s="459"/>
      <c r="AV196" s="459"/>
      <c r="AW196" s="459"/>
      <c r="AX196" s="459"/>
      <c r="AY196" s="460"/>
    </row>
    <row r="197" spans="1:51" ht="15" hidden="1" outlineLevel="1" x14ac:dyDescent="0.25">
      <c r="A197" s="295">
        <f t="shared" si="69"/>
        <v>2035</v>
      </c>
      <c r="B197" s="295">
        <f t="shared" si="70"/>
        <v>12</v>
      </c>
      <c r="C197" s="305">
        <f t="shared" si="51"/>
        <v>49644</v>
      </c>
      <c r="E197" s="310">
        <v>1182936</v>
      </c>
      <c r="F197" s="309">
        <v>798248</v>
      </c>
      <c r="G197" s="309">
        <v>70985</v>
      </c>
      <c r="H197" s="309">
        <v>4432</v>
      </c>
      <c r="I197" s="309">
        <v>827</v>
      </c>
      <c r="J197" s="309">
        <f t="shared" si="60"/>
        <v>2057428</v>
      </c>
      <c r="K197" s="309">
        <f t="shared" si="61"/>
        <v>174056</v>
      </c>
      <c r="L197" s="309">
        <f t="shared" si="62"/>
        <v>2231484</v>
      </c>
      <c r="M197" s="309">
        <v>1718</v>
      </c>
      <c r="N197" s="309">
        <f t="shared" si="52"/>
        <v>145</v>
      </c>
      <c r="O197" s="311">
        <f t="shared" si="53"/>
        <v>2233347</v>
      </c>
      <c r="P197" s="309"/>
      <c r="Q197" s="310">
        <v>1414883.9830446816</v>
      </c>
      <c r="R197" s="309">
        <v>941744.2355378744</v>
      </c>
      <c r="S197" s="309">
        <v>77874</v>
      </c>
      <c r="T197" s="309">
        <f t="shared" si="63"/>
        <v>6549</v>
      </c>
      <c r="U197" s="309">
        <f t="shared" si="63"/>
        <v>827</v>
      </c>
      <c r="V197" s="309">
        <f t="shared" si="64"/>
        <v>2441878.2185825561</v>
      </c>
      <c r="W197" s="309">
        <f t="shared" si="65"/>
        <v>206579.78141744388</v>
      </c>
      <c r="X197" s="309">
        <f t="shared" si="66"/>
        <v>2648458</v>
      </c>
      <c r="Y197" s="309">
        <f t="shared" si="67"/>
        <v>1718</v>
      </c>
      <c r="Z197" s="309">
        <f t="shared" si="54"/>
        <v>145</v>
      </c>
      <c r="AA197" s="311">
        <f t="shared" si="68"/>
        <v>2650321</v>
      </c>
      <c r="AC197" s="310">
        <v>1526675</v>
      </c>
      <c r="AD197" s="309">
        <v>977785</v>
      </c>
      <c r="AE197" s="309">
        <v>77874</v>
      </c>
      <c r="AF197" s="309">
        <v>6549</v>
      </c>
      <c r="AG197" s="309">
        <v>827</v>
      </c>
      <c r="AH197" s="309">
        <f t="shared" si="55"/>
        <v>2589710</v>
      </c>
      <c r="AI197" s="309">
        <f t="shared" si="56"/>
        <v>219086</v>
      </c>
      <c r="AJ197" s="309">
        <f t="shared" si="57"/>
        <v>2808796</v>
      </c>
      <c r="AK197" s="309">
        <v>1718</v>
      </c>
      <c r="AL197" s="309">
        <f t="shared" si="58"/>
        <v>145</v>
      </c>
      <c r="AM197" s="311">
        <f t="shared" si="59"/>
        <v>2810659</v>
      </c>
      <c r="AO197" s="458"/>
      <c r="AP197" s="459"/>
      <c r="AQ197" s="459"/>
      <c r="AR197" s="460"/>
      <c r="AS197" s="316"/>
      <c r="AT197" s="458"/>
      <c r="AU197" s="459"/>
      <c r="AV197" s="459"/>
      <c r="AW197" s="459"/>
      <c r="AX197" s="459"/>
      <c r="AY197" s="460"/>
    </row>
    <row r="198" spans="1:51" ht="15" hidden="1" outlineLevel="1" x14ac:dyDescent="0.25">
      <c r="A198" s="295">
        <f t="shared" si="69"/>
        <v>2036</v>
      </c>
      <c r="B198" s="295">
        <f t="shared" si="70"/>
        <v>1</v>
      </c>
      <c r="C198" s="305">
        <f t="shared" si="51"/>
        <v>49675</v>
      </c>
      <c r="E198" s="310">
        <v>1241706</v>
      </c>
      <c r="F198" s="309">
        <v>822516</v>
      </c>
      <c r="G198" s="309">
        <v>68658</v>
      </c>
      <c r="H198" s="309">
        <v>4850</v>
      </c>
      <c r="I198" s="309">
        <v>971</v>
      </c>
      <c r="J198" s="309">
        <f t="shared" si="60"/>
        <v>2138701</v>
      </c>
      <c r="K198" s="309">
        <f t="shared" si="61"/>
        <v>180931</v>
      </c>
      <c r="L198" s="309">
        <f t="shared" si="62"/>
        <v>2319632</v>
      </c>
      <c r="M198" s="309">
        <v>2325</v>
      </c>
      <c r="N198" s="309">
        <f t="shared" si="52"/>
        <v>197</v>
      </c>
      <c r="O198" s="311">
        <f t="shared" si="53"/>
        <v>2322154</v>
      </c>
      <c r="P198" s="309"/>
      <c r="Q198" s="310">
        <v>1447916.6210184996</v>
      </c>
      <c r="R198" s="309">
        <v>965412.23597910104</v>
      </c>
      <c r="S198" s="309">
        <v>75580</v>
      </c>
      <c r="T198" s="309">
        <f t="shared" si="63"/>
        <v>6997</v>
      </c>
      <c r="U198" s="309">
        <f t="shared" si="63"/>
        <v>971</v>
      </c>
      <c r="V198" s="309">
        <f t="shared" si="64"/>
        <v>2496876.8569976008</v>
      </c>
      <c r="W198" s="309">
        <f t="shared" si="65"/>
        <v>211232.14300239924</v>
      </c>
      <c r="X198" s="309">
        <f t="shared" si="66"/>
        <v>2708109</v>
      </c>
      <c r="Y198" s="309">
        <f t="shared" si="67"/>
        <v>2325</v>
      </c>
      <c r="Z198" s="309">
        <f t="shared" si="54"/>
        <v>197</v>
      </c>
      <c r="AA198" s="311">
        <f t="shared" si="68"/>
        <v>2710631</v>
      </c>
      <c r="AC198" s="310">
        <v>1542556</v>
      </c>
      <c r="AD198" s="309">
        <v>999213</v>
      </c>
      <c r="AE198" s="309">
        <v>75580</v>
      </c>
      <c r="AF198" s="309">
        <v>6997</v>
      </c>
      <c r="AG198" s="309">
        <v>971</v>
      </c>
      <c r="AH198" s="309">
        <f t="shared" si="55"/>
        <v>2625317</v>
      </c>
      <c r="AI198" s="309">
        <f t="shared" si="56"/>
        <v>222098</v>
      </c>
      <c r="AJ198" s="309">
        <f t="shared" si="57"/>
        <v>2847415</v>
      </c>
      <c r="AK198" s="309">
        <v>2325</v>
      </c>
      <c r="AL198" s="309">
        <f t="shared" si="58"/>
        <v>197</v>
      </c>
      <c r="AM198" s="311">
        <f t="shared" si="59"/>
        <v>2849937</v>
      </c>
      <c r="AO198" s="458"/>
      <c r="AP198" s="459"/>
      <c r="AQ198" s="459"/>
      <c r="AR198" s="460"/>
      <c r="AS198" s="316"/>
      <c r="AT198" s="458"/>
      <c r="AU198" s="459"/>
      <c r="AV198" s="459"/>
      <c r="AW198" s="459"/>
      <c r="AX198" s="459"/>
      <c r="AY198" s="460"/>
    </row>
    <row r="199" spans="1:51" ht="15" hidden="1" outlineLevel="1" x14ac:dyDescent="0.25">
      <c r="A199" s="295">
        <f t="shared" si="69"/>
        <v>2036</v>
      </c>
      <c r="B199" s="295">
        <f t="shared" si="70"/>
        <v>2</v>
      </c>
      <c r="C199" s="305">
        <f t="shared" si="51"/>
        <v>49706</v>
      </c>
      <c r="E199" s="310">
        <v>1080157</v>
      </c>
      <c r="F199" s="309">
        <v>767450</v>
      </c>
      <c r="G199" s="309">
        <v>68877</v>
      </c>
      <c r="H199" s="309">
        <v>4818</v>
      </c>
      <c r="I199" s="309">
        <v>850</v>
      </c>
      <c r="J199" s="309">
        <f t="shared" si="60"/>
        <v>1922152</v>
      </c>
      <c r="K199" s="309">
        <f t="shared" si="61"/>
        <v>162611</v>
      </c>
      <c r="L199" s="309">
        <f>ROUNDDOWN(J199/(1-0.078), 0)</f>
        <v>2084763</v>
      </c>
      <c r="M199" s="309">
        <v>2433</v>
      </c>
      <c r="N199" s="309">
        <f t="shared" si="52"/>
        <v>206</v>
      </c>
      <c r="O199" s="311">
        <f t="shared" si="53"/>
        <v>2087402</v>
      </c>
      <c r="P199" s="309"/>
      <c r="Q199" s="310">
        <v>1250374.5705495258</v>
      </c>
      <c r="R199" s="309">
        <v>893657.60743497952</v>
      </c>
      <c r="S199" s="309">
        <v>75231</v>
      </c>
      <c r="T199" s="309">
        <f t="shared" si="63"/>
        <v>6459</v>
      </c>
      <c r="U199" s="309">
        <f t="shared" si="63"/>
        <v>850</v>
      </c>
      <c r="V199" s="309">
        <f t="shared" si="64"/>
        <v>2226572.1779845054</v>
      </c>
      <c r="W199" s="309">
        <f t="shared" si="65"/>
        <v>188364.82201549457</v>
      </c>
      <c r="X199" s="309">
        <f t="shared" si="66"/>
        <v>2414937</v>
      </c>
      <c r="Y199" s="309">
        <f t="shared" si="67"/>
        <v>2433</v>
      </c>
      <c r="Z199" s="309">
        <f t="shared" si="54"/>
        <v>206</v>
      </c>
      <c r="AA199" s="311">
        <f t="shared" si="68"/>
        <v>2417576</v>
      </c>
      <c r="AC199" s="310">
        <v>1326604</v>
      </c>
      <c r="AD199" s="309">
        <v>921004</v>
      </c>
      <c r="AE199" s="309">
        <v>75231</v>
      </c>
      <c r="AF199" s="309">
        <v>6459</v>
      </c>
      <c r="AG199" s="309">
        <v>850</v>
      </c>
      <c r="AH199" s="309">
        <f t="shared" si="55"/>
        <v>2330148</v>
      </c>
      <c r="AI199" s="309">
        <f t="shared" si="56"/>
        <v>197127</v>
      </c>
      <c r="AJ199" s="309">
        <f t="shared" si="57"/>
        <v>2527275</v>
      </c>
      <c r="AK199" s="309">
        <v>2433</v>
      </c>
      <c r="AL199" s="309">
        <f t="shared" si="58"/>
        <v>206</v>
      </c>
      <c r="AM199" s="311">
        <f t="shared" si="59"/>
        <v>2529914</v>
      </c>
      <c r="AO199" s="458"/>
      <c r="AP199" s="459"/>
      <c r="AQ199" s="459"/>
      <c r="AR199" s="460"/>
      <c r="AS199" s="316"/>
      <c r="AT199" s="458"/>
      <c r="AU199" s="459"/>
      <c r="AV199" s="459"/>
      <c r="AW199" s="459"/>
      <c r="AX199" s="459"/>
      <c r="AY199" s="460"/>
    </row>
    <row r="200" spans="1:51" ht="15" hidden="1" outlineLevel="1" x14ac:dyDescent="0.25">
      <c r="A200" s="295">
        <f t="shared" si="69"/>
        <v>2036</v>
      </c>
      <c r="B200" s="295">
        <f t="shared" si="70"/>
        <v>3</v>
      </c>
      <c r="C200" s="305">
        <f t="shared" si="51"/>
        <v>49735</v>
      </c>
      <c r="E200" s="310">
        <v>1072551</v>
      </c>
      <c r="F200" s="309">
        <v>791779</v>
      </c>
      <c r="G200" s="309">
        <v>75234</v>
      </c>
      <c r="H200" s="309">
        <v>4245</v>
      </c>
      <c r="I200" s="309">
        <v>752</v>
      </c>
      <c r="J200" s="309">
        <f t="shared" si="60"/>
        <v>1944561</v>
      </c>
      <c r="K200" s="309">
        <f t="shared" si="61"/>
        <v>164507</v>
      </c>
      <c r="L200" s="309">
        <f t="shared" si="62"/>
        <v>2109068</v>
      </c>
      <c r="M200" s="309">
        <v>2339</v>
      </c>
      <c r="N200" s="309">
        <f t="shared" si="52"/>
        <v>198</v>
      </c>
      <c r="O200" s="311">
        <f t="shared" si="53"/>
        <v>2111605</v>
      </c>
      <c r="P200" s="309"/>
      <c r="Q200" s="310">
        <v>1239645.48170348</v>
      </c>
      <c r="R200" s="309">
        <v>939547.03157758573</v>
      </c>
      <c r="S200" s="309">
        <v>82304</v>
      </c>
      <c r="T200" s="309">
        <f t="shared" si="63"/>
        <v>5977</v>
      </c>
      <c r="U200" s="309">
        <f t="shared" si="63"/>
        <v>752</v>
      </c>
      <c r="V200" s="309">
        <f t="shared" si="64"/>
        <v>2268225.513281066</v>
      </c>
      <c r="W200" s="309">
        <f t="shared" si="65"/>
        <v>191888.48671893403</v>
      </c>
      <c r="X200" s="309">
        <f t="shared" si="66"/>
        <v>2460114</v>
      </c>
      <c r="Y200" s="309">
        <f t="shared" si="67"/>
        <v>2339</v>
      </c>
      <c r="Z200" s="309">
        <f t="shared" si="54"/>
        <v>198</v>
      </c>
      <c r="AA200" s="311">
        <f t="shared" si="68"/>
        <v>2462651</v>
      </c>
      <c r="AC200" s="310">
        <v>1314217</v>
      </c>
      <c r="AD200" s="309">
        <v>972185</v>
      </c>
      <c r="AE200" s="309">
        <v>82304</v>
      </c>
      <c r="AF200" s="309">
        <v>5977</v>
      </c>
      <c r="AG200" s="309">
        <v>752</v>
      </c>
      <c r="AH200" s="309">
        <f t="shared" si="55"/>
        <v>2375435</v>
      </c>
      <c r="AI200" s="309">
        <f t="shared" si="56"/>
        <v>200959</v>
      </c>
      <c r="AJ200" s="309">
        <f t="shared" si="57"/>
        <v>2576394</v>
      </c>
      <c r="AK200" s="309">
        <v>2339</v>
      </c>
      <c r="AL200" s="309">
        <f t="shared" si="58"/>
        <v>198</v>
      </c>
      <c r="AM200" s="311">
        <f t="shared" si="59"/>
        <v>2578931</v>
      </c>
      <c r="AO200" s="458"/>
      <c r="AP200" s="459"/>
      <c r="AQ200" s="459"/>
      <c r="AR200" s="460"/>
      <c r="AS200" s="316"/>
      <c r="AT200" s="458"/>
      <c r="AU200" s="459"/>
      <c r="AV200" s="459"/>
      <c r="AW200" s="459"/>
      <c r="AX200" s="459"/>
      <c r="AY200" s="460"/>
    </row>
    <row r="201" spans="1:51" ht="15" hidden="1" outlineLevel="1" x14ac:dyDescent="0.25">
      <c r="A201" s="295">
        <f t="shared" si="69"/>
        <v>2036</v>
      </c>
      <c r="B201" s="295">
        <f t="shared" si="70"/>
        <v>4</v>
      </c>
      <c r="C201" s="305">
        <f t="shared" si="51"/>
        <v>49766</v>
      </c>
      <c r="E201" s="310">
        <v>982968</v>
      </c>
      <c r="F201" s="309">
        <v>781991</v>
      </c>
      <c r="G201" s="309">
        <v>76411</v>
      </c>
      <c r="H201" s="309">
        <v>4868</v>
      </c>
      <c r="I201" s="309">
        <v>621</v>
      </c>
      <c r="J201" s="309">
        <f t="shared" si="60"/>
        <v>1846859</v>
      </c>
      <c r="K201" s="309">
        <f t="shared" si="61"/>
        <v>156242</v>
      </c>
      <c r="L201" s="309">
        <f t="shared" si="62"/>
        <v>2003101</v>
      </c>
      <c r="M201" s="309">
        <v>2172</v>
      </c>
      <c r="N201" s="309">
        <f t="shared" si="52"/>
        <v>184</v>
      </c>
      <c r="O201" s="311">
        <f t="shared" si="53"/>
        <v>2005457</v>
      </c>
      <c r="P201" s="309"/>
      <c r="Q201" s="310">
        <v>1129193.097594392</v>
      </c>
      <c r="R201" s="309">
        <v>917411.62923159963</v>
      </c>
      <c r="S201" s="309">
        <v>83048</v>
      </c>
      <c r="T201" s="309">
        <f t="shared" si="63"/>
        <v>6331</v>
      </c>
      <c r="U201" s="309">
        <f t="shared" si="63"/>
        <v>621</v>
      </c>
      <c r="V201" s="309">
        <f t="shared" si="64"/>
        <v>2136604.7268259916</v>
      </c>
      <c r="W201" s="309">
        <f t="shared" si="65"/>
        <v>180754.27317400835</v>
      </c>
      <c r="X201" s="309">
        <f t="shared" si="66"/>
        <v>2317359</v>
      </c>
      <c r="Y201" s="309">
        <f t="shared" si="67"/>
        <v>2172</v>
      </c>
      <c r="Z201" s="309">
        <f t="shared" si="54"/>
        <v>184</v>
      </c>
      <c r="AA201" s="311">
        <f t="shared" si="68"/>
        <v>2319715</v>
      </c>
      <c r="AC201" s="310">
        <v>1193033</v>
      </c>
      <c r="AD201" s="309">
        <v>949800</v>
      </c>
      <c r="AE201" s="309">
        <v>83048</v>
      </c>
      <c r="AF201" s="309">
        <v>6331</v>
      </c>
      <c r="AG201" s="309">
        <v>621</v>
      </c>
      <c r="AH201" s="309">
        <f t="shared" si="55"/>
        <v>2232833</v>
      </c>
      <c r="AI201" s="309">
        <f t="shared" si="56"/>
        <v>188895</v>
      </c>
      <c r="AJ201" s="309">
        <f t="shared" si="57"/>
        <v>2421728</v>
      </c>
      <c r="AK201" s="309">
        <v>2172</v>
      </c>
      <c r="AL201" s="309">
        <f t="shared" si="58"/>
        <v>184</v>
      </c>
      <c r="AM201" s="311">
        <f t="shared" si="59"/>
        <v>2424084</v>
      </c>
      <c r="AO201" s="458"/>
      <c r="AP201" s="459"/>
      <c r="AQ201" s="459"/>
      <c r="AR201" s="460"/>
      <c r="AS201" s="316"/>
      <c r="AT201" s="458"/>
      <c r="AU201" s="459"/>
      <c r="AV201" s="459"/>
      <c r="AW201" s="459"/>
      <c r="AX201" s="459"/>
      <c r="AY201" s="460"/>
    </row>
    <row r="202" spans="1:51" ht="15" hidden="1" outlineLevel="1" x14ac:dyDescent="0.25">
      <c r="A202" s="295">
        <f t="shared" si="69"/>
        <v>2036</v>
      </c>
      <c r="B202" s="295">
        <f t="shared" si="70"/>
        <v>5</v>
      </c>
      <c r="C202" s="305">
        <f t="shared" si="51"/>
        <v>49796</v>
      </c>
      <c r="E202" s="310">
        <v>854200</v>
      </c>
      <c r="F202" s="309">
        <v>714532</v>
      </c>
      <c r="G202" s="309">
        <v>71583</v>
      </c>
      <c r="H202" s="309">
        <v>4766</v>
      </c>
      <c r="I202" s="309">
        <v>433</v>
      </c>
      <c r="J202" s="309">
        <f t="shared" si="60"/>
        <v>1645514</v>
      </c>
      <c r="K202" s="309">
        <f t="shared" si="61"/>
        <v>139208</v>
      </c>
      <c r="L202" s="309">
        <f t="shared" si="62"/>
        <v>1784722</v>
      </c>
      <c r="M202" s="309">
        <v>2174</v>
      </c>
      <c r="N202" s="309">
        <f t="shared" si="52"/>
        <v>184</v>
      </c>
      <c r="O202" s="311">
        <f t="shared" si="53"/>
        <v>1787080</v>
      </c>
      <c r="P202" s="309"/>
      <c r="Q202" s="310">
        <v>965764.88869318215</v>
      </c>
      <c r="R202" s="309">
        <v>866239.23587193375</v>
      </c>
      <c r="S202" s="309">
        <v>78461</v>
      </c>
      <c r="T202" s="309">
        <f t="shared" si="63"/>
        <v>6062</v>
      </c>
      <c r="U202" s="309">
        <f t="shared" si="63"/>
        <v>433</v>
      </c>
      <c r="V202" s="309">
        <f t="shared" si="64"/>
        <v>1916960.1245651159</v>
      </c>
      <c r="W202" s="309">
        <f t="shared" si="65"/>
        <v>162171.8754348841</v>
      </c>
      <c r="X202" s="309">
        <f t="shared" si="66"/>
        <v>2079132</v>
      </c>
      <c r="Y202" s="309">
        <f t="shared" si="67"/>
        <v>2174</v>
      </c>
      <c r="Z202" s="309">
        <f t="shared" si="54"/>
        <v>184</v>
      </c>
      <c r="AA202" s="311">
        <f t="shared" si="68"/>
        <v>2081490</v>
      </c>
      <c r="AC202" s="310">
        <v>1025762</v>
      </c>
      <c r="AD202" s="309">
        <v>899767</v>
      </c>
      <c r="AE202" s="309">
        <v>78461</v>
      </c>
      <c r="AF202" s="309">
        <v>6062</v>
      </c>
      <c r="AG202" s="309">
        <v>433</v>
      </c>
      <c r="AH202" s="309">
        <f t="shared" si="55"/>
        <v>2010485</v>
      </c>
      <c r="AI202" s="309">
        <f t="shared" si="56"/>
        <v>170084</v>
      </c>
      <c r="AJ202" s="309">
        <f t="shared" si="57"/>
        <v>2180569</v>
      </c>
      <c r="AK202" s="309">
        <v>2174</v>
      </c>
      <c r="AL202" s="309">
        <f t="shared" si="58"/>
        <v>184</v>
      </c>
      <c r="AM202" s="311">
        <f t="shared" si="59"/>
        <v>2182927</v>
      </c>
      <c r="AO202" s="458"/>
      <c r="AP202" s="459"/>
      <c r="AQ202" s="459"/>
      <c r="AR202" s="460"/>
      <c r="AS202" s="316"/>
      <c r="AT202" s="458"/>
      <c r="AU202" s="459"/>
      <c r="AV202" s="459"/>
      <c r="AW202" s="459"/>
      <c r="AX202" s="459"/>
      <c r="AY202" s="460"/>
    </row>
    <row r="203" spans="1:51" ht="15" hidden="1" outlineLevel="1" x14ac:dyDescent="0.25">
      <c r="A203" s="295">
        <f t="shared" si="69"/>
        <v>2036</v>
      </c>
      <c r="B203" s="295">
        <f t="shared" si="70"/>
        <v>6</v>
      </c>
      <c r="C203" s="305">
        <f t="shared" si="51"/>
        <v>49827</v>
      </c>
      <c r="E203" s="310">
        <v>847931</v>
      </c>
      <c r="F203" s="309">
        <v>749211</v>
      </c>
      <c r="G203" s="309">
        <v>73489</v>
      </c>
      <c r="H203" s="309">
        <v>4750</v>
      </c>
      <c r="I203" s="309">
        <v>316</v>
      </c>
      <c r="J203" s="309">
        <f t="shared" si="60"/>
        <v>1675697</v>
      </c>
      <c r="K203" s="309">
        <f t="shared" si="61"/>
        <v>141762</v>
      </c>
      <c r="L203" s="309">
        <f t="shared" si="62"/>
        <v>1817459</v>
      </c>
      <c r="M203" s="309">
        <v>1787</v>
      </c>
      <c r="N203" s="309">
        <f t="shared" si="52"/>
        <v>151</v>
      </c>
      <c r="O203" s="311">
        <f t="shared" si="53"/>
        <v>1819397</v>
      </c>
      <c r="P203" s="309"/>
      <c r="Q203" s="310">
        <v>932319.24112440879</v>
      </c>
      <c r="R203" s="309">
        <v>892173.80133504618</v>
      </c>
      <c r="S203" s="309">
        <v>80272</v>
      </c>
      <c r="T203" s="309">
        <f t="shared" si="63"/>
        <v>5838</v>
      </c>
      <c r="U203" s="309">
        <f t="shared" si="63"/>
        <v>316</v>
      </c>
      <c r="V203" s="309">
        <f t="shared" si="64"/>
        <v>1910919.0424594549</v>
      </c>
      <c r="W203" s="309">
        <f t="shared" si="65"/>
        <v>161660.95754054515</v>
      </c>
      <c r="X203" s="309">
        <f t="shared" si="66"/>
        <v>2072580</v>
      </c>
      <c r="Y203" s="309">
        <f t="shared" si="67"/>
        <v>1787</v>
      </c>
      <c r="Z203" s="309">
        <f t="shared" si="54"/>
        <v>151</v>
      </c>
      <c r="AA203" s="311">
        <f t="shared" si="68"/>
        <v>2074518</v>
      </c>
      <c r="AC203" s="310">
        <v>982059</v>
      </c>
      <c r="AD203" s="309">
        <v>925385</v>
      </c>
      <c r="AE203" s="309">
        <v>80272</v>
      </c>
      <c r="AF203" s="309">
        <v>5838</v>
      </c>
      <c r="AG203" s="309">
        <v>316</v>
      </c>
      <c r="AH203" s="309">
        <f t="shared" si="55"/>
        <v>1993870</v>
      </c>
      <c r="AI203" s="309">
        <f t="shared" si="56"/>
        <v>168679</v>
      </c>
      <c r="AJ203" s="309">
        <f t="shared" si="57"/>
        <v>2162549</v>
      </c>
      <c r="AK203" s="309">
        <v>1787</v>
      </c>
      <c r="AL203" s="309">
        <f t="shared" si="58"/>
        <v>151</v>
      </c>
      <c r="AM203" s="311">
        <f t="shared" si="59"/>
        <v>2164487</v>
      </c>
      <c r="AO203" s="458"/>
      <c r="AP203" s="459"/>
      <c r="AQ203" s="459"/>
      <c r="AR203" s="460"/>
      <c r="AS203" s="316"/>
      <c r="AT203" s="458"/>
      <c r="AU203" s="459"/>
      <c r="AV203" s="459"/>
      <c r="AW203" s="459"/>
      <c r="AX203" s="459"/>
      <c r="AY203" s="460"/>
    </row>
    <row r="204" spans="1:51" ht="15" hidden="1" outlineLevel="1" x14ac:dyDescent="0.25">
      <c r="A204" s="295">
        <f t="shared" si="69"/>
        <v>2036</v>
      </c>
      <c r="B204" s="295">
        <f t="shared" si="70"/>
        <v>7</v>
      </c>
      <c r="C204" s="305">
        <f t="shared" si="51"/>
        <v>49857</v>
      </c>
      <c r="E204" s="310">
        <v>909683</v>
      </c>
      <c r="F204" s="309">
        <v>778158</v>
      </c>
      <c r="G204" s="309">
        <v>80687</v>
      </c>
      <c r="H204" s="309">
        <v>4381</v>
      </c>
      <c r="I204" s="309">
        <v>288</v>
      </c>
      <c r="J204" s="309">
        <f t="shared" si="60"/>
        <v>1773197</v>
      </c>
      <c r="K204" s="309">
        <f t="shared" si="61"/>
        <v>150010</v>
      </c>
      <c r="L204" s="309">
        <f t="shared" si="62"/>
        <v>1923207</v>
      </c>
      <c r="M204" s="309">
        <v>2889</v>
      </c>
      <c r="N204" s="309">
        <f t="shared" si="52"/>
        <v>244</v>
      </c>
      <c r="O204" s="311">
        <f t="shared" si="53"/>
        <v>1926340</v>
      </c>
      <c r="P204" s="309"/>
      <c r="Q204" s="310">
        <v>996908.38299065095</v>
      </c>
      <c r="R204" s="309">
        <v>933042.95136746403</v>
      </c>
      <c r="S204" s="309">
        <v>87649</v>
      </c>
      <c r="T204" s="309">
        <f t="shared" si="63"/>
        <v>5660</v>
      </c>
      <c r="U204" s="309">
        <f t="shared" si="63"/>
        <v>288</v>
      </c>
      <c r="V204" s="309">
        <f t="shared" si="64"/>
        <v>2023548.334358115</v>
      </c>
      <c r="W204" s="309">
        <f t="shared" si="65"/>
        <v>171189.66564188502</v>
      </c>
      <c r="X204" s="309">
        <f t="shared" si="66"/>
        <v>2194738</v>
      </c>
      <c r="Y204" s="309">
        <f t="shared" si="67"/>
        <v>2889</v>
      </c>
      <c r="Z204" s="309">
        <f t="shared" si="54"/>
        <v>244</v>
      </c>
      <c r="AA204" s="311">
        <f t="shared" si="68"/>
        <v>2197871</v>
      </c>
      <c r="AC204" s="310">
        <v>1053922</v>
      </c>
      <c r="AD204" s="309">
        <v>970221</v>
      </c>
      <c r="AE204" s="309">
        <v>87649</v>
      </c>
      <c r="AF204" s="309">
        <v>5660</v>
      </c>
      <c r="AG204" s="309">
        <v>288</v>
      </c>
      <c r="AH204" s="309">
        <f t="shared" si="55"/>
        <v>2117740</v>
      </c>
      <c r="AI204" s="309">
        <f t="shared" si="56"/>
        <v>179158</v>
      </c>
      <c r="AJ204" s="309">
        <f t="shared" si="57"/>
        <v>2296898</v>
      </c>
      <c r="AK204" s="309">
        <v>2889</v>
      </c>
      <c r="AL204" s="309">
        <f t="shared" si="58"/>
        <v>244</v>
      </c>
      <c r="AM204" s="311">
        <f t="shared" si="59"/>
        <v>2300031</v>
      </c>
      <c r="AO204" s="458"/>
      <c r="AP204" s="459"/>
      <c r="AQ204" s="459"/>
      <c r="AR204" s="460"/>
      <c r="AS204" s="316"/>
      <c r="AT204" s="458"/>
      <c r="AU204" s="459"/>
      <c r="AV204" s="459"/>
      <c r="AW204" s="459"/>
      <c r="AX204" s="459"/>
      <c r="AY204" s="460"/>
    </row>
    <row r="205" spans="1:51" ht="15" hidden="1" outlineLevel="1" x14ac:dyDescent="0.25">
      <c r="A205" s="295">
        <f t="shared" si="69"/>
        <v>2036</v>
      </c>
      <c r="B205" s="295">
        <f t="shared" si="70"/>
        <v>8</v>
      </c>
      <c r="C205" s="305">
        <f t="shared" si="51"/>
        <v>49888</v>
      </c>
      <c r="E205" s="310">
        <v>919322</v>
      </c>
      <c r="F205" s="309">
        <v>778259</v>
      </c>
      <c r="G205" s="309">
        <v>81300</v>
      </c>
      <c r="H205" s="309">
        <v>4623</v>
      </c>
      <c r="I205" s="309">
        <v>280</v>
      </c>
      <c r="J205" s="309">
        <f t="shared" si="60"/>
        <v>1783784</v>
      </c>
      <c r="K205" s="309">
        <f t="shared" si="61"/>
        <v>150906</v>
      </c>
      <c r="L205" s="309">
        <f t="shared" si="62"/>
        <v>1934690</v>
      </c>
      <c r="M205" s="309">
        <v>1634</v>
      </c>
      <c r="N205" s="309">
        <f t="shared" si="52"/>
        <v>138</v>
      </c>
      <c r="O205" s="311">
        <f t="shared" si="53"/>
        <v>1936462</v>
      </c>
      <c r="P205" s="309"/>
      <c r="Q205" s="310">
        <v>1008209.4275017733</v>
      </c>
      <c r="R205" s="309">
        <v>934386.54876591288</v>
      </c>
      <c r="S205" s="309">
        <v>88616</v>
      </c>
      <c r="T205" s="309">
        <f t="shared" si="63"/>
        <v>6090</v>
      </c>
      <c r="U205" s="309">
        <f t="shared" si="63"/>
        <v>280</v>
      </c>
      <c r="V205" s="309">
        <f t="shared" si="64"/>
        <v>2037581.9762676861</v>
      </c>
      <c r="W205" s="309">
        <f t="shared" si="65"/>
        <v>172377.02373231389</v>
      </c>
      <c r="X205" s="309">
        <f t="shared" si="66"/>
        <v>2209959</v>
      </c>
      <c r="Y205" s="309">
        <f t="shared" si="67"/>
        <v>1634</v>
      </c>
      <c r="Z205" s="309">
        <f t="shared" si="54"/>
        <v>138</v>
      </c>
      <c r="AA205" s="311">
        <f t="shared" si="68"/>
        <v>2211731</v>
      </c>
      <c r="AC205" s="310">
        <v>1063730</v>
      </c>
      <c r="AD205" s="309">
        <v>971201</v>
      </c>
      <c r="AE205" s="309">
        <v>88616</v>
      </c>
      <c r="AF205" s="309">
        <v>6090</v>
      </c>
      <c r="AG205" s="309">
        <v>280</v>
      </c>
      <c r="AH205" s="309">
        <f t="shared" si="55"/>
        <v>2129917</v>
      </c>
      <c r="AI205" s="309">
        <f t="shared" si="56"/>
        <v>180188</v>
      </c>
      <c r="AJ205" s="309">
        <f t="shared" si="57"/>
        <v>2310105</v>
      </c>
      <c r="AK205" s="309">
        <v>1634</v>
      </c>
      <c r="AL205" s="309">
        <f t="shared" si="58"/>
        <v>138</v>
      </c>
      <c r="AM205" s="311">
        <f t="shared" si="59"/>
        <v>2311877</v>
      </c>
      <c r="AO205" s="458"/>
      <c r="AP205" s="459"/>
      <c r="AQ205" s="459"/>
      <c r="AR205" s="460"/>
      <c r="AS205" s="316"/>
      <c r="AT205" s="458"/>
      <c r="AU205" s="459"/>
      <c r="AV205" s="459"/>
      <c r="AW205" s="459"/>
      <c r="AX205" s="459"/>
      <c r="AY205" s="460"/>
    </row>
    <row r="206" spans="1:51" ht="15" hidden="1" outlineLevel="1" x14ac:dyDescent="0.25">
      <c r="A206" s="295">
        <f t="shared" si="69"/>
        <v>2036</v>
      </c>
      <c r="B206" s="295">
        <f t="shared" si="70"/>
        <v>9</v>
      </c>
      <c r="C206" s="305">
        <f t="shared" si="51"/>
        <v>49919</v>
      </c>
      <c r="E206" s="310">
        <v>830371</v>
      </c>
      <c r="F206" s="309">
        <v>744187</v>
      </c>
      <c r="G206" s="309">
        <v>77952</v>
      </c>
      <c r="H206" s="309">
        <v>4932</v>
      </c>
      <c r="I206" s="309">
        <v>353</v>
      </c>
      <c r="J206" s="309">
        <f t="shared" si="60"/>
        <v>1657795</v>
      </c>
      <c r="K206" s="309">
        <f t="shared" si="61"/>
        <v>140247</v>
      </c>
      <c r="L206" s="309">
        <f t="shared" si="62"/>
        <v>1798042</v>
      </c>
      <c r="M206" s="309">
        <v>1428</v>
      </c>
      <c r="N206" s="309">
        <f t="shared" si="52"/>
        <v>121</v>
      </c>
      <c r="O206" s="311">
        <f t="shared" si="53"/>
        <v>1799591</v>
      </c>
      <c r="P206" s="309"/>
      <c r="Q206" s="310">
        <v>924359.21178163122</v>
      </c>
      <c r="R206" s="309">
        <v>891795.6482501094</v>
      </c>
      <c r="S206" s="309">
        <v>84822</v>
      </c>
      <c r="T206" s="309">
        <f t="shared" si="63"/>
        <v>6401</v>
      </c>
      <c r="U206" s="309">
        <f t="shared" si="63"/>
        <v>353</v>
      </c>
      <c r="V206" s="309">
        <f t="shared" si="64"/>
        <v>1907730.8600317407</v>
      </c>
      <c r="W206" s="309">
        <f t="shared" si="65"/>
        <v>161391.13996825926</v>
      </c>
      <c r="X206" s="309">
        <f t="shared" si="66"/>
        <v>2069122</v>
      </c>
      <c r="Y206" s="309">
        <f t="shared" si="67"/>
        <v>1428</v>
      </c>
      <c r="Z206" s="309">
        <f t="shared" si="54"/>
        <v>121</v>
      </c>
      <c r="AA206" s="311">
        <f t="shared" si="68"/>
        <v>2070671</v>
      </c>
      <c r="AC206" s="310">
        <v>975704</v>
      </c>
      <c r="AD206" s="309">
        <v>923418</v>
      </c>
      <c r="AE206" s="309">
        <v>84822</v>
      </c>
      <c r="AF206" s="309">
        <v>6401</v>
      </c>
      <c r="AG206" s="309">
        <v>353</v>
      </c>
      <c r="AH206" s="309">
        <f t="shared" si="55"/>
        <v>1990698</v>
      </c>
      <c r="AI206" s="309">
        <f t="shared" si="56"/>
        <v>168410</v>
      </c>
      <c r="AJ206" s="309">
        <f t="shared" si="57"/>
        <v>2159108</v>
      </c>
      <c r="AK206" s="309">
        <v>1428</v>
      </c>
      <c r="AL206" s="309">
        <f t="shared" si="58"/>
        <v>121</v>
      </c>
      <c r="AM206" s="311">
        <f t="shared" si="59"/>
        <v>2160657</v>
      </c>
      <c r="AO206" s="458"/>
      <c r="AP206" s="459"/>
      <c r="AQ206" s="459"/>
      <c r="AR206" s="460"/>
      <c r="AS206" s="316"/>
      <c r="AT206" s="458"/>
      <c r="AU206" s="459"/>
      <c r="AV206" s="459"/>
      <c r="AW206" s="459"/>
      <c r="AX206" s="459"/>
      <c r="AY206" s="460"/>
    </row>
    <row r="207" spans="1:51" ht="15" hidden="1" outlineLevel="1" x14ac:dyDescent="0.25">
      <c r="A207" s="295">
        <f t="shared" si="69"/>
        <v>2036</v>
      </c>
      <c r="B207" s="295">
        <f t="shared" si="70"/>
        <v>10</v>
      </c>
      <c r="C207" s="305">
        <f t="shared" si="51"/>
        <v>49949</v>
      </c>
      <c r="E207" s="310">
        <v>911059</v>
      </c>
      <c r="F207" s="309">
        <v>752029</v>
      </c>
      <c r="G207" s="309">
        <v>73739</v>
      </c>
      <c r="H207" s="309">
        <v>4503</v>
      </c>
      <c r="I207" s="309">
        <v>464</v>
      </c>
      <c r="J207" s="309">
        <f t="shared" si="60"/>
        <v>1741794</v>
      </c>
      <c r="K207" s="309">
        <f t="shared" si="61"/>
        <v>147354</v>
      </c>
      <c r="L207" s="309">
        <f t="shared" si="62"/>
        <v>1889148</v>
      </c>
      <c r="M207" s="309">
        <v>1830</v>
      </c>
      <c r="N207" s="309">
        <f t="shared" si="52"/>
        <v>155</v>
      </c>
      <c r="O207" s="311">
        <f t="shared" si="53"/>
        <v>1891133</v>
      </c>
      <c r="P207" s="309"/>
      <c r="Q207" s="310">
        <v>1042857.3823807434</v>
      </c>
      <c r="R207" s="309">
        <v>902037.16096572229</v>
      </c>
      <c r="S207" s="309">
        <v>80961</v>
      </c>
      <c r="T207" s="309">
        <f t="shared" si="63"/>
        <v>6355</v>
      </c>
      <c r="U207" s="309">
        <f t="shared" si="63"/>
        <v>464</v>
      </c>
      <c r="V207" s="309">
        <f t="shared" si="64"/>
        <v>2032674.5433464656</v>
      </c>
      <c r="W207" s="309">
        <f t="shared" si="65"/>
        <v>171961.45665353443</v>
      </c>
      <c r="X207" s="309">
        <f t="shared" si="66"/>
        <v>2204636</v>
      </c>
      <c r="Y207" s="309">
        <f t="shared" si="67"/>
        <v>1830</v>
      </c>
      <c r="Z207" s="309">
        <f t="shared" si="54"/>
        <v>155</v>
      </c>
      <c r="AA207" s="311">
        <f t="shared" si="68"/>
        <v>2206621</v>
      </c>
      <c r="AC207" s="310">
        <v>1110476</v>
      </c>
      <c r="AD207" s="309">
        <v>933413</v>
      </c>
      <c r="AE207" s="309">
        <v>80961</v>
      </c>
      <c r="AF207" s="309">
        <v>6355</v>
      </c>
      <c r="AG207" s="309">
        <v>464</v>
      </c>
      <c r="AH207" s="309">
        <f t="shared" si="55"/>
        <v>2131669</v>
      </c>
      <c r="AI207" s="309">
        <f t="shared" si="56"/>
        <v>180336</v>
      </c>
      <c r="AJ207" s="309">
        <f t="shared" si="57"/>
        <v>2312005</v>
      </c>
      <c r="AK207" s="309">
        <v>1830</v>
      </c>
      <c r="AL207" s="309">
        <f t="shared" si="58"/>
        <v>155</v>
      </c>
      <c r="AM207" s="311">
        <f t="shared" si="59"/>
        <v>2313990</v>
      </c>
      <c r="AO207" s="458"/>
      <c r="AP207" s="459"/>
      <c r="AQ207" s="459"/>
      <c r="AR207" s="460"/>
      <c r="AS207" s="316"/>
      <c r="AT207" s="458"/>
      <c r="AU207" s="459"/>
      <c r="AV207" s="459"/>
      <c r="AW207" s="459"/>
      <c r="AX207" s="459"/>
      <c r="AY207" s="460"/>
    </row>
    <row r="208" spans="1:51" ht="15" hidden="1" outlineLevel="1" x14ac:dyDescent="0.25">
      <c r="A208" s="295">
        <f t="shared" si="69"/>
        <v>2036</v>
      </c>
      <c r="B208" s="295">
        <f t="shared" si="70"/>
        <v>11</v>
      </c>
      <c r="C208" s="305">
        <f t="shared" si="51"/>
        <v>49980</v>
      </c>
      <c r="E208" s="310">
        <v>1119656</v>
      </c>
      <c r="F208" s="309">
        <v>786115</v>
      </c>
      <c r="G208" s="309">
        <v>77953</v>
      </c>
      <c r="H208" s="309">
        <v>5047</v>
      </c>
      <c r="I208" s="309">
        <v>764</v>
      </c>
      <c r="J208" s="309">
        <f t="shared" si="60"/>
        <v>1989535</v>
      </c>
      <c r="K208" s="309">
        <f t="shared" si="61"/>
        <v>168312</v>
      </c>
      <c r="L208" s="309">
        <f t="shared" si="62"/>
        <v>2157847</v>
      </c>
      <c r="M208" s="309">
        <v>1832</v>
      </c>
      <c r="N208" s="309">
        <f t="shared" si="52"/>
        <v>155</v>
      </c>
      <c r="O208" s="311">
        <f t="shared" si="53"/>
        <v>2159834</v>
      </c>
      <c r="P208" s="309"/>
      <c r="Q208" s="310">
        <v>1292682.9272830579</v>
      </c>
      <c r="R208" s="309">
        <v>926500.9571960516</v>
      </c>
      <c r="S208" s="309">
        <v>84574</v>
      </c>
      <c r="T208" s="309">
        <f t="shared" si="63"/>
        <v>7062</v>
      </c>
      <c r="U208" s="309">
        <f t="shared" si="63"/>
        <v>764</v>
      </c>
      <c r="V208" s="309">
        <f t="shared" si="64"/>
        <v>2311583.8844791097</v>
      </c>
      <c r="W208" s="309">
        <f t="shared" si="65"/>
        <v>195557.11552089034</v>
      </c>
      <c r="X208" s="309">
        <f t="shared" si="66"/>
        <v>2507141</v>
      </c>
      <c r="Y208" s="309">
        <f t="shared" si="67"/>
        <v>1832</v>
      </c>
      <c r="Z208" s="309">
        <f t="shared" si="54"/>
        <v>155</v>
      </c>
      <c r="AA208" s="311">
        <f t="shared" si="68"/>
        <v>2509128</v>
      </c>
      <c r="AC208" s="310">
        <v>1380943</v>
      </c>
      <c r="AD208" s="309">
        <v>956336</v>
      </c>
      <c r="AE208" s="309">
        <v>84574</v>
      </c>
      <c r="AF208" s="309">
        <v>7062</v>
      </c>
      <c r="AG208" s="309">
        <v>764</v>
      </c>
      <c r="AH208" s="309">
        <f t="shared" si="55"/>
        <v>2429679</v>
      </c>
      <c r="AI208" s="309">
        <f t="shared" si="56"/>
        <v>205548</v>
      </c>
      <c r="AJ208" s="309">
        <f t="shared" si="57"/>
        <v>2635227</v>
      </c>
      <c r="AK208" s="309">
        <v>1832</v>
      </c>
      <c r="AL208" s="309">
        <f t="shared" si="58"/>
        <v>155</v>
      </c>
      <c r="AM208" s="311">
        <f t="shared" si="59"/>
        <v>2637214</v>
      </c>
      <c r="AO208" s="458"/>
      <c r="AP208" s="459"/>
      <c r="AQ208" s="459"/>
      <c r="AR208" s="460"/>
      <c r="AS208" s="316"/>
      <c r="AT208" s="458"/>
      <c r="AU208" s="459"/>
      <c r="AV208" s="459"/>
      <c r="AW208" s="459"/>
      <c r="AX208" s="459"/>
      <c r="AY208" s="460"/>
    </row>
    <row r="209" spans="1:51" ht="15" hidden="1" outlineLevel="1" x14ac:dyDescent="0.25">
      <c r="A209" s="295">
        <f t="shared" si="69"/>
        <v>2036</v>
      </c>
      <c r="B209" s="295">
        <f t="shared" si="70"/>
        <v>12</v>
      </c>
      <c r="C209" s="305">
        <f t="shared" si="51"/>
        <v>50010</v>
      </c>
      <c r="E209" s="310">
        <v>1195967</v>
      </c>
      <c r="F209" s="309">
        <v>811412</v>
      </c>
      <c r="G209" s="309">
        <v>70752</v>
      </c>
      <c r="H209" s="309">
        <v>4510</v>
      </c>
      <c r="I209" s="309">
        <v>826</v>
      </c>
      <c r="J209" s="309">
        <f t="shared" si="60"/>
        <v>2083467</v>
      </c>
      <c r="K209" s="309">
        <f t="shared" si="61"/>
        <v>176259</v>
      </c>
      <c r="L209" s="309">
        <f t="shared" si="62"/>
        <v>2259726</v>
      </c>
      <c r="M209" s="309">
        <v>1718</v>
      </c>
      <c r="N209" s="309">
        <f t="shared" si="52"/>
        <v>145</v>
      </c>
      <c r="O209" s="311">
        <f t="shared" si="53"/>
        <v>2261589</v>
      </c>
      <c r="P209" s="309"/>
      <c r="Q209" s="310">
        <v>1437999.1822384619</v>
      </c>
      <c r="R209" s="309">
        <v>961612.06596086803</v>
      </c>
      <c r="S209" s="309">
        <v>77621</v>
      </c>
      <c r="T209" s="309">
        <f t="shared" si="63"/>
        <v>6645</v>
      </c>
      <c r="U209" s="309">
        <f t="shared" si="63"/>
        <v>826</v>
      </c>
      <c r="V209" s="309">
        <f t="shared" si="64"/>
        <v>2484703.2481993297</v>
      </c>
      <c r="W209" s="309">
        <f t="shared" si="65"/>
        <v>210202.75180067029</v>
      </c>
      <c r="X209" s="309">
        <f t="shared" si="66"/>
        <v>2694906</v>
      </c>
      <c r="Y209" s="309">
        <f t="shared" si="67"/>
        <v>1718</v>
      </c>
      <c r="Z209" s="309">
        <f t="shared" si="54"/>
        <v>145</v>
      </c>
      <c r="AA209" s="311">
        <f t="shared" si="68"/>
        <v>2696769</v>
      </c>
      <c r="AC209" s="310">
        <v>1554762</v>
      </c>
      <c r="AD209" s="309">
        <v>999545</v>
      </c>
      <c r="AE209" s="309">
        <v>77621</v>
      </c>
      <c r="AF209" s="309">
        <v>6645</v>
      </c>
      <c r="AG209" s="309">
        <v>826</v>
      </c>
      <c r="AH209" s="309">
        <f t="shared" si="55"/>
        <v>2639399</v>
      </c>
      <c r="AI209" s="309">
        <f t="shared" si="56"/>
        <v>223290</v>
      </c>
      <c r="AJ209" s="309">
        <f t="shared" si="57"/>
        <v>2862689</v>
      </c>
      <c r="AK209" s="309">
        <v>1718</v>
      </c>
      <c r="AL209" s="309">
        <f t="shared" si="58"/>
        <v>145</v>
      </c>
      <c r="AM209" s="311">
        <f t="shared" si="59"/>
        <v>2864552</v>
      </c>
      <c r="AO209" s="458"/>
      <c r="AP209" s="459"/>
      <c r="AQ209" s="459"/>
      <c r="AR209" s="460"/>
      <c r="AS209" s="316"/>
      <c r="AT209" s="458"/>
      <c r="AU209" s="459"/>
      <c r="AV209" s="459"/>
      <c r="AW209" s="459"/>
      <c r="AX209" s="459"/>
      <c r="AY209" s="460"/>
    </row>
    <row r="210" spans="1:51" ht="15" hidden="1" outlineLevel="1" x14ac:dyDescent="0.25">
      <c r="A210" s="295">
        <f t="shared" si="69"/>
        <v>2037</v>
      </c>
      <c r="B210" s="295">
        <f t="shared" si="70"/>
        <v>1</v>
      </c>
      <c r="C210" s="305">
        <f t="shared" si="51"/>
        <v>50041</v>
      </c>
      <c r="E210" s="310">
        <v>1242101</v>
      </c>
      <c r="F210" s="309">
        <v>824246</v>
      </c>
      <c r="G210" s="309">
        <v>67430</v>
      </c>
      <c r="H210" s="309">
        <v>4934</v>
      </c>
      <c r="I210" s="309">
        <v>962</v>
      </c>
      <c r="J210" s="309">
        <f t="shared" si="60"/>
        <v>2139673</v>
      </c>
      <c r="K210" s="309">
        <f t="shared" si="61"/>
        <v>181014</v>
      </c>
      <c r="L210" s="309">
        <f t="shared" si="62"/>
        <v>2320687</v>
      </c>
      <c r="M210" s="309">
        <v>2325</v>
      </c>
      <c r="N210" s="309">
        <f t="shared" si="52"/>
        <v>197</v>
      </c>
      <c r="O210" s="311">
        <f t="shared" si="53"/>
        <v>2323209</v>
      </c>
      <c r="P210" s="309"/>
      <c r="Q210" s="310">
        <v>1459920.9073734684</v>
      </c>
      <c r="R210" s="309">
        <v>972730.80965756811</v>
      </c>
      <c r="S210" s="309">
        <v>74365</v>
      </c>
      <c r="T210" s="309">
        <f t="shared" si="63"/>
        <v>7099</v>
      </c>
      <c r="U210" s="309">
        <f t="shared" si="63"/>
        <v>962</v>
      </c>
      <c r="V210" s="309">
        <f t="shared" si="64"/>
        <v>2515077.7170310365</v>
      </c>
      <c r="W210" s="309">
        <f t="shared" si="65"/>
        <v>212772.2829689635</v>
      </c>
      <c r="X210" s="309">
        <f t="shared" si="66"/>
        <v>2727850</v>
      </c>
      <c r="Y210" s="309">
        <f t="shared" si="67"/>
        <v>2325</v>
      </c>
      <c r="Z210" s="309">
        <f t="shared" si="54"/>
        <v>197</v>
      </c>
      <c r="AA210" s="311">
        <f t="shared" si="68"/>
        <v>2730372</v>
      </c>
      <c r="AC210" s="310">
        <v>1558745</v>
      </c>
      <c r="AD210" s="309">
        <v>1008303</v>
      </c>
      <c r="AE210" s="309">
        <v>74365</v>
      </c>
      <c r="AF210" s="309">
        <v>7099</v>
      </c>
      <c r="AG210" s="309">
        <v>962</v>
      </c>
      <c r="AH210" s="309">
        <f t="shared" si="55"/>
        <v>2649474</v>
      </c>
      <c r="AI210" s="309">
        <f t="shared" si="56"/>
        <v>224142</v>
      </c>
      <c r="AJ210" s="309">
        <f t="shared" si="57"/>
        <v>2873616</v>
      </c>
      <c r="AK210" s="309">
        <v>2325</v>
      </c>
      <c r="AL210" s="309">
        <f t="shared" si="58"/>
        <v>197</v>
      </c>
      <c r="AM210" s="311">
        <f t="shared" si="59"/>
        <v>2876138</v>
      </c>
      <c r="AO210" s="458"/>
      <c r="AP210" s="459"/>
      <c r="AQ210" s="459"/>
      <c r="AR210" s="460"/>
      <c r="AS210" s="316"/>
      <c r="AT210" s="458"/>
      <c r="AU210" s="459"/>
      <c r="AV210" s="459"/>
      <c r="AW210" s="459"/>
      <c r="AX210" s="459"/>
      <c r="AY210" s="460"/>
    </row>
    <row r="211" spans="1:51" ht="15" hidden="1" outlineLevel="1" x14ac:dyDescent="0.25">
      <c r="A211" s="295">
        <f t="shared" si="69"/>
        <v>2037</v>
      </c>
      <c r="B211" s="295">
        <f t="shared" si="70"/>
        <v>2</v>
      </c>
      <c r="C211" s="305">
        <f t="shared" si="51"/>
        <v>50072</v>
      </c>
      <c r="E211" s="310">
        <v>1075422</v>
      </c>
      <c r="F211" s="309">
        <v>770250</v>
      </c>
      <c r="G211" s="309">
        <v>67598</v>
      </c>
      <c r="H211" s="309">
        <v>4898</v>
      </c>
      <c r="I211" s="309">
        <v>833</v>
      </c>
      <c r="J211" s="309">
        <f t="shared" si="60"/>
        <v>1919001</v>
      </c>
      <c r="K211" s="309">
        <f t="shared" si="61"/>
        <v>162345</v>
      </c>
      <c r="L211" s="309">
        <f t="shared" si="62"/>
        <v>2081346</v>
      </c>
      <c r="M211" s="309">
        <v>2433</v>
      </c>
      <c r="N211" s="309">
        <f t="shared" si="52"/>
        <v>206</v>
      </c>
      <c r="O211" s="311">
        <f t="shared" si="53"/>
        <v>2083985</v>
      </c>
      <c r="P211" s="309"/>
      <c r="Q211" s="310">
        <v>1248842.8373831289</v>
      </c>
      <c r="R211" s="309">
        <v>897425.70814421552</v>
      </c>
      <c r="S211" s="309">
        <v>73721</v>
      </c>
      <c r="T211" s="309">
        <f t="shared" si="63"/>
        <v>6553</v>
      </c>
      <c r="U211" s="309">
        <f t="shared" si="63"/>
        <v>833</v>
      </c>
      <c r="V211" s="309">
        <f t="shared" si="64"/>
        <v>2227375.5455273446</v>
      </c>
      <c r="W211" s="309">
        <f t="shared" si="65"/>
        <v>188433.45447265543</v>
      </c>
      <c r="X211" s="309">
        <f t="shared" si="66"/>
        <v>2415809</v>
      </c>
      <c r="Y211" s="309">
        <f t="shared" si="67"/>
        <v>2433</v>
      </c>
      <c r="Z211" s="309">
        <f t="shared" si="54"/>
        <v>206</v>
      </c>
      <c r="AA211" s="311">
        <f t="shared" si="68"/>
        <v>2418448</v>
      </c>
      <c r="AC211" s="310">
        <v>1328584</v>
      </c>
      <c r="AD211" s="309">
        <v>926411</v>
      </c>
      <c r="AE211" s="309">
        <v>73721</v>
      </c>
      <c r="AF211" s="309">
        <v>6553</v>
      </c>
      <c r="AG211" s="309">
        <v>833</v>
      </c>
      <c r="AH211" s="309">
        <f t="shared" si="55"/>
        <v>2336102</v>
      </c>
      <c r="AI211" s="309">
        <f t="shared" si="56"/>
        <v>197631</v>
      </c>
      <c r="AJ211" s="309">
        <f t="shared" si="57"/>
        <v>2533733</v>
      </c>
      <c r="AK211" s="309">
        <v>2433</v>
      </c>
      <c r="AL211" s="309">
        <f t="shared" si="58"/>
        <v>206</v>
      </c>
      <c r="AM211" s="311">
        <f t="shared" si="59"/>
        <v>2536372</v>
      </c>
      <c r="AO211" s="458"/>
      <c r="AP211" s="459"/>
      <c r="AQ211" s="459"/>
      <c r="AR211" s="460"/>
      <c r="AS211" s="316"/>
      <c r="AT211" s="458"/>
      <c r="AU211" s="459"/>
      <c r="AV211" s="459"/>
      <c r="AW211" s="459"/>
      <c r="AX211" s="459"/>
      <c r="AY211" s="460"/>
    </row>
    <row r="212" spans="1:51" ht="15" hidden="1" outlineLevel="1" x14ac:dyDescent="0.25">
      <c r="A212" s="295">
        <f t="shared" si="69"/>
        <v>2037</v>
      </c>
      <c r="B212" s="295">
        <f t="shared" si="70"/>
        <v>3</v>
      </c>
      <c r="C212" s="305">
        <f t="shared" si="51"/>
        <v>50100</v>
      </c>
      <c r="E212" s="310">
        <v>1067589</v>
      </c>
      <c r="F212" s="309">
        <v>799075</v>
      </c>
      <c r="G212" s="309">
        <v>74426</v>
      </c>
      <c r="H212" s="309">
        <v>4317</v>
      </c>
      <c r="I212" s="309">
        <v>744</v>
      </c>
      <c r="J212" s="309">
        <f t="shared" si="60"/>
        <v>1946151</v>
      </c>
      <c r="K212" s="309">
        <f t="shared" si="61"/>
        <v>164642</v>
      </c>
      <c r="L212" s="309">
        <f t="shared" si="62"/>
        <v>2110793</v>
      </c>
      <c r="M212" s="309">
        <v>2339</v>
      </c>
      <c r="N212" s="309">
        <f t="shared" si="52"/>
        <v>198</v>
      </c>
      <c r="O212" s="311">
        <f t="shared" si="53"/>
        <v>2113330</v>
      </c>
      <c r="P212" s="309"/>
      <c r="Q212" s="310">
        <v>1242890.3540567374</v>
      </c>
      <c r="R212" s="309">
        <v>953433.24018006446</v>
      </c>
      <c r="S212" s="309">
        <v>81485</v>
      </c>
      <c r="T212" s="309">
        <f t="shared" si="63"/>
        <v>6064</v>
      </c>
      <c r="U212" s="309">
        <f t="shared" si="63"/>
        <v>744</v>
      </c>
      <c r="V212" s="309">
        <f t="shared" si="64"/>
        <v>2284616.5942368018</v>
      </c>
      <c r="W212" s="309">
        <f t="shared" si="65"/>
        <v>193275.40576319816</v>
      </c>
      <c r="X212" s="309">
        <f t="shared" si="66"/>
        <v>2477892</v>
      </c>
      <c r="Y212" s="309">
        <f t="shared" si="67"/>
        <v>2339</v>
      </c>
      <c r="Z212" s="309">
        <f t="shared" si="54"/>
        <v>198</v>
      </c>
      <c r="AA212" s="311">
        <f t="shared" si="68"/>
        <v>2480429</v>
      </c>
      <c r="AC212" s="310">
        <v>1320756</v>
      </c>
      <c r="AD212" s="309">
        <v>988074</v>
      </c>
      <c r="AE212" s="309">
        <v>81485</v>
      </c>
      <c r="AF212" s="309">
        <v>6064</v>
      </c>
      <c r="AG212" s="309">
        <v>744</v>
      </c>
      <c r="AH212" s="309">
        <f t="shared" si="55"/>
        <v>2397123</v>
      </c>
      <c r="AI212" s="309">
        <f t="shared" si="56"/>
        <v>202793</v>
      </c>
      <c r="AJ212" s="309">
        <f t="shared" si="57"/>
        <v>2599916</v>
      </c>
      <c r="AK212" s="309">
        <v>2339</v>
      </c>
      <c r="AL212" s="309">
        <f t="shared" si="58"/>
        <v>198</v>
      </c>
      <c r="AM212" s="311">
        <f t="shared" si="59"/>
        <v>2602453</v>
      </c>
      <c r="AO212" s="458"/>
      <c r="AP212" s="459"/>
      <c r="AQ212" s="459"/>
      <c r="AR212" s="460"/>
      <c r="AS212" s="316"/>
      <c r="AT212" s="458"/>
      <c r="AU212" s="459"/>
      <c r="AV212" s="459"/>
      <c r="AW212" s="459"/>
      <c r="AX212" s="459"/>
      <c r="AY212" s="460"/>
    </row>
    <row r="213" spans="1:51" ht="15" hidden="1" outlineLevel="1" x14ac:dyDescent="0.25">
      <c r="A213" s="295">
        <f t="shared" si="69"/>
        <v>2037</v>
      </c>
      <c r="B213" s="295">
        <f t="shared" si="70"/>
        <v>4</v>
      </c>
      <c r="C213" s="305">
        <f t="shared" si="51"/>
        <v>50131</v>
      </c>
      <c r="E213" s="310">
        <v>989191</v>
      </c>
      <c r="F213" s="309">
        <v>795250</v>
      </c>
      <c r="G213" s="309">
        <v>76048</v>
      </c>
      <c r="H213" s="309">
        <v>4947</v>
      </c>
      <c r="I213" s="309">
        <v>618</v>
      </c>
      <c r="J213" s="309">
        <f t="shared" si="60"/>
        <v>1866054</v>
      </c>
      <c r="K213" s="309">
        <f t="shared" si="61"/>
        <v>157865</v>
      </c>
      <c r="L213" s="309">
        <f>ROUNDDOWN(J213/(1-0.078), 0)</f>
        <v>2023919</v>
      </c>
      <c r="M213" s="309">
        <v>2172</v>
      </c>
      <c r="N213" s="309">
        <f t="shared" si="52"/>
        <v>184</v>
      </c>
      <c r="O213" s="311">
        <f t="shared" si="53"/>
        <v>2026275</v>
      </c>
      <c r="P213" s="309"/>
      <c r="Q213" s="310">
        <v>1143242.1717600208</v>
      </c>
      <c r="R213" s="309">
        <v>936132.77146267961</v>
      </c>
      <c r="S213" s="309">
        <v>82685</v>
      </c>
      <c r="T213" s="309">
        <f t="shared" si="63"/>
        <v>6422</v>
      </c>
      <c r="U213" s="309">
        <f t="shared" si="63"/>
        <v>618</v>
      </c>
      <c r="V213" s="309">
        <f t="shared" si="64"/>
        <v>2169099.9432227006</v>
      </c>
      <c r="W213" s="309">
        <f t="shared" si="65"/>
        <v>183503.05677729938</v>
      </c>
      <c r="X213" s="309">
        <f t="shared" si="66"/>
        <v>2352603</v>
      </c>
      <c r="Y213" s="309">
        <f t="shared" si="67"/>
        <v>2172</v>
      </c>
      <c r="Z213" s="309">
        <f t="shared" si="54"/>
        <v>184</v>
      </c>
      <c r="AA213" s="311">
        <f t="shared" si="68"/>
        <v>2354959</v>
      </c>
      <c r="AC213" s="310">
        <v>1210086</v>
      </c>
      <c r="AD213" s="309">
        <v>970825</v>
      </c>
      <c r="AE213" s="309">
        <v>82685</v>
      </c>
      <c r="AF213" s="309">
        <v>6422</v>
      </c>
      <c r="AG213" s="309">
        <v>618</v>
      </c>
      <c r="AH213" s="309">
        <f t="shared" si="55"/>
        <v>2270636</v>
      </c>
      <c r="AI213" s="309">
        <f t="shared" si="56"/>
        <v>192093</v>
      </c>
      <c r="AJ213" s="309">
        <f t="shared" si="57"/>
        <v>2462729</v>
      </c>
      <c r="AK213" s="309">
        <v>2172</v>
      </c>
      <c r="AL213" s="309">
        <f t="shared" si="58"/>
        <v>184</v>
      </c>
      <c r="AM213" s="311">
        <f t="shared" si="59"/>
        <v>2465085</v>
      </c>
      <c r="AO213" s="458"/>
      <c r="AP213" s="459"/>
      <c r="AQ213" s="459"/>
      <c r="AR213" s="460"/>
      <c r="AS213" s="316"/>
      <c r="AT213" s="458"/>
      <c r="AU213" s="459"/>
      <c r="AV213" s="459"/>
      <c r="AW213" s="459"/>
      <c r="AX213" s="459"/>
      <c r="AY213" s="460"/>
    </row>
    <row r="214" spans="1:51" ht="15" hidden="1" outlineLevel="1" x14ac:dyDescent="0.25">
      <c r="A214" s="295">
        <f t="shared" si="69"/>
        <v>2037</v>
      </c>
      <c r="B214" s="295">
        <f t="shared" si="70"/>
        <v>5</v>
      </c>
      <c r="C214" s="305">
        <f t="shared" si="51"/>
        <v>50161</v>
      </c>
      <c r="E214" s="310">
        <v>863917</v>
      </c>
      <c r="F214" s="309">
        <v>726198</v>
      </c>
      <c r="G214" s="309">
        <v>71254</v>
      </c>
      <c r="H214" s="309">
        <v>4843</v>
      </c>
      <c r="I214" s="309">
        <v>432</v>
      </c>
      <c r="J214" s="309">
        <f t="shared" si="60"/>
        <v>1666644</v>
      </c>
      <c r="K214" s="309">
        <f t="shared" si="61"/>
        <v>140996</v>
      </c>
      <c r="L214" s="309">
        <f t="shared" si="62"/>
        <v>1807640</v>
      </c>
      <c r="M214" s="309">
        <v>2174</v>
      </c>
      <c r="N214" s="309">
        <f t="shared" si="52"/>
        <v>184</v>
      </c>
      <c r="O214" s="311">
        <f t="shared" si="53"/>
        <v>1809998</v>
      </c>
      <c r="P214" s="309"/>
      <c r="Q214" s="310">
        <v>982729.3396725771</v>
      </c>
      <c r="R214" s="309">
        <v>883876.24284930294</v>
      </c>
      <c r="S214" s="309">
        <v>78133</v>
      </c>
      <c r="T214" s="309">
        <f t="shared" si="63"/>
        <v>6149</v>
      </c>
      <c r="U214" s="309">
        <f t="shared" si="63"/>
        <v>432</v>
      </c>
      <c r="V214" s="309">
        <f t="shared" si="64"/>
        <v>1951319.58252188</v>
      </c>
      <c r="W214" s="309">
        <f t="shared" si="65"/>
        <v>165079.41747811995</v>
      </c>
      <c r="X214" s="309">
        <f t="shared" si="66"/>
        <v>2116399</v>
      </c>
      <c r="Y214" s="309">
        <f t="shared" si="67"/>
        <v>2174</v>
      </c>
      <c r="Z214" s="309">
        <f t="shared" si="54"/>
        <v>184</v>
      </c>
      <c r="AA214" s="311">
        <f t="shared" si="68"/>
        <v>2118757</v>
      </c>
      <c r="AC214" s="310">
        <v>1045376</v>
      </c>
      <c r="AD214" s="309">
        <v>919891</v>
      </c>
      <c r="AE214" s="309">
        <v>78133</v>
      </c>
      <c r="AF214" s="309">
        <v>6149</v>
      </c>
      <c r="AG214" s="309">
        <v>432</v>
      </c>
      <c r="AH214" s="309">
        <f t="shared" si="55"/>
        <v>2049981</v>
      </c>
      <c r="AI214" s="309">
        <f t="shared" si="56"/>
        <v>173426</v>
      </c>
      <c r="AJ214" s="309">
        <f t="shared" si="57"/>
        <v>2223407</v>
      </c>
      <c r="AK214" s="309">
        <v>2174</v>
      </c>
      <c r="AL214" s="309">
        <f t="shared" si="58"/>
        <v>184</v>
      </c>
      <c r="AM214" s="311">
        <f t="shared" si="59"/>
        <v>2225765</v>
      </c>
      <c r="AO214" s="458"/>
      <c r="AP214" s="459"/>
      <c r="AQ214" s="459"/>
      <c r="AR214" s="460"/>
      <c r="AS214" s="316"/>
      <c r="AT214" s="458"/>
      <c r="AU214" s="459"/>
      <c r="AV214" s="459"/>
      <c r="AW214" s="459"/>
      <c r="AX214" s="459"/>
      <c r="AY214" s="460"/>
    </row>
    <row r="215" spans="1:51" ht="15" hidden="1" outlineLevel="1" x14ac:dyDescent="0.25">
      <c r="A215" s="295">
        <f t="shared" si="69"/>
        <v>2037</v>
      </c>
      <c r="B215" s="295">
        <f t="shared" si="70"/>
        <v>6</v>
      </c>
      <c r="C215" s="305">
        <f t="shared" si="51"/>
        <v>50192</v>
      </c>
      <c r="E215" s="310">
        <v>864270</v>
      </c>
      <c r="F215" s="309">
        <v>762040</v>
      </c>
      <c r="G215" s="309">
        <v>73227</v>
      </c>
      <c r="H215" s="309">
        <v>4825</v>
      </c>
      <c r="I215" s="309">
        <v>316</v>
      </c>
      <c r="J215" s="309">
        <f t="shared" si="60"/>
        <v>1704678</v>
      </c>
      <c r="K215" s="309">
        <f t="shared" si="61"/>
        <v>144214</v>
      </c>
      <c r="L215" s="309">
        <f t="shared" si="62"/>
        <v>1848892</v>
      </c>
      <c r="M215" s="309">
        <v>1787</v>
      </c>
      <c r="N215" s="309">
        <f t="shared" si="52"/>
        <v>151</v>
      </c>
      <c r="O215" s="311">
        <f t="shared" si="53"/>
        <v>1850830</v>
      </c>
      <c r="P215" s="309"/>
      <c r="Q215" s="310">
        <v>954090.00930679019</v>
      </c>
      <c r="R215" s="309">
        <v>911133.84650491201</v>
      </c>
      <c r="S215" s="309">
        <v>80006</v>
      </c>
      <c r="T215" s="309">
        <f t="shared" si="63"/>
        <v>5922</v>
      </c>
      <c r="U215" s="309">
        <f t="shared" si="63"/>
        <v>316</v>
      </c>
      <c r="V215" s="309">
        <f t="shared" si="64"/>
        <v>1951467.8558117021</v>
      </c>
      <c r="W215" s="309">
        <f t="shared" si="65"/>
        <v>165091.14418829791</v>
      </c>
      <c r="X215" s="309">
        <f t="shared" si="66"/>
        <v>2116559</v>
      </c>
      <c r="Y215" s="309">
        <f t="shared" si="67"/>
        <v>1787</v>
      </c>
      <c r="Z215" s="309">
        <f t="shared" si="54"/>
        <v>151</v>
      </c>
      <c r="AA215" s="311">
        <f t="shared" si="68"/>
        <v>2118497</v>
      </c>
      <c r="AC215" s="310">
        <v>1006082</v>
      </c>
      <c r="AD215" s="309">
        <v>946921</v>
      </c>
      <c r="AE215" s="309">
        <v>80006</v>
      </c>
      <c r="AF215" s="309">
        <v>5922</v>
      </c>
      <c r="AG215" s="309">
        <v>316</v>
      </c>
      <c r="AH215" s="309">
        <f t="shared" si="55"/>
        <v>2039247</v>
      </c>
      <c r="AI215" s="309">
        <f t="shared" si="56"/>
        <v>172518</v>
      </c>
      <c r="AJ215" s="309">
        <f t="shared" si="57"/>
        <v>2211765</v>
      </c>
      <c r="AK215" s="309">
        <v>1787</v>
      </c>
      <c r="AL215" s="309">
        <f t="shared" si="58"/>
        <v>151</v>
      </c>
      <c r="AM215" s="311">
        <f t="shared" si="59"/>
        <v>2213703</v>
      </c>
      <c r="AO215" s="458"/>
      <c r="AP215" s="459"/>
      <c r="AQ215" s="459"/>
      <c r="AR215" s="460"/>
      <c r="AS215" s="316"/>
      <c r="AT215" s="458"/>
      <c r="AU215" s="459"/>
      <c r="AV215" s="459"/>
      <c r="AW215" s="459"/>
      <c r="AX215" s="459"/>
      <c r="AY215" s="460"/>
    </row>
    <row r="216" spans="1:51" ht="15" hidden="1" outlineLevel="1" x14ac:dyDescent="0.25">
      <c r="A216" s="295">
        <f t="shared" si="69"/>
        <v>2037</v>
      </c>
      <c r="B216" s="295">
        <f t="shared" si="70"/>
        <v>7</v>
      </c>
      <c r="C216" s="305">
        <f t="shared" si="51"/>
        <v>50222</v>
      </c>
      <c r="E216" s="310">
        <v>931847</v>
      </c>
      <c r="F216" s="309">
        <v>792136</v>
      </c>
      <c r="G216" s="309">
        <v>80438</v>
      </c>
      <c r="H216" s="309">
        <v>4451</v>
      </c>
      <c r="I216" s="309">
        <v>288</v>
      </c>
      <c r="J216" s="309">
        <f t="shared" si="60"/>
        <v>1809160</v>
      </c>
      <c r="K216" s="309">
        <f t="shared" si="61"/>
        <v>153053</v>
      </c>
      <c r="L216" s="309">
        <f t="shared" si="62"/>
        <v>1962213</v>
      </c>
      <c r="M216" s="309">
        <v>2889</v>
      </c>
      <c r="N216" s="309">
        <f t="shared" si="52"/>
        <v>244</v>
      </c>
      <c r="O216" s="311">
        <f t="shared" si="53"/>
        <v>1965346</v>
      </c>
      <c r="P216" s="309"/>
      <c r="Q216" s="310">
        <v>1025066.6694517074</v>
      </c>
      <c r="R216" s="309">
        <v>953202.64039453724</v>
      </c>
      <c r="S216" s="309">
        <v>87404</v>
      </c>
      <c r="T216" s="309">
        <f t="shared" si="63"/>
        <v>5740</v>
      </c>
      <c r="U216" s="309">
        <f t="shared" si="63"/>
        <v>288</v>
      </c>
      <c r="V216" s="309">
        <f t="shared" si="64"/>
        <v>2071701.3098462448</v>
      </c>
      <c r="W216" s="309">
        <f t="shared" si="65"/>
        <v>175263.69015375525</v>
      </c>
      <c r="X216" s="309">
        <f t="shared" si="66"/>
        <v>2246965</v>
      </c>
      <c r="Y216" s="309">
        <f t="shared" si="67"/>
        <v>2889</v>
      </c>
      <c r="Z216" s="309">
        <f t="shared" si="54"/>
        <v>244</v>
      </c>
      <c r="AA216" s="311">
        <f t="shared" si="68"/>
        <v>2250098</v>
      </c>
      <c r="AC216" s="310">
        <v>1084635</v>
      </c>
      <c r="AD216" s="309">
        <v>993211</v>
      </c>
      <c r="AE216" s="309">
        <v>87404</v>
      </c>
      <c r="AF216" s="309">
        <v>5740</v>
      </c>
      <c r="AG216" s="309">
        <v>288</v>
      </c>
      <c r="AH216" s="309">
        <f t="shared" si="55"/>
        <v>2171278</v>
      </c>
      <c r="AI216" s="309">
        <f t="shared" si="56"/>
        <v>183687</v>
      </c>
      <c r="AJ216" s="309">
        <f t="shared" si="57"/>
        <v>2354965</v>
      </c>
      <c r="AK216" s="309">
        <v>2889</v>
      </c>
      <c r="AL216" s="309">
        <f t="shared" si="58"/>
        <v>244</v>
      </c>
      <c r="AM216" s="311">
        <f t="shared" si="59"/>
        <v>2358098</v>
      </c>
      <c r="AO216" s="458"/>
      <c r="AP216" s="459"/>
      <c r="AQ216" s="459"/>
      <c r="AR216" s="460"/>
      <c r="AS216" s="316"/>
      <c r="AT216" s="458"/>
      <c r="AU216" s="459"/>
      <c r="AV216" s="459"/>
      <c r="AW216" s="459"/>
      <c r="AX216" s="459"/>
      <c r="AY216" s="460"/>
    </row>
    <row r="217" spans="1:51" ht="15" hidden="1" outlineLevel="1" x14ac:dyDescent="0.25">
      <c r="A217" s="295">
        <f t="shared" si="69"/>
        <v>2037</v>
      </c>
      <c r="B217" s="295">
        <f t="shared" si="70"/>
        <v>8</v>
      </c>
      <c r="C217" s="305">
        <f t="shared" si="51"/>
        <v>50253</v>
      </c>
      <c r="E217" s="310">
        <v>940680</v>
      </c>
      <c r="F217" s="309">
        <v>791474</v>
      </c>
      <c r="G217" s="309">
        <v>81010</v>
      </c>
      <c r="H217" s="309">
        <v>4698</v>
      </c>
      <c r="I217" s="309">
        <v>280</v>
      </c>
      <c r="J217" s="309">
        <f t="shared" si="60"/>
        <v>1818142</v>
      </c>
      <c r="K217" s="309">
        <f t="shared" si="61"/>
        <v>153812</v>
      </c>
      <c r="L217" s="309">
        <f t="shared" si="62"/>
        <v>1971954</v>
      </c>
      <c r="M217" s="309">
        <v>1634</v>
      </c>
      <c r="N217" s="309">
        <f t="shared" si="52"/>
        <v>138</v>
      </c>
      <c r="O217" s="311">
        <f t="shared" si="53"/>
        <v>1973726</v>
      </c>
      <c r="P217" s="309"/>
      <c r="Q217" s="310">
        <v>1035601.9765555596</v>
      </c>
      <c r="R217" s="309">
        <v>953695.32028383599</v>
      </c>
      <c r="S217" s="309">
        <v>88322</v>
      </c>
      <c r="T217" s="309">
        <f t="shared" si="63"/>
        <v>6177</v>
      </c>
      <c r="U217" s="309">
        <f t="shared" si="63"/>
        <v>280</v>
      </c>
      <c r="V217" s="309">
        <f t="shared" si="64"/>
        <v>2084076.2968393955</v>
      </c>
      <c r="W217" s="309">
        <f t="shared" si="65"/>
        <v>176309.70316060446</v>
      </c>
      <c r="X217" s="309">
        <f t="shared" si="66"/>
        <v>2260386</v>
      </c>
      <c r="Y217" s="309">
        <f t="shared" si="67"/>
        <v>1634</v>
      </c>
      <c r="Z217" s="309">
        <f t="shared" si="54"/>
        <v>138</v>
      </c>
      <c r="AA217" s="311">
        <f t="shared" si="68"/>
        <v>2262158</v>
      </c>
      <c r="AC217" s="310">
        <v>1093573</v>
      </c>
      <c r="AD217" s="309">
        <v>993144</v>
      </c>
      <c r="AE217" s="309">
        <v>88322</v>
      </c>
      <c r="AF217" s="309">
        <v>6177</v>
      </c>
      <c r="AG217" s="309">
        <v>280</v>
      </c>
      <c r="AH217" s="309">
        <f t="shared" si="55"/>
        <v>2181496</v>
      </c>
      <c r="AI217" s="309">
        <f t="shared" si="56"/>
        <v>184552</v>
      </c>
      <c r="AJ217" s="309">
        <f t="shared" si="57"/>
        <v>2366048</v>
      </c>
      <c r="AK217" s="309">
        <v>1634</v>
      </c>
      <c r="AL217" s="309">
        <f t="shared" si="58"/>
        <v>138</v>
      </c>
      <c r="AM217" s="311">
        <f t="shared" si="59"/>
        <v>2367820</v>
      </c>
      <c r="AO217" s="458"/>
      <c r="AP217" s="459"/>
      <c r="AQ217" s="459"/>
      <c r="AR217" s="460"/>
      <c r="AS217" s="316"/>
      <c r="AT217" s="458"/>
      <c r="AU217" s="459"/>
      <c r="AV217" s="459"/>
      <c r="AW217" s="459"/>
      <c r="AX217" s="459"/>
      <c r="AY217" s="460"/>
    </row>
    <row r="218" spans="1:51" ht="15" hidden="1" outlineLevel="1" x14ac:dyDescent="0.25">
      <c r="A218" s="295">
        <f t="shared" si="69"/>
        <v>2037</v>
      </c>
      <c r="B218" s="295">
        <f t="shared" si="70"/>
        <v>9</v>
      </c>
      <c r="C218" s="305">
        <f t="shared" si="51"/>
        <v>50284</v>
      </c>
      <c r="E218" s="310">
        <v>845492</v>
      </c>
      <c r="F218" s="309">
        <v>756893</v>
      </c>
      <c r="G218" s="309">
        <v>77618</v>
      </c>
      <c r="H218" s="309">
        <v>5011</v>
      </c>
      <c r="I218" s="309">
        <v>353</v>
      </c>
      <c r="J218" s="309">
        <f t="shared" si="60"/>
        <v>1685367</v>
      </c>
      <c r="K218" s="309">
        <f t="shared" si="61"/>
        <v>142580</v>
      </c>
      <c r="L218" s="309">
        <f t="shared" si="62"/>
        <v>1827947</v>
      </c>
      <c r="M218" s="309">
        <v>1428</v>
      </c>
      <c r="N218" s="309">
        <f t="shared" si="52"/>
        <v>121</v>
      </c>
      <c r="O218" s="311">
        <f t="shared" si="53"/>
        <v>1829496</v>
      </c>
      <c r="P218" s="309"/>
      <c r="Q218" s="310">
        <v>945227.80216417217</v>
      </c>
      <c r="R218" s="309">
        <v>910184.0392551109</v>
      </c>
      <c r="S218" s="309">
        <v>84492</v>
      </c>
      <c r="T218" s="309">
        <f t="shared" si="63"/>
        <v>6492</v>
      </c>
      <c r="U218" s="309">
        <f t="shared" si="63"/>
        <v>353</v>
      </c>
      <c r="V218" s="309">
        <f t="shared" si="64"/>
        <v>1946748.8414192831</v>
      </c>
      <c r="W218" s="309">
        <f t="shared" si="65"/>
        <v>164692.15858071693</v>
      </c>
      <c r="X218" s="309">
        <f t="shared" si="66"/>
        <v>2111441</v>
      </c>
      <c r="Y218" s="309">
        <f t="shared" si="67"/>
        <v>1428</v>
      </c>
      <c r="Z218" s="309">
        <f t="shared" si="54"/>
        <v>121</v>
      </c>
      <c r="AA218" s="311">
        <f t="shared" si="68"/>
        <v>2112990</v>
      </c>
      <c r="AC218" s="310">
        <v>998707</v>
      </c>
      <c r="AD218" s="309">
        <v>943825</v>
      </c>
      <c r="AE218" s="309">
        <v>84492</v>
      </c>
      <c r="AF218" s="309">
        <v>6492</v>
      </c>
      <c r="AG218" s="309">
        <v>353</v>
      </c>
      <c r="AH218" s="309">
        <f t="shared" si="55"/>
        <v>2033869</v>
      </c>
      <c r="AI218" s="309">
        <f t="shared" si="56"/>
        <v>172063</v>
      </c>
      <c r="AJ218" s="309">
        <f t="shared" si="57"/>
        <v>2205932</v>
      </c>
      <c r="AK218" s="309">
        <v>1428</v>
      </c>
      <c r="AL218" s="309">
        <f t="shared" si="58"/>
        <v>121</v>
      </c>
      <c r="AM218" s="311">
        <f t="shared" si="59"/>
        <v>2207481</v>
      </c>
      <c r="AO218" s="458"/>
      <c r="AP218" s="459"/>
      <c r="AQ218" s="459"/>
      <c r="AR218" s="460"/>
      <c r="AS218" s="316"/>
      <c r="AT218" s="458"/>
      <c r="AU218" s="459"/>
      <c r="AV218" s="459"/>
      <c r="AW218" s="459"/>
      <c r="AX218" s="459"/>
      <c r="AY218" s="460"/>
    </row>
    <row r="219" spans="1:51" ht="15" hidden="1" outlineLevel="1" x14ac:dyDescent="0.25">
      <c r="A219" s="295">
        <f t="shared" si="69"/>
        <v>2037</v>
      </c>
      <c r="B219" s="295">
        <f t="shared" si="70"/>
        <v>10</v>
      </c>
      <c r="C219" s="305">
        <f t="shared" si="51"/>
        <v>50314</v>
      </c>
      <c r="E219" s="310">
        <v>919177</v>
      </c>
      <c r="F219" s="309">
        <v>764939</v>
      </c>
      <c r="G219" s="309">
        <v>73388</v>
      </c>
      <c r="H219" s="309">
        <v>4578</v>
      </c>
      <c r="I219" s="309">
        <v>463</v>
      </c>
      <c r="J219" s="309">
        <f t="shared" si="60"/>
        <v>1762545</v>
      </c>
      <c r="K219" s="309">
        <f t="shared" si="61"/>
        <v>149109</v>
      </c>
      <c r="L219" s="309">
        <f t="shared" si="62"/>
        <v>1911654</v>
      </c>
      <c r="M219" s="309">
        <v>1830</v>
      </c>
      <c r="N219" s="309">
        <f t="shared" si="52"/>
        <v>155</v>
      </c>
      <c r="O219" s="311">
        <f t="shared" si="53"/>
        <v>1913639</v>
      </c>
      <c r="P219" s="309"/>
      <c r="Q219" s="310">
        <v>1058998.445221035</v>
      </c>
      <c r="R219" s="309">
        <v>919899.00054583477</v>
      </c>
      <c r="S219" s="309">
        <v>80621</v>
      </c>
      <c r="T219" s="309">
        <f t="shared" si="63"/>
        <v>6444</v>
      </c>
      <c r="U219" s="309">
        <f t="shared" si="63"/>
        <v>463</v>
      </c>
      <c r="V219" s="309">
        <f t="shared" si="64"/>
        <v>2066425.4457668699</v>
      </c>
      <c r="W219" s="309">
        <f t="shared" si="65"/>
        <v>174816.55423313007</v>
      </c>
      <c r="X219" s="309">
        <f t="shared" si="66"/>
        <v>2241242</v>
      </c>
      <c r="Y219" s="309">
        <f t="shared" si="67"/>
        <v>1830</v>
      </c>
      <c r="Z219" s="309">
        <f t="shared" si="54"/>
        <v>155</v>
      </c>
      <c r="AA219" s="311">
        <f t="shared" si="68"/>
        <v>2243227</v>
      </c>
      <c r="AC219" s="310">
        <v>1129421</v>
      </c>
      <c r="AD219" s="309">
        <v>953106</v>
      </c>
      <c r="AE219" s="309">
        <v>80621</v>
      </c>
      <c r="AF219" s="309">
        <v>6444</v>
      </c>
      <c r="AG219" s="309">
        <v>463</v>
      </c>
      <c r="AH219" s="309">
        <f t="shared" si="55"/>
        <v>2170055</v>
      </c>
      <c r="AI219" s="309">
        <f t="shared" si="56"/>
        <v>183584</v>
      </c>
      <c r="AJ219" s="309">
        <f t="shared" si="57"/>
        <v>2353639</v>
      </c>
      <c r="AK219" s="309">
        <v>1830</v>
      </c>
      <c r="AL219" s="309">
        <f t="shared" si="58"/>
        <v>155</v>
      </c>
      <c r="AM219" s="311">
        <f t="shared" si="59"/>
        <v>2355624</v>
      </c>
      <c r="AO219" s="458"/>
      <c r="AP219" s="459"/>
      <c r="AQ219" s="459"/>
      <c r="AR219" s="460"/>
      <c r="AS219" s="316"/>
      <c r="AT219" s="458"/>
      <c r="AU219" s="459"/>
      <c r="AV219" s="459"/>
      <c r="AW219" s="459"/>
      <c r="AX219" s="459"/>
      <c r="AY219" s="460"/>
    </row>
    <row r="220" spans="1:51" ht="15" hidden="1" outlineLevel="1" x14ac:dyDescent="0.25">
      <c r="A220" s="295">
        <f t="shared" si="69"/>
        <v>2037</v>
      </c>
      <c r="B220" s="295">
        <f t="shared" si="70"/>
        <v>11</v>
      </c>
      <c r="C220" s="305">
        <f t="shared" si="51"/>
        <v>50345</v>
      </c>
      <c r="E220" s="310">
        <v>1126995</v>
      </c>
      <c r="F220" s="309">
        <v>798654</v>
      </c>
      <c r="G220" s="309">
        <v>77594</v>
      </c>
      <c r="H220" s="309">
        <v>5130</v>
      </c>
      <c r="I220" s="309">
        <v>761</v>
      </c>
      <c r="J220" s="309">
        <f t="shared" si="60"/>
        <v>2009134</v>
      </c>
      <c r="K220" s="309">
        <f t="shared" si="61"/>
        <v>169970</v>
      </c>
      <c r="L220" s="309">
        <f t="shared" si="62"/>
        <v>2179104</v>
      </c>
      <c r="M220" s="309">
        <v>1832</v>
      </c>
      <c r="N220" s="309">
        <f t="shared" si="52"/>
        <v>155</v>
      </c>
      <c r="O220" s="311">
        <f t="shared" si="53"/>
        <v>2181091</v>
      </c>
      <c r="P220" s="309"/>
      <c r="Q220" s="310">
        <v>1308821.4969386146</v>
      </c>
      <c r="R220" s="309">
        <v>944380.14114033477</v>
      </c>
      <c r="S220" s="309">
        <v>84206</v>
      </c>
      <c r="T220" s="309">
        <f t="shared" si="63"/>
        <v>7161</v>
      </c>
      <c r="U220" s="309">
        <f t="shared" si="63"/>
        <v>761</v>
      </c>
      <c r="V220" s="309">
        <f t="shared" si="64"/>
        <v>2345329.6380789494</v>
      </c>
      <c r="W220" s="309">
        <f t="shared" si="65"/>
        <v>198411.36192105059</v>
      </c>
      <c r="X220" s="309">
        <f t="shared" si="66"/>
        <v>2543741</v>
      </c>
      <c r="Y220" s="309">
        <f t="shared" si="67"/>
        <v>1832</v>
      </c>
      <c r="Z220" s="309">
        <f t="shared" si="54"/>
        <v>155</v>
      </c>
      <c r="AA220" s="311">
        <f t="shared" si="68"/>
        <v>2545728</v>
      </c>
      <c r="AC220" s="310">
        <v>1400756</v>
      </c>
      <c r="AD220" s="309">
        <v>975590</v>
      </c>
      <c r="AE220" s="309">
        <v>84206</v>
      </c>
      <c r="AF220" s="309">
        <v>7161</v>
      </c>
      <c r="AG220" s="309">
        <v>761</v>
      </c>
      <c r="AH220" s="309">
        <f t="shared" si="55"/>
        <v>2468474</v>
      </c>
      <c r="AI220" s="309">
        <f t="shared" si="56"/>
        <v>208830</v>
      </c>
      <c r="AJ220" s="309">
        <f t="shared" si="57"/>
        <v>2677304</v>
      </c>
      <c r="AK220" s="309">
        <v>1832</v>
      </c>
      <c r="AL220" s="309">
        <f t="shared" si="58"/>
        <v>155</v>
      </c>
      <c r="AM220" s="311">
        <f t="shared" si="59"/>
        <v>2679291</v>
      </c>
      <c r="AO220" s="458"/>
      <c r="AP220" s="459"/>
      <c r="AQ220" s="459"/>
      <c r="AR220" s="460"/>
      <c r="AS220" s="316"/>
      <c r="AT220" s="458"/>
      <c r="AU220" s="459"/>
      <c r="AV220" s="459"/>
      <c r="AW220" s="459"/>
      <c r="AX220" s="459"/>
      <c r="AY220" s="460"/>
    </row>
    <row r="221" spans="1:51" ht="15" hidden="1" outlineLevel="1" x14ac:dyDescent="0.25">
      <c r="A221" s="295">
        <f t="shared" si="69"/>
        <v>2037</v>
      </c>
      <c r="B221" s="295">
        <f t="shared" si="70"/>
        <v>12</v>
      </c>
      <c r="C221" s="305">
        <f t="shared" si="51"/>
        <v>50375</v>
      </c>
      <c r="E221" s="310">
        <v>1200594</v>
      </c>
      <c r="F221" s="309">
        <v>823868</v>
      </c>
      <c r="G221" s="309">
        <v>70269</v>
      </c>
      <c r="H221" s="309">
        <v>4586</v>
      </c>
      <c r="I221" s="309">
        <v>823</v>
      </c>
      <c r="J221" s="309">
        <f t="shared" si="60"/>
        <v>2100140</v>
      </c>
      <c r="K221" s="309">
        <f t="shared" si="61"/>
        <v>177669</v>
      </c>
      <c r="L221" s="309">
        <f t="shared" si="62"/>
        <v>2277809</v>
      </c>
      <c r="M221" s="309">
        <v>1718</v>
      </c>
      <c r="N221" s="309">
        <f t="shared" si="52"/>
        <v>145</v>
      </c>
      <c r="O221" s="311">
        <f t="shared" si="53"/>
        <v>2279672</v>
      </c>
      <c r="P221" s="309"/>
      <c r="Q221" s="310">
        <v>1454792.1326949568</v>
      </c>
      <c r="R221" s="309">
        <v>979136.54434308282</v>
      </c>
      <c r="S221" s="309">
        <v>77138</v>
      </c>
      <c r="T221" s="309">
        <f t="shared" si="63"/>
        <v>6738</v>
      </c>
      <c r="U221" s="309">
        <f t="shared" si="63"/>
        <v>823</v>
      </c>
      <c r="V221" s="309">
        <f t="shared" si="64"/>
        <v>2518627.6770380395</v>
      </c>
      <c r="W221" s="309">
        <f t="shared" si="65"/>
        <v>213072.32296196045</v>
      </c>
      <c r="X221" s="309">
        <f t="shared" si="66"/>
        <v>2731700</v>
      </c>
      <c r="Y221" s="309">
        <f t="shared" si="67"/>
        <v>1718</v>
      </c>
      <c r="Z221" s="309">
        <f t="shared" si="54"/>
        <v>145</v>
      </c>
      <c r="AA221" s="311">
        <f t="shared" si="68"/>
        <v>2733563</v>
      </c>
      <c r="AC221" s="310">
        <v>1576498</v>
      </c>
      <c r="AD221" s="309">
        <v>1018869</v>
      </c>
      <c r="AE221" s="309">
        <v>77138</v>
      </c>
      <c r="AF221" s="309">
        <v>6738</v>
      </c>
      <c r="AG221" s="309">
        <v>823</v>
      </c>
      <c r="AH221" s="309">
        <f t="shared" si="55"/>
        <v>2680066</v>
      </c>
      <c r="AI221" s="309">
        <f t="shared" si="56"/>
        <v>226730</v>
      </c>
      <c r="AJ221" s="309">
        <f t="shared" si="57"/>
        <v>2906796</v>
      </c>
      <c r="AK221" s="309">
        <v>1718</v>
      </c>
      <c r="AL221" s="309">
        <f t="shared" si="58"/>
        <v>145</v>
      </c>
      <c r="AM221" s="311">
        <f t="shared" si="59"/>
        <v>2908659</v>
      </c>
      <c r="AO221" s="458"/>
      <c r="AP221" s="459"/>
      <c r="AQ221" s="459"/>
      <c r="AR221" s="460"/>
      <c r="AS221" s="316"/>
      <c r="AT221" s="458"/>
      <c r="AU221" s="459"/>
      <c r="AV221" s="459"/>
      <c r="AW221" s="459"/>
      <c r="AX221" s="459"/>
      <c r="AY221" s="460"/>
    </row>
    <row r="222" spans="1:51" ht="15" hidden="1" outlineLevel="1" x14ac:dyDescent="0.25">
      <c r="A222" s="295">
        <f t="shared" si="69"/>
        <v>2038</v>
      </c>
      <c r="B222" s="295">
        <f t="shared" si="70"/>
        <v>1</v>
      </c>
      <c r="C222" s="305">
        <f t="shared" ref="C222:C285" si="71">DATE(A222,B222,1)</f>
        <v>50406</v>
      </c>
      <c r="E222" s="310">
        <v>1247258</v>
      </c>
      <c r="F222" s="309">
        <v>836389</v>
      </c>
      <c r="G222" s="309">
        <v>66914</v>
      </c>
      <c r="H222" s="309">
        <v>5016</v>
      </c>
      <c r="I222" s="309">
        <v>959</v>
      </c>
      <c r="J222" s="309">
        <f t="shared" si="60"/>
        <v>2156536</v>
      </c>
      <c r="K222" s="309">
        <f t="shared" si="61"/>
        <v>182440</v>
      </c>
      <c r="L222" s="309">
        <f t="shared" si="62"/>
        <v>2338976</v>
      </c>
      <c r="M222" s="309">
        <v>2325</v>
      </c>
      <c r="N222" s="309">
        <f t="shared" ref="N222:N285" si="72">ROUND(M222/(1-0.078)-M222, 0)</f>
        <v>197</v>
      </c>
      <c r="O222" s="311">
        <f t="shared" ref="O222:O285" si="73">SUM(L222:N222)</f>
        <v>2341498</v>
      </c>
      <c r="P222" s="309"/>
      <c r="Q222" s="310">
        <v>1476757.7806350319</v>
      </c>
      <c r="R222" s="309">
        <v>989468.1931497542</v>
      </c>
      <c r="S222" s="309">
        <v>73859</v>
      </c>
      <c r="T222" s="309">
        <f t="shared" si="63"/>
        <v>7198</v>
      </c>
      <c r="U222" s="309">
        <f t="shared" si="63"/>
        <v>959</v>
      </c>
      <c r="V222" s="309">
        <f t="shared" si="64"/>
        <v>2548241.9737847862</v>
      </c>
      <c r="W222" s="309">
        <f t="shared" si="65"/>
        <v>215578.02621521382</v>
      </c>
      <c r="X222" s="309">
        <f t="shared" si="66"/>
        <v>2763820</v>
      </c>
      <c r="Y222" s="309">
        <f t="shared" si="67"/>
        <v>2325</v>
      </c>
      <c r="Z222" s="309">
        <f t="shared" ref="Z222:Z285" si="74">ROUND(Y222/(1-0.078)-Y222, 0)</f>
        <v>197</v>
      </c>
      <c r="AA222" s="311">
        <f t="shared" si="68"/>
        <v>2766342</v>
      </c>
      <c r="AC222" s="310">
        <v>1579768</v>
      </c>
      <c r="AD222" s="309">
        <v>1026764</v>
      </c>
      <c r="AE222" s="309">
        <v>73859</v>
      </c>
      <c r="AF222" s="309">
        <v>7198</v>
      </c>
      <c r="AG222" s="309">
        <v>959</v>
      </c>
      <c r="AH222" s="309">
        <f t="shared" ref="AH222:AH285" si="75">SUM(AC222:AG222)</f>
        <v>2688548</v>
      </c>
      <c r="AI222" s="309">
        <f t="shared" ref="AI222:AI285" si="76">AJ222-AH222</f>
        <v>227448</v>
      </c>
      <c r="AJ222" s="309">
        <f t="shared" ref="AJ222:AJ285" si="77">ROUND(AH222/(1-0.078), 0)</f>
        <v>2915996</v>
      </c>
      <c r="AK222" s="309">
        <v>2325</v>
      </c>
      <c r="AL222" s="309">
        <f t="shared" ref="AL222:AL285" si="78">N222</f>
        <v>197</v>
      </c>
      <c r="AM222" s="311">
        <f t="shared" ref="AM222:AM285" si="79">SUM(AJ222:AL222)</f>
        <v>2918518</v>
      </c>
      <c r="AO222" s="458"/>
      <c r="AP222" s="459"/>
      <c r="AQ222" s="459"/>
      <c r="AR222" s="460"/>
      <c r="AS222" s="316"/>
      <c r="AT222" s="458"/>
      <c r="AU222" s="459"/>
      <c r="AV222" s="459"/>
      <c r="AW222" s="459"/>
      <c r="AX222" s="459"/>
      <c r="AY222" s="460"/>
    </row>
    <row r="223" spans="1:51" ht="15" hidden="1" outlineLevel="1" x14ac:dyDescent="0.25">
      <c r="A223" s="295">
        <f t="shared" si="69"/>
        <v>2038</v>
      </c>
      <c r="B223" s="295">
        <f t="shared" si="70"/>
        <v>2</v>
      </c>
      <c r="C223" s="305">
        <f t="shared" si="71"/>
        <v>50437</v>
      </c>
      <c r="E223" s="310">
        <v>1081318</v>
      </c>
      <c r="F223" s="309">
        <v>781660</v>
      </c>
      <c r="G223" s="309">
        <v>67102</v>
      </c>
      <c r="H223" s="309">
        <v>4976</v>
      </c>
      <c r="I223" s="309">
        <v>831</v>
      </c>
      <c r="J223" s="309">
        <f t="shared" ref="J223:J286" si="80">SUM(E223:I223)</f>
        <v>1935887</v>
      </c>
      <c r="K223" s="309">
        <f t="shared" ref="K223:K286" si="81">L223-J223</f>
        <v>163774</v>
      </c>
      <c r="L223" s="309">
        <f t="shared" ref="L223:L286" si="82">ROUND(J223/(1-0.078), 0)</f>
        <v>2099661</v>
      </c>
      <c r="M223" s="309">
        <v>2433</v>
      </c>
      <c r="N223" s="309">
        <f t="shared" si="72"/>
        <v>206</v>
      </c>
      <c r="O223" s="311">
        <f t="shared" si="73"/>
        <v>2102300</v>
      </c>
      <c r="P223" s="309"/>
      <c r="Q223" s="310">
        <v>1263604.1571178655</v>
      </c>
      <c r="R223" s="309">
        <v>912977.21594399447</v>
      </c>
      <c r="S223" s="309">
        <v>73226</v>
      </c>
      <c r="T223" s="309">
        <f t="shared" ref="T223:U286" si="83">AF223</f>
        <v>6644</v>
      </c>
      <c r="U223" s="309">
        <f t="shared" si="83"/>
        <v>831</v>
      </c>
      <c r="V223" s="309">
        <f t="shared" ref="V223:V286" si="84">SUM(Q223:U223)</f>
        <v>2257282.37306186</v>
      </c>
      <c r="W223" s="309">
        <f t="shared" ref="W223:W286" si="85">X223-V223</f>
        <v>190963.62693814002</v>
      </c>
      <c r="X223" s="309">
        <f t="shared" ref="X223:X286" si="86">ROUND(V223/(1-0.078), 0)</f>
        <v>2448246</v>
      </c>
      <c r="Y223" s="309">
        <f t="shared" ref="Y223:Y286" si="87">M223</f>
        <v>2433</v>
      </c>
      <c r="Z223" s="309">
        <f t="shared" si="74"/>
        <v>206</v>
      </c>
      <c r="AA223" s="311">
        <f t="shared" ref="AA223:AA286" si="88">SUM(X223:Z223)</f>
        <v>2450885</v>
      </c>
      <c r="AC223" s="310">
        <v>1346749</v>
      </c>
      <c r="AD223" s="309">
        <v>943574</v>
      </c>
      <c r="AE223" s="309">
        <v>73226</v>
      </c>
      <c r="AF223" s="309">
        <v>6644</v>
      </c>
      <c r="AG223" s="309">
        <v>831</v>
      </c>
      <c r="AH223" s="309">
        <f t="shared" si="75"/>
        <v>2371024</v>
      </c>
      <c r="AI223" s="309">
        <f t="shared" si="76"/>
        <v>200586</v>
      </c>
      <c r="AJ223" s="309">
        <f t="shared" si="77"/>
        <v>2571610</v>
      </c>
      <c r="AK223" s="309">
        <v>2433</v>
      </c>
      <c r="AL223" s="309">
        <f t="shared" si="78"/>
        <v>206</v>
      </c>
      <c r="AM223" s="311">
        <f t="shared" si="79"/>
        <v>2574249</v>
      </c>
      <c r="AO223" s="458"/>
      <c r="AP223" s="459"/>
      <c r="AQ223" s="459"/>
      <c r="AR223" s="460"/>
      <c r="AS223" s="316"/>
      <c r="AT223" s="458"/>
      <c r="AU223" s="459"/>
      <c r="AV223" s="459"/>
      <c r="AW223" s="459"/>
      <c r="AX223" s="459"/>
      <c r="AY223" s="460"/>
    </row>
    <row r="224" spans="1:51" ht="15" hidden="1" outlineLevel="1" x14ac:dyDescent="0.25">
      <c r="A224" s="295">
        <f t="shared" si="69"/>
        <v>2038</v>
      </c>
      <c r="B224" s="295">
        <f t="shared" si="70"/>
        <v>3</v>
      </c>
      <c r="C224" s="305">
        <f t="shared" si="71"/>
        <v>50465</v>
      </c>
      <c r="E224" s="310">
        <v>1074150</v>
      </c>
      <c r="F224" s="309">
        <v>809783</v>
      </c>
      <c r="G224" s="309">
        <v>73952</v>
      </c>
      <c r="H224" s="309">
        <v>4387</v>
      </c>
      <c r="I224" s="309">
        <v>741</v>
      </c>
      <c r="J224" s="309">
        <f t="shared" si="80"/>
        <v>1963013</v>
      </c>
      <c r="K224" s="309">
        <f t="shared" si="81"/>
        <v>166069</v>
      </c>
      <c r="L224" s="309">
        <f>ROUNDUP(J224/(1-0.078), 0)</f>
        <v>2129082</v>
      </c>
      <c r="M224" s="309">
        <v>2339</v>
      </c>
      <c r="N224" s="309">
        <f t="shared" si="72"/>
        <v>198</v>
      </c>
      <c r="O224" s="311">
        <f t="shared" si="73"/>
        <v>2131619</v>
      </c>
      <c r="P224" s="309"/>
      <c r="Q224" s="310">
        <v>1257669.6988410417</v>
      </c>
      <c r="R224" s="309">
        <v>969584.92320576671</v>
      </c>
      <c r="S224" s="309">
        <v>81004</v>
      </c>
      <c r="T224" s="309">
        <f t="shared" si="83"/>
        <v>6148</v>
      </c>
      <c r="U224" s="309">
        <f t="shared" si="83"/>
        <v>741</v>
      </c>
      <c r="V224" s="309">
        <f t="shared" si="84"/>
        <v>2315147.6220468082</v>
      </c>
      <c r="W224" s="309">
        <f t="shared" si="85"/>
        <v>195858.37795319175</v>
      </c>
      <c r="X224" s="309">
        <f t="shared" si="86"/>
        <v>2511006</v>
      </c>
      <c r="Y224" s="309">
        <f t="shared" si="87"/>
        <v>2339</v>
      </c>
      <c r="Z224" s="309">
        <f t="shared" si="74"/>
        <v>198</v>
      </c>
      <c r="AA224" s="311">
        <f t="shared" si="88"/>
        <v>2513543</v>
      </c>
      <c r="AC224" s="310">
        <v>1338854</v>
      </c>
      <c r="AD224" s="309">
        <v>1006377</v>
      </c>
      <c r="AE224" s="309">
        <v>81004</v>
      </c>
      <c r="AF224" s="309">
        <v>6148</v>
      </c>
      <c r="AG224" s="309">
        <v>741</v>
      </c>
      <c r="AH224" s="309">
        <f t="shared" si="75"/>
        <v>2433124</v>
      </c>
      <c r="AI224" s="309">
        <f t="shared" si="76"/>
        <v>205839</v>
      </c>
      <c r="AJ224" s="309">
        <f t="shared" si="77"/>
        <v>2638963</v>
      </c>
      <c r="AK224" s="309">
        <v>2339</v>
      </c>
      <c r="AL224" s="309">
        <f t="shared" si="78"/>
        <v>198</v>
      </c>
      <c r="AM224" s="311">
        <f t="shared" si="79"/>
        <v>2641500</v>
      </c>
      <c r="AO224" s="458"/>
      <c r="AP224" s="459"/>
      <c r="AQ224" s="459"/>
      <c r="AR224" s="460"/>
      <c r="AS224" s="316"/>
      <c r="AT224" s="458"/>
      <c r="AU224" s="459"/>
      <c r="AV224" s="459"/>
      <c r="AW224" s="459"/>
      <c r="AX224" s="459"/>
      <c r="AY224" s="460"/>
    </row>
    <row r="225" spans="1:51" ht="15" hidden="1" outlineLevel="1" x14ac:dyDescent="0.25">
      <c r="A225" s="295">
        <f t="shared" si="69"/>
        <v>2038</v>
      </c>
      <c r="B225" s="295">
        <f t="shared" si="70"/>
        <v>4</v>
      </c>
      <c r="C225" s="305">
        <f t="shared" si="71"/>
        <v>50496</v>
      </c>
      <c r="E225" s="310">
        <v>996250</v>
      </c>
      <c r="F225" s="309">
        <v>806235</v>
      </c>
      <c r="G225" s="309">
        <v>75599</v>
      </c>
      <c r="H225" s="309">
        <v>5024</v>
      </c>
      <c r="I225" s="309">
        <v>617</v>
      </c>
      <c r="J225" s="309">
        <f t="shared" si="80"/>
        <v>1883725</v>
      </c>
      <c r="K225" s="309">
        <f t="shared" si="81"/>
        <v>159361</v>
      </c>
      <c r="L225" s="309">
        <f t="shared" si="82"/>
        <v>2043086</v>
      </c>
      <c r="M225" s="309">
        <v>2172</v>
      </c>
      <c r="N225" s="309">
        <f t="shared" si="72"/>
        <v>184</v>
      </c>
      <c r="O225" s="311">
        <f t="shared" si="73"/>
        <v>2045442</v>
      </c>
      <c r="P225" s="309"/>
      <c r="Q225" s="310">
        <v>1158238.7189601674</v>
      </c>
      <c r="R225" s="309">
        <v>951508.01793950924</v>
      </c>
      <c r="S225" s="309">
        <v>82237</v>
      </c>
      <c r="T225" s="309">
        <f t="shared" si="83"/>
        <v>6511</v>
      </c>
      <c r="U225" s="309">
        <f t="shared" si="83"/>
        <v>617</v>
      </c>
      <c r="V225" s="309">
        <f t="shared" si="84"/>
        <v>2199111.7368996767</v>
      </c>
      <c r="W225" s="309">
        <f t="shared" si="85"/>
        <v>186042.26310032327</v>
      </c>
      <c r="X225" s="309">
        <f t="shared" si="86"/>
        <v>2385154</v>
      </c>
      <c r="Y225" s="309">
        <f t="shared" si="87"/>
        <v>2172</v>
      </c>
      <c r="Z225" s="309">
        <f t="shared" si="74"/>
        <v>184</v>
      </c>
      <c r="AA225" s="311">
        <f t="shared" si="88"/>
        <v>2387510</v>
      </c>
      <c r="AC225" s="310">
        <v>1228167</v>
      </c>
      <c r="AD225" s="309">
        <v>988809</v>
      </c>
      <c r="AE225" s="309">
        <v>82237</v>
      </c>
      <c r="AF225" s="309">
        <v>6511</v>
      </c>
      <c r="AG225" s="309">
        <v>617</v>
      </c>
      <c r="AH225" s="309">
        <f t="shared" si="75"/>
        <v>2306341</v>
      </c>
      <c r="AI225" s="309">
        <f t="shared" si="76"/>
        <v>195113</v>
      </c>
      <c r="AJ225" s="309">
        <f t="shared" si="77"/>
        <v>2501454</v>
      </c>
      <c r="AK225" s="309">
        <v>2172</v>
      </c>
      <c r="AL225" s="309">
        <f t="shared" si="78"/>
        <v>184</v>
      </c>
      <c r="AM225" s="311">
        <f t="shared" si="79"/>
        <v>2503810</v>
      </c>
      <c r="AO225" s="458"/>
      <c r="AP225" s="459"/>
      <c r="AQ225" s="459"/>
      <c r="AR225" s="460"/>
      <c r="AS225" s="316"/>
      <c r="AT225" s="458"/>
      <c r="AU225" s="459"/>
      <c r="AV225" s="459"/>
      <c r="AW225" s="459"/>
      <c r="AX225" s="459"/>
      <c r="AY225" s="460"/>
    </row>
    <row r="226" spans="1:51" ht="15" hidden="1" outlineLevel="1" x14ac:dyDescent="0.25">
      <c r="A226" s="295">
        <f t="shared" si="69"/>
        <v>2038</v>
      </c>
      <c r="B226" s="295">
        <f t="shared" si="70"/>
        <v>5</v>
      </c>
      <c r="C226" s="305">
        <f t="shared" si="71"/>
        <v>50526</v>
      </c>
      <c r="E226" s="310">
        <v>873125</v>
      </c>
      <c r="F226" s="309">
        <v>735516</v>
      </c>
      <c r="G226" s="309">
        <v>70874</v>
      </c>
      <c r="H226" s="309">
        <v>4917</v>
      </c>
      <c r="I226" s="309">
        <v>432</v>
      </c>
      <c r="J226" s="309">
        <f t="shared" si="80"/>
        <v>1684864</v>
      </c>
      <c r="K226" s="309">
        <f t="shared" si="81"/>
        <v>142537</v>
      </c>
      <c r="L226" s="309">
        <f t="shared" si="82"/>
        <v>1827401</v>
      </c>
      <c r="M226" s="309">
        <v>2174</v>
      </c>
      <c r="N226" s="309">
        <f t="shared" si="72"/>
        <v>184</v>
      </c>
      <c r="O226" s="311">
        <f t="shared" si="73"/>
        <v>1829759</v>
      </c>
      <c r="P226" s="309"/>
      <c r="Q226" s="310">
        <v>998835.47394270077</v>
      </c>
      <c r="R226" s="309">
        <v>898101.87321459164</v>
      </c>
      <c r="S226" s="309">
        <v>77750</v>
      </c>
      <c r="T226" s="309">
        <f t="shared" si="83"/>
        <v>6234</v>
      </c>
      <c r="U226" s="309">
        <f t="shared" si="83"/>
        <v>432</v>
      </c>
      <c r="V226" s="309">
        <f t="shared" si="84"/>
        <v>1981353.3471572925</v>
      </c>
      <c r="W226" s="309">
        <f t="shared" si="85"/>
        <v>167619.65284270747</v>
      </c>
      <c r="X226" s="309">
        <f t="shared" si="86"/>
        <v>2148973</v>
      </c>
      <c r="Y226" s="309">
        <f t="shared" si="87"/>
        <v>2174</v>
      </c>
      <c r="Z226" s="309">
        <f t="shared" si="74"/>
        <v>184</v>
      </c>
      <c r="AA226" s="311">
        <f t="shared" si="88"/>
        <v>2151331</v>
      </c>
      <c r="AC226" s="310">
        <v>1064156</v>
      </c>
      <c r="AD226" s="309">
        <v>936760</v>
      </c>
      <c r="AE226" s="309">
        <v>77750</v>
      </c>
      <c r="AF226" s="309">
        <v>6234</v>
      </c>
      <c r="AG226" s="309">
        <v>432</v>
      </c>
      <c r="AH226" s="309">
        <f t="shared" si="75"/>
        <v>2085332</v>
      </c>
      <c r="AI226" s="309">
        <f t="shared" si="76"/>
        <v>176416</v>
      </c>
      <c r="AJ226" s="309">
        <f t="shared" si="77"/>
        <v>2261748</v>
      </c>
      <c r="AK226" s="309">
        <v>2174</v>
      </c>
      <c r="AL226" s="309">
        <f t="shared" si="78"/>
        <v>184</v>
      </c>
      <c r="AM226" s="311">
        <f t="shared" si="79"/>
        <v>2264106</v>
      </c>
      <c r="AO226" s="458"/>
      <c r="AP226" s="459"/>
      <c r="AQ226" s="459"/>
      <c r="AR226" s="460"/>
      <c r="AS226" s="316"/>
      <c r="AT226" s="458"/>
      <c r="AU226" s="459"/>
      <c r="AV226" s="459"/>
      <c r="AW226" s="459"/>
      <c r="AX226" s="459"/>
      <c r="AY226" s="460"/>
    </row>
    <row r="227" spans="1:51" ht="15" hidden="1" outlineLevel="1" x14ac:dyDescent="0.25">
      <c r="A227" s="295">
        <f t="shared" si="69"/>
        <v>2038</v>
      </c>
      <c r="B227" s="295">
        <f t="shared" si="70"/>
        <v>6</v>
      </c>
      <c r="C227" s="305">
        <f t="shared" si="71"/>
        <v>50557</v>
      </c>
      <c r="E227" s="310">
        <v>880039</v>
      </c>
      <c r="F227" s="309">
        <v>773166</v>
      </c>
      <c r="G227" s="309">
        <v>72925</v>
      </c>
      <c r="H227" s="309">
        <v>4897</v>
      </c>
      <c r="I227" s="309">
        <v>316</v>
      </c>
      <c r="J227" s="309">
        <f t="shared" si="80"/>
        <v>1731343</v>
      </c>
      <c r="K227" s="309">
        <f t="shared" si="81"/>
        <v>146469</v>
      </c>
      <c r="L227" s="309">
        <f t="shared" si="82"/>
        <v>1877812</v>
      </c>
      <c r="M227" s="309">
        <v>1787</v>
      </c>
      <c r="N227" s="309">
        <f t="shared" si="72"/>
        <v>151</v>
      </c>
      <c r="O227" s="311">
        <f t="shared" si="73"/>
        <v>1879750</v>
      </c>
      <c r="P227" s="309"/>
      <c r="Q227" s="310">
        <v>975446.52140389872</v>
      </c>
      <c r="R227" s="309">
        <v>926720.53987718851</v>
      </c>
      <c r="S227" s="309">
        <v>79711</v>
      </c>
      <c r="T227" s="309">
        <f t="shared" si="83"/>
        <v>6003</v>
      </c>
      <c r="U227" s="309">
        <f t="shared" si="83"/>
        <v>316</v>
      </c>
      <c r="V227" s="309">
        <f t="shared" si="84"/>
        <v>1988197.0612810873</v>
      </c>
      <c r="W227" s="309">
        <f t="shared" si="85"/>
        <v>168198.93871891266</v>
      </c>
      <c r="X227" s="309">
        <f t="shared" si="86"/>
        <v>2156396</v>
      </c>
      <c r="Y227" s="309">
        <f t="shared" si="87"/>
        <v>1787</v>
      </c>
      <c r="Z227" s="309">
        <f t="shared" si="74"/>
        <v>151</v>
      </c>
      <c r="AA227" s="311">
        <f t="shared" si="88"/>
        <v>2158334</v>
      </c>
      <c r="AC227" s="310">
        <v>1029718</v>
      </c>
      <c r="AD227" s="309">
        <v>965279</v>
      </c>
      <c r="AE227" s="309">
        <v>79711</v>
      </c>
      <c r="AF227" s="309">
        <v>6003</v>
      </c>
      <c r="AG227" s="309">
        <v>316</v>
      </c>
      <c r="AH227" s="309">
        <f t="shared" si="75"/>
        <v>2081027</v>
      </c>
      <c r="AI227" s="309">
        <f t="shared" si="76"/>
        <v>176052</v>
      </c>
      <c r="AJ227" s="309">
        <f t="shared" si="77"/>
        <v>2257079</v>
      </c>
      <c r="AK227" s="309">
        <v>1787</v>
      </c>
      <c r="AL227" s="309">
        <f t="shared" si="78"/>
        <v>151</v>
      </c>
      <c r="AM227" s="311">
        <f t="shared" si="79"/>
        <v>2259017</v>
      </c>
      <c r="AO227" s="458"/>
      <c r="AP227" s="459"/>
      <c r="AQ227" s="459"/>
      <c r="AR227" s="460"/>
      <c r="AS227" s="316"/>
      <c r="AT227" s="458"/>
      <c r="AU227" s="459"/>
      <c r="AV227" s="459"/>
      <c r="AW227" s="459"/>
      <c r="AX227" s="459"/>
      <c r="AY227" s="460"/>
    </row>
    <row r="228" spans="1:51" ht="15" hidden="1" outlineLevel="1" x14ac:dyDescent="0.25">
      <c r="A228" s="295">
        <f t="shared" si="69"/>
        <v>2038</v>
      </c>
      <c r="B228" s="295">
        <f t="shared" si="70"/>
        <v>7</v>
      </c>
      <c r="C228" s="305">
        <f t="shared" si="71"/>
        <v>50587</v>
      </c>
      <c r="E228" s="310">
        <v>950848</v>
      </c>
      <c r="F228" s="309">
        <v>804373</v>
      </c>
      <c r="G228" s="309">
        <v>80140</v>
      </c>
      <c r="H228" s="309">
        <v>4519</v>
      </c>
      <c r="I228" s="309">
        <v>288</v>
      </c>
      <c r="J228" s="309">
        <f t="shared" si="80"/>
        <v>1840168</v>
      </c>
      <c r="K228" s="309">
        <f t="shared" si="81"/>
        <v>155676</v>
      </c>
      <c r="L228" s="309">
        <f t="shared" si="82"/>
        <v>1995844</v>
      </c>
      <c r="M228" s="309">
        <v>2889</v>
      </c>
      <c r="N228" s="309">
        <f t="shared" si="72"/>
        <v>244</v>
      </c>
      <c r="O228" s="311">
        <f t="shared" si="73"/>
        <v>1998977</v>
      </c>
      <c r="P228" s="309"/>
      <c r="Q228" s="310">
        <v>1050271.7583752905</v>
      </c>
      <c r="R228" s="309">
        <v>969935.37262431206</v>
      </c>
      <c r="S228" s="309">
        <v>87116</v>
      </c>
      <c r="T228" s="309">
        <f t="shared" si="83"/>
        <v>5819</v>
      </c>
      <c r="U228" s="309">
        <f t="shared" si="83"/>
        <v>288</v>
      </c>
      <c r="V228" s="309">
        <f t="shared" si="84"/>
        <v>2113430.1309996024</v>
      </c>
      <c r="W228" s="309">
        <f t="shared" si="85"/>
        <v>178793.86900039762</v>
      </c>
      <c r="X228" s="309">
        <f t="shared" si="86"/>
        <v>2292224</v>
      </c>
      <c r="Y228" s="309">
        <f t="shared" si="87"/>
        <v>2889</v>
      </c>
      <c r="Z228" s="309">
        <f t="shared" si="74"/>
        <v>244</v>
      </c>
      <c r="AA228" s="311">
        <f t="shared" si="88"/>
        <v>2295357</v>
      </c>
      <c r="AC228" s="310">
        <v>1112408</v>
      </c>
      <c r="AD228" s="309">
        <v>1012963</v>
      </c>
      <c r="AE228" s="309">
        <v>87116</v>
      </c>
      <c r="AF228" s="309">
        <v>5819</v>
      </c>
      <c r="AG228" s="309">
        <v>288</v>
      </c>
      <c r="AH228" s="309">
        <f t="shared" si="75"/>
        <v>2218594</v>
      </c>
      <c r="AI228" s="309">
        <f t="shared" si="76"/>
        <v>187690</v>
      </c>
      <c r="AJ228" s="309">
        <f t="shared" si="77"/>
        <v>2406284</v>
      </c>
      <c r="AK228" s="309">
        <v>2889</v>
      </c>
      <c r="AL228" s="309">
        <f t="shared" si="78"/>
        <v>244</v>
      </c>
      <c r="AM228" s="311">
        <f t="shared" si="79"/>
        <v>2409417</v>
      </c>
      <c r="AO228" s="458"/>
      <c r="AP228" s="459"/>
      <c r="AQ228" s="459"/>
      <c r="AR228" s="460"/>
      <c r="AS228" s="316"/>
      <c r="AT228" s="458"/>
      <c r="AU228" s="459"/>
      <c r="AV228" s="459"/>
      <c r="AW228" s="459"/>
      <c r="AX228" s="459"/>
      <c r="AY228" s="460"/>
    </row>
    <row r="229" spans="1:51" ht="15" hidden="1" outlineLevel="1" x14ac:dyDescent="0.25">
      <c r="A229" s="295">
        <f t="shared" si="69"/>
        <v>2038</v>
      </c>
      <c r="B229" s="295">
        <f t="shared" si="70"/>
        <v>8</v>
      </c>
      <c r="C229" s="305">
        <f t="shared" si="71"/>
        <v>50618</v>
      </c>
      <c r="E229" s="310">
        <v>958906</v>
      </c>
      <c r="F229" s="309">
        <v>802328</v>
      </c>
      <c r="G229" s="309">
        <v>80669</v>
      </c>
      <c r="H229" s="309">
        <v>4771</v>
      </c>
      <c r="I229" s="309">
        <v>280</v>
      </c>
      <c r="J229" s="309">
        <f t="shared" si="80"/>
        <v>1846954</v>
      </c>
      <c r="K229" s="309">
        <f t="shared" si="81"/>
        <v>156250</v>
      </c>
      <c r="L229" s="309">
        <f t="shared" si="82"/>
        <v>2003204</v>
      </c>
      <c r="M229" s="309">
        <v>1634</v>
      </c>
      <c r="N229" s="309">
        <f t="shared" si="72"/>
        <v>138</v>
      </c>
      <c r="O229" s="311">
        <f t="shared" si="73"/>
        <v>2004976</v>
      </c>
      <c r="P229" s="309"/>
      <c r="Q229" s="310">
        <v>1059530.8527544765</v>
      </c>
      <c r="R229" s="309">
        <v>969662.69043195981</v>
      </c>
      <c r="S229" s="309">
        <v>87969</v>
      </c>
      <c r="T229" s="309">
        <f t="shared" si="83"/>
        <v>6261</v>
      </c>
      <c r="U229" s="309">
        <f t="shared" si="83"/>
        <v>280</v>
      </c>
      <c r="V229" s="309">
        <f t="shared" si="84"/>
        <v>2123703.5431864364</v>
      </c>
      <c r="W229" s="309">
        <f t="shared" si="85"/>
        <v>179662.45681356359</v>
      </c>
      <c r="X229" s="309">
        <f t="shared" si="86"/>
        <v>2303366</v>
      </c>
      <c r="Y229" s="309">
        <f t="shared" si="87"/>
        <v>1634</v>
      </c>
      <c r="Z229" s="309">
        <f t="shared" si="74"/>
        <v>138</v>
      </c>
      <c r="AA229" s="311">
        <f t="shared" si="88"/>
        <v>2305138</v>
      </c>
      <c r="AC229" s="310">
        <v>1119945</v>
      </c>
      <c r="AD229" s="309">
        <v>1011941</v>
      </c>
      <c r="AE229" s="309">
        <v>87969</v>
      </c>
      <c r="AF229" s="309">
        <v>6261</v>
      </c>
      <c r="AG229" s="309">
        <v>280</v>
      </c>
      <c r="AH229" s="309">
        <f t="shared" si="75"/>
        <v>2226396</v>
      </c>
      <c r="AI229" s="309">
        <f t="shared" si="76"/>
        <v>188350</v>
      </c>
      <c r="AJ229" s="309">
        <f t="shared" si="77"/>
        <v>2414746</v>
      </c>
      <c r="AK229" s="309">
        <v>1634</v>
      </c>
      <c r="AL229" s="309">
        <f t="shared" si="78"/>
        <v>138</v>
      </c>
      <c r="AM229" s="311">
        <f t="shared" si="79"/>
        <v>2416518</v>
      </c>
      <c r="AO229" s="458"/>
      <c r="AP229" s="459"/>
      <c r="AQ229" s="459"/>
      <c r="AR229" s="460"/>
      <c r="AS229" s="316"/>
      <c r="AT229" s="458"/>
      <c r="AU229" s="459"/>
      <c r="AV229" s="459"/>
      <c r="AW229" s="459"/>
      <c r="AX229" s="459"/>
      <c r="AY229" s="460"/>
    </row>
    <row r="230" spans="1:51" ht="15" hidden="1" outlineLevel="1" x14ac:dyDescent="0.25">
      <c r="A230" s="295">
        <f t="shared" si="69"/>
        <v>2038</v>
      </c>
      <c r="B230" s="295">
        <f t="shared" si="70"/>
        <v>9</v>
      </c>
      <c r="C230" s="305">
        <f t="shared" si="71"/>
        <v>50649</v>
      </c>
      <c r="E230" s="310">
        <v>860053</v>
      </c>
      <c r="F230" s="309">
        <v>768938</v>
      </c>
      <c r="G230" s="309">
        <v>77224</v>
      </c>
      <c r="H230" s="309">
        <v>5087</v>
      </c>
      <c r="I230" s="309">
        <v>353</v>
      </c>
      <c r="J230" s="309">
        <f t="shared" si="80"/>
        <v>1711655</v>
      </c>
      <c r="K230" s="309">
        <f t="shared" si="81"/>
        <v>144804</v>
      </c>
      <c r="L230" s="309">
        <f t="shared" si="82"/>
        <v>1856459</v>
      </c>
      <c r="M230" s="309">
        <v>1428</v>
      </c>
      <c r="N230" s="309">
        <f t="shared" si="72"/>
        <v>121</v>
      </c>
      <c r="O230" s="311">
        <f t="shared" si="73"/>
        <v>1858008</v>
      </c>
      <c r="P230" s="309"/>
      <c r="Q230" s="310">
        <v>965507.50610241597</v>
      </c>
      <c r="R230" s="309">
        <v>926326.06798687973</v>
      </c>
      <c r="S230" s="309">
        <v>84099</v>
      </c>
      <c r="T230" s="309">
        <f t="shared" si="83"/>
        <v>6580</v>
      </c>
      <c r="U230" s="309">
        <f t="shared" si="83"/>
        <v>353</v>
      </c>
      <c r="V230" s="309">
        <f t="shared" si="84"/>
        <v>1982865.5740892957</v>
      </c>
      <c r="W230" s="309">
        <f t="shared" si="85"/>
        <v>167747.4259107043</v>
      </c>
      <c r="X230" s="309">
        <f t="shared" si="86"/>
        <v>2150613</v>
      </c>
      <c r="Y230" s="309">
        <f t="shared" si="87"/>
        <v>1428</v>
      </c>
      <c r="Z230" s="309">
        <f t="shared" si="74"/>
        <v>121</v>
      </c>
      <c r="AA230" s="311">
        <f t="shared" si="88"/>
        <v>2152162</v>
      </c>
      <c r="AC230" s="310">
        <v>1021121</v>
      </c>
      <c r="AD230" s="309">
        <v>962198</v>
      </c>
      <c r="AE230" s="309">
        <v>84099</v>
      </c>
      <c r="AF230" s="309">
        <v>6580</v>
      </c>
      <c r="AG230" s="309">
        <v>353</v>
      </c>
      <c r="AH230" s="309">
        <f t="shared" si="75"/>
        <v>2074351</v>
      </c>
      <c r="AI230" s="309">
        <f t="shared" si="76"/>
        <v>175487</v>
      </c>
      <c r="AJ230" s="309">
        <f t="shared" si="77"/>
        <v>2249838</v>
      </c>
      <c r="AK230" s="309">
        <v>1428</v>
      </c>
      <c r="AL230" s="309">
        <f t="shared" si="78"/>
        <v>121</v>
      </c>
      <c r="AM230" s="311">
        <f t="shared" si="79"/>
        <v>2251387</v>
      </c>
      <c r="AO230" s="458"/>
      <c r="AP230" s="459"/>
      <c r="AQ230" s="459"/>
      <c r="AR230" s="460"/>
      <c r="AS230" s="316"/>
      <c r="AT230" s="458"/>
      <c r="AU230" s="459"/>
      <c r="AV230" s="459"/>
      <c r="AW230" s="459"/>
      <c r="AX230" s="459"/>
      <c r="AY230" s="460"/>
    </row>
    <row r="231" spans="1:51" ht="15" hidden="1" outlineLevel="1" x14ac:dyDescent="0.25">
      <c r="A231" s="295">
        <f t="shared" si="69"/>
        <v>2038</v>
      </c>
      <c r="B231" s="295">
        <f t="shared" si="70"/>
        <v>10</v>
      </c>
      <c r="C231" s="305">
        <f t="shared" si="71"/>
        <v>50679</v>
      </c>
      <c r="E231" s="310">
        <v>928458</v>
      </c>
      <c r="F231" s="309">
        <v>777534</v>
      </c>
      <c r="G231" s="309">
        <v>72976</v>
      </c>
      <c r="H231" s="309">
        <v>4651</v>
      </c>
      <c r="I231" s="309">
        <v>463</v>
      </c>
      <c r="J231" s="309">
        <f t="shared" si="80"/>
        <v>1784082</v>
      </c>
      <c r="K231" s="309">
        <f t="shared" si="81"/>
        <v>150931</v>
      </c>
      <c r="L231" s="309">
        <f t="shared" si="82"/>
        <v>1935013</v>
      </c>
      <c r="M231" s="309">
        <v>1830</v>
      </c>
      <c r="N231" s="309">
        <f t="shared" si="72"/>
        <v>155</v>
      </c>
      <c r="O231" s="311">
        <f t="shared" si="73"/>
        <v>1936998</v>
      </c>
      <c r="P231" s="309"/>
      <c r="Q231" s="310">
        <v>1076255.3772227473</v>
      </c>
      <c r="R231" s="309">
        <v>935898.55460348947</v>
      </c>
      <c r="S231" s="309">
        <v>80214</v>
      </c>
      <c r="T231" s="309">
        <f t="shared" si="83"/>
        <v>6532</v>
      </c>
      <c r="U231" s="309">
        <f t="shared" si="83"/>
        <v>463</v>
      </c>
      <c r="V231" s="309">
        <f t="shared" si="84"/>
        <v>2099362.9318262367</v>
      </c>
      <c r="W231" s="309">
        <f t="shared" si="85"/>
        <v>177603.06817376334</v>
      </c>
      <c r="X231" s="309">
        <f t="shared" si="86"/>
        <v>2276966</v>
      </c>
      <c r="Y231" s="309">
        <f t="shared" si="87"/>
        <v>1830</v>
      </c>
      <c r="Z231" s="309">
        <f t="shared" si="74"/>
        <v>155</v>
      </c>
      <c r="AA231" s="311">
        <f t="shared" si="88"/>
        <v>2278951</v>
      </c>
      <c r="AC231" s="310">
        <v>1149416</v>
      </c>
      <c r="AD231" s="309">
        <v>971057</v>
      </c>
      <c r="AE231" s="309">
        <v>80214</v>
      </c>
      <c r="AF231" s="309">
        <v>6532</v>
      </c>
      <c r="AG231" s="309">
        <v>463</v>
      </c>
      <c r="AH231" s="309">
        <f t="shared" si="75"/>
        <v>2207682</v>
      </c>
      <c r="AI231" s="309">
        <f t="shared" si="76"/>
        <v>186767</v>
      </c>
      <c r="AJ231" s="309">
        <f t="shared" si="77"/>
        <v>2394449</v>
      </c>
      <c r="AK231" s="309">
        <v>1830</v>
      </c>
      <c r="AL231" s="309">
        <f t="shared" si="78"/>
        <v>155</v>
      </c>
      <c r="AM231" s="311">
        <f t="shared" si="79"/>
        <v>2396434</v>
      </c>
      <c r="AO231" s="458"/>
      <c r="AP231" s="459"/>
      <c r="AQ231" s="459"/>
      <c r="AR231" s="460"/>
      <c r="AS231" s="316"/>
      <c r="AT231" s="458"/>
      <c r="AU231" s="459"/>
      <c r="AV231" s="459"/>
      <c r="AW231" s="459"/>
      <c r="AX231" s="459"/>
      <c r="AY231" s="460"/>
    </row>
    <row r="232" spans="1:51" ht="15" hidden="1" outlineLevel="1" x14ac:dyDescent="0.25">
      <c r="A232" s="295">
        <f t="shared" si="69"/>
        <v>2038</v>
      </c>
      <c r="B232" s="295">
        <f t="shared" si="70"/>
        <v>11</v>
      </c>
      <c r="C232" s="305">
        <f t="shared" si="71"/>
        <v>50710</v>
      </c>
      <c r="E232" s="310">
        <v>1135286</v>
      </c>
      <c r="F232" s="309">
        <v>810564</v>
      </c>
      <c r="G232" s="309">
        <v>77166</v>
      </c>
      <c r="H232" s="309">
        <v>5211</v>
      </c>
      <c r="I232" s="309">
        <v>760</v>
      </c>
      <c r="J232" s="309">
        <f t="shared" si="80"/>
        <v>2028987</v>
      </c>
      <c r="K232" s="309">
        <f t="shared" si="81"/>
        <v>171650</v>
      </c>
      <c r="L232" s="309">
        <f t="shared" si="82"/>
        <v>2200637</v>
      </c>
      <c r="M232" s="309">
        <v>1832</v>
      </c>
      <c r="N232" s="309">
        <f t="shared" si="72"/>
        <v>155</v>
      </c>
      <c r="O232" s="311">
        <f t="shared" si="73"/>
        <v>2202624</v>
      </c>
      <c r="P232" s="309"/>
      <c r="Q232" s="310">
        <v>1325798.4401054273</v>
      </c>
      <c r="R232" s="309">
        <v>960257.85130192491</v>
      </c>
      <c r="S232" s="309">
        <v>83767</v>
      </c>
      <c r="T232" s="309">
        <f t="shared" si="83"/>
        <v>7258</v>
      </c>
      <c r="U232" s="309">
        <f t="shared" si="83"/>
        <v>760</v>
      </c>
      <c r="V232" s="309">
        <f t="shared" si="84"/>
        <v>2377841.2914073523</v>
      </c>
      <c r="W232" s="309">
        <f t="shared" si="85"/>
        <v>201162.70859264769</v>
      </c>
      <c r="X232" s="309">
        <f t="shared" si="86"/>
        <v>2579004</v>
      </c>
      <c r="Y232" s="309">
        <f t="shared" si="87"/>
        <v>1832</v>
      </c>
      <c r="Z232" s="309">
        <f t="shared" si="74"/>
        <v>155</v>
      </c>
      <c r="AA232" s="311">
        <f t="shared" si="88"/>
        <v>2580991</v>
      </c>
      <c r="AC232" s="310">
        <v>1421301</v>
      </c>
      <c r="AD232" s="309">
        <v>993084</v>
      </c>
      <c r="AE232" s="309">
        <v>83767</v>
      </c>
      <c r="AF232" s="309">
        <v>7258</v>
      </c>
      <c r="AG232" s="309">
        <v>760</v>
      </c>
      <c r="AH232" s="309">
        <f t="shared" si="75"/>
        <v>2506170</v>
      </c>
      <c r="AI232" s="309">
        <f t="shared" si="76"/>
        <v>212019</v>
      </c>
      <c r="AJ232" s="309">
        <f t="shared" si="77"/>
        <v>2718189</v>
      </c>
      <c r="AK232" s="309">
        <v>1832</v>
      </c>
      <c r="AL232" s="309">
        <f t="shared" si="78"/>
        <v>155</v>
      </c>
      <c r="AM232" s="311">
        <f t="shared" si="79"/>
        <v>2720176</v>
      </c>
      <c r="AO232" s="458"/>
      <c r="AP232" s="459"/>
      <c r="AQ232" s="459"/>
      <c r="AR232" s="460"/>
      <c r="AS232" s="316"/>
      <c r="AT232" s="458"/>
      <c r="AU232" s="459"/>
      <c r="AV232" s="459"/>
      <c r="AW232" s="459"/>
      <c r="AX232" s="459"/>
      <c r="AY232" s="460"/>
    </row>
    <row r="233" spans="1:51" ht="15" hidden="1" outlineLevel="1" x14ac:dyDescent="0.25">
      <c r="A233" s="295">
        <f t="shared" si="69"/>
        <v>2038</v>
      </c>
      <c r="B233" s="295">
        <f t="shared" si="70"/>
        <v>12</v>
      </c>
      <c r="C233" s="305">
        <f t="shared" si="71"/>
        <v>50740</v>
      </c>
      <c r="E233" s="310">
        <v>1209140</v>
      </c>
      <c r="F233" s="309">
        <v>837671</v>
      </c>
      <c r="G233" s="309">
        <v>70041</v>
      </c>
      <c r="H233" s="309">
        <v>4660</v>
      </c>
      <c r="I233" s="309">
        <v>823</v>
      </c>
      <c r="J233" s="309">
        <f t="shared" si="80"/>
        <v>2122335</v>
      </c>
      <c r="K233" s="309">
        <f t="shared" si="81"/>
        <v>179547</v>
      </c>
      <c r="L233" s="309">
        <f t="shared" si="82"/>
        <v>2301882</v>
      </c>
      <c r="M233" s="309">
        <v>1718</v>
      </c>
      <c r="N233" s="309">
        <f t="shared" si="72"/>
        <v>145</v>
      </c>
      <c r="O233" s="311">
        <f t="shared" si="73"/>
        <v>2303745</v>
      </c>
      <c r="P233" s="309"/>
      <c r="Q233" s="310">
        <v>1475628.0051311764</v>
      </c>
      <c r="R233" s="309">
        <v>996630.39176220563</v>
      </c>
      <c r="S233" s="309">
        <v>76915</v>
      </c>
      <c r="T233" s="309">
        <f t="shared" si="83"/>
        <v>6829</v>
      </c>
      <c r="U233" s="309">
        <f t="shared" si="83"/>
        <v>823</v>
      </c>
      <c r="V233" s="309">
        <f t="shared" si="84"/>
        <v>2556825.3968933821</v>
      </c>
      <c r="W233" s="309">
        <f t="shared" si="85"/>
        <v>216303.60310661793</v>
      </c>
      <c r="X233" s="309">
        <f t="shared" si="86"/>
        <v>2773129</v>
      </c>
      <c r="Y233" s="309">
        <f t="shared" si="87"/>
        <v>1718</v>
      </c>
      <c r="Z233" s="309">
        <f t="shared" si="74"/>
        <v>145</v>
      </c>
      <c r="AA233" s="311">
        <f t="shared" si="88"/>
        <v>2774992</v>
      </c>
      <c r="AC233" s="310">
        <v>1602079</v>
      </c>
      <c r="AD233" s="309">
        <v>1038365</v>
      </c>
      <c r="AE233" s="309">
        <v>76915</v>
      </c>
      <c r="AF233" s="309">
        <v>6829</v>
      </c>
      <c r="AG233" s="309">
        <v>823</v>
      </c>
      <c r="AH233" s="309">
        <f t="shared" si="75"/>
        <v>2725011</v>
      </c>
      <c r="AI233" s="309">
        <f t="shared" si="76"/>
        <v>230532</v>
      </c>
      <c r="AJ233" s="309">
        <f t="shared" si="77"/>
        <v>2955543</v>
      </c>
      <c r="AK233" s="309">
        <v>1718</v>
      </c>
      <c r="AL233" s="309">
        <f t="shared" si="78"/>
        <v>145</v>
      </c>
      <c r="AM233" s="311">
        <f t="shared" si="79"/>
        <v>2957406</v>
      </c>
      <c r="AO233" s="458"/>
      <c r="AP233" s="459"/>
      <c r="AQ233" s="459"/>
      <c r="AR233" s="460"/>
      <c r="AS233" s="316"/>
      <c r="AT233" s="458"/>
      <c r="AU233" s="459"/>
      <c r="AV233" s="459"/>
      <c r="AW233" s="459"/>
      <c r="AX233" s="459"/>
      <c r="AY233" s="460"/>
    </row>
    <row r="234" spans="1:51" ht="15" hidden="1" outlineLevel="1" x14ac:dyDescent="0.25">
      <c r="A234" s="295">
        <f t="shared" si="69"/>
        <v>2039</v>
      </c>
      <c r="B234" s="295">
        <f t="shared" si="70"/>
        <v>1</v>
      </c>
      <c r="C234" s="305">
        <f t="shared" si="71"/>
        <v>50771</v>
      </c>
      <c r="E234" s="310">
        <v>1257810</v>
      </c>
      <c r="F234" s="309">
        <v>850973</v>
      </c>
      <c r="G234" s="309">
        <v>66739</v>
      </c>
      <c r="H234" s="309">
        <v>5095</v>
      </c>
      <c r="I234" s="309">
        <v>959</v>
      </c>
      <c r="J234" s="309">
        <f t="shared" si="80"/>
        <v>2181576</v>
      </c>
      <c r="K234" s="309">
        <f t="shared" si="81"/>
        <v>184558</v>
      </c>
      <c r="L234" s="309">
        <f t="shared" si="82"/>
        <v>2366134</v>
      </c>
      <c r="M234" s="309">
        <v>2325</v>
      </c>
      <c r="N234" s="309">
        <f t="shared" si="72"/>
        <v>197</v>
      </c>
      <c r="O234" s="311">
        <f t="shared" si="73"/>
        <v>2368656</v>
      </c>
      <c r="P234" s="309"/>
      <c r="Q234" s="310">
        <v>1498495.8772361816</v>
      </c>
      <c r="R234" s="309">
        <v>1007513.8466285566</v>
      </c>
      <c r="S234" s="309">
        <v>73689</v>
      </c>
      <c r="T234" s="309">
        <f t="shared" si="83"/>
        <v>7295</v>
      </c>
      <c r="U234" s="309">
        <f t="shared" si="83"/>
        <v>959</v>
      </c>
      <c r="V234" s="309">
        <f t="shared" si="84"/>
        <v>2587952.7238647384</v>
      </c>
      <c r="W234" s="309">
        <f t="shared" si="85"/>
        <v>218937.27613526164</v>
      </c>
      <c r="X234" s="309">
        <f t="shared" si="86"/>
        <v>2806890</v>
      </c>
      <c r="Y234" s="309">
        <f t="shared" si="87"/>
        <v>2325</v>
      </c>
      <c r="Z234" s="309">
        <f t="shared" si="74"/>
        <v>197</v>
      </c>
      <c r="AA234" s="311">
        <f t="shared" si="88"/>
        <v>2809412</v>
      </c>
      <c r="AC234" s="310">
        <v>1605560</v>
      </c>
      <c r="AD234" s="309">
        <v>1046720</v>
      </c>
      <c r="AE234" s="309">
        <v>73689</v>
      </c>
      <c r="AF234" s="309">
        <v>7295</v>
      </c>
      <c r="AG234" s="309">
        <v>959</v>
      </c>
      <c r="AH234" s="309">
        <f t="shared" si="75"/>
        <v>2734223</v>
      </c>
      <c r="AI234" s="309">
        <f t="shared" si="76"/>
        <v>231312</v>
      </c>
      <c r="AJ234" s="309">
        <f t="shared" si="77"/>
        <v>2965535</v>
      </c>
      <c r="AK234" s="309">
        <v>2325</v>
      </c>
      <c r="AL234" s="309">
        <f t="shared" si="78"/>
        <v>197</v>
      </c>
      <c r="AM234" s="311">
        <f t="shared" si="79"/>
        <v>2968057</v>
      </c>
      <c r="AO234" s="458"/>
      <c r="AP234" s="459"/>
      <c r="AQ234" s="459"/>
      <c r="AR234" s="460"/>
      <c r="AS234" s="316"/>
      <c r="AT234" s="458"/>
      <c r="AU234" s="459"/>
      <c r="AV234" s="459"/>
      <c r="AW234" s="459"/>
      <c r="AX234" s="459"/>
      <c r="AY234" s="460"/>
    </row>
    <row r="235" spans="1:51" ht="15" hidden="1" outlineLevel="1" x14ac:dyDescent="0.25">
      <c r="A235" s="295">
        <f t="shared" ref="A235:A293" si="89">A223+1</f>
        <v>2039</v>
      </c>
      <c r="B235" s="295">
        <f t="shared" ref="B235:B293" si="90">B223</f>
        <v>2</v>
      </c>
      <c r="C235" s="305">
        <f t="shared" si="71"/>
        <v>50802</v>
      </c>
      <c r="E235" s="310">
        <v>1089950</v>
      </c>
      <c r="F235" s="309">
        <v>796092</v>
      </c>
      <c r="G235" s="309">
        <v>66924</v>
      </c>
      <c r="H235" s="309">
        <v>5052</v>
      </c>
      <c r="I235" s="309">
        <v>831</v>
      </c>
      <c r="J235" s="309">
        <f t="shared" si="80"/>
        <v>1958849</v>
      </c>
      <c r="K235" s="309">
        <f t="shared" si="81"/>
        <v>165716</v>
      </c>
      <c r="L235" s="309">
        <f t="shared" si="82"/>
        <v>2124565</v>
      </c>
      <c r="M235" s="309">
        <v>2433</v>
      </c>
      <c r="N235" s="309">
        <f t="shared" si="72"/>
        <v>206</v>
      </c>
      <c r="O235" s="311">
        <f t="shared" si="73"/>
        <v>2127204</v>
      </c>
      <c r="P235" s="309"/>
      <c r="Q235" s="310">
        <v>1280999.6867730874</v>
      </c>
      <c r="R235" s="309">
        <v>930484.71555428498</v>
      </c>
      <c r="S235" s="309">
        <v>73048</v>
      </c>
      <c r="T235" s="309">
        <f t="shared" si="83"/>
        <v>6733</v>
      </c>
      <c r="U235" s="309">
        <f t="shared" si="83"/>
        <v>831</v>
      </c>
      <c r="V235" s="309">
        <f t="shared" si="84"/>
        <v>2292096.4023273722</v>
      </c>
      <c r="W235" s="309">
        <f t="shared" si="85"/>
        <v>193908.59767262777</v>
      </c>
      <c r="X235" s="309">
        <f t="shared" si="86"/>
        <v>2486005</v>
      </c>
      <c r="Y235" s="309">
        <f t="shared" si="87"/>
        <v>2433</v>
      </c>
      <c r="Z235" s="309">
        <f t="shared" si="74"/>
        <v>206</v>
      </c>
      <c r="AA235" s="311">
        <f t="shared" si="88"/>
        <v>2488644</v>
      </c>
      <c r="AC235" s="310">
        <v>1367458</v>
      </c>
      <c r="AD235" s="309">
        <v>962873</v>
      </c>
      <c r="AE235" s="309">
        <v>73048</v>
      </c>
      <c r="AF235" s="309">
        <v>6733</v>
      </c>
      <c r="AG235" s="309">
        <v>831</v>
      </c>
      <c r="AH235" s="309">
        <f t="shared" si="75"/>
        <v>2410943</v>
      </c>
      <c r="AI235" s="309">
        <f t="shared" si="76"/>
        <v>203963</v>
      </c>
      <c r="AJ235" s="309">
        <f t="shared" si="77"/>
        <v>2614906</v>
      </c>
      <c r="AK235" s="309">
        <v>2433</v>
      </c>
      <c r="AL235" s="309">
        <f t="shared" si="78"/>
        <v>206</v>
      </c>
      <c r="AM235" s="311">
        <f t="shared" si="79"/>
        <v>2617545</v>
      </c>
      <c r="AO235" s="458"/>
      <c r="AP235" s="459"/>
      <c r="AQ235" s="459"/>
      <c r="AR235" s="460"/>
      <c r="AS235" s="316"/>
      <c r="AT235" s="458"/>
      <c r="AU235" s="459"/>
      <c r="AV235" s="459"/>
      <c r="AW235" s="459"/>
      <c r="AX235" s="459"/>
      <c r="AY235" s="460"/>
    </row>
    <row r="236" spans="1:51" ht="15" hidden="1" outlineLevel="1" x14ac:dyDescent="0.25">
      <c r="A236" s="295">
        <f t="shared" si="89"/>
        <v>2039</v>
      </c>
      <c r="B236" s="295">
        <f t="shared" si="90"/>
        <v>3</v>
      </c>
      <c r="C236" s="305">
        <f t="shared" si="71"/>
        <v>50830</v>
      </c>
      <c r="E236" s="310">
        <v>1082577</v>
      </c>
      <c r="F236" s="309">
        <v>825011</v>
      </c>
      <c r="G236" s="309">
        <v>73713</v>
      </c>
      <c r="H236" s="309">
        <v>4456</v>
      </c>
      <c r="I236" s="309">
        <v>740</v>
      </c>
      <c r="J236" s="309">
        <f t="shared" si="80"/>
        <v>1986497</v>
      </c>
      <c r="K236" s="309">
        <f t="shared" si="81"/>
        <v>168055</v>
      </c>
      <c r="L236" s="309">
        <f t="shared" si="82"/>
        <v>2154552</v>
      </c>
      <c r="M236" s="309">
        <v>2339</v>
      </c>
      <c r="N236" s="309">
        <f t="shared" si="72"/>
        <v>198</v>
      </c>
      <c r="O236" s="311">
        <f t="shared" si="73"/>
        <v>2157089</v>
      </c>
      <c r="P236" s="309"/>
      <c r="Q236" s="310">
        <v>1274943.8213423267</v>
      </c>
      <c r="R236" s="309">
        <v>988597.90456653596</v>
      </c>
      <c r="S236" s="309">
        <v>80769</v>
      </c>
      <c r="T236" s="309">
        <f t="shared" si="83"/>
        <v>6230</v>
      </c>
      <c r="U236" s="309">
        <f t="shared" si="83"/>
        <v>740</v>
      </c>
      <c r="V236" s="309">
        <f t="shared" si="84"/>
        <v>2351280.7259088624</v>
      </c>
      <c r="W236" s="309">
        <f t="shared" si="85"/>
        <v>198915.27409113757</v>
      </c>
      <c r="X236" s="309">
        <f t="shared" si="86"/>
        <v>2550196</v>
      </c>
      <c r="Y236" s="309">
        <f t="shared" si="87"/>
        <v>2339</v>
      </c>
      <c r="Z236" s="309">
        <f t="shared" si="74"/>
        <v>198</v>
      </c>
      <c r="AA236" s="311">
        <f t="shared" si="88"/>
        <v>2552733</v>
      </c>
      <c r="AC236" s="310">
        <v>1359353</v>
      </c>
      <c r="AD236" s="309">
        <v>1027718</v>
      </c>
      <c r="AE236" s="309">
        <v>80769</v>
      </c>
      <c r="AF236" s="309">
        <v>6230</v>
      </c>
      <c r="AG236" s="309">
        <v>740</v>
      </c>
      <c r="AH236" s="309">
        <f t="shared" si="75"/>
        <v>2474810</v>
      </c>
      <c r="AI236" s="309">
        <f t="shared" si="76"/>
        <v>209366</v>
      </c>
      <c r="AJ236" s="309">
        <f t="shared" si="77"/>
        <v>2684176</v>
      </c>
      <c r="AK236" s="309">
        <v>2339</v>
      </c>
      <c r="AL236" s="309">
        <f t="shared" si="78"/>
        <v>198</v>
      </c>
      <c r="AM236" s="311">
        <f t="shared" si="79"/>
        <v>2686713</v>
      </c>
      <c r="AO236" s="458"/>
      <c r="AP236" s="459"/>
      <c r="AQ236" s="459"/>
      <c r="AR236" s="460"/>
      <c r="AS236" s="316"/>
      <c r="AT236" s="458"/>
      <c r="AU236" s="459"/>
      <c r="AV236" s="459"/>
      <c r="AW236" s="459"/>
      <c r="AX236" s="459"/>
      <c r="AY236" s="460"/>
    </row>
    <row r="237" spans="1:51" ht="15" hidden="1" outlineLevel="1" x14ac:dyDescent="0.25">
      <c r="A237" s="295">
        <f t="shared" si="89"/>
        <v>2039</v>
      </c>
      <c r="B237" s="295">
        <f t="shared" si="90"/>
        <v>4</v>
      </c>
      <c r="C237" s="305">
        <f t="shared" si="71"/>
        <v>50861</v>
      </c>
      <c r="E237" s="310">
        <v>1004677</v>
      </c>
      <c r="F237" s="309">
        <v>822029</v>
      </c>
      <c r="G237" s="309">
        <v>75337</v>
      </c>
      <c r="H237" s="309">
        <v>5099</v>
      </c>
      <c r="I237" s="309">
        <v>616</v>
      </c>
      <c r="J237" s="309">
        <f t="shared" si="80"/>
        <v>1907758</v>
      </c>
      <c r="K237" s="309">
        <f t="shared" si="81"/>
        <v>161394</v>
      </c>
      <c r="L237" s="309">
        <f t="shared" si="82"/>
        <v>2069152</v>
      </c>
      <c r="M237" s="309">
        <v>2172</v>
      </c>
      <c r="N237" s="309">
        <f t="shared" si="72"/>
        <v>184</v>
      </c>
      <c r="O237" s="311">
        <f t="shared" si="73"/>
        <v>2071508</v>
      </c>
      <c r="P237" s="309"/>
      <c r="Q237" s="310">
        <v>1175122.9598274697</v>
      </c>
      <c r="R237" s="309">
        <v>970278.38816013339</v>
      </c>
      <c r="S237" s="309">
        <v>81983</v>
      </c>
      <c r="T237" s="309">
        <f t="shared" si="83"/>
        <v>6598</v>
      </c>
      <c r="U237" s="309">
        <f t="shared" si="83"/>
        <v>616</v>
      </c>
      <c r="V237" s="309">
        <f t="shared" si="84"/>
        <v>2234598.3479876029</v>
      </c>
      <c r="W237" s="309">
        <f t="shared" si="85"/>
        <v>189043.65201239707</v>
      </c>
      <c r="X237" s="309">
        <f t="shared" si="86"/>
        <v>2423642</v>
      </c>
      <c r="Y237" s="309">
        <f t="shared" si="87"/>
        <v>2172</v>
      </c>
      <c r="Z237" s="309">
        <f t="shared" si="74"/>
        <v>184</v>
      </c>
      <c r="AA237" s="311">
        <f t="shared" si="88"/>
        <v>2425998</v>
      </c>
      <c r="AC237" s="310">
        <v>1248077</v>
      </c>
      <c r="AD237" s="309">
        <v>1010346</v>
      </c>
      <c r="AE237" s="309">
        <v>81983</v>
      </c>
      <c r="AF237" s="309">
        <v>6598</v>
      </c>
      <c r="AG237" s="309">
        <v>616</v>
      </c>
      <c r="AH237" s="309">
        <f t="shared" si="75"/>
        <v>2347620</v>
      </c>
      <c r="AI237" s="309">
        <f t="shared" si="76"/>
        <v>198606</v>
      </c>
      <c r="AJ237" s="309">
        <f t="shared" si="77"/>
        <v>2546226</v>
      </c>
      <c r="AK237" s="309">
        <v>2172</v>
      </c>
      <c r="AL237" s="309">
        <f t="shared" si="78"/>
        <v>184</v>
      </c>
      <c r="AM237" s="311">
        <f t="shared" si="79"/>
        <v>2548582</v>
      </c>
      <c r="AO237" s="458"/>
      <c r="AP237" s="459"/>
      <c r="AQ237" s="459"/>
      <c r="AR237" s="460"/>
      <c r="AS237" s="316"/>
      <c r="AT237" s="458"/>
      <c r="AU237" s="459"/>
      <c r="AV237" s="459"/>
      <c r="AW237" s="459"/>
      <c r="AX237" s="459"/>
      <c r="AY237" s="460"/>
    </row>
    <row r="238" spans="1:51" ht="15" hidden="1" outlineLevel="1" x14ac:dyDescent="0.25">
      <c r="A238" s="295">
        <f t="shared" si="89"/>
        <v>2039</v>
      </c>
      <c r="B238" s="295">
        <f t="shared" si="90"/>
        <v>5</v>
      </c>
      <c r="C238" s="305">
        <f t="shared" si="71"/>
        <v>50891</v>
      </c>
      <c r="E238" s="310">
        <v>883583</v>
      </c>
      <c r="F238" s="309">
        <v>749071</v>
      </c>
      <c r="G238" s="309">
        <v>70644</v>
      </c>
      <c r="H238" s="309">
        <v>4990</v>
      </c>
      <c r="I238" s="309">
        <v>432</v>
      </c>
      <c r="J238" s="309">
        <f t="shared" si="80"/>
        <v>1708720</v>
      </c>
      <c r="K238" s="309">
        <f t="shared" si="81"/>
        <v>144555</v>
      </c>
      <c r="L238" s="309">
        <f t="shared" si="82"/>
        <v>1853275</v>
      </c>
      <c r="M238" s="309">
        <v>2174</v>
      </c>
      <c r="N238" s="309">
        <f t="shared" si="72"/>
        <v>184</v>
      </c>
      <c r="O238" s="311">
        <f t="shared" si="73"/>
        <v>1855633</v>
      </c>
      <c r="P238" s="309"/>
      <c r="Q238" s="310">
        <v>1015510.9867186086</v>
      </c>
      <c r="R238" s="309">
        <v>915881.11435546807</v>
      </c>
      <c r="S238" s="309">
        <v>77513</v>
      </c>
      <c r="T238" s="309">
        <f t="shared" si="83"/>
        <v>6317</v>
      </c>
      <c r="U238" s="309">
        <f t="shared" si="83"/>
        <v>432</v>
      </c>
      <c r="V238" s="309">
        <f t="shared" si="84"/>
        <v>2015654.1010740767</v>
      </c>
      <c r="W238" s="309">
        <f t="shared" si="85"/>
        <v>170521.89892592328</v>
      </c>
      <c r="X238" s="309">
        <f t="shared" si="86"/>
        <v>2186176</v>
      </c>
      <c r="Y238" s="309">
        <f t="shared" si="87"/>
        <v>2174</v>
      </c>
      <c r="Z238" s="309">
        <f t="shared" si="74"/>
        <v>184</v>
      </c>
      <c r="AA238" s="311">
        <f t="shared" si="88"/>
        <v>2188534</v>
      </c>
      <c r="AC238" s="310">
        <v>1083493</v>
      </c>
      <c r="AD238" s="309">
        <v>957474</v>
      </c>
      <c r="AE238" s="309">
        <v>77513</v>
      </c>
      <c r="AF238" s="309">
        <v>6317</v>
      </c>
      <c r="AG238" s="309">
        <v>432</v>
      </c>
      <c r="AH238" s="309">
        <f t="shared" si="75"/>
        <v>2125229</v>
      </c>
      <c r="AI238" s="309">
        <f t="shared" si="76"/>
        <v>179792</v>
      </c>
      <c r="AJ238" s="309">
        <f t="shared" si="77"/>
        <v>2305021</v>
      </c>
      <c r="AK238" s="309">
        <v>2174</v>
      </c>
      <c r="AL238" s="309">
        <f t="shared" si="78"/>
        <v>184</v>
      </c>
      <c r="AM238" s="311">
        <f t="shared" si="79"/>
        <v>2307379</v>
      </c>
      <c r="AO238" s="458"/>
      <c r="AP238" s="459"/>
      <c r="AQ238" s="459"/>
      <c r="AR238" s="460"/>
      <c r="AS238" s="316"/>
      <c r="AT238" s="458"/>
      <c r="AU238" s="459"/>
      <c r="AV238" s="459"/>
      <c r="AW238" s="459"/>
      <c r="AX238" s="459"/>
      <c r="AY238" s="460"/>
    </row>
    <row r="239" spans="1:51" ht="15" hidden="1" outlineLevel="1" x14ac:dyDescent="0.25">
      <c r="A239" s="295">
        <f t="shared" si="89"/>
        <v>2039</v>
      </c>
      <c r="B239" s="295">
        <f t="shared" si="90"/>
        <v>6</v>
      </c>
      <c r="C239" s="305">
        <f t="shared" si="71"/>
        <v>50922</v>
      </c>
      <c r="E239" s="310">
        <v>893862</v>
      </c>
      <c r="F239" s="309">
        <v>788256</v>
      </c>
      <c r="G239" s="309">
        <v>72729</v>
      </c>
      <c r="H239" s="309">
        <v>4968</v>
      </c>
      <c r="I239" s="309">
        <v>316</v>
      </c>
      <c r="J239" s="309">
        <f t="shared" si="80"/>
        <v>1760131</v>
      </c>
      <c r="K239" s="309">
        <f t="shared" si="81"/>
        <v>148905</v>
      </c>
      <c r="L239" s="309">
        <f t="shared" si="82"/>
        <v>1909036</v>
      </c>
      <c r="M239" s="309">
        <v>1787</v>
      </c>
      <c r="N239" s="309">
        <f t="shared" si="72"/>
        <v>151</v>
      </c>
      <c r="O239" s="311">
        <f t="shared" si="73"/>
        <v>1910974</v>
      </c>
      <c r="P239" s="309"/>
      <c r="Q239" s="310">
        <v>994708.82405862457</v>
      </c>
      <c r="R239" s="309">
        <v>945286.54473402281</v>
      </c>
      <c r="S239" s="309">
        <v>79515</v>
      </c>
      <c r="T239" s="309">
        <f t="shared" si="83"/>
        <v>6082</v>
      </c>
      <c r="U239" s="309">
        <f t="shared" si="83"/>
        <v>316</v>
      </c>
      <c r="V239" s="309">
        <f t="shared" si="84"/>
        <v>2025908.3687926475</v>
      </c>
      <c r="W239" s="309">
        <f t="shared" si="85"/>
        <v>171389.6312073525</v>
      </c>
      <c r="X239" s="309">
        <f t="shared" si="86"/>
        <v>2197298</v>
      </c>
      <c r="Y239" s="309">
        <f t="shared" si="87"/>
        <v>1787</v>
      </c>
      <c r="Z239" s="309">
        <f t="shared" si="74"/>
        <v>151</v>
      </c>
      <c r="AA239" s="311">
        <f t="shared" si="88"/>
        <v>2199236</v>
      </c>
      <c r="AC239" s="310">
        <v>1051273</v>
      </c>
      <c r="AD239" s="309">
        <v>986909</v>
      </c>
      <c r="AE239" s="309">
        <v>79515</v>
      </c>
      <c r="AF239" s="309">
        <v>6082</v>
      </c>
      <c r="AG239" s="309">
        <v>316</v>
      </c>
      <c r="AH239" s="309">
        <f t="shared" si="75"/>
        <v>2124095</v>
      </c>
      <c r="AI239" s="309">
        <f t="shared" si="76"/>
        <v>179696</v>
      </c>
      <c r="AJ239" s="309">
        <f t="shared" si="77"/>
        <v>2303791</v>
      </c>
      <c r="AK239" s="309">
        <v>1787</v>
      </c>
      <c r="AL239" s="309">
        <f t="shared" si="78"/>
        <v>151</v>
      </c>
      <c r="AM239" s="311">
        <f t="shared" si="79"/>
        <v>2305729</v>
      </c>
      <c r="AO239" s="458"/>
      <c r="AP239" s="459"/>
      <c r="AQ239" s="459"/>
      <c r="AR239" s="460"/>
      <c r="AS239" s="316"/>
      <c r="AT239" s="458"/>
      <c r="AU239" s="459"/>
      <c r="AV239" s="459"/>
      <c r="AW239" s="459"/>
      <c r="AX239" s="459"/>
      <c r="AY239" s="460"/>
    </row>
    <row r="240" spans="1:51" ht="15" hidden="1" outlineLevel="1" x14ac:dyDescent="0.25">
      <c r="A240" s="295">
        <f t="shared" si="89"/>
        <v>2039</v>
      </c>
      <c r="B240" s="295">
        <f t="shared" si="90"/>
        <v>7</v>
      </c>
      <c r="C240" s="305">
        <f t="shared" si="71"/>
        <v>50952</v>
      </c>
      <c r="E240" s="310">
        <v>967814</v>
      </c>
      <c r="F240" s="309">
        <v>820551</v>
      </c>
      <c r="G240" s="309">
        <v>79961</v>
      </c>
      <c r="H240" s="309">
        <v>4586</v>
      </c>
      <c r="I240" s="309">
        <v>288</v>
      </c>
      <c r="J240" s="309">
        <f t="shared" si="80"/>
        <v>1873200</v>
      </c>
      <c r="K240" s="309">
        <f t="shared" si="81"/>
        <v>158470</v>
      </c>
      <c r="L240" s="309">
        <f t="shared" si="82"/>
        <v>2031670</v>
      </c>
      <c r="M240" s="309">
        <v>2889</v>
      </c>
      <c r="N240" s="309">
        <f t="shared" si="72"/>
        <v>244</v>
      </c>
      <c r="O240" s="311">
        <f t="shared" si="73"/>
        <v>2034803</v>
      </c>
      <c r="P240" s="309"/>
      <c r="Q240" s="310">
        <v>1073270.5403651684</v>
      </c>
      <c r="R240" s="309">
        <v>989723.60741828464</v>
      </c>
      <c r="S240" s="309">
        <v>86944</v>
      </c>
      <c r="T240" s="309">
        <f t="shared" si="83"/>
        <v>5896</v>
      </c>
      <c r="U240" s="309">
        <f t="shared" si="83"/>
        <v>288</v>
      </c>
      <c r="V240" s="309">
        <f t="shared" si="84"/>
        <v>2156122.1477834531</v>
      </c>
      <c r="W240" s="309">
        <f t="shared" si="85"/>
        <v>182404.85221654689</v>
      </c>
      <c r="X240" s="309">
        <f t="shared" si="86"/>
        <v>2338527</v>
      </c>
      <c r="Y240" s="309">
        <f t="shared" si="87"/>
        <v>2889</v>
      </c>
      <c r="Z240" s="309">
        <f t="shared" si="74"/>
        <v>244</v>
      </c>
      <c r="AA240" s="311">
        <f t="shared" si="88"/>
        <v>2341660</v>
      </c>
      <c r="AC240" s="310">
        <v>1138008</v>
      </c>
      <c r="AD240" s="309">
        <v>1036119</v>
      </c>
      <c r="AE240" s="309">
        <v>86944</v>
      </c>
      <c r="AF240" s="309">
        <v>5896</v>
      </c>
      <c r="AG240" s="309">
        <v>288</v>
      </c>
      <c r="AH240" s="309">
        <f t="shared" si="75"/>
        <v>2267255</v>
      </c>
      <c r="AI240" s="309">
        <f t="shared" si="76"/>
        <v>191807</v>
      </c>
      <c r="AJ240" s="309">
        <f t="shared" si="77"/>
        <v>2459062</v>
      </c>
      <c r="AK240" s="309">
        <v>2889</v>
      </c>
      <c r="AL240" s="309">
        <f t="shared" si="78"/>
        <v>244</v>
      </c>
      <c r="AM240" s="311">
        <f t="shared" si="79"/>
        <v>2462195</v>
      </c>
      <c r="AO240" s="458"/>
      <c r="AP240" s="459"/>
      <c r="AQ240" s="459"/>
      <c r="AR240" s="460"/>
      <c r="AS240" s="316"/>
      <c r="AT240" s="458"/>
      <c r="AU240" s="459"/>
      <c r="AV240" s="459"/>
      <c r="AW240" s="459"/>
      <c r="AX240" s="459"/>
      <c r="AY240" s="460"/>
    </row>
    <row r="241" spans="1:51" ht="15" hidden="1" outlineLevel="1" x14ac:dyDescent="0.25">
      <c r="A241" s="295">
        <f t="shared" si="89"/>
        <v>2039</v>
      </c>
      <c r="B241" s="295">
        <f t="shared" si="90"/>
        <v>8</v>
      </c>
      <c r="C241" s="305">
        <f t="shared" si="71"/>
        <v>50983</v>
      </c>
      <c r="E241" s="310">
        <v>977687</v>
      </c>
      <c r="F241" s="309">
        <v>818582</v>
      </c>
      <c r="G241" s="309">
        <v>80502</v>
      </c>
      <c r="H241" s="309">
        <v>4842</v>
      </c>
      <c r="I241" s="309">
        <v>280</v>
      </c>
      <c r="J241" s="309">
        <f t="shared" si="80"/>
        <v>1881893</v>
      </c>
      <c r="K241" s="309">
        <f t="shared" si="81"/>
        <v>159206</v>
      </c>
      <c r="L241" s="309">
        <f t="shared" si="82"/>
        <v>2041099</v>
      </c>
      <c r="M241" s="309">
        <v>1634</v>
      </c>
      <c r="N241" s="309">
        <f t="shared" si="72"/>
        <v>138</v>
      </c>
      <c r="O241" s="311">
        <f t="shared" si="73"/>
        <v>2042871</v>
      </c>
      <c r="P241" s="309"/>
      <c r="Q241" s="310">
        <v>1083742.0399315932</v>
      </c>
      <c r="R241" s="309">
        <v>990368.88794442534</v>
      </c>
      <c r="S241" s="309">
        <v>87795</v>
      </c>
      <c r="T241" s="309">
        <f t="shared" si="83"/>
        <v>6343</v>
      </c>
      <c r="U241" s="309">
        <f t="shared" si="83"/>
        <v>280</v>
      </c>
      <c r="V241" s="309">
        <f t="shared" si="84"/>
        <v>2168528.9278760185</v>
      </c>
      <c r="W241" s="309">
        <f t="shared" si="85"/>
        <v>183455.07212398155</v>
      </c>
      <c r="X241" s="309">
        <f t="shared" si="86"/>
        <v>2351984</v>
      </c>
      <c r="Y241" s="309">
        <f t="shared" si="87"/>
        <v>1634</v>
      </c>
      <c r="Z241" s="309">
        <f t="shared" si="74"/>
        <v>138</v>
      </c>
      <c r="AA241" s="311">
        <f t="shared" si="88"/>
        <v>2353756</v>
      </c>
      <c r="AC241" s="310">
        <v>1146622</v>
      </c>
      <c r="AD241" s="309">
        <v>1035823</v>
      </c>
      <c r="AE241" s="309">
        <v>87795</v>
      </c>
      <c r="AF241" s="309">
        <v>6343</v>
      </c>
      <c r="AG241" s="309">
        <v>280</v>
      </c>
      <c r="AH241" s="309">
        <f t="shared" si="75"/>
        <v>2276863</v>
      </c>
      <c r="AI241" s="309">
        <f t="shared" si="76"/>
        <v>192620</v>
      </c>
      <c r="AJ241" s="309">
        <f t="shared" si="77"/>
        <v>2469483</v>
      </c>
      <c r="AK241" s="309">
        <v>1634</v>
      </c>
      <c r="AL241" s="309">
        <f t="shared" si="78"/>
        <v>138</v>
      </c>
      <c r="AM241" s="311">
        <f t="shared" si="79"/>
        <v>2471255</v>
      </c>
      <c r="AO241" s="458"/>
      <c r="AP241" s="459"/>
      <c r="AQ241" s="459"/>
      <c r="AR241" s="460"/>
      <c r="AS241" s="316"/>
      <c r="AT241" s="458"/>
      <c r="AU241" s="459"/>
      <c r="AV241" s="459"/>
      <c r="AW241" s="459"/>
      <c r="AX241" s="459"/>
      <c r="AY241" s="460"/>
    </row>
    <row r="242" spans="1:51" ht="15" hidden="1" outlineLevel="1" x14ac:dyDescent="0.25">
      <c r="A242" s="295">
        <f t="shared" si="89"/>
        <v>2039</v>
      </c>
      <c r="B242" s="295">
        <f t="shared" si="90"/>
        <v>9</v>
      </c>
      <c r="C242" s="305">
        <f t="shared" si="71"/>
        <v>51014</v>
      </c>
      <c r="E242" s="310">
        <v>872005</v>
      </c>
      <c r="F242" s="309">
        <v>786369</v>
      </c>
      <c r="G242" s="309">
        <v>77001</v>
      </c>
      <c r="H242" s="309">
        <v>5162</v>
      </c>
      <c r="I242" s="309">
        <v>352</v>
      </c>
      <c r="J242" s="309">
        <f t="shared" si="80"/>
        <v>1740889</v>
      </c>
      <c r="K242" s="309">
        <f t="shared" si="81"/>
        <v>147277</v>
      </c>
      <c r="L242" s="309">
        <f t="shared" si="82"/>
        <v>1888166</v>
      </c>
      <c r="M242" s="309">
        <v>1428</v>
      </c>
      <c r="N242" s="309">
        <f t="shared" si="72"/>
        <v>121</v>
      </c>
      <c r="O242" s="311">
        <f t="shared" si="73"/>
        <v>1889715</v>
      </c>
      <c r="P242" s="309"/>
      <c r="Q242" s="310">
        <v>982970.23902180453</v>
      </c>
      <c r="R242" s="309">
        <v>947342.67520732852</v>
      </c>
      <c r="S242" s="309">
        <v>83877</v>
      </c>
      <c r="T242" s="309">
        <f t="shared" si="83"/>
        <v>6666</v>
      </c>
      <c r="U242" s="309">
        <f t="shared" si="83"/>
        <v>352</v>
      </c>
      <c r="V242" s="309">
        <f t="shared" si="84"/>
        <v>2021207.9142291332</v>
      </c>
      <c r="W242" s="309">
        <f t="shared" si="85"/>
        <v>170991.08577086683</v>
      </c>
      <c r="X242" s="309">
        <f t="shared" si="86"/>
        <v>2192199</v>
      </c>
      <c r="Y242" s="309">
        <f t="shared" si="87"/>
        <v>1428</v>
      </c>
      <c r="Z242" s="309">
        <f t="shared" si="74"/>
        <v>121</v>
      </c>
      <c r="AA242" s="311">
        <f t="shared" si="88"/>
        <v>2193748</v>
      </c>
      <c r="AC242" s="310">
        <v>1040753</v>
      </c>
      <c r="AD242" s="309">
        <v>985756</v>
      </c>
      <c r="AE242" s="309">
        <v>83877</v>
      </c>
      <c r="AF242" s="309">
        <v>6666</v>
      </c>
      <c r="AG242" s="309">
        <v>352</v>
      </c>
      <c r="AH242" s="309">
        <f t="shared" si="75"/>
        <v>2117404</v>
      </c>
      <c r="AI242" s="309">
        <f t="shared" si="76"/>
        <v>179130</v>
      </c>
      <c r="AJ242" s="309">
        <f t="shared" si="77"/>
        <v>2296534</v>
      </c>
      <c r="AK242" s="309">
        <v>1428</v>
      </c>
      <c r="AL242" s="309">
        <f t="shared" si="78"/>
        <v>121</v>
      </c>
      <c r="AM242" s="311">
        <f t="shared" si="79"/>
        <v>2298083</v>
      </c>
      <c r="AO242" s="458"/>
      <c r="AP242" s="459"/>
      <c r="AQ242" s="459"/>
      <c r="AR242" s="460"/>
      <c r="AS242" s="316"/>
      <c r="AT242" s="458"/>
      <c r="AU242" s="459"/>
      <c r="AV242" s="459"/>
      <c r="AW242" s="459"/>
      <c r="AX242" s="459"/>
      <c r="AY242" s="460"/>
    </row>
    <row r="243" spans="1:51" ht="15" hidden="1" outlineLevel="1" x14ac:dyDescent="0.25">
      <c r="A243" s="295">
        <f t="shared" si="89"/>
        <v>2039</v>
      </c>
      <c r="B243" s="295">
        <f t="shared" si="90"/>
        <v>10</v>
      </c>
      <c r="C243" s="305">
        <f t="shared" si="71"/>
        <v>51044</v>
      </c>
      <c r="E243" s="310">
        <v>935079</v>
      </c>
      <c r="F243" s="309">
        <v>795615</v>
      </c>
      <c r="G243" s="309">
        <v>72741</v>
      </c>
      <c r="H243" s="309">
        <v>4722</v>
      </c>
      <c r="I243" s="309">
        <v>462</v>
      </c>
      <c r="J243" s="309">
        <f t="shared" si="80"/>
        <v>1808619</v>
      </c>
      <c r="K243" s="309">
        <f t="shared" si="81"/>
        <v>153007</v>
      </c>
      <c r="L243" s="309">
        <f t="shared" si="82"/>
        <v>1961626</v>
      </c>
      <c r="M243" s="309">
        <v>1830</v>
      </c>
      <c r="N243" s="309">
        <f t="shared" si="72"/>
        <v>155</v>
      </c>
      <c r="O243" s="311">
        <f t="shared" si="73"/>
        <v>1963611</v>
      </c>
      <c r="P243" s="309"/>
      <c r="Q243" s="310">
        <v>1090415.086167658</v>
      </c>
      <c r="R243" s="309">
        <v>957421.32751562994</v>
      </c>
      <c r="S243" s="309">
        <v>79977</v>
      </c>
      <c r="T243" s="309">
        <f t="shared" si="83"/>
        <v>6617</v>
      </c>
      <c r="U243" s="309">
        <f t="shared" si="83"/>
        <v>462</v>
      </c>
      <c r="V243" s="309">
        <f t="shared" si="84"/>
        <v>2134892.4136832878</v>
      </c>
      <c r="W243" s="309">
        <f t="shared" si="85"/>
        <v>180609.5863167122</v>
      </c>
      <c r="X243" s="309">
        <f t="shared" si="86"/>
        <v>2315502</v>
      </c>
      <c r="Y243" s="309">
        <f t="shared" si="87"/>
        <v>1830</v>
      </c>
      <c r="Z243" s="309">
        <f t="shared" si="74"/>
        <v>155</v>
      </c>
      <c r="AA243" s="311">
        <f t="shared" si="88"/>
        <v>2317487</v>
      </c>
      <c r="AC243" s="310">
        <v>1166316</v>
      </c>
      <c r="AD243" s="309">
        <v>994759</v>
      </c>
      <c r="AE243" s="309">
        <v>79977</v>
      </c>
      <c r="AF243" s="309">
        <v>6617</v>
      </c>
      <c r="AG243" s="309">
        <v>462</v>
      </c>
      <c r="AH243" s="309">
        <f t="shared" si="75"/>
        <v>2248131</v>
      </c>
      <c r="AI243" s="309">
        <f t="shared" si="76"/>
        <v>190189</v>
      </c>
      <c r="AJ243" s="309">
        <f t="shared" si="77"/>
        <v>2438320</v>
      </c>
      <c r="AK243" s="309">
        <v>1830</v>
      </c>
      <c r="AL243" s="309">
        <f t="shared" si="78"/>
        <v>155</v>
      </c>
      <c r="AM243" s="311">
        <f t="shared" si="79"/>
        <v>2440305</v>
      </c>
      <c r="AO243" s="458"/>
      <c r="AP243" s="459"/>
      <c r="AQ243" s="459"/>
      <c r="AR243" s="460"/>
      <c r="AS243" s="316"/>
      <c r="AT243" s="458"/>
      <c r="AU243" s="459"/>
      <c r="AV243" s="459"/>
      <c r="AW243" s="459"/>
      <c r="AX243" s="459"/>
      <c r="AY243" s="460"/>
    </row>
    <row r="244" spans="1:51" ht="15" hidden="1" outlineLevel="1" x14ac:dyDescent="0.25">
      <c r="A244" s="295">
        <f t="shared" si="89"/>
        <v>2039</v>
      </c>
      <c r="B244" s="295">
        <f t="shared" si="90"/>
        <v>11</v>
      </c>
      <c r="C244" s="305">
        <f t="shared" si="71"/>
        <v>51075</v>
      </c>
      <c r="E244" s="310">
        <v>1142416</v>
      </c>
      <c r="F244" s="309">
        <v>829348</v>
      </c>
      <c r="G244" s="309">
        <v>76912</v>
      </c>
      <c r="H244" s="309">
        <v>5290</v>
      </c>
      <c r="I244" s="309">
        <v>757</v>
      </c>
      <c r="J244" s="309">
        <f t="shared" si="80"/>
        <v>2054723</v>
      </c>
      <c r="K244" s="309">
        <f t="shared" si="81"/>
        <v>173827</v>
      </c>
      <c r="L244" s="309">
        <f t="shared" si="82"/>
        <v>2228550</v>
      </c>
      <c r="M244" s="309">
        <v>1832</v>
      </c>
      <c r="N244" s="309">
        <f t="shared" si="72"/>
        <v>155</v>
      </c>
      <c r="O244" s="311">
        <f t="shared" si="73"/>
        <v>2230537</v>
      </c>
      <c r="P244" s="309"/>
      <c r="Q244" s="310">
        <v>1342118.3843563369</v>
      </c>
      <c r="R244" s="309">
        <v>982590.05781790661</v>
      </c>
      <c r="S244" s="309">
        <v>83514</v>
      </c>
      <c r="T244" s="309">
        <f t="shared" si="83"/>
        <v>7353</v>
      </c>
      <c r="U244" s="309">
        <f t="shared" si="83"/>
        <v>757</v>
      </c>
      <c r="V244" s="309">
        <f t="shared" si="84"/>
        <v>2416332.4421742437</v>
      </c>
      <c r="W244" s="309">
        <f t="shared" si="85"/>
        <v>204418.55782575626</v>
      </c>
      <c r="X244" s="309">
        <f t="shared" si="86"/>
        <v>2620751</v>
      </c>
      <c r="Y244" s="309">
        <f t="shared" si="87"/>
        <v>1832</v>
      </c>
      <c r="Z244" s="309">
        <f t="shared" si="74"/>
        <v>155</v>
      </c>
      <c r="AA244" s="311">
        <f t="shared" si="88"/>
        <v>2622738</v>
      </c>
      <c r="AC244" s="310">
        <v>1441167</v>
      </c>
      <c r="AD244" s="309">
        <v>1017253</v>
      </c>
      <c r="AE244" s="309">
        <v>83514</v>
      </c>
      <c r="AF244" s="309">
        <v>7353</v>
      </c>
      <c r="AG244" s="309">
        <v>757</v>
      </c>
      <c r="AH244" s="309">
        <f t="shared" si="75"/>
        <v>2550044</v>
      </c>
      <c r="AI244" s="309">
        <f t="shared" si="76"/>
        <v>215730</v>
      </c>
      <c r="AJ244" s="309">
        <f t="shared" si="77"/>
        <v>2765774</v>
      </c>
      <c r="AK244" s="309">
        <v>1832</v>
      </c>
      <c r="AL244" s="309">
        <f t="shared" si="78"/>
        <v>155</v>
      </c>
      <c r="AM244" s="311">
        <f t="shared" si="79"/>
        <v>2767761</v>
      </c>
      <c r="AO244" s="458"/>
      <c r="AP244" s="459"/>
      <c r="AQ244" s="459"/>
      <c r="AR244" s="460"/>
      <c r="AS244" s="316"/>
      <c r="AT244" s="458"/>
      <c r="AU244" s="459"/>
      <c r="AV244" s="459"/>
      <c r="AW244" s="459"/>
      <c r="AX244" s="459"/>
      <c r="AY244" s="460"/>
    </row>
    <row r="245" spans="1:51" ht="15" hidden="1" outlineLevel="1" x14ac:dyDescent="0.25">
      <c r="A245" s="295">
        <f t="shared" si="89"/>
        <v>2039</v>
      </c>
      <c r="B245" s="295">
        <f t="shared" si="90"/>
        <v>12</v>
      </c>
      <c r="C245" s="305">
        <f t="shared" si="71"/>
        <v>51105</v>
      </c>
      <c r="E245" s="310">
        <v>1214107</v>
      </c>
      <c r="F245" s="309">
        <v>856876</v>
      </c>
      <c r="G245" s="309">
        <v>69749</v>
      </c>
      <c r="H245" s="309">
        <v>4733</v>
      </c>
      <c r="I245" s="309">
        <v>821</v>
      </c>
      <c r="J245" s="309">
        <f t="shared" si="80"/>
        <v>2146286</v>
      </c>
      <c r="K245" s="309">
        <f t="shared" si="81"/>
        <v>181573</v>
      </c>
      <c r="L245" s="309">
        <f t="shared" si="82"/>
        <v>2327859</v>
      </c>
      <c r="M245" s="309">
        <v>1718</v>
      </c>
      <c r="N245" s="309">
        <f t="shared" si="72"/>
        <v>145</v>
      </c>
      <c r="O245" s="311">
        <f t="shared" si="73"/>
        <v>2329722</v>
      </c>
      <c r="P245" s="309"/>
      <c r="Q245" s="310">
        <v>1493862.2636356603</v>
      </c>
      <c r="R245" s="309">
        <v>1019485.7760337323</v>
      </c>
      <c r="S245" s="309">
        <v>76635</v>
      </c>
      <c r="T245" s="309">
        <f t="shared" si="83"/>
        <v>6918</v>
      </c>
      <c r="U245" s="309">
        <f t="shared" si="83"/>
        <v>821</v>
      </c>
      <c r="V245" s="309">
        <f t="shared" si="84"/>
        <v>2597722.0396693926</v>
      </c>
      <c r="W245" s="309">
        <f t="shared" si="85"/>
        <v>219763.96033060737</v>
      </c>
      <c r="X245" s="309">
        <f t="shared" si="86"/>
        <v>2817486</v>
      </c>
      <c r="Y245" s="309">
        <f t="shared" si="87"/>
        <v>1718</v>
      </c>
      <c r="Z245" s="309">
        <f t="shared" si="74"/>
        <v>145</v>
      </c>
      <c r="AA245" s="311">
        <f t="shared" si="88"/>
        <v>2819349</v>
      </c>
      <c r="AC245" s="310">
        <v>1625054</v>
      </c>
      <c r="AD245" s="309">
        <v>1063488</v>
      </c>
      <c r="AE245" s="309">
        <v>76635</v>
      </c>
      <c r="AF245" s="309">
        <v>6918</v>
      </c>
      <c r="AG245" s="309">
        <v>821</v>
      </c>
      <c r="AH245" s="309">
        <f t="shared" si="75"/>
        <v>2772916</v>
      </c>
      <c r="AI245" s="309">
        <f t="shared" si="76"/>
        <v>234585</v>
      </c>
      <c r="AJ245" s="309">
        <f t="shared" si="77"/>
        <v>3007501</v>
      </c>
      <c r="AK245" s="309">
        <v>1718</v>
      </c>
      <c r="AL245" s="309">
        <f t="shared" si="78"/>
        <v>145</v>
      </c>
      <c r="AM245" s="311">
        <f t="shared" si="79"/>
        <v>3009364</v>
      </c>
      <c r="AO245" s="458"/>
      <c r="AP245" s="459"/>
      <c r="AQ245" s="459"/>
      <c r="AR245" s="460"/>
      <c r="AS245" s="316"/>
      <c r="AT245" s="458"/>
      <c r="AU245" s="459"/>
      <c r="AV245" s="459"/>
      <c r="AW245" s="459"/>
      <c r="AX245" s="459"/>
      <c r="AY245" s="460"/>
    </row>
    <row r="246" spans="1:51" ht="15" hidden="1" outlineLevel="1" x14ac:dyDescent="0.25">
      <c r="A246" s="295">
        <f t="shared" si="89"/>
        <v>2040</v>
      </c>
      <c r="B246" s="295">
        <f t="shared" si="90"/>
        <v>1</v>
      </c>
      <c r="C246" s="305">
        <f t="shared" si="71"/>
        <v>51136</v>
      </c>
      <c r="E246" s="310">
        <v>1277255</v>
      </c>
      <c r="F246" s="309">
        <v>883204</v>
      </c>
      <c r="G246" s="309">
        <v>67395</v>
      </c>
      <c r="H246" s="309">
        <v>5174</v>
      </c>
      <c r="I246" s="309">
        <v>967</v>
      </c>
      <c r="J246" s="309">
        <f t="shared" si="80"/>
        <v>2233995</v>
      </c>
      <c r="K246" s="309">
        <f t="shared" si="81"/>
        <v>188993</v>
      </c>
      <c r="L246" s="309">
        <f t="shared" si="82"/>
        <v>2422988</v>
      </c>
      <c r="M246" s="309">
        <v>2325</v>
      </c>
      <c r="N246" s="309">
        <f t="shared" si="72"/>
        <v>197</v>
      </c>
      <c r="O246" s="311">
        <f t="shared" si="73"/>
        <v>2425510</v>
      </c>
      <c r="P246" s="309"/>
      <c r="Q246" s="310">
        <v>1527832.5134145352</v>
      </c>
      <c r="R246" s="309">
        <v>1043753.4988769341</v>
      </c>
      <c r="S246" s="309">
        <v>74334</v>
      </c>
      <c r="T246" s="309">
        <f t="shared" si="83"/>
        <v>7390</v>
      </c>
      <c r="U246" s="309">
        <f t="shared" si="83"/>
        <v>967</v>
      </c>
      <c r="V246" s="309">
        <f t="shared" si="84"/>
        <v>2654277.0122914691</v>
      </c>
      <c r="W246" s="309">
        <f t="shared" si="85"/>
        <v>224547.98770853085</v>
      </c>
      <c r="X246" s="309">
        <f t="shared" si="86"/>
        <v>2878825</v>
      </c>
      <c r="Y246" s="309">
        <f t="shared" si="87"/>
        <v>2325</v>
      </c>
      <c r="Z246" s="309">
        <f t="shared" si="74"/>
        <v>197</v>
      </c>
      <c r="AA246" s="311">
        <f t="shared" si="88"/>
        <v>2881347</v>
      </c>
      <c r="AC246" s="310">
        <v>1638942</v>
      </c>
      <c r="AD246" s="309">
        <v>1085104</v>
      </c>
      <c r="AE246" s="309">
        <v>74334</v>
      </c>
      <c r="AF246" s="309">
        <v>7390</v>
      </c>
      <c r="AG246" s="309">
        <v>967</v>
      </c>
      <c r="AH246" s="309">
        <f t="shared" si="75"/>
        <v>2806737</v>
      </c>
      <c r="AI246" s="309">
        <f t="shared" si="76"/>
        <v>237446</v>
      </c>
      <c r="AJ246" s="309">
        <f t="shared" si="77"/>
        <v>3044183</v>
      </c>
      <c r="AK246" s="309">
        <v>2325</v>
      </c>
      <c r="AL246" s="309">
        <f t="shared" si="78"/>
        <v>197</v>
      </c>
      <c r="AM246" s="311">
        <f t="shared" si="79"/>
        <v>3046705</v>
      </c>
      <c r="AO246" s="458"/>
      <c r="AP246" s="459"/>
      <c r="AQ246" s="459"/>
      <c r="AR246" s="460"/>
      <c r="AS246" s="316"/>
      <c r="AT246" s="458"/>
      <c r="AU246" s="459"/>
      <c r="AV246" s="459"/>
      <c r="AW246" s="459"/>
      <c r="AX246" s="459"/>
      <c r="AY246" s="460"/>
    </row>
    <row r="247" spans="1:51" ht="15" hidden="1" outlineLevel="1" x14ac:dyDescent="0.25">
      <c r="A247" s="295">
        <f t="shared" si="89"/>
        <v>2040</v>
      </c>
      <c r="B247" s="295">
        <f t="shared" si="90"/>
        <v>2</v>
      </c>
      <c r="C247" s="305">
        <f t="shared" si="71"/>
        <v>51167</v>
      </c>
      <c r="E247" s="310">
        <v>1107814</v>
      </c>
      <c r="F247" s="309">
        <v>823971</v>
      </c>
      <c r="G247" s="309">
        <v>67614</v>
      </c>
      <c r="H247" s="309">
        <v>5126</v>
      </c>
      <c r="I247" s="309">
        <v>841</v>
      </c>
      <c r="J247" s="309">
        <f t="shared" si="80"/>
        <v>2005366</v>
      </c>
      <c r="K247" s="309">
        <f t="shared" si="81"/>
        <v>169651</v>
      </c>
      <c r="L247" s="309">
        <f t="shared" si="82"/>
        <v>2175017</v>
      </c>
      <c r="M247" s="309">
        <v>2433</v>
      </c>
      <c r="N247" s="309">
        <f t="shared" si="72"/>
        <v>206</v>
      </c>
      <c r="O247" s="311">
        <f t="shared" si="73"/>
        <v>2177656</v>
      </c>
      <c r="P247" s="309"/>
      <c r="Q247" s="310">
        <v>1313981.7931960109</v>
      </c>
      <c r="R247" s="309">
        <v>966173.13740126358</v>
      </c>
      <c r="S247" s="309">
        <v>73973</v>
      </c>
      <c r="T247" s="309">
        <f t="shared" si="83"/>
        <v>6820</v>
      </c>
      <c r="U247" s="309">
        <f t="shared" si="83"/>
        <v>841</v>
      </c>
      <c r="V247" s="309">
        <f t="shared" si="84"/>
        <v>2361788.9305972746</v>
      </c>
      <c r="W247" s="309">
        <f t="shared" si="85"/>
        <v>199804.06940272544</v>
      </c>
      <c r="X247" s="309">
        <f t="shared" si="86"/>
        <v>2561593</v>
      </c>
      <c r="Y247" s="309">
        <f t="shared" si="87"/>
        <v>2433</v>
      </c>
      <c r="Z247" s="309">
        <f t="shared" si="74"/>
        <v>206</v>
      </c>
      <c r="AA247" s="311">
        <f t="shared" si="88"/>
        <v>2564232</v>
      </c>
      <c r="AC247" s="310">
        <v>1403765</v>
      </c>
      <c r="AD247" s="309">
        <v>1000558</v>
      </c>
      <c r="AE247" s="309">
        <v>73973</v>
      </c>
      <c r="AF247" s="309">
        <v>6820</v>
      </c>
      <c r="AG247" s="309">
        <v>841</v>
      </c>
      <c r="AH247" s="309">
        <f t="shared" si="75"/>
        <v>2485957</v>
      </c>
      <c r="AI247" s="309">
        <f t="shared" si="76"/>
        <v>210309</v>
      </c>
      <c r="AJ247" s="309">
        <f t="shared" si="77"/>
        <v>2696266</v>
      </c>
      <c r="AK247" s="309">
        <v>2433</v>
      </c>
      <c r="AL247" s="309">
        <f t="shared" si="78"/>
        <v>206</v>
      </c>
      <c r="AM247" s="311">
        <f t="shared" si="79"/>
        <v>2698905</v>
      </c>
      <c r="AO247" s="458"/>
      <c r="AP247" s="459"/>
      <c r="AQ247" s="459"/>
      <c r="AR247" s="460"/>
      <c r="AS247" s="316"/>
      <c r="AT247" s="458"/>
      <c r="AU247" s="459"/>
      <c r="AV247" s="459"/>
      <c r="AW247" s="459"/>
      <c r="AX247" s="459"/>
      <c r="AY247" s="460"/>
    </row>
    <row r="248" spans="1:51" ht="15" hidden="1" outlineLevel="1" x14ac:dyDescent="0.25">
      <c r="A248" s="295">
        <f t="shared" si="89"/>
        <v>2040</v>
      </c>
      <c r="B248" s="295">
        <f t="shared" si="90"/>
        <v>3</v>
      </c>
      <c r="C248" s="305">
        <f t="shared" si="71"/>
        <v>51196</v>
      </c>
      <c r="E248" s="310">
        <v>1100661</v>
      </c>
      <c r="F248" s="309">
        <v>848881</v>
      </c>
      <c r="G248" s="309">
        <v>73872</v>
      </c>
      <c r="H248" s="309">
        <v>4523</v>
      </c>
      <c r="I248" s="309">
        <v>743</v>
      </c>
      <c r="J248" s="309">
        <f t="shared" si="80"/>
        <v>2028680</v>
      </c>
      <c r="K248" s="309">
        <f t="shared" si="81"/>
        <v>171624</v>
      </c>
      <c r="L248" s="309">
        <f t="shared" si="82"/>
        <v>2200304</v>
      </c>
      <c r="M248" s="309">
        <v>2339</v>
      </c>
      <c r="N248" s="309">
        <f t="shared" si="72"/>
        <v>198</v>
      </c>
      <c r="O248" s="311">
        <f t="shared" si="73"/>
        <v>2202841</v>
      </c>
      <c r="P248" s="309"/>
      <c r="Q248" s="310">
        <v>1302400.1323796497</v>
      </c>
      <c r="R248" s="309">
        <v>1016050.1110583688</v>
      </c>
      <c r="S248" s="309">
        <v>80943</v>
      </c>
      <c r="T248" s="309">
        <f t="shared" si="83"/>
        <v>6311</v>
      </c>
      <c r="U248" s="309">
        <f t="shared" si="83"/>
        <v>743</v>
      </c>
      <c r="V248" s="309">
        <f t="shared" si="84"/>
        <v>2406447.2434380185</v>
      </c>
      <c r="W248" s="309">
        <f t="shared" si="85"/>
        <v>203582.75656198151</v>
      </c>
      <c r="X248" s="309">
        <f t="shared" si="86"/>
        <v>2610030</v>
      </c>
      <c r="Y248" s="309">
        <f t="shared" si="87"/>
        <v>2339</v>
      </c>
      <c r="Z248" s="309">
        <f t="shared" si="74"/>
        <v>198</v>
      </c>
      <c r="AA248" s="311">
        <f t="shared" si="88"/>
        <v>2612567</v>
      </c>
      <c r="AC248" s="310">
        <v>1390038</v>
      </c>
      <c r="AD248" s="309">
        <v>1057701</v>
      </c>
      <c r="AE248" s="309">
        <v>80943</v>
      </c>
      <c r="AF248" s="309">
        <v>6311</v>
      </c>
      <c r="AG248" s="309">
        <v>743</v>
      </c>
      <c r="AH248" s="309">
        <f t="shared" si="75"/>
        <v>2535736</v>
      </c>
      <c r="AI248" s="309">
        <f t="shared" si="76"/>
        <v>214520</v>
      </c>
      <c r="AJ248" s="309">
        <f t="shared" si="77"/>
        <v>2750256</v>
      </c>
      <c r="AK248" s="309">
        <v>2339</v>
      </c>
      <c r="AL248" s="309">
        <f t="shared" si="78"/>
        <v>198</v>
      </c>
      <c r="AM248" s="311">
        <f t="shared" si="79"/>
        <v>2752793</v>
      </c>
      <c r="AO248" s="458"/>
      <c r="AP248" s="459"/>
      <c r="AQ248" s="459"/>
      <c r="AR248" s="460"/>
      <c r="AS248" s="316"/>
      <c r="AT248" s="458"/>
      <c r="AU248" s="459"/>
      <c r="AV248" s="459"/>
      <c r="AW248" s="459"/>
      <c r="AX248" s="459"/>
      <c r="AY248" s="460"/>
    </row>
    <row r="249" spans="1:51" ht="15" hidden="1" outlineLevel="1" x14ac:dyDescent="0.25">
      <c r="A249" s="295">
        <f t="shared" si="89"/>
        <v>2040</v>
      </c>
      <c r="B249" s="295">
        <f t="shared" si="90"/>
        <v>4</v>
      </c>
      <c r="C249" s="305">
        <f t="shared" si="71"/>
        <v>51227</v>
      </c>
      <c r="E249" s="310">
        <v>1016682</v>
      </c>
      <c r="F249" s="309">
        <v>840731</v>
      </c>
      <c r="G249" s="309">
        <v>75077</v>
      </c>
      <c r="H249" s="309">
        <v>5173</v>
      </c>
      <c r="I249" s="309">
        <v>617</v>
      </c>
      <c r="J249" s="309">
        <f t="shared" si="80"/>
        <v>1938280</v>
      </c>
      <c r="K249" s="309">
        <f t="shared" si="81"/>
        <v>163976</v>
      </c>
      <c r="L249" s="309">
        <f t="shared" si="82"/>
        <v>2102256</v>
      </c>
      <c r="M249" s="309">
        <v>2172</v>
      </c>
      <c r="N249" s="309">
        <f t="shared" si="72"/>
        <v>184</v>
      </c>
      <c r="O249" s="311">
        <f t="shared" si="73"/>
        <v>2104612</v>
      </c>
      <c r="P249" s="309"/>
      <c r="Q249" s="310">
        <v>1194447.1671109467</v>
      </c>
      <c r="R249" s="309">
        <v>992316.13953229506</v>
      </c>
      <c r="S249" s="309">
        <v>81714</v>
      </c>
      <c r="T249" s="309">
        <f t="shared" si="83"/>
        <v>6683</v>
      </c>
      <c r="U249" s="309">
        <f t="shared" si="83"/>
        <v>617</v>
      </c>
      <c r="V249" s="309">
        <f t="shared" si="84"/>
        <v>2275777.306643242</v>
      </c>
      <c r="W249" s="309">
        <f t="shared" si="85"/>
        <v>192527.69335675798</v>
      </c>
      <c r="X249" s="309">
        <f t="shared" si="86"/>
        <v>2468305</v>
      </c>
      <c r="Y249" s="309">
        <f t="shared" si="87"/>
        <v>2172</v>
      </c>
      <c r="Z249" s="309">
        <f t="shared" si="74"/>
        <v>184</v>
      </c>
      <c r="AA249" s="311">
        <f t="shared" si="88"/>
        <v>2470661</v>
      </c>
      <c r="AC249" s="310">
        <v>1270426</v>
      </c>
      <c r="AD249" s="309">
        <v>1035298</v>
      </c>
      <c r="AE249" s="309">
        <v>81714</v>
      </c>
      <c r="AF249" s="309">
        <v>6683</v>
      </c>
      <c r="AG249" s="309">
        <v>617</v>
      </c>
      <c r="AH249" s="309">
        <f t="shared" si="75"/>
        <v>2394738</v>
      </c>
      <c r="AI249" s="309">
        <f t="shared" si="76"/>
        <v>202592</v>
      </c>
      <c r="AJ249" s="309">
        <f t="shared" si="77"/>
        <v>2597330</v>
      </c>
      <c r="AK249" s="309">
        <v>2172</v>
      </c>
      <c r="AL249" s="309">
        <f t="shared" si="78"/>
        <v>184</v>
      </c>
      <c r="AM249" s="311">
        <f t="shared" si="79"/>
        <v>2599686</v>
      </c>
      <c r="AO249" s="458"/>
      <c r="AP249" s="459"/>
      <c r="AQ249" s="459"/>
      <c r="AR249" s="460"/>
      <c r="AS249" s="316"/>
      <c r="AT249" s="458"/>
      <c r="AU249" s="459"/>
      <c r="AV249" s="459"/>
      <c r="AW249" s="459"/>
      <c r="AX249" s="459"/>
      <c r="AY249" s="460"/>
    </row>
    <row r="250" spans="1:51" ht="15" hidden="1" outlineLevel="1" x14ac:dyDescent="0.25">
      <c r="A250" s="295">
        <f t="shared" si="89"/>
        <v>2040</v>
      </c>
      <c r="B250" s="295">
        <f t="shared" si="90"/>
        <v>5</v>
      </c>
      <c r="C250" s="305">
        <f t="shared" si="71"/>
        <v>51257</v>
      </c>
      <c r="E250" s="310">
        <v>894979</v>
      </c>
      <c r="F250" s="309">
        <v>764668</v>
      </c>
      <c r="G250" s="309">
        <v>70385</v>
      </c>
      <c r="H250" s="309">
        <v>5061</v>
      </c>
      <c r="I250" s="309">
        <v>432</v>
      </c>
      <c r="J250" s="309">
        <f t="shared" si="80"/>
        <v>1735525</v>
      </c>
      <c r="K250" s="309">
        <f t="shared" si="81"/>
        <v>146823</v>
      </c>
      <c r="L250" s="309">
        <f t="shared" si="82"/>
        <v>1882348</v>
      </c>
      <c r="M250" s="309">
        <v>2174</v>
      </c>
      <c r="N250" s="309">
        <f t="shared" si="72"/>
        <v>184</v>
      </c>
      <c r="O250" s="311">
        <f t="shared" si="73"/>
        <v>1884706</v>
      </c>
      <c r="P250" s="309"/>
      <c r="Q250" s="310">
        <v>1032301.0641947268</v>
      </c>
      <c r="R250" s="309">
        <v>935884.49412809068</v>
      </c>
      <c r="S250" s="309">
        <v>77258</v>
      </c>
      <c r="T250" s="309">
        <f t="shared" si="83"/>
        <v>6398</v>
      </c>
      <c r="U250" s="309">
        <f t="shared" si="83"/>
        <v>432</v>
      </c>
      <c r="V250" s="309">
        <f t="shared" si="84"/>
        <v>2052273.5583228176</v>
      </c>
      <c r="W250" s="309">
        <f t="shared" si="85"/>
        <v>173619.44167718245</v>
      </c>
      <c r="X250" s="309">
        <f t="shared" si="86"/>
        <v>2225893</v>
      </c>
      <c r="Y250" s="309">
        <f t="shared" si="87"/>
        <v>2174</v>
      </c>
      <c r="Z250" s="309">
        <f t="shared" si="74"/>
        <v>184</v>
      </c>
      <c r="AA250" s="311">
        <f t="shared" si="88"/>
        <v>2228251</v>
      </c>
      <c r="AC250" s="310">
        <v>1102967</v>
      </c>
      <c r="AD250" s="309">
        <v>980667</v>
      </c>
      <c r="AE250" s="309">
        <v>77258</v>
      </c>
      <c r="AF250" s="309">
        <v>6398</v>
      </c>
      <c r="AG250" s="309">
        <v>432</v>
      </c>
      <c r="AH250" s="309">
        <f t="shared" si="75"/>
        <v>2167722</v>
      </c>
      <c r="AI250" s="309">
        <f t="shared" si="76"/>
        <v>183386</v>
      </c>
      <c r="AJ250" s="309">
        <f t="shared" si="77"/>
        <v>2351108</v>
      </c>
      <c r="AK250" s="309">
        <v>2174</v>
      </c>
      <c r="AL250" s="309">
        <f t="shared" si="78"/>
        <v>184</v>
      </c>
      <c r="AM250" s="311">
        <f t="shared" si="79"/>
        <v>2353466</v>
      </c>
      <c r="AO250" s="458"/>
      <c r="AP250" s="459"/>
      <c r="AQ250" s="459"/>
      <c r="AR250" s="460"/>
      <c r="AS250" s="316"/>
      <c r="AT250" s="458"/>
      <c r="AU250" s="459"/>
      <c r="AV250" s="459"/>
      <c r="AW250" s="459"/>
      <c r="AX250" s="459"/>
      <c r="AY250" s="460"/>
    </row>
    <row r="251" spans="1:51" ht="15" hidden="1" outlineLevel="1" x14ac:dyDescent="0.25">
      <c r="A251" s="295">
        <f t="shared" si="89"/>
        <v>2040</v>
      </c>
      <c r="B251" s="295">
        <f t="shared" si="90"/>
        <v>6</v>
      </c>
      <c r="C251" s="305">
        <f t="shared" si="71"/>
        <v>51288</v>
      </c>
      <c r="E251" s="310">
        <v>906393</v>
      </c>
      <c r="F251" s="309">
        <v>805283</v>
      </c>
      <c r="G251" s="309">
        <v>72488</v>
      </c>
      <c r="H251" s="309">
        <v>5038</v>
      </c>
      <c r="I251" s="309">
        <v>316</v>
      </c>
      <c r="J251" s="309">
        <f t="shared" si="80"/>
        <v>1789518</v>
      </c>
      <c r="K251" s="309">
        <f t="shared" si="81"/>
        <v>151391</v>
      </c>
      <c r="L251" s="309">
        <f t="shared" si="82"/>
        <v>1940909</v>
      </c>
      <c r="M251" s="309">
        <v>1787</v>
      </c>
      <c r="N251" s="309">
        <f t="shared" si="72"/>
        <v>151</v>
      </c>
      <c r="O251" s="311">
        <f t="shared" si="73"/>
        <v>1942847</v>
      </c>
      <c r="P251" s="309"/>
      <c r="Q251" s="310">
        <v>1012510.9393198767</v>
      </c>
      <c r="R251" s="309">
        <v>965594.84994164552</v>
      </c>
      <c r="S251" s="309">
        <v>79284</v>
      </c>
      <c r="T251" s="309">
        <f t="shared" si="83"/>
        <v>6161</v>
      </c>
      <c r="U251" s="309">
        <f t="shared" si="83"/>
        <v>316</v>
      </c>
      <c r="V251" s="309">
        <f t="shared" si="84"/>
        <v>2063866.7892615222</v>
      </c>
      <c r="W251" s="309">
        <f t="shared" si="85"/>
        <v>174600.21073847776</v>
      </c>
      <c r="X251" s="309">
        <f t="shared" si="86"/>
        <v>2238467</v>
      </c>
      <c r="Y251" s="309">
        <f t="shared" si="87"/>
        <v>1787</v>
      </c>
      <c r="Z251" s="309">
        <f t="shared" si="74"/>
        <v>151</v>
      </c>
      <c r="AA251" s="311">
        <f t="shared" si="88"/>
        <v>2240405</v>
      </c>
      <c r="AC251" s="310">
        <v>1071406</v>
      </c>
      <c r="AD251" s="309">
        <v>1010499</v>
      </c>
      <c r="AE251" s="309">
        <v>79284</v>
      </c>
      <c r="AF251" s="309">
        <v>6161</v>
      </c>
      <c r="AG251" s="309">
        <v>316</v>
      </c>
      <c r="AH251" s="309">
        <f t="shared" si="75"/>
        <v>2167666</v>
      </c>
      <c r="AI251" s="309">
        <f t="shared" si="76"/>
        <v>183382</v>
      </c>
      <c r="AJ251" s="309">
        <f t="shared" si="77"/>
        <v>2351048</v>
      </c>
      <c r="AK251" s="309">
        <v>1787</v>
      </c>
      <c r="AL251" s="309">
        <f t="shared" si="78"/>
        <v>151</v>
      </c>
      <c r="AM251" s="311">
        <f t="shared" si="79"/>
        <v>2352986</v>
      </c>
      <c r="AO251" s="458"/>
      <c r="AP251" s="459"/>
      <c r="AQ251" s="459"/>
      <c r="AR251" s="460"/>
      <c r="AS251" s="316"/>
      <c r="AT251" s="458"/>
      <c r="AU251" s="459"/>
      <c r="AV251" s="459"/>
      <c r="AW251" s="459"/>
      <c r="AX251" s="459"/>
      <c r="AY251" s="460"/>
    </row>
    <row r="252" spans="1:51" ht="15" hidden="1" outlineLevel="1" x14ac:dyDescent="0.25">
      <c r="A252" s="295">
        <f t="shared" si="89"/>
        <v>2040</v>
      </c>
      <c r="B252" s="295">
        <f t="shared" si="90"/>
        <v>7</v>
      </c>
      <c r="C252" s="305">
        <f t="shared" si="71"/>
        <v>51318</v>
      </c>
      <c r="E252" s="310">
        <v>983257</v>
      </c>
      <c r="F252" s="309">
        <v>837793</v>
      </c>
      <c r="G252" s="309">
        <v>79794</v>
      </c>
      <c r="H252" s="309">
        <v>4652</v>
      </c>
      <c r="I252" s="309">
        <v>288</v>
      </c>
      <c r="J252" s="309">
        <f t="shared" si="80"/>
        <v>1905784</v>
      </c>
      <c r="K252" s="309">
        <f t="shared" si="81"/>
        <v>161227</v>
      </c>
      <c r="L252" s="309">
        <f t="shared" si="82"/>
        <v>2067011</v>
      </c>
      <c r="M252" s="309">
        <v>2889</v>
      </c>
      <c r="N252" s="309">
        <f t="shared" si="72"/>
        <v>244</v>
      </c>
      <c r="O252" s="311">
        <f t="shared" si="73"/>
        <v>2070144</v>
      </c>
      <c r="P252" s="309"/>
      <c r="Q252" s="310">
        <v>1093421.0415013274</v>
      </c>
      <c r="R252" s="309">
        <v>1011557.9792883979</v>
      </c>
      <c r="S252" s="309">
        <v>86760</v>
      </c>
      <c r="T252" s="309">
        <f t="shared" si="83"/>
        <v>5972</v>
      </c>
      <c r="U252" s="309">
        <f t="shared" si="83"/>
        <v>288</v>
      </c>
      <c r="V252" s="309">
        <f t="shared" si="84"/>
        <v>2197999.0207897252</v>
      </c>
      <c r="W252" s="309">
        <f t="shared" si="85"/>
        <v>185947.97921027476</v>
      </c>
      <c r="X252" s="309">
        <f t="shared" si="86"/>
        <v>2383947</v>
      </c>
      <c r="Y252" s="309">
        <f t="shared" si="87"/>
        <v>2889</v>
      </c>
      <c r="Z252" s="309">
        <f t="shared" si="74"/>
        <v>244</v>
      </c>
      <c r="AA252" s="311">
        <f t="shared" si="88"/>
        <v>2387080</v>
      </c>
      <c r="AC252" s="310">
        <v>1160810</v>
      </c>
      <c r="AD252" s="309">
        <v>1061601</v>
      </c>
      <c r="AE252" s="309">
        <v>86760</v>
      </c>
      <c r="AF252" s="309">
        <v>5972</v>
      </c>
      <c r="AG252" s="309">
        <v>288</v>
      </c>
      <c r="AH252" s="309">
        <f t="shared" si="75"/>
        <v>2315431</v>
      </c>
      <c r="AI252" s="309">
        <f t="shared" si="76"/>
        <v>195882</v>
      </c>
      <c r="AJ252" s="309">
        <f t="shared" si="77"/>
        <v>2511313</v>
      </c>
      <c r="AK252" s="309">
        <v>2889</v>
      </c>
      <c r="AL252" s="309">
        <f t="shared" si="78"/>
        <v>244</v>
      </c>
      <c r="AM252" s="311">
        <f t="shared" si="79"/>
        <v>2514446</v>
      </c>
      <c r="AO252" s="458"/>
      <c r="AP252" s="459"/>
      <c r="AQ252" s="459"/>
      <c r="AR252" s="460"/>
      <c r="AS252" s="316"/>
      <c r="AT252" s="458"/>
      <c r="AU252" s="459"/>
      <c r="AV252" s="459"/>
      <c r="AW252" s="459"/>
      <c r="AX252" s="459"/>
      <c r="AY252" s="460"/>
    </row>
    <row r="253" spans="1:51" ht="15" hidden="1" outlineLevel="1" x14ac:dyDescent="0.25">
      <c r="A253" s="295">
        <f t="shared" si="89"/>
        <v>2040</v>
      </c>
      <c r="B253" s="295">
        <f t="shared" si="90"/>
        <v>8</v>
      </c>
      <c r="C253" s="305">
        <f t="shared" si="71"/>
        <v>51349</v>
      </c>
      <c r="E253" s="310">
        <v>992128</v>
      </c>
      <c r="F253" s="309">
        <v>835712</v>
      </c>
      <c r="G253" s="309">
        <v>80272</v>
      </c>
      <c r="H253" s="309">
        <v>4912</v>
      </c>
      <c r="I253" s="309">
        <v>280</v>
      </c>
      <c r="J253" s="309">
        <f t="shared" si="80"/>
        <v>1913304</v>
      </c>
      <c r="K253" s="309">
        <f t="shared" si="81"/>
        <v>161863</v>
      </c>
      <c r="L253" s="309">
        <f t="shared" si="82"/>
        <v>2075167</v>
      </c>
      <c r="M253" s="309">
        <v>1634</v>
      </c>
      <c r="N253" s="309">
        <f t="shared" si="72"/>
        <v>138</v>
      </c>
      <c r="O253" s="311">
        <f t="shared" si="73"/>
        <v>2076939</v>
      </c>
      <c r="P253" s="309"/>
      <c r="Q253" s="310">
        <v>1103202.2535772962</v>
      </c>
      <c r="R253" s="309">
        <v>1011759.485023229</v>
      </c>
      <c r="S253" s="309">
        <v>87571</v>
      </c>
      <c r="T253" s="309">
        <f t="shared" si="83"/>
        <v>6425</v>
      </c>
      <c r="U253" s="309">
        <f t="shared" si="83"/>
        <v>280</v>
      </c>
      <c r="V253" s="309">
        <f t="shared" si="84"/>
        <v>2209237.7386005251</v>
      </c>
      <c r="W253" s="309">
        <f t="shared" si="85"/>
        <v>186898.26139947493</v>
      </c>
      <c r="X253" s="309">
        <f t="shared" si="86"/>
        <v>2396136</v>
      </c>
      <c r="Y253" s="309">
        <f t="shared" si="87"/>
        <v>1634</v>
      </c>
      <c r="Z253" s="309">
        <f t="shared" si="74"/>
        <v>138</v>
      </c>
      <c r="AA253" s="311">
        <f t="shared" si="88"/>
        <v>2397908</v>
      </c>
      <c r="AC253" s="310">
        <v>1168604</v>
      </c>
      <c r="AD253" s="309">
        <v>1060673</v>
      </c>
      <c r="AE253" s="309">
        <v>87571</v>
      </c>
      <c r="AF253" s="309">
        <v>6425</v>
      </c>
      <c r="AG253" s="309">
        <v>280</v>
      </c>
      <c r="AH253" s="309">
        <f t="shared" si="75"/>
        <v>2323553</v>
      </c>
      <c r="AI253" s="309">
        <f t="shared" si="76"/>
        <v>196570</v>
      </c>
      <c r="AJ253" s="309">
        <f t="shared" si="77"/>
        <v>2520123</v>
      </c>
      <c r="AK253" s="309">
        <v>1634</v>
      </c>
      <c r="AL253" s="309">
        <f t="shared" si="78"/>
        <v>138</v>
      </c>
      <c r="AM253" s="311">
        <f t="shared" si="79"/>
        <v>2521895</v>
      </c>
      <c r="AO253" s="458"/>
      <c r="AP253" s="459"/>
      <c r="AQ253" s="459"/>
      <c r="AR253" s="460"/>
      <c r="AS253" s="316"/>
      <c r="AT253" s="458"/>
      <c r="AU253" s="459"/>
      <c r="AV253" s="459"/>
      <c r="AW253" s="459"/>
      <c r="AX253" s="459"/>
      <c r="AY253" s="460"/>
    </row>
    <row r="254" spans="1:51" ht="15" hidden="1" outlineLevel="1" x14ac:dyDescent="0.25">
      <c r="A254" s="295">
        <f t="shared" si="89"/>
        <v>2040</v>
      </c>
      <c r="B254" s="295">
        <f t="shared" si="90"/>
        <v>9</v>
      </c>
      <c r="C254" s="305">
        <f t="shared" si="71"/>
        <v>51380</v>
      </c>
      <c r="E254" s="310">
        <v>881755</v>
      </c>
      <c r="F254" s="309">
        <v>804857</v>
      </c>
      <c r="G254" s="309">
        <v>76726</v>
      </c>
      <c r="H254" s="309">
        <v>5237</v>
      </c>
      <c r="I254" s="309">
        <v>352</v>
      </c>
      <c r="J254" s="309">
        <f t="shared" si="80"/>
        <v>1768927</v>
      </c>
      <c r="K254" s="309">
        <f t="shared" si="81"/>
        <v>149649</v>
      </c>
      <c r="L254" s="309">
        <f t="shared" si="82"/>
        <v>1918576</v>
      </c>
      <c r="M254" s="309">
        <v>1428</v>
      </c>
      <c r="N254" s="309">
        <f t="shared" si="72"/>
        <v>121</v>
      </c>
      <c r="O254" s="311">
        <f t="shared" si="73"/>
        <v>1920125</v>
      </c>
      <c r="P254" s="309"/>
      <c r="Q254" s="310">
        <v>998292.78110285476</v>
      </c>
      <c r="R254" s="309">
        <v>968793.76859951252</v>
      </c>
      <c r="S254" s="309">
        <v>83623</v>
      </c>
      <c r="T254" s="309">
        <f t="shared" si="83"/>
        <v>6752</v>
      </c>
      <c r="U254" s="309">
        <f t="shared" si="83"/>
        <v>352</v>
      </c>
      <c r="V254" s="309">
        <f t="shared" si="84"/>
        <v>2057813.5497023673</v>
      </c>
      <c r="W254" s="309">
        <f t="shared" si="85"/>
        <v>174088.45029763272</v>
      </c>
      <c r="X254" s="309">
        <f t="shared" si="86"/>
        <v>2231902</v>
      </c>
      <c r="Y254" s="309">
        <f t="shared" si="87"/>
        <v>1428</v>
      </c>
      <c r="Z254" s="309">
        <f t="shared" si="74"/>
        <v>121</v>
      </c>
      <c r="AA254" s="311">
        <f t="shared" si="88"/>
        <v>2233451</v>
      </c>
      <c r="AC254" s="310">
        <v>1058356</v>
      </c>
      <c r="AD254" s="309">
        <v>1010119</v>
      </c>
      <c r="AE254" s="309">
        <v>83623</v>
      </c>
      <c r="AF254" s="309">
        <v>6752</v>
      </c>
      <c r="AG254" s="309">
        <v>352</v>
      </c>
      <c r="AH254" s="309">
        <f t="shared" si="75"/>
        <v>2159202</v>
      </c>
      <c r="AI254" s="309">
        <f t="shared" si="76"/>
        <v>182666</v>
      </c>
      <c r="AJ254" s="309">
        <f t="shared" si="77"/>
        <v>2341868</v>
      </c>
      <c r="AK254" s="309">
        <v>1428</v>
      </c>
      <c r="AL254" s="309">
        <f t="shared" si="78"/>
        <v>121</v>
      </c>
      <c r="AM254" s="311">
        <f t="shared" si="79"/>
        <v>2343417</v>
      </c>
      <c r="AO254" s="458"/>
      <c r="AP254" s="459"/>
      <c r="AQ254" s="459"/>
      <c r="AR254" s="460"/>
      <c r="AS254" s="316"/>
      <c r="AT254" s="458"/>
      <c r="AU254" s="459"/>
      <c r="AV254" s="459"/>
      <c r="AW254" s="459"/>
      <c r="AX254" s="459"/>
      <c r="AY254" s="460"/>
    </row>
    <row r="255" spans="1:51" ht="15" hidden="1" outlineLevel="1" x14ac:dyDescent="0.25">
      <c r="A255" s="295">
        <f t="shared" si="89"/>
        <v>2040</v>
      </c>
      <c r="B255" s="295">
        <f t="shared" si="90"/>
        <v>10</v>
      </c>
      <c r="C255" s="305">
        <f t="shared" si="71"/>
        <v>51410</v>
      </c>
      <c r="E255" s="310">
        <v>944859</v>
      </c>
      <c r="F255" s="309">
        <v>813563</v>
      </c>
      <c r="G255" s="309">
        <v>72505</v>
      </c>
      <c r="H255" s="309">
        <v>4793</v>
      </c>
      <c r="I255" s="309">
        <v>461</v>
      </c>
      <c r="J255" s="309">
        <f t="shared" si="80"/>
        <v>1836181</v>
      </c>
      <c r="K255" s="309">
        <f t="shared" si="81"/>
        <v>155339</v>
      </c>
      <c r="L255" s="309">
        <f t="shared" si="82"/>
        <v>1991520</v>
      </c>
      <c r="M255" s="309">
        <v>1830</v>
      </c>
      <c r="N255" s="309">
        <f t="shared" si="72"/>
        <v>155</v>
      </c>
      <c r="O255" s="311">
        <f t="shared" si="73"/>
        <v>1993505</v>
      </c>
      <c r="P255" s="309"/>
      <c r="Q255" s="310">
        <v>1105615.8597318945</v>
      </c>
      <c r="R255" s="309">
        <v>979820.80182953505</v>
      </c>
      <c r="S255" s="309">
        <v>79726</v>
      </c>
      <c r="T255" s="309">
        <f t="shared" si="83"/>
        <v>6702</v>
      </c>
      <c r="U255" s="309">
        <f t="shared" si="83"/>
        <v>461</v>
      </c>
      <c r="V255" s="309">
        <f t="shared" si="84"/>
        <v>2172325.6615614295</v>
      </c>
      <c r="W255" s="309">
        <f t="shared" si="85"/>
        <v>183776.3384385705</v>
      </c>
      <c r="X255" s="309">
        <f t="shared" si="86"/>
        <v>2356102</v>
      </c>
      <c r="Y255" s="309">
        <f t="shared" si="87"/>
        <v>1830</v>
      </c>
      <c r="Z255" s="309">
        <f t="shared" si="74"/>
        <v>155</v>
      </c>
      <c r="AA255" s="311">
        <f t="shared" si="88"/>
        <v>2358087</v>
      </c>
      <c r="AC255" s="310">
        <v>1184186</v>
      </c>
      <c r="AD255" s="309">
        <v>1019283</v>
      </c>
      <c r="AE255" s="309">
        <v>79726</v>
      </c>
      <c r="AF255" s="309">
        <v>6702</v>
      </c>
      <c r="AG255" s="309">
        <v>461</v>
      </c>
      <c r="AH255" s="309">
        <f t="shared" si="75"/>
        <v>2290358</v>
      </c>
      <c r="AI255" s="309">
        <f t="shared" si="76"/>
        <v>193761</v>
      </c>
      <c r="AJ255" s="309">
        <f t="shared" si="77"/>
        <v>2484119</v>
      </c>
      <c r="AK255" s="309">
        <v>1830</v>
      </c>
      <c r="AL255" s="309">
        <f t="shared" si="78"/>
        <v>155</v>
      </c>
      <c r="AM255" s="311">
        <f t="shared" si="79"/>
        <v>2486104</v>
      </c>
      <c r="AO255" s="458"/>
      <c r="AP255" s="459"/>
      <c r="AQ255" s="459"/>
      <c r="AR255" s="460"/>
      <c r="AS255" s="316"/>
      <c r="AT255" s="458"/>
      <c r="AU255" s="459"/>
      <c r="AV255" s="459"/>
      <c r="AW255" s="459"/>
      <c r="AX255" s="459"/>
      <c r="AY255" s="460"/>
    </row>
    <row r="256" spans="1:51" ht="15" hidden="1" outlineLevel="1" x14ac:dyDescent="0.25">
      <c r="A256" s="295">
        <f t="shared" si="89"/>
        <v>2040</v>
      </c>
      <c r="B256" s="295">
        <f t="shared" si="90"/>
        <v>11</v>
      </c>
      <c r="C256" s="305">
        <f t="shared" si="71"/>
        <v>51441</v>
      </c>
      <c r="E256" s="310">
        <v>1149120</v>
      </c>
      <c r="F256" s="309">
        <v>847616</v>
      </c>
      <c r="G256" s="309">
        <v>76636</v>
      </c>
      <c r="H256" s="309">
        <v>5369</v>
      </c>
      <c r="I256" s="309">
        <v>755</v>
      </c>
      <c r="J256" s="309">
        <f t="shared" si="80"/>
        <v>2079496</v>
      </c>
      <c r="K256" s="309">
        <f t="shared" si="81"/>
        <v>175923</v>
      </c>
      <c r="L256" s="309">
        <f t="shared" si="82"/>
        <v>2255419</v>
      </c>
      <c r="M256" s="309">
        <v>1832</v>
      </c>
      <c r="N256" s="309">
        <f t="shared" si="72"/>
        <v>155</v>
      </c>
      <c r="O256" s="311">
        <f t="shared" si="73"/>
        <v>2257406</v>
      </c>
      <c r="P256" s="309"/>
      <c r="Q256" s="310">
        <v>1357335.5689081759</v>
      </c>
      <c r="R256" s="309">
        <v>1004445.1185165755</v>
      </c>
      <c r="S256" s="309">
        <v>83242</v>
      </c>
      <c r="T256" s="309">
        <f t="shared" si="83"/>
        <v>7447</v>
      </c>
      <c r="U256" s="309">
        <f t="shared" si="83"/>
        <v>755</v>
      </c>
      <c r="V256" s="309">
        <f t="shared" si="84"/>
        <v>2453224.6874247515</v>
      </c>
      <c r="W256" s="309">
        <f t="shared" si="85"/>
        <v>207539.31257524854</v>
      </c>
      <c r="X256" s="309">
        <f t="shared" si="86"/>
        <v>2660764</v>
      </c>
      <c r="Y256" s="309">
        <f t="shared" si="87"/>
        <v>1832</v>
      </c>
      <c r="Z256" s="309">
        <f t="shared" si="74"/>
        <v>155</v>
      </c>
      <c r="AA256" s="311">
        <f t="shared" si="88"/>
        <v>2662751</v>
      </c>
      <c r="AC256" s="310">
        <v>1459936</v>
      </c>
      <c r="AD256" s="309">
        <v>1041141</v>
      </c>
      <c r="AE256" s="309">
        <v>83242</v>
      </c>
      <c r="AF256" s="309">
        <v>7447</v>
      </c>
      <c r="AG256" s="309">
        <v>755</v>
      </c>
      <c r="AH256" s="309">
        <f t="shared" si="75"/>
        <v>2592521</v>
      </c>
      <c r="AI256" s="309">
        <f t="shared" si="76"/>
        <v>219324</v>
      </c>
      <c r="AJ256" s="309">
        <f t="shared" si="77"/>
        <v>2811845</v>
      </c>
      <c r="AK256" s="309">
        <v>1832</v>
      </c>
      <c r="AL256" s="309">
        <f t="shared" si="78"/>
        <v>155</v>
      </c>
      <c r="AM256" s="311">
        <f t="shared" si="79"/>
        <v>2813832</v>
      </c>
      <c r="AO256" s="458"/>
      <c r="AP256" s="459"/>
      <c r="AQ256" s="459"/>
      <c r="AR256" s="460"/>
      <c r="AS256" s="316"/>
      <c r="AT256" s="458"/>
      <c r="AU256" s="459"/>
      <c r="AV256" s="459"/>
      <c r="AW256" s="459"/>
      <c r="AX256" s="459"/>
      <c r="AY256" s="460"/>
    </row>
    <row r="257" spans="1:51" ht="15" hidden="1" outlineLevel="1" x14ac:dyDescent="0.25">
      <c r="A257" s="295">
        <f t="shared" si="89"/>
        <v>2040</v>
      </c>
      <c r="B257" s="295">
        <f t="shared" si="90"/>
        <v>12</v>
      </c>
      <c r="C257" s="305">
        <f t="shared" si="71"/>
        <v>51471</v>
      </c>
      <c r="E257" s="310">
        <v>1220239</v>
      </c>
      <c r="F257" s="309">
        <v>876195</v>
      </c>
      <c r="G257" s="309">
        <v>69488</v>
      </c>
      <c r="H257" s="309">
        <v>4805</v>
      </c>
      <c r="I257" s="309">
        <v>820</v>
      </c>
      <c r="J257" s="309">
        <f t="shared" si="80"/>
        <v>2171547</v>
      </c>
      <c r="K257" s="309">
        <f t="shared" si="81"/>
        <v>183710</v>
      </c>
      <c r="L257" s="309">
        <f t="shared" si="82"/>
        <v>2355257</v>
      </c>
      <c r="M257" s="309">
        <v>1718</v>
      </c>
      <c r="N257" s="309">
        <f t="shared" si="72"/>
        <v>145</v>
      </c>
      <c r="O257" s="311">
        <f t="shared" si="73"/>
        <v>2357120</v>
      </c>
      <c r="P257" s="309"/>
      <c r="Q257" s="310">
        <v>1511826.7976642556</v>
      </c>
      <c r="R257" s="309">
        <v>1042642.6618181801</v>
      </c>
      <c r="S257" s="309">
        <v>76385</v>
      </c>
      <c r="T257" s="309">
        <f t="shared" si="83"/>
        <v>7006</v>
      </c>
      <c r="U257" s="309">
        <f t="shared" si="83"/>
        <v>820</v>
      </c>
      <c r="V257" s="309">
        <f t="shared" si="84"/>
        <v>2638680.4594824356</v>
      </c>
      <c r="W257" s="309">
        <f t="shared" si="85"/>
        <v>223228.5405175644</v>
      </c>
      <c r="X257" s="309">
        <f t="shared" si="86"/>
        <v>2861909</v>
      </c>
      <c r="Y257" s="309">
        <f t="shared" si="87"/>
        <v>1718</v>
      </c>
      <c r="Z257" s="309">
        <f t="shared" si="74"/>
        <v>145</v>
      </c>
      <c r="AA257" s="311">
        <f t="shared" si="88"/>
        <v>2863772</v>
      </c>
      <c r="AC257" s="310">
        <v>1647645</v>
      </c>
      <c r="AD257" s="309">
        <v>1088780</v>
      </c>
      <c r="AE257" s="309">
        <v>76385</v>
      </c>
      <c r="AF257" s="309">
        <v>7006</v>
      </c>
      <c r="AG257" s="309">
        <v>820</v>
      </c>
      <c r="AH257" s="309">
        <f t="shared" si="75"/>
        <v>2820636</v>
      </c>
      <c r="AI257" s="309">
        <f t="shared" si="76"/>
        <v>238622</v>
      </c>
      <c r="AJ257" s="309">
        <f t="shared" si="77"/>
        <v>3059258</v>
      </c>
      <c r="AK257" s="309">
        <v>1718</v>
      </c>
      <c r="AL257" s="309">
        <f t="shared" si="78"/>
        <v>145</v>
      </c>
      <c r="AM257" s="311">
        <f t="shared" si="79"/>
        <v>3061121</v>
      </c>
      <c r="AO257" s="458"/>
      <c r="AP257" s="459"/>
      <c r="AQ257" s="459"/>
      <c r="AR257" s="460"/>
      <c r="AS257" s="316"/>
      <c r="AT257" s="458"/>
      <c r="AU257" s="459"/>
      <c r="AV257" s="459"/>
      <c r="AW257" s="459"/>
      <c r="AX257" s="459"/>
      <c r="AY257" s="460"/>
    </row>
    <row r="258" spans="1:51" ht="15" hidden="1" outlineLevel="1" x14ac:dyDescent="0.25">
      <c r="A258" s="295">
        <f t="shared" si="89"/>
        <v>2041</v>
      </c>
      <c r="B258" s="295">
        <f t="shared" si="90"/>
        <v>1</v>
      </c>
      <c r="C258" s="305">
        <f t="shared" si="71"/>
        <v>51502</v>
      </c>
      <c r="E258" s="310">
        <v>1274681</v>
      </c>
      <c r="F258" s="309">
        <v>887903</v>
      </c>
      <c r="G258" s="309">
        <v>66209</v>
      </c>
      <c r="H258" s="309">
        <v>5252</v>
      </c>
      <c r="I258" s="309">
        <v>956</v>
      </c>
      <c r="J258" s="309">
        <f t="shared" si="80"/>
        <v>2235001</v>
      </c>
      <c r="K258" s="309">
        <f t="shared" si="81"/>
        <v>189078</v>
      </c>
      <c r="L258" s="309">
        <f t="shared" si="82"/>
        <v>2424079</v>
      </c>
      <c r="M258" s="309">
        <v>2325</v>
      </c>
      <c r="N258" s="309">
        <f t="shared" si="72"/>
        <v>197</v>
      </c>
      <c r="O258" s="311">
        <f t="shared" si="73"/>
        <v>2426601</v>
      </c>
      <c r="P258" s="309"/>
      <c r="Q258" s="310">
        <v>1533353.8364086824</v>
      </c>
      <c r="R258" s="309">
        <v>1052515.1489870783</v>
      </c>
      <c r="S258" s="309">
        <v>73137</v>
      </c>
      <c r="T258" s="309">
        <f t="shared" si="83"/>
        <v>7485</v>
      </c>
      <c r="U258" s="309">
        <f t="shared" si="83"/>
        <v>956</v>
      </c>
      <c r="V258" s="309">
        <f t="shared" si="84"/>
        <v>2667446.9853957607</v>
      </c>
      <c r="W258" s="309">
        <f t="shared" si="85"/>
        <v>225663.01460423926</v>
      </c>
      <c r="X258" s="309">
        <f t="shared" si="86"/>
        <v>2893110</v>
      </c>
      <c r="Y258" s="309">
        <f t="shared" si="87"/>
        <v>2325</v>
      </c>
      <c r="Z258" s="309">
        <f t="shared" si="74"/>
        <v>197</v>
      </c>
      <c r="AA258" s="311">
        <f t="shared" si="88"/>
        <v>2895632</v>
      </c>
      <c r="AC258" s="310">
        <v>1648413</v>
      </c>
      <c r="AD258" s="309">
        <v>1095896</v>
      </c>
      <c r="AE258" s="309">
        <v>73137</v>
      </c>
      <c r="AF258" s="309">
        <v>7485</v>
      </c>
      <c r="AG258" s="309">
        <v>956</v>
      </c>
      <c r="AH258" s="309">
        <f t="shared" si="75"/>
        <v>2825887</v>
      </c>
      <c r="AI258" s="309">
        <f t="shared" si="76"/>
        <v>239066</v>
      </c>
      <c r="AJ258" s="309">
        <f t="shared" si="77"/>
        <v>3064953</v>
      </c>
      <c r="AK258" s="309">
        <v>2325</v>
      </c>
      <c r="AL258" s="309">
        <f t="shared" si="78"/>
        <v>197</v>
      </c>
      <c r="AM258" s="311">
        <f t="shared" si="79"/>
        <v>3067475</v>
      </c>
      <c r="AO258" s="458"/>
      <c r="AP258" s="459"/>
      <c r="AQ258" s="459"/>
      <c r="AR258" s="460"/>
      <c r="AS258" s="316"/>
      <c r="AT258" s="458"/>
      <c r="AU258" s="459"/>
      <c r="AV258" s="459"/>
      <c r="AW258" s="459"/>
      <c r="AX258" s="459"/>
      <c r="AY258" s="460"/>
    </row>
    <row r="259" spans="1:51" ht="15" hidden="1" outlineLevel="1" x14ac:dyDescent="0.25">
      <c r="A259" s="295">
        <f t="shared" si="89"/>
        <v>2041</v>
      </c>
      <c r="B259" s="295">
        <f t="shared" si="90"/>
        <v>2</v>
      </c>
      <c r="C259" s="305">
        <f t="shared" si="71"/>
        <v>51533</v>
      </c>
      <c r="E259" s="310">
        <v>1102388</v>
      </c>
      <c r="F259" s="309">
        <v>831784</v>
      </c>
      <c r="G259" s="309">
        <v>66373</v>
      </c>
      <c r="H259" s="309">
        <v>5201</v>
      </c>
      <c r="I259" s="309">
        <v>826</v>
      </c>
      <c r="J259" s="309">
        <f t="shared" si="80"/>
        <v>2006572</v>
      </c>
      <c r="K259" s="309">
        <f t="shared" si="81"/>
        <v>169753</v>
      </c>
      <c r="L259" s="309">
        <f t="shared" si="82"/>
        <v>2176325</v>
      </c>
      <c r="M259" s="309">
        <v>2433</v>
      </c>
      <c r="N259" s="309">
        <f t="shared" si="72"/>
        <v>206</v>
      </c>
      <c r="O259" s="311">
        <f t="shared" si="73"/>
        <v>2178964</v>
      </c>
      <c r="P259" s="309"/>
      <c r="Q259" s="310">
        <v>1309381.2851186784</v>
      </c>
      <c r="R259" s="309">
        <v>972601.05813409225</v>
      </c>
      <c r="S259" s="309">
        <v>72500</v>
      </c>
      <c r="T259" s="309">
        <f t="shared" si="83"/>
        <v>6908</v>
      </c>
      <c r="U259" s="309">
        <f t="shared" si="83"/>
        <v>826</v>
      </c>
      <c r="V259" s="309">
        <f t="shared" si="84"/>
        <v>2362216.3432527706</v>
      </c>
      <c r="W259" s="309">
        <f t="shared" si="85"/>
        <v>199840.6567472294</v>
      </c>
      <c r="X259" s="309">
        <f t="shared" si="86"/>
        <v>2562057</v>
      </c>
      <c r="Y259" s="309">
        <f t="shared" si="87"/>
        <v>2433</v>
      </c>
      <c r="Z259" s="309">
        <f t="shared" si="74"/>
        <v>206</v>
      </c>
      <c r="AA259" s="311">
        <f t="shared" si="88"/>
        <v>2564696</v>
      </c>
      <c r="AC259" s="310">
        <v>1402520</v>
      </c>
      <c r="AD259" s="309">
        <v>1008984</v>
      </c>
      <c r="AE259" s="309">
        <v>72500</v>
      </c>
      <c r="AF259" s="309">
        <v>6908</v>
      </c>
      <c r="AG259" s="309">
        <v>826</v>
      </c>
      <c r="AH259" s="309">
        <f t="shared" si="75"/>
        <v>2491738</v>
      </c>
      <c r="AI259" s="309">
        <f t="shared" si="76"/>
        <v>210798</v>
      </c>
      <c r="AJ259" s="309">
        <f t="shared" si="77"/>
        <v>2702536</v>
      </c>
      <c r="AK259" s="309">
        <v>2433</v>
      </c>
      <c r="AL259" s="309">
        <f t="shared" si="78"/>
        <v>206</v>
      </c>
      <c r="AM259" s="311">
        <f t="shared" si="79"/>
        <v>2705175</v>
      </c>
      <c r="AO259" s="458"/>
      <c r="AP259" s="459"/>
      <c r="AQ259" s="459"/>
      <c r="AR259" s="460"/>
      <c r="AS259" s="316"/>
      <c r="AT259" s="458"/>
      <c r="AU259" s="459"/>
      <c r="AV259" s="459"/>
      <c r="AW259" s="459"/>
      <c r="AX259" s="459"/>
      <c r="AY259" s="460"/>
    </row>
    <row r="260" spans="1:51" ht="15" hidden="1" outlineLevel="1" x14ac:dyDescent="0.25">
      <c r="A260" s="295">
        <f t="shared" si="89"/>
        <v>2041</v>
      </c>
      <c r="B260" s="295">
        <f t="shared" si="90"/>
        <v>3</v>
      </c>
      <c r="C260" s="305">
        <f t="shared" si="71"/>
        <v>51561</v>
      </c>
      <c r="E260" s="310">
        <v>1096111</v>
      </c>
      <c r="F260" s="309">
        <v>863311</v>
      </c>
      <c r="G260" s="309">
        <v>73094</v>
      </c>
      <c r="H260" s="309">
        <v>4590</v>
      </c>
      <c r="I260" s="309">
        <v>737</v>
      </c>
      <c r="J260" s="309">
        <f t="shared" si="80"/>
        <v>2037843</v>
      </c>
      <c r="K260" s="309">
        <f t="shared" si="81"/>
        <v>172399</v>
      </c>
      <c r="L260" s="309">
        <f t="shared" si="82"/>
        <v>2210242</v>
      </c>
      <c r="M260" s="309">
        <v>2339</v>
      </c>
      <c r="N260" s="309">
        <f t="shared" si="72"/>
        <v>198</v>
      </c>
      <c r="O260" s="311">
        <f t="shared" si="73"/>
        <v>2212779</v>
      </c>
      <c r="P260" s="309"/>
      <c r="Q260" s="310">
        <v>1305602.8981028942</v>
      </c>
      <c r="R260" s="309">
        <v>1034026.9072735484</v>
      </c>
      <c r="S260" s="309">
        <v>80174</v>
      </c>
      <c r="T260" s="309">
        <f t="shared" si="83"/>
        <v>6391</v>
      </c>
      <c r="U260" s="309">
        <f t="shared" si="83"/>
        <v>737</v>
      </c>
      <c r="V260" s="309">
        <f t="shared" si="84"/>
        <v>2426931.8053764426</v>
      </c>
      <c r="W260" s="309">
        <f t="shared" si="85"/>
        <v>205315.19462355739</v>
      </c>
      <c r="X260" s="309">
        <f t="shared" si="86"/>
        <v>2632247</v>
      </c>
      <c r="Y260" s="309">
        <f t="shared" si="87"/>
        <v>2339</v>
      </c>
      <c r="Z260" s="309">
        <f t="shared" si="74"/>
        <v>198</v>
      </c>
      <c r="AA260" s="311">
        <f t="shared" si="88"/>
        <v>2634784</v>
      </c>
      <c r="AC260" s="310">
        <v>1396460</v>
      </c>
      <c r="AD260" s="309">
        <v>1078186</v>
      </c>
      <c r="AE260" s="309">
        <v>80174</v>
      </c>
      <c r="AF260" s="309">
        <v>6391</v>
      </c>
      <c r="AG260" s="309">
        <v>737</v>
      </c>
      <c r="AH260" s="309">
        <f t="shared" si="75"/>
        <v>2561948</v>
      </c>
      <c r="AI260" s="309">
        <f t="shared" si="76"/>
        <v>216737</v>
      </c>
      <c r="AJ260" s="309">
        <f t="shared" si="77"/>
        <v>2778685</v>
      </c>
      <c r="AK260" s="309">
        <v>2339</v>
      </c>
      <c r="AL260" s="309">
        <f t="shared" si="78"/>
        <v>198</v>
      </c>
      <c r="AM260" s="311">
        <f t="shared" si="79"/>
        <v>2781222</v>
      </c>
      <c r="AO260" s="458"/>
      <c r="AP260" s="459"/>
      <c r="AQ260" s="459"/>
      <c r="AR260" s="460"/>
      <c r="AS260" s="316"/>
      <c r="AT260" s="458"/>
      <c r="AU260" s="459"/>
      <c r="AV260" s="459"/>
      <c r="AW260" s="459"/>
      <c r="AX260" s="459"/>
      <c r="AY260" s="460"/>
    </row>
    <row r="261" spans="1:51" ht="15" hidden="1" outlineLevel="1" x14ac:dyDescent="0.25">
      <c r="A261" s="295">
        <f t="shared" si="89"/>
        <v>2041</v>
      </c>
      <c r="B261" s="295">
        <f t="shared" si="90"/>
        <v>4</v>
      </c>
      <c r="C261" s="305">
        <f t="shared" si="71"/>
        <v>51592</v>
      </c>
      <c r="E261" s="310">
        <v>1024031</v>
      </c>
      <c r="F261" s="309">
        <v>859347</v>
      </c>
      <c r="G261" s="309">
        <v>74761</v>
      </c>
      <c r="H261" s="309">
        <v>5247</v>
      </c>
      <c r="I261" s="309">
        <v>616</v>
      </c>
      <c r="J261" s="309">
        <f t="shared" si="80"/>
        <v>1964002</v>
      </c>
      <c r="K261" s="309">
        <f t="shared" si="81"/>
        <v>166152</v>
      </c>
      <c r="L261" s="309">
        <f t="shared" si="82"/>
        <v>2130154</v>
      </c>
      <c r="M261" s="309">
        <v>2172</v>
      </c>
      <c r="N261" s="309">
        <f t="shared" si="72"/>
        <v>184</v>
      </c>
      <c r="O261" s="311">
        <f t="shared" si="73"/>
        <v>2132510</v>
      </c>
      <c r="P261" s="309"/>
      <c r="Q261" s="310">
        <v>1207304.7803462197</v>
      </c>
      <c r="R261" s="309">
        <v>1014720.0905096094</v>
      </c>
      <c r="S261" s="309">
        <v>81396</v>
      </c>
      <c r="T261" s="309">
        <f t="shared" si="83"/>
        <v>6769</v>
      </c>
      <c r="U261" s="309">
        <f t="shared" si="83"/>
        <v>616</v>
      </c>
      <c r="V261" s="309">
        <f t="shared" si="84"/>
        <v>2310805.8708558292</v>
      </c>
      <c r="W261" s="309">
        <f t="shared" si="85"/>
        <v>195491.12914417079</v>
      </c>
      <c r="X261" s="309">
        <f t="shared" si="86"/>
        <v>2506297</v>
      </c>
      <c r="Y261" s="309">
        <f t="shared" si="87"/>
        <v>2172</v>
      </c>
      <c r="Z261" s="309">
        <f t="shared" si="74"/>
        <v>184</v>
      </c>
      <c r="AA261" s="311">
        <f t="shared" si="88"/>
        <v>2508653</v>
      </c>
      <c r="AC261" s="310">
        <v>1286338</v>
      </c>
      <c r="AD261" s="309">
        <v>1060720</v>
      </c>
      <c r="AE261" s="309">
        <v>81396</v>
      </c>
      <c r="AF261" s="309">
        <v>6769</v>
      </c>
      <c r="AG261" s="309">
        <v>616</v>
      </c>
      <c r="AH261" s="309">
        <f t="shared" si="75"/>
        <v>2435839</v>
      </c>
      <c r="AI261" s="309">
        <f t="shared" si="76"/>
        <v>206069</v>
      </c>
      <c r="AJ261" s="309">
        <f t="shared" si="77"/>
        <v>2641908</v>
      </c>
      <c r="AK261" s="309">
        <v>2172</v>
      </c>
      <c r="AL261" s="309">
        <f t="shared" si="78"/>
        <v>184</v>
      </c>
      <c r="AM261" s="311">
        <f t="shared" si="79"/>
        <v>2644264</v>
      </c>
      <c r="AO261" s="458"/>
      <c r="AP261" s="459"/>
      <c r="AQ261" s="459"/>
      <c r="AR261" s="460"/>
      <c r="AS261" s="316"/>
      <c r="AT261" s="458"/>
      <c r="AU261" s="459"/>
      <c r="AV261" s="459"/>
      <c r="AW261" s="459"/>
      <c r="AX261" s="459"/>
      <c r="AY261" s="460"/>
    </row>
    <row r="262" spans="1:51" ht="15" hidden="1" outlineLevel="1" x14ac:dyDescent="0.25">
      <c r="A262" s="295">
        <f t="shared" si="89"/>
        <v>2041</v>
      </c>
      <c r="B262" s="295">
        <f t="shared" si="90"/>
        <v>5</v>
      </c>
      <c r="C262" s="305">
        <f t="shared" si="71"/>
        <v>51622</v>
      </c>
      <c r="E262" s="310">
        <v>905988</v>
      </c>
      <c r="F262" s="309">
        <v>781126</v>
      </c>
      <c r="G262" s="309">
        <v>70094</v>
      </c>
      <c r="H262" s="309">
        <v>5133</v>
      </c>
      <c r="I262" s="309">
        <v>432</v>
      </c>
      <c r="J262" s="309">
        <f t="shared" si="80"/>
        <v>1762773</v>
      </c>
      <c r="K262" s="309">
        <f t="shared" si="81"/>
        <v>149128</v>
      </c>
      <c r="L262" s="309">
        <f t="shared" si="82"/>
        <v>1911901</v>
      </c>
      <c r="M262" s="309">
        <v>2174</v>
      </c>
      <c r="N262" s="309">
        <f t="shared" si="72"/>
        <v>184</v>
      </c>
      <c r="O262" s="311">
        <f t="shared" si="73"/>
        <v>1914259</v>
      </c>
      <c r="P262" s="309"/>
      <c r="Q262" s="310">
        <v>1047921.0452815059</v>
      </c>
      <c r="R262" s="309">
        <v>956255.57815504435</v>
      </c>
      <c r="S262" s="309">
        <v>76969</v>
      </c>
      <c r="T262" s="309">
        <f t="shared" si="83"/>
        <v>6480</v>
      </c>
      <c r="U262" s="309">
        <f t="shared" si="83"/>
        <v>432</v>
      </c>
      <c r="V262" s="309">
        <f t="shared" si="84"/>
        <v>2088057.6234365501</v>
      </c>
      <c r="W262" s="309">
        <f t="shared" si="85"/>
        <v>176647.37656344986</v>
      </c>
      <c r="X262" s="309">
        <f t="shared" si="86"/>
        <v>2264705</v>
      </c>
      <c r="Y262" s="309">
        <f t="shared" si="87"/>
        <v>2174</v>
      </c>
      <c r="Z262" s="309">
        <f t="shared" si="74"/>
        <v>184</v>
      </c>
      <c r="AA262" s="311">
        <f t="shared" si="88"/>
        <v>2267063</v>
      </c>
      <c r="AC262" s="310">
        <v>1121310</v>
      </c>
      <c r="AD262" s="309">
        <v>1004380</v>
      </c>
      <c r="AE262" s="309">
        <v>76969</v>
      </c>
      <c r="AF262" s="309">
        <v>6480</v>
      </c>
      <c r="AG262" s="309">
        <v>432</v>
      </c>
      <c r="AH262" s="309">
        <f t="shared" si="75"/>
        <v>2209571</v>
      </c>
      <c r="AI262" s="309">
        <f t="shared" si="76"/>
        <v>186927</v>
      </c>
      <c r="AJ262" s="309">
        <f t="shared" si="77"/>
        <v>2396498</v>
      </c>
      <c r="AK262" s="309">
        <v>2174</v>
      </c>
      <c r="AL262" s="309">
        <f t="shared" si="78"/>
        <v>184</v>
      </c>
      <c r="AM262" s="311">
        <f t="shared" si="79"/>
        <v>2398856</v>
      </c>
      <c r="AO262" s="458"/>
      <c r="AP262" s="459"/>
      <c r="AQ262" s="459"/>
      <c r="AR262" s="460"/>
      <c r="AS262" s="316"/>
      <c r="AT262" s="458"/>
      <c r="AU262" s="459"/>
      <c r="AV262" s="459"/>
      <c r="AW262" s="459"/>
      <c r="AX262" s="459"/>
      <c r="AY262" s="460"/>
    </row>
    <row r="263" spans="1:51" ht="15" hidden="1" outlineLevel="1" x14ac:dyDescent="0.25">
      <c r="A263" s="295">
        <f t="shared" si="89"/>
        <v>2041</v>
      </c>
      <c r="B263" s="295">
        <f t="shared" si="90"/>
        <v>6</v>
      </c>
      <c r="C263" s="305">
        <f t="shared" si="71"/>
        <v>51653</v>
      </c>
      <c r="E263" s="310">
        <v>921148</v>
      </c>
      <c r="F263" s="309">
        <v>823001</v>
      </c>
      <c r="G263" s="309">
        <v>72255</v>
      </c>
      <c r="H263" s="309">
        <v>5108</v>
      </c>
      <c r="I263" s="309">
        <v>316</v>
      </c>
      <c r="J263" s="309">
        <f t="shared" si="80"/>
        <v>1821828</v>
      </c>
      <c r="K263" s="309">
        <f t="shared" si="81"/>
        <v>154124</v>
      </c>
      <c r="L263" s="309">
        <f t="shared" si="82"/>
        <v>1975952</v>
      </c>
      <c r="M263" s="309">
        <v>1787</v>
      </c>
      <c r="N263" s="309">
        <f t="shared" si="72"/>
        <v>151</v>
      </c>
      <c r="O263" s="311">
        <f t="shared" si="73"/>
        <v>1977890</v>
      </c>
      <c r="P263" s="309"/>
      <c r="Q263" s="310">
        <v>1031195.3478386258</v>
      </c>
      <c r="R263" s="309">
        <v>986404.16426433204</v>
      </c>
      <c r="S263" s="309">
        <v>79056</v>
      </c>
      <c r="T263" s="309">
        <f t="shared" si="83"/>
        <v>6240</v>
      </c>
      <c r="U263" s="309">
        <f t="shared" si="83"/>
        <v>316</v>
      </c>
      <c r="V263" s="309">
        <f t="shared" si="84"/>
        <v>2103211.5121029578</v>
      </c>
      <c r="W263" s="309">
        <f t="shared" si="85"/>
        <v>177928.48789704219</v>
      </c>
      <c r="X263" s="309">
        <f t="shared" si="86"/>
        <v>2281140</v>
      </c>
      <c r="Y263" s="309">
        <f t="shared" si="87"/>
        <v>1787</v>
      </c>
      <c r="Z263" s="309">
        <f t="shared" si="74"/>
        <v>151</v>
      </c>
      <c r="AA263" s="311">
        <f t="shared" si="88"/>
        <v>2283078</v>
      </c>
      <c r="AC263" s="310">
        <v>1092510</v>
      </c>
      <c r="AD263" s="309">
        <v>1034807</v>
      </c>
      <c r="AE263" s="309">
        <v>79056</v>
      </c>
      <c r="AF263" s="309">
        <v>6240</v>
      </c>
      <c r="AG263" s="309">
        <v>316</v>
      </c>
      <c r="AH263" s="309">
        <f t="shared" si="75"/>
        <v>2212929</v>
      </c>
      <c r="AI263" s="309">
        <f t="shared" si="76"/>
        <v>187211</v>
      </c>
      <c r="AJ263" s="309">
        <f t="shared" si="77"/>
        <v>2400140</v>
      </c>
      <c r="AK263" s="309">
        <v>1787</v>
      </c>
      <c r="AL263" s="309">
        <f t="shared" si="78"/>
        <v>151</v>
      </c>
      <c r="AM263" s="311">
        <f t="shared" si="79"/>
        <v>2402078</v>
      </c>
      <c r="AO263" s="458"/>
      <c r="AP263" s="459"/>
      <c r="AQ263" s="459"/>
      <c r="AR263" s="460"/>
      <c r="AS263" s="316"/>
      <c r="AT263" s="458"/>
      <c r="AU263" s="459"/>
      <c r="AV263" s="459"/>
      <c r="AW263" s="459"/>
      <c r="AX263" s="459"/>
      <c r="AY263" s="460"/>
    </row>
    <row r="264" spans="1:51" ht="15" hidden="1" outlineLevel="1" x14ac:dyDescent="0.25">
      <c r="A264" s="295">
        <f t="shared" si="89"/>
        <v>2041</v>
      </c>
      <c r="B264" s="295">
        <f t="shared" si="90"/>
        <v>7</v>
      </c>
      <c r="C264" s="305">
        <f t="shared" si="71"/>
        <v>51683</v>
      </c>
      <c r="E264" s="310">
        <v>1007177</v>
      </c>
      <c r="F264" s="309">
        <v>855946</v>
      </c>
      <c r="G264" s="309">
        <v>79639</v>
      </c>
      <c r="H264" s="309">
        <v>4718</v>
      </c>
      <c r="I264" s="309">
        <v>288</v>
      </c>
      <c r="J264" s="309">
        <f t="shared" si="80"/>
        <v>1947768</v>
      </c>
      <c r="K264" s="309">
        <f t="shared" si="81"/>
        <v>164779</v>
      </c>
      <c r="L264" s="309">
        <f t="shared" si="82"/>
        <v>2112547</v>
      </c>
      <c r="M264" s="309">
        <v>2889</v>
      </c>
      <c r="N264" s="309">
        <f t="shared" si="72"/>
        <v>244</v>
      </c>
      <c r="O264" s="311">
        <f t="shared" si="73"/>
        <v>2115680</v>
      </c>
      <c r="P264" s="309"/>
      <c r="Q264" s="310">
        <v>1120686.4583975703</v>
      </c>
      <c r="R264" s="309">
        <v>1034105.4153204788</v>
      </c>
      <c r="S264" s="309">
        <v>86601</v>
      </c>
      <c r="T264" s="309">
        <f t="shared" si="83"/>
        <v>6048</v>
      </c>
      <c r="U264" s="309">
        <f t="shared" si="83"/>
        <v>288</v>
      </c>
      <c r="V264" s="309">
        <f t="shared" si="84"/>
        <v>2247728.8737180494</v>
      </c>
      <c r="W264" s="309">
        <f t="shared" si="85"/>
        <v>190155.12628195062</v>
      </c>
      <c r="X264" s="309">
        <f t="shared" si="86"/>
        <v>2437884</v>
      </c>
      <c r="Y264" s="309">
        <f t="shared" si="87"/>
        <v>2889</v>
      </c>
      <c r="Z264" s="309">
        <f t="shared" si="74"/>
        <v>244</v>
      </c>
      <c r="AA264" s="311">
        <f t="shared" si="88"/>
        <v>2441017</v>
      </c>
      <c r="AC264" s="310">
        <v>1190781</v>
      </c>
      <c r="AD264" s="309">
        <v>1087964</v>
      </c>
      <c r="AE264" s="309">
        <v>86601</v>
      </c>
      <c r="AF264" s="309">
        <v>6048</v>
      </c>
      <c r="AG264" s="309">
        <v>288</v>
      </c>
      <c r="AH264" s="309">
        <f t="shared" si="75"/>
        <v>2371682</v>
      </c>
      <c r="AI264" s="309">
        <f t="shared" si="76"/>
        <v>200641</v>
      </c>
      <c r="AJ264" s="309">
        <f t="shared" si="77"/>
        <v>2572323</v>
      </c>
      <c r="AK264" s="309">
        <v>2889</v>
      </c>
      <c r="AL264" s="309">
        <f t="shared" si="78"/>
        <v>244</v>
      </c>
      <c r="AM264" s="311">
        <f t="shared" si="79"/>
        <v>2575456</v>
      </c>
      <c r="AO264" s="458"/>
      <c r="AP264" s="459"/>
      <c r="AQ264" s="459"/>
      <c r="AR264" s="460"/>
      <c r="AS264" s="316"/>
      <c r="AT264" s="458"/>
      <c r="AU264" s="459"/>
      <c r="AV264" s="459"/>
      <c r="AW264" s="459"/>
      <c r="AX264" s="459"/>
      <c r="AY264" s="460"/>
    </row>
    <row r="265" spans="1:51" ht="15" hidden="1" outlineLevel="1" x14ac:dyDescent="0.25">
      <c r="A265" s="295">
        <f t="shared" si="89"/>
        <v>2041</v>
      </c>
      <c r="B265" s="295">
        <f t="shared" si="90"/>
        <v>8</v>
      </c>
      <c r="C265" s="305">
        <f t="shared" si="71"/>
        <v>51714</v>
      </c>
      <c r="E265" s="310">
        <v>1015823</v>
      </c>
      <c r="F265" s="309">
        <v>854385</v>
      </c>
      <c r="G265" s="309">
        <v>80031</v>
      </c>
      <c r="H265" s="309">
        <v>4982</v>
      </c>
      <c r="I265" s="309">
        <v>280</v>
      </c>
      <c r="J265" s="309">
        <f t="shared" si="80"/>
        <v>1955501</v>
      </c>
      <c r="K265" s="309">
        <f t="shared" si="81"/>
        <v>165433</v>
      </c>
      <c r="L265" s="309">
        <f t="shared" si="82"/>
        <v>2120934</v>
      </c>
      <c r="M265" s="309">
        <v>1634</v>
      </c>
      <c r="N265" s="309">
        <f t="shared" si="72"/>
        <v>138</v>
      </c>
      <c r="O265" s="311">
        <f t="shared" si="73"/>
        <v>2122706</v>
      </c>
      <c r="P265" s="309"/>
      <c r="Q265" s="310">
        <v>1130781.8231709085</v>
      </c>
      <c r="R265" s="309">
        <v>1034037.7072173206</v>
      </c>
      <c r="S265" s="309">
        <v>87344</v>
      </c>
      <c r="T265" s="309">
        <f t="shared" si="83"/>
        <v>6507</v>
      </c>
      <c r="U265" s="309">
        <f t="shared" si="83"/>
        <v>280</v>
      </c>
      <c r="V265" s="309">
        <f t="shared" si="84"/>
        <v>2258950.5303882291</v>
      </c>
      <c r="W265" s="309">
        <f t="shared" si="85"/>
        <v>191104.46961177094</v>
      </c>
      <c r="X265" s="309">
        <f t="shared" si="86"/>
        <v>2450055</v>
      </c>
      <c r="Y265" s="309">
        <f t="shared" si="87"/>
        <v>1634</v>
      </c>
      <c r="Z265" s="309">
        <f t="shared" si="74"/>
        <v>138</v>
      </c>
      <c r="AA265" s="311">
        <f t="shared" si="88"/>
        <v>2451827</v>
      </c>
      <c r="AC265" s="310">
        <v>1198742</v>
      </c>
      <c r="AD265" s="309">
        <v>1086481</v>
      </c>
      <c r="AE265" s="309">
        <v>87344</v>
      </c>
      <c r="AF265" s="309">
        <v>6507</v>
      </c>
      <c r="AG265" s="309">
        <v>280</v>
      </c>
      <c r="AH265" s="309">
        <f t="shared" si="75"/>
        <v>2379354</v>
      </c>
      <c r="AI265" s="309">
        <f t="shared" si="76"/>
        <v>201290</v>
      </c>
      <c r="AJ265" s="309">
        <f t="shared" si="77"/>
        <v>2580644</v>
      </c>
      <c r="AK265" s="309">
        <v>1634</v>
      </c>
      <c r="AL265" s="309">
        <f t="shared" si="78"/>
        <v>138</v>
      </c>
      <c r="AM265" s="311">
        <f t="shared" si="79"/>
        <v>2582416</v>
      </c>
      <c r="AO265" s="458"/>
      <c r="AP265" s="459"/>
      <c r="AQ265" s="459"/>
      <c r="AR265" s="460"/>
      <c r="AS265" s="316"/>
      <c r="AT265" s="458"/>
      <c r="AU265" s="459"/>
      <c r="AV265" s="459"/>
      <c r="AW265" s="459"/>
      <c r="AX265" s="459"/>
      <c r="AY265" s="460"/>
    </row>
    <row r="266" spans="1:51" ht="15" hidden="1" outlineLevel="1" x14ac:dyDescent="0.25">
      <c r="A266" s="295">
        <f t="shared" si="89"/>
        <v>2041</v>
      </c>
      <c r="B266" s="295">
        <f t="shared" si="90"/>
        <v>9</v>
      </c>
      <c r="C266" s="305">
        <f t="shared" si="71"/>
        <v>51745</v>
      </c>
      <c r="E266" s="310">
        <v>898542</v>
      </c>
      <c r="F266" s="309">
        <v>823398</v>
      </c>
      <c r="G266" s="309">
        <v>76453</v>
      </c>
      <c r="H266" s="309">
        <v>5311</v>
      </c>
      <c r="I266" s="309">
        <v>352</v>
      </c>
      <c r="J266" s="309">
        <f t="shared" si="80"/>
        <v>1804056</v>
      </c>
      <c r="K266" s="309">
        <f t="shared" si="81"/>
        <v>152621</v>
      </c>
      <c r="L266" s="309">
        <f t="shared" si="82"/>
        <v>1956677</v>
      </c>
      <c r="M266" s="309">
        <v>1428</v>
      </c>
      <c r="N266" s="309">
        <f t="shared" si="72"/>
        <v>121</v>
      </c>
      <c r="O266" s="311">
        <f t="shared" si="73"/>
        <v>1958226</v>
      </c>
      <c r="P266" s="309"/>
      <c r="Q266" s="310">
        <v>1018124.8115540653</v>
      </c>
      <c r="R266" s="309">
        <v>991028.28458872577</v>
      </c>
      <c r="S266" s="309">
        <v>83337</v>
      </c>
      <c r="T266" s="309">
        <f t="shared" si="83"/>
        <v>6839</v>
      </c>
      <c r="U266" s="309">
        <f t="shared" si="83"/>
        <v>352</v>
      </c>
      <c r="V266" s="309">
        <f t="shared" si="84"/>
        <v>2099681.0961427912</v>
      </c>
      <c r="W266" s="309">
        <f t="shared" si="85"/>
        <v>177629.90385720879</v>
      </c>
      <c r="X266" s="309">
        <f t="shared" si="86"/>
        <v>2277311</v>
      </c>
      <c r="Y266" s="309">
        <f t="shared" si="87"/>
        <v>1428</v>
      </c>
      <c r="Z266" s="309">
        <f t="shared" si="74"/>
        <v>121</v>
      </c>
      <c r="AA266" s="311">
        <f t="shared" si="88"/>
        <v>2278860</v>
      </c>
      <c r="AC266" s="310">
        <v>1080390</v>
      </c>
      <c r="AD266" s="309">
        <v>1035011</v>
      </c>
      <c r="AE266" s="309">
        <v>83337</v>
      </c>
      <c r="AF266" s="309">
        <v>6839</v>
      </c>
      <c r="AG266" s="309">
        <v>352</v>
      </c>
      <c r="AH266" s="309">
        <f t="shared" si="75"/>
        <v>2205929</v>
      </c>
      <c r="AI266" s="309">
        <f t="shared" si="76"/>
        <v>186619</v>
      </c>
      <c r="AJ266" s="309">
        <f t="shared" si="77"/>
        <v>2392548</v>
      </c>
      <c r="AK266" s="309">
        <v>1428</v>
      </c>
      <c r="AL266" s="309">
        <f t="shared" si="78"/>
        <v>121</v>
      </c>
      <c r="AM266" s="311">
        <f t="shared" si="79"/>
        <v>2394097</v>
      </c>
      <c r="AO266" s="458"/>
      <c r="AP266" s="459"/>
      <c r="AQ266" s="459"/>
      <c r="AR266" s="460"/>
      <c r="AS266" s="316"/>
      <c r="AT266" s="458"/>
      <c r="AU266" s="459"/>
      <c r="AV266" s="459"/>
      <c r="AW266" s="459"/>
      <c r="AX266" s="459"/>
      <c r="AY266" s="460"/>
    </row>
    <row r="267" spans="1:51" ht="15" hidden="1" outlineLevel="1" x14ac:dyDescent="0.25">
      <c r="A267" s="295">
        <f t="shared" si="89"/>
        <v>2041</v>
      </c>
      <c r="B267" s="295">
        <f t="shared" si="90"/>
        <v>10</v>
      </c>
      <c r="C267" s="305">
        <f t="shared" si="71"/>
        <v>51775</v>
      </c>
      <c r="E267" s="310">
        <v>954868</v>
      </c>
      <c r="F267" s="309">
        <v>832437</v>
      </c>
      <c r="G267" s="309">
        <v>72209</v>
      </c>
      <c r="H267" s="309">
        <v>4862</v>
      </c>
      <c r="I267" s="309">
        <v>460</v>
      </c>
      <c r="J267" s="309">
        <f t="shared" si="80"/>
        <v>1864836</v>
      </c>
      <c r="K267" s="309">
        <f t="shared" si="81"/>
        <v>157762</v>
      </c>
      <c r="L267" s="309">
        <f>ROUNDDOWN(J267/(1-0.078), 0)</f>
        <v>2022598</v>
      </c>
      <c r="M267" s="309">
        <v>1830</v>
      </c>
      <c r="N267" s="309">
        <f t="shared" si="72"/>
        <v>155</v>
      </c>
      <c r="O267" s="311">
        <f t="shared" si="73"/>
        <v>2024583</v>
      </c>
      <c r="P267" s="309"/>
      <c r="Q267" s="310">
        <v>1120283.536434884</v>
      </c>
      <c r="R267" s="309">
        <v>1002106.3668921614</v>
      </c>
      <c r="S267" s="309">
        <v>79434</v>
      </c>
      <c r="T267" s="309">
        <f t="shared" si="83"/>
        <v>6788</v>
      </c>
      <c r="U267" s="309">
        <f t="shared" si="83"/>
        <v>460</v>
      </c>
      <c r="V267" s="309">
        <f t="shared" si="84"/>
        <v>2209071.9033270455</v>
      </c>
      <c r="W267" s="309">
        <f t="shared" si="85"/>
        <v>186885.0966729545</v>
      </c>
      <c r="X267" s="309">
        <f t="shared" si="86"/>
        <v>2395957</v>
      </c>
      <c r="Y267" s="309">
        <f t="shared" si="87"/>
        <v>1830</v>
      </c>
      <c r="Z267" s="309">
        <f t="shared" si="74"/>
        <v>155</v>
      </c>
      <c r="AA267" s="311">
        <f t="shared" si="88"/>
        <v>2397942</v>
      </c>
      <c r="AC267" s="310">
        <v>1201636</v>
      </c>
      <c r="AD267" s="309">
        <v>1044002</v>
      </c>
      <c r="AE267" s="309">
        <v>79434</v>
      </c>
      <c r="AF267" s="309">
        <v>6788</v>
      </c>
      <c r="AG267" s="309">
        <v>460</v>
      </c>
      <c r="AH267" s="309">
        <f t="shared" si="75"/>
        <v>2332320</v>
      </c>
      <c r="AI267" s="309">
        <f t="shared" si="76"/>
        <v>197311</v>
      </c>
      <c r="AJ267" s="309">
        <f t="shared" si="77"/>
        <v>2529631</v>
      </c>
      <c r="AK267" s="309">
        <v>1830</v>
      </c>
      <c r="AL267" s="309">
        <f t="shared" si="78"/>
        <v>155</v>
      </c>
      <c r="AM267" s="311">
        <f t="shared" si="79"/>
        <v>2531616</v>
      </c>
      <c r="AO267" s="458"/>
      <c r="AP267" s="459"/>
      <c r="AQ267" s="459"/>
      <c r="AR267" s="460"/>
      <c r="AS267" s="316"/>
      <c r="AT267" s="458"/>
      <c r="AU267" s="459"/>
      <c r="AV267" s="459"/>
      <c r="AW267" s="459"/>
      <c r="AX267" s="459"/>
      <c r="AY267" s="460"/>
    </row>
    <row r="268" spans="1:51" ht="15" hidden="1" outlineLevel="1" x14ac:dyDescent="0.25">
      <c r="A268" s="295">
        <f t="shared" si="89"/>
        <v>2041</v>
      </c>
      <c r="B268" s="295">
        <f t="shared" si="90"/>
        <v>11</v>
      </c>
      <c r="C268" s="305">
        <f t="shared" si="71"/>
        <v>51806</v>
      </c>
      <c r="E268" s="310">
        <v>1159391</v>
      </c>
      <c r="F268" s="309">
        <v>867991</v>
      </c>
      <c r="G268" s="309">
        <v>76324</v>
      </c>
      <c r="H268" s="309">
        <v>5447</v>
      </c>
      <c r="I268" s="309">
        <v>754</v>
      </c>
      <c r="J268" s="309">
        <f t="shared" si="80"/>
        <v>2109907</v>
      </c>
      <c r="K268" s="309">
        <f t="shared" si="81"/>
        <v>178495</v>
      </c>
      <c r="L268" s="309">
        <f t="shared" si="82"/>
        <v>2288402</v>
      </c>
      <c r="M268" s="309">
        <v>1832</v>
      </c>
      <c r="N268" s="309">
        <f t="shared" si="72"/>
        <v>155</v>
      </c>
      <c r="O268" s="311">
        <f t="shared" si="73"/>
        <v>2290389</v>
      </c>
      <c r="P268" s="309"/>
      <c r="Q268" s="310">
        <v>1374815.7013704677</v>
      </c>
      <c r="R268" s="309">
        <v>1027846.1311196337</v>
      </c>
      <c r="S268" s="309">
        <v>82940</v>
      </c>
      <c r="T268" s="309">
        <f t="shared" si="83"/>
        <v>7543</v>
      </c>
      <c r="U268" s="309">
        <f t="shared" si="83"/>
        <v>754</v>
      </c>
      <c r="V268" s="309">
        <f t="shared" si="84"/>
        <v>2493898.8324901015</v>
      </c>
      <c r="W268" s="309">
        <f t="shared" si="85"/>
        <v>210980.16750989854</v>
      </c>
      <c r="X268" s="309">
        <f t="shared" si="86"/>
        <v>2704879</v>
      </c>
      <c r="Y268" s="309">
        <f t="shared" si="87"/>
        <v>1832</v>
      </c>
      <c r="Z268" s="309">
        <f t="shared" si="74"/>
        <v>155</v>
      </c>
      <c r="AA268" s="311">
        <f t="shared" si="88"/>
        <v>2706866</v>
      </c>
      <c r="AC268" s="310">
        <v>1480878</v>
      </c>
      <c r="AD268" s="309">
        <v>1066242</v>
      </c>
      <c r="AE268" s="309">
        <v>82940</v>
      </c>
      <c r="AF268" s="309">
        <v>7543</v>
      </c>
      <c r="AG268" s="309">
        <v>754</v>
      </c>
      <c r="AH268" s="309">
        <f t="shared" si="75"/>
        <v>2638357</v>
      </c>
      <c r="AI268" s="309">
        <f t="shared" si="76"/>
        <v>223202</v>
      </c>
      <c r="AJ268" s="309">
        <f t="shared" si="77"/>
        <v>2861559</v>
      </c>
      <c r="AK268" s="309">
        <v>1832</v>
      </c>
      <c r="AL268" s="309">
        <f t="shared" si="78"/>
        <v>155</v>
      </c>
      <c r="AM268" s="311">
        <f t="shared" si="79"/>
        <v>2863546</v>
      </c>
      <c r="AO268" s="458"/>
      <c r="AP268" s="459"/>
      <c r="AQ268" s="459"/>
      <c r="AR268" s="460"/>
      <c r="AS268" s="316"/>
      <c r="AT268" s="458"/>
      <c r="AU268" s="459"/>
      <c r="AV268" s="459"/>
      <c r="AW268" s="459"/>
      <c r="AX268" s="459"/>
      <c r="AY268" s="460"/>
    </row>
    <row r="269" spans="1:51" ht="15" hidden="1" outlineLevel="1" x14ac:dyDescent="0.25">
      <c r="A269" s="295">
        <f t="shared" si="89"/>
        <v>2041</v>
      </c>
      <c r="B269" s="295">
        <f t="shared" si="90"/>
        <v>12</v>
      </c>
      <c r="C269" s="305">
        <f t="shared" si="71"/>
        <v>51836</v>
      </c>
      <c r="E269" s="310">
        <v>1223608</v>
      </c>
      <c r="F269" s="309">
        <v>894317</v>
      </c>
      <c r="G269" s="309">
        <v>69193</v>
      </c>
      <c r="H269" s="309">
        <v>4876</v>
      </c>
      <c r="I269" s="309">
        <v>815</v>
      </c>
      <c r="J269" s="309">
        <f t="shared" si="80"/>
        <v>2192809</v>
      </c>
      <c r="K269" s="309">
        <f t="shared" si="81"/>
        <v>185509</v>
      </c>
      <c r="L269" s="309">
        <f t="shared" si="82"/>
        <v>2378318</v>
      </c>
      <c r="M269" s="309">
        <v>1718</v>
      </c>
      <c r="N269" s="309">
        <f t="shared" si="72"/>
        <v>145</v>
      </c>
      <c r="O269" s="311">
        <f t="shared" si="73"/>
        <v>2380181</v>
      </c>
      <c r="P269" s="309"/>
      <c r="Q269" s="310">
        <v>1523014.585735739</v>
      </c>
      <c r="R269" s="309">
        <v>1064596.1643132975</v>
      </c>
      <c r="S269" s="309">
        <v>76080</v>
      </c>
      <c r="T269" s="309">
        <f t="shared" si="83"/>
        <v>7097</v>
      </c>
      <c r="U269" s="309">
        <f t="shared" si="83"/>
        <v>815</v>
      </c>
      <c r="V269" s="309">
        <f t="shared" si="84"/>
        <v>2671602.7500490365</v>
      </c>
      <c r="W269" s="309">
        <f t="shared" si="85"/>
        <v>226014.24995096354</v>
      </c>
      <c r="X269" s="309">
        <f t="shared" si="86"/>
        <v>2897617</v>
      </c>
      <c r="Y269" s="309">
        <f t="shared" si="87"/>
        <v>1718</v>
      </c>
      <c r="Z269" s="309">
        <f t="shared" si="74"/>
        <v>145</v>
      </c>
      <c r="AA269" s="311">
        <f t="shared" si="88"/>
        <v>2899480</v>
      </c>
      <c r="AC269" s="310">
        <v>1663526</v>
      </c>
      <c r="AD269" s="309">
        <v>1113024</v>
      </c>
      <c r="AE269" s="309">
        <v>76080</v>
      </c>
      <c r="AF269" s="309">
        <v>7097</v>
      </c>
      <c r="AG269" s="309">
        <v>815</v>
      </c>
      <c r="AH269" s="309">
        <f t="shared" si="75"/>
        <v>2860542</v>
      </c>
      <c r="AI269" s="309">
        <f t="shared" si="76"/>
        <v>241998</v>
      </c>
      <c r="AJ269" s="309">
        <f t="shared" si="77"/>
        <v>3102540</v>
      </c>
      <c r="AK269" s="309">
        <v>1718</v>
      </c>
      <c r="AL269" s="309">
        <f t="shared" si="78"/>
        <v>145</v>
      </c>
      <c r="AM269" s="311">
        <f t="shared" si="79"/>
        <v>3104403</v>
      </c>
      <c r="AO269" s="458"/>
      <c r="AP269" s="459"/>
      <c r="AQ269" s="459"/>
      <c r="AR269" s="460"/>
      <c r="AS269" s="316"/>
      <c r="AT269" s="458"/>
      <c r="AU269" s="459"/>
      <c r="AV269" s="459"/>
      <c r="AW269" s="459"/>
      <c r="AX269" s="459"/>
      <c r="AY269" s="460"/>
    </row>
    <row r="270" spans="1:51" ht="15" hidden="1" outlineLevel="1" x14ac:dyDescent="0.25">
      <c r="A270" s="295">
        <f t="shared" si="89"/>
        <v>2042</v>
      </c>
      <c r="B270" s="295">
        <f t="shared" si="90"/>
        <v>1</v>
      </c>
      <c r="C270" s="305">
        <f t="shared" si="71"/>
        <v>51867</v>
      </c>
      <c r="E270" s="310">
        <v>1274118</v>
      </c>
      <c r="F270" s="309">
        <v>905540</v>
      </c>
      <c r="G270" s="309">
        <v>65902</v>
      </c>
      <c r="H270" s="309">
        <v>5328</v>
      </c>
      <c r="I270" s="309">
        <v>948</v>
      </c>
      <c r="J270" s="309">
        <f t="shared" si="80"/>
        <v>2251836</v>
      </c>
      <c r="K270" s="309">
        <f t="shared" si="81"/>
        <v>190502</v>
      </c>
      <c r="L270" s="309">
        <f t="shared" si="82"/>
        <v>2442338</v>
      </c>
      <c r="M270" s="309">
        <v>2325</v>
      </c>
      <c r="N270" s="309">
        <f t="shared" si="72"/>
        <v>197</v>
      </c>
      <c r="O270" s="311">
        <f t="shared" si="73"/>
        <v>2444860</v>
      </c>
      <c r="P270" s="309"/>
      <c r="Q270" s="310">
        <v>1540174.6076356189</v>
      </c>
      <c r="R270" s="309">
        <v>1073430.2584763705</v>
      </c>
      <c r="S270" s="309">
        <v>72832</v>
      </c>
      <c r="T270" s="309">
        <f t="shared" si="83"/>
        <v>7581</v>
      </c>
      <c r="U270" s="309">
        <f t="shared" si="83"/>
        <v>948</v>
      </c>
      <c r="V270" s="309">
        <f t="shared" si="84"/>
        <v>2694965.8661119891</v>
      </c>
      <c r="W270" s="309">
        <f t="shared" si="85"/>
        <v>227990.13388801087</v>
      </c>
      <c r="X270" s="309">
        <f t="shared" si="86"/>
        <v>2922956</v>
      </c>
      <c r="Y270" s="309">
        <f t="shared" si="87"/>
        <v>2325</v>
      </c>
      <c r="Z270" s="309">
        <f t="shared" si="74"/>
        <v>197</v>
      </c>
      <c r="AA270" s="311">
        <f t="shared" si="88"/>
        <v>2925478</v>
      </c>
      <c r="AC270" s="310">
        <v>1659232</v>
      </c>
      <c r="AD270" s="309">
        <v>1119021</v>
      </c>
      <c r="AE270" s="309">
        <v>72832</v>
      </c>
      <c r="AF270" s="309">
        <v>7581</v>
      </c>
      <c r="AG270" s="309">
        <v>948</v>
      </c>
      <c r="AH270" s="309">
        <f t="shared" si="75"/>
        <v>2859614</v>
      </c>
      <c r="AI270" s="309">
        <f t="shared" si="76"/>
        <v>241920</v>
      </c>
      <c r="AJ270" s="309">
        <f t="shared" si="77"/>
        <v>3101534</v>
      </c>
      <c r="AK270" s="309">
        <v>2325</v>
      </c>
      <c r="AL270" s="309">
        <f t="shared" si="78"/>
        <v>197</v>
      </c>
      <c r="AM270" s="311">
        <f t="shared" si="79"/>
        <v>3104056</v>
      </c>
      <c r="AO270" s="458"/>
      <c r="AP270" s="459"/>
      <c r="AQ270" s="459"/>
      <c r="AR270" s="460"/>
      <c r="AS270" s="316"/>
      <c r="AT270" s="458"/>
      <c r="AU270" s="459"/>
      <c r="AV270" s="459"/>
      <c r="AW270" s="459"/>
      <c r="AX270" s="459"/>
      <c r="AY270" s="460"/>
    </row>
    <row r="271" spans="1:51" ht="15" hidden="1" outlineLevel="1" x14ac:dyDescent="0.25">
      <c r="A271" s="295">
        <f t="shared" si="89"/>
        <v>2042</v>
      </c>
      <c r="B271" s="295">
        <f t="shared" si="90"/>
        <v>2</v>
      </c>
      <c r="C271" s="305">
        <f t="shared" si="71"/>
        <v>51898</v>
      </c>
      <c r="E271" s="310">
        <v>1098822</v>
      </c>
      <c r="F271" s="309">
        <v>848231</v>
      </c>
      <c r="G271" s="309">
        <v>66058</v>
      </c>
      <c r="H271" s="309">
        <v>5275</v>
      </c>
      <c r="I271" s="309">
        <v>818</v>
      </c>
      <c r="J271" s="309">
        <f t="shared" si="80"/>
        <v>2019204</v>
      </c>
      <c r="K271" s="309">
        <f t="shared" si="81"/>
        <v>170822</v>
      </c>
      <c r="L271" s="309">
        <f t="shared" si="82"/>
        <v>2190026</v>
      </c>
      <c r="M271" s="309">
        <v>2433</v>
      </c>
      <c r="N271" s="309">
        <f t="shared" si="72"/>
        <v>206</v>
      </c>
      <c r="O271" s="311">
        <f t="shared" si="73"/>
        <v>2192665</v>
      </c>
      <c r="P271" s="309"/>
      <c r="Q271" s="310">
        <v>1311667.8481618885</v>
      </c>
      <c r="R271" s="309">
        <v>991927.19758798892</v>
      </c>
      <c r="S271" s="309">
        <v>72186</v>
      </c>
      <c r="T271" s="309">
        <f t="shared" si="83"/>
        <v>6997</v>
      </c>
      <c r="U271" s="309">
        <f t="shared" si="83"/>
        <v>818</v>
      </c>
      <c r="V271" s="309">
        <f t="shared" si="84"/>
        <v>2383596.0457498776</v>
      </c>
      <c r="W271" s="309">
        <f t="shared" si="85"/>
        <v>201648.95425012242</v>
      </c>
      <c r="X271" s="309">
        <f t="shared" si="86"/>
        <v>2585245</v>
      </c>
      <c r="Y271" s="309">
        <f t="shared" si="87"/>
        <v>2433</v>
      </c>
      <c r="Z271" s="309">
        <f t="shared" si="74"/>
        <v>206</v>
      </c>
      <c r="AA271" s="311">
        <f t="shared" si="88"/>
        <v>2587884</v>
      </c>
      <c r="AC271" s="310">
        <v>1408137</v>
      </c>
      <c r="AD271" s="309">
        <v>1030446</v>
      </c>
      <c r="AE271" s="309">
        <v>72186</v>
      </c>
      <c r="AF271" s="309">
        <v>6997</v>
      </c>
      <c r="AG271" s="309">
        <v>818</v>
      </c>
      <c r="AH271" s="309">
        <f t="shared" si="75"/>
        <v>2518584</v>
      </c>
      <c r="AI271" s="309">
        <f t="shared" si="76"/>
        <v>213069</v>
      </c>
      <c r="AJ271" s="309">
        <f t="shared" si="77"/>
        <v>2731653</v>
      </c>
      <c r="AK271" s="309">
        <v>2433</v>
      </c>
      <c r="AL271" s="309">
        <f t="shared" si="78"/>
        <v>206</v>
      </c>
      <c r="AM271" s="311">
        <f t="shared" si="79"/>
        <v>2734292</v>
      </c>
      <c r="AO271" s="458"/>
      <c r="AP271" s="459"/>
      <c r="AQ271" s="459"/>
      <c r="AR271" s="460"/>
      <c r="AS271" s="316"/>
      <c r="AT271" s="458"/>
      <c r="AU271" s="459"/>
      <c r="AV271" s="459"/>
      <c r="AW271" s="459"/>
      <c r="AX271" s="459"/>
      <c r="AY271" s="460"/>
    </row>
    <row r="272" spans="1:51" ht="15" hidden="1" outlineLevel="1" x14ac:dyDescent="0.25">
      <c r="A272" s="295">
        <f t="shared" si="89"/>
        <v>2042</v>
      </c>
      <c r="B272" s="295">
        <f t="shared" si="90"/>
        <v>3</v>
      </c>
      <c r="C272" s="305">
        <f t="shared" si="71"/>
        <v>51926</v>
      </c>
      <c r="E272" s="310">
        <v>1093457</v>
      </c>
      <c r="F272" s="309">
        <v>880757</v>
      </c>
      <c r="G272" s="309">
        <v>72762</v>
      </c>
      <c r="H272" s="309">
        <v>4657</v>
      </c>
      <c r="I272" s="309">
        <v>729</v>
      </c>
      <c r="J272" s="309">
        <f t="shared" si="80"/>
        <v>2052362</v>
      </c>
      <c r="K272" s="309">
        <f t="shared" si="81"/>
        <v>173627</v>
      </c>
      <c r="L272" s="309">
        <f t="shared" si="82"/>
        <v>2225989</v>
      </c>
      <c r="M272" s="309">
        <v>2339</v>
      </c>
      <c r="N272" s="309">
        <f t="shared" si="72"/>
        <v>198</v>
      </c>
      <c r="O272" s="311">
        <f t="shared" si="73"/>
        <v>2228526</v>
      </c>
      <c r="P272" s="309"/>
      <c r="Q272" s="310">
        <v>1308152.4667011346</v>
      </c>
      <c r="R272" s="309">
        <v>1054941.3566438493</v>
      </c>
      <c r="S272" s="309">
        <v>79839</v>
      </c>
      <c r="T272" s="309">
        <f t="shared" si="83"/>
        <v>6474</v>
      </c>
      <c r="U272" s="309">
        <f t="shared" si="83"/>
        <v>729</v>
      </c>
      <c r="V272" s="309">
        <f t="shared" si="84"/>
        <v>2450135.8233449841</v>
      </c>
      <c r="W272" s="309">
        <f t="shared" si="85"/>
        <v>207278.17665501591</v>
      </c>
      <c r="X272" s="309">
        <f t="shared" si="86"/>
        <v>2657414</v>
      </c>
      <c r="Y272" s="309">
        <f t="shared" si="87"/>
        <v>2339</v>
      </c>
      <c r="Z272" s="309">
        <f t="shared" si="74"/>
        <v>198</v>
      </c>
      <c r="AA272" s="311">
        <f t="shared" si="88"/>
        <v>2659951</v>
      </c>
      <c r="AC272" s="310">
        <v>1402370</v>
      </c>
      <c r="AD272" s="309">
        <v>1102027</v>
      </c>
      <c r="AE272" s="309">
        <v>79839</v>
      </c>
      <c r="AF272" s="309">
        <v>6474</v>
      </c>
      <c r="AG272" s="309">
        <v>729</v>
      </c>
      <c r="AH272" s="309">
        <f t="shared" si="75"/>
        <v>2591439</v>
      </c>
      <c r="AI272" s="309">
        <f t="shared" si="76"/>
        <v>219232</v>
      </c>
      <c r="AJ272" s="309">
        <f t="shared" si="77"/>
        <v>2810671</v>
      </c>
      <c r="AK272" s="309">
        <v>2339</v>
      </c>
      <c r="AL272" s="309">
        <f t="shared" si="78"/>
        <v>198</v>
      </c>
      <c r="AM272" s="311">
        <f t="shared" si="79"/>
        <v>2813208</v>
      </c>
      <c r="AO272" s="458"/>
      <c r="AP272" s="459"/>
      <c r="AQ272" s="459"/>
      <c r="AR272" s="460"/>
      <c r="AS272" s="316"/>
      <c r="AT272" s="458"/>
      <c r="AU272" s="459"/>
      <c r="AV272" s="459"/>
      <c r="AW272" s="459"/>
      <c r="AX272" s="459"/>
      <c r="AY272" s="460"/>
    </row>
    <row r="273" spans="1:51" ht="15" hidden="1" outlineLevel="1" x14ac:dyDescent="0.25">
      <c r="A273" s="295">
        <f t="shared" si="89"/>
        <v>2042</v>
      </c>
      <c r="B273" s="295">
        <f t="shared" si="90"/>
        <v>4</v>
      </c>
      <c r="C273" s="305">
        <f t="shared" si="71"/>
        <v>51957</v>
      </c>
      <c r="E273" s="310">
        <v>1028835</v>
      </c>
      <c r="F273" s="309">
        <v>877669</v>
      </c>
      <c r="G273" s="309">
        <v>74448</v>
      </c>
      <c r="H273" s="309">
        <v>5322</v>
      </c>
      <c r="I273" s="309">
        <v>613</v>
      </c>
      <c r="J273" s="309">
        <f t="shared" si="80"/>
        <v>1986887</v>
      </c>
      <c r="K273" s="309">
        <f t="shared" si="81"/>
        <v>168088</v>
      </c>
      <c r="L273" s="309">
        <f t="shared" si="82"/>
        <v>2154975</v>
      </c>
      <c r="M273" s="309">
        <v>2172</v>
      </c>
      <c r="N273" s="309">
        <f t="shared" si="72"/>
        <v>184</v>
      </c>
      <c r="O273" s="311">
        <f t="shared" si="73"/>
        <v>2157331</v>
      </c>
      <c r="P273" s="309"/>
      <c r="Q273" s="310">
        <v>1216762.3340335102</v>
      </c>
      <c r="R273" s="309">
        <v>1036188.3181475484</v>
      </c>
      <c r="S273" s="309">
        <v>81090</v>
      </c>
      <c r="T273" s="309">
        <f t="shared" si="83"/>
        <v>6857</v>
      </c>
      <c r="U273" s="309">
        <f t="shared" si="83"/>
        <v>613</v>
      </c>
      <c r="V273" s="309">
        <f t="shared" si="84"/>
        <v>2341510.6521810587</v>
      </c>
      <c r="W273" s="309">
        <f t="shared" si="85"/>
        <v>198088.34781894134</v>
      </c>
      <c r="X273" s="309">
        <f t="shared" si="86"/>
        <v>2539599</v>
      </c>
      <c r="Y273" s="309">
        <f t="shared" si="87"/>
        <v>2172</v>
      </c>
      <c r="Z273" s="309">
        <f t="shared" si="74"/>
        <v>184</v>
      </c>
      <c r="AA273" s="311">
        <f t="shared" si="88"/>
        <v>2541955</v>
      </c>
      <c r="AC273" s="310">
        <v>1299050</v>
      </c>
      <c r="AD273" s="309">
        <v>1085849</v>
      </c>
      <c r="AE273" s="309">
        <v>81090</v>
      </c>
      <c r="AF273" s="309">
        <v>6857</v>
      </c>
      <c r="AG273" s="309">
        <v>613</v>
      </c>
      <c r="AH273" s="309">
        <f t="shared" si="75"/>
        <v>2473459</v>
      </c>
      <c r="AI273" s="309">
        <f t="shared" si="76"/>
        <v>209251</v>
      </c>
      <c r="AJ273" s="309">
        <f t="shared" si="77"/>
        <v>2682710</v>
      </c>
      <c r="AK273" s="309">
        <v>2172</v>
      </c>
      <c r="AL273" s="309">
        <f t="shared" si="78"/>
        <v>184</v>
      </c>
      <c r="AM273" s="311">
        <f t="shared" si="79"/>
        <v>2685066</v>
      </c>
      <c r="AO273" s="458"/>
      <c r="AP273" s="459"/>
      <c r="AQ273" s="459"/>
      <c r="AR273" s="460"/>
      <c r="AS273" s="316"/>
      <c r="AT273" s="458"/>
      <c r="AU273" s="459"/>
      <c r="AV273" s="459"/>
      <c r="AW273" s="459"/>
      <c r="AX273" s="459"/>
      <c r="AY273" s="460"/>
    </row>
    <row r="274" spans="1:51" ht="15" hidden="1" outlineLevel="1" x14ac:dyDescent="0.25">
      <c r="A274" s="295">
        <f t="shared" si="89"/>
        <v>2042</v>
      </c>
      <c r="B274" s="295">
        <f t="shared" si="90"/>
        <v>5</v>
      </c>
      <c r="C274" s="305">
        <f t="shared" si="71"/>
        <v>51987</v>
      </c>
      <c r="E274" s="310">
        <v>913165</v>
      </c>
      <c r="F274" s="309">
        <v>799044</v>
      </c>
      <c r="G274" s="309">
        <v>69871</v>
      </c>
      <c r="H274" s="309">
        <v>5205</v>
      </c>
      <c r="I274" s="309">
        <v>431</v>
      </c>
      <c r="J274" s="309">
        <f t="shared" si="80"/>
        <v>1787716</v>
      </c>
      <c r="K274" s="309">
        <f t="shared" si="81"/>
        <v>151238</v>
      </c>
      <c r="L274" s="309">
        <f t="shared" si="82"/>
        <v>1938954</v>
      </c>
      <c r="M274" s="309">
        <v>2174</v>
      </c>
      <c r="N274" s="309">
        <f t="shared" si="72"/>
        <v>184</v>
      </c>
      <c r="O274" s="311">
        <f t="shared" si="73"/>
        <v>1941312</v>
      </c>
      <c r="P274" s="309"/>
      <c r="Q274" s="310">
        <v>1059034.8148754928</v>
      </c>
      <c r="R274" s="309">
        <v>977576.66328141815</v>
      </c>
      <c r="S274" s="309">
        <v>76753</v>
      </c>
      <c r="T274" s="309">
        <f t="shared" si="83"/>
        <v>6565</v>
      </c>
      <c r="U274" s="309">
        <f t="shared" si="83"/>
        <v>431</v>
      </c>
      <c r="V274" s="309">
        <f t="shared" si="84"/>
        <v>2120360.4781569112</v>
      </c>
      <c r="W274" s="309">
        <f t="shared" si="85"/>
        <v>179379.52184308879</v>
      </c>
      <c r="X274" s="309">
        <f t="shared" si="86"/>
        <v>2299740</v>
      </c>
      <c r="Y274" s="309">
        <f t="shared" si="87"/>
        <v>2174</v>
      </c>
      <c r="Z274" s="309">
        <f t="shared" si="74"/>
        <v>184</v>
      </c>
      <c r="AA274" s="311">
        <f t="shared" si="88"/>
        <v>2302098</v>
      </c>
      <c r="AC274" s="310">
        <v>1135234</v>
      </c>
      <c r="AD274" s="309">
        <v>1029354</v>
      </c>
      <c r="AE274" s="309">
        <v>76753</v>
      </c>
      <c r="AF274" s="309">
        <v>6565</v>
      </c>
      <c r="AG274" s="309">
        <v>431</v>
      </c>
      <c r="AH274" s="309">
        <f t="shared" si="75"/>
        <v>2248337</v>
      </c>
      <c r="AI274" s="309">
        <f t="shared" si="76"/>
        <v>190206</v>
      </c>
      <c r="AJ274" s="309">
        <f t="shared" si="77"/>
        <v>2438543</v>
      </c>
      <c r="AK274" s="309">
        <v>2174</v>
      </c>
      <c r="AL274" s="309">
        <f t="shared" si="78"/>
        <v>184</v>
      </c>
      <c r="AM274" s="311">
        <f t="shared" si="79"/>
        <v>2440901</v>
      </c>
      <c r="AO274" s="458"/>
      <c r="AP274" s="459"/>
      <c r="AQ274" s="459"/>
      <c r="AR274" s="460"/>
      <c r="AS274" s="316"/>
      <c r="AT274" s="458"/>
      <c r="AU274" s="459"/>
      <c r="AV274" s="459"/>
      <c r="AW274" s="459"/>
      <c r="AX274" s="459"/>
      <c r="AY274" s="460"/>
    </row>
    <row r="275" spans="1:51" ht="15" hidden="1" outlineLevel="1" x14ac:dyDescent="0.25">
      <c r="A275" s="295">
        <f t="shared" si="89"/>
        <v>2042</v>
      </c>
      <c r="B275" s="295">
        <f t="shared" si="90"/>
        <v>6</v>
      </c>
      <c r="C275" s="305">
        <f t="shared" si="71"/>
        <v>52018</v>
      </c>
      <c r="E275" s="310">
        <v>934474</v>
      </c>
      <c r="F275" s="309">
        <v>843131</v>
      </c>
      <c r="G275" s="309">
        <v>72206</v>
      </c>
      <c r="H275" s="309">
        <v>5180</v>
      </c>
      <c r="I275" s="309">
        <v>316</v>
      </c>
      <c r="J275" s="309">
        <f t="shared" si="80"/>
        <v>1855307</v>
      </c>
      <c r="K275" s="309">
        <f t="shared" si="81"/>
        <v>156957</v>
      </c>
      <c r="L275" s="309">
        <f t="shared" si="82"/>
        <v>2012264</v>
      </c>
      <c r="M275" s="309">
        <v>1787</v>
      </c>
      <c r="N275" s="309">
        <f t="shared" si="72"/>
        <v>151</v>
      </c>
      <c r="O275" s="311">
        <f t="shared" si="73"/>
        <v>2014202</v>
      </c>
      <c r="P275" s="309"/>
      <c r="Q275" s="310">
        <v>1046801.5303869937</v>
      </c>
      <c r="R275" s="309">
        <v>1010163.8794016293</v>
      </c>
      <c r="S275" s="309">
        <v>78993</v>
      </c>
      <c r="T275" s="309">
        <f t="shared" si="83"/>
        <v>6321</v>
      </c>
      <c r="U275" s="309">
        <f t="shared" si="83"/>
        <v>316</v>
      </c>
      <c r="V275" s="309">
        <f t="shared" si="84"/>
        <v>2142595.409788623</v>
      </c>
      <c r="W275" s="309">
        <f t="shared" si="85"/>
        <v>181260.59021137701</v>
      </c>
      <c r="X275" s="309">
        <f t="shared" si="86"/>
        <v>2323856</v>
      </c>
      <c r="Y275" s="309">
        <f t="shared" si="87"/>
        <v>1787</v>
      </c>
      <c r="Z275" s="309">
        <f t="shared" si="74"/>
        <v>151</v>
      </c>
      <c r="AA275" s="311">
        <f t="shared" si="88"/>
        <v>2325794</v>
      </c>
      <c r="AC275" s="310">
        <v>1110627</v>
      </c>
      <c r="AD275" s="309">
        <v>1062398</v>
      </c>
      <c r="AE275" s="309">
        <v>78993</v>
      </c>
      <c r="AF275" s="309">
        <v>6321</v>
      </c>
      <c r="AG275" s="309">
        <v>316</v>
      </c>
      <c r="AH275" s="309">
        <f t="shared" si="75"/>
        <v>2258655</v>
      </c>
      <c r="AI275" s="309">
        <f t="shared" si="76"/>
        <v>191079</v>
      </c>
      <c r="AJ275" s="309">
        <f t="shared" si="77"/>
        <v>2449734</v>
      </c>
      <c r="AK275" s="309">
        <v>1787</v>
      </c>
      <c r="AL275" s="309">
        <f t="shared" si="78"/>
        <v>151</v>
      </c>
      <c r="AM275" s="311">
        <f t="shared" si="79"/>
        <v>2451672</v>
      </c>
      <c r="AO275" s="458"/>
      <c r="AP275" s="459"/>
      <c r="AQ275" s="459"/>
      <c r="AR275" s="460"/>
      <c r="AS275" s="316"/>
      <c r="AT275" s="458"/>
      <c r="AU275" s="459"/>
      <c r="AV275" s="459"/>
      <c r="AW275" s="459"/>
      <c r="AX275" s="459"/>
      <c r="AY275" s="460"/>
    </row>
    <row r="276" spans="1:51" ht="15" hidden="1" outlineLevel="1" x14ac:dyDescent="0.25">
      <c r="A276" s="295">
        <f t="shared" si="89"/>
        <v>2042</v>
      </c>
      <c r="B276" s="295">
        <f t="shared" si="90"/>
        <v>7</v>
      </c>
      <c r="C276" s="305">
        <f t="shared" si="71"/>
        <v>52048</v>
      </c>
      <c r="E276" s="310">
        <v>1024917</v>
      </c>
      <c r="F276" s="309">
        <v>877084</v>
      </c>
      <c r="G276" s="309">
        <v>79581</v>
      </c>
      <c r="H276" s="309">
        <v>4786</v>
      </c>
      <c r="I276" s="309">
        <v>288</v>
      </c>
      <c r="J276" s="309">
        <f t="shared" si="80"/>
        <v>1986656</v>
      </c>
      <c r="K276" s="309">
        <f t="shared" si="81"/>
        <v>168069</v>
      </c>
      <c r="L276" s="309">
        <f t="shared" si="82"/>
        <v>2154725</v>
      </c>
      <c r="M276" s="309">
        <v>2889</v>
      </c>
      <c r="N276" s="309">
        <f t="shared" si="72"/>
        <v>244</v>
      </c>
      <c r="O276" s="311">
        <f t="shared" si="73"/>
        <v>2157858</v>
      </c>
      <c r="P276" s="309"/>
      <c r="Q276" s="310">
        <v>1141141.8524566919</v>
      </c>
      <c r="R276" s="309">
        <v>1059118.6468042927</v>
      </c>
      <c r="S276" s="309">
        <v>86549</v>
      </c>
      <c r="T276" s="309">
        <f t="shared" si="83"/>
        <v>6127</v>
      </c>
      <c r="U276" s="309">
        <f t="shared" si="83"/>
        <v>288</v>
      </c>
      <c r="V276" s="309">
        <f t="shared" si="84"/>
        <v>2293224.4992609844</v>
      </c>
      <c r="W276" s="309">
        <f t="shared" si="85"/>
        <v>194003.50073901564</v>
      </c>
      <c r="X276" s="309">
        <f t="shared" si="86"/>
        <v>2487228</v>
      </c>
      <c r="Y276" s="309">
        <f t="shared" si="87"/>
        <v>2889</v>
      </c>
      <c r="Z276" s="309">
        <f t="shared" si="74"/>
        <v>244</v>
      </c>
      <c r="AA276" s="311">
        <f t="shared" si="88"/>
        <v>2490361</v>
      </c>
      <c r="AC276" s="310">
        <v>1214000</v>
      </c>
      <c r="AD276" s="309">
        <v>1117084</v>
      </c>
      <c r="AE276" s="309">
        <v>86549</v>
      </c>
      <c r="AF276" s="309">
        <v>6127</v>
      </c>
      <c r="AG276" s="309">
        <v>288</v>
      </c>
      <c r="AH276" s="309">
        <f t="shared" si="75"/>
        <v>2424048</v>
      </c>
      <c r="AI276" s="309">
        <f t="shared" si="76"/>
        <v>205071</v>
      </c>
      <c r="AJ276" s="309">
        <f t="shared" si="77"/>
        <v>2629119</v>
      </c>
      <c r="AK276" s="309">
        <v>2889</v>
      </c>
      <c r="AL276" s="309">
        <f t="shared" si="78"/>
        <v>244</v>
      </c>
      <c r="AM276" s="311">
        <f t="shared" si="79"/>
        <v>2632252</v>
      </c>
      <c r="AO276" s="458"/>
      <c r="AP276" s="459"/>
      <c r="AQ276" s="459"/>
      <c r="AR276" s="460"/>
      <c r="AS276" s="316"/>
      <c r="AT276" s="458"/>
      <c r="AU276" s="459"/>
      <c r="AV276" s="459"/>
      <c r="AW276" s="459"/>
      <c r="AX276" s="459"/>
      <c r="AY276" s="460"/>
    </row>
    <row r="277" spans="1:51" ht="15" hidden="1" outlineLevel="1" x14ac:dyDescent="0.25">
      <c r="A277" s="295">
        <f t="shared" si="89"/>
        <v>2042</v>
      </c>
      <c r="B277" s="295">
        <f t="shared" si="90"/>
        <v>8</v>
      </c>
      <c r="C277" s="305">
        <f t="shared" si="71"/>
        <v>52079</v>
      </c>
      <c r="E277" s="310">
        <v>1032886</v>
      </c>
      <c r="F277" s="309">
        <v>875583</v>
      </c>
      <c r="G277" s="309">
        <v>79851</v>
      </c>
      <c r="H277" s="309">
        <v>5054</v>
      </c>
      <c r="I277" s="309">
        <v>280</v>
      </c>
      <c r="J277" s="309">
        <f t="shared" si="80"/>
        <v>1993654</v>
      </c>
      <c r="K277" s="309">
        <f t="shared" si="81"/>
        <v>168661</v>
      </c>
      <c r="L277" s="309">
        <f t="shared" si="82"/>
        <v>2162315</v>
      </c>
      <c r="M277" s="309">
        <v>1634</v>
      </c>
      <c r="N277" s="309">
        <f t="shared" si="72"/>
        <v>138</v>
      </c>
      <c r="O277" s="311">
        <f t="shared" si="73"/>
        <v>2164087</v>
      </c>
      <c r="P277" s="309"/>
      <c r="Q277" s="310">
        <v>1150849.8928519615</v>
      </c>
      <c r="R277" s="309">
        <v>1058687.4682176525</v>
      </c>
      <c r="S277" s="309">
        <v>87173</v>
      </c>
      <c r="T277" s="309">
        <f t="shared" si="83"/>
        <v>6593</v>
      </c>
      <c r="U277" s="309">
        <f t="shared" si="83"/>
        <v>280</v>
      </c>
      <c r="V277" s="309">
        <f t="shared" si="84"/>
        <v>2303583.3610696141</v>
      </c>
      <c r="W277" s="309">
        <f t="shared" si="85"/>
        <v>194880.63893038593</v>
      </c>
      <c r="X277" s="309">
        <f t="shared" si="86"/>
        <v>2498464</v>
      </c>
      <c r="Y277" s="309">
        <f t="shared" si="87"/>
        <v>1634</v>
      </c>
      <c r="Z277" s="309">
        <f t="shared" si="74"/>
        <v>138</v>
      </c>
      <c r="AA277" s="311">
        <f t="shared" si="88"/>
        <v>2500236</v>
      </c>
      <c r="AC277" s="310">
        <v>1221422</v>
      </c>
      <c r="AD277" s="309">
        <v>1114924</v>
      </c>
      <c r="AE277" s="309">
        <v>87173</v>
      </c>
      <c r="AF277" s="309">
        <v>6593</v>
      </c>
      <c r="AG277" s="309">
        <v>280</v>
      </c>
      <c r="AH277" s="309">
        <f t="shared" si="75"/>
        <v>2430392</v>
      </c>
      <c r="AI277" s="309">
        <f t="shared" si="76"/>
        <v>205608</v>
      </c>
      <c r="AJ277" s="309">
        <f t="shared" si="77"/>
        <v>2636000</v>
      </c>
      <c r="AK277" s="309">
        <v>1634</v>
      </c>
      <c r="AL277" s="309">
        <f t="shared" si="78"/>
        <v>138</v>
      </c>
      <c r="AM277" s="311">
        <f t="shared" si="79"/>
        <v>2637772</v>
      </c>
      <c r="AO277" s="458"/>
      <c r="AP277" s="459"/>
      <c r="AQ277" s="459"/>
      <c r="AR277" s="460"/>
      <c r="AS277" s="316"/>
      <c r="AT277" s="458"/>
      <c r="AU277" s="459"/>
      <c r="AV277" s="459"/>
      <c r="AW277" s="459"/>
      <c r="AX277" s="459"/>
      <c r="AY277" s="460"/>
    </row>
    <row r="278" spans="1:51" ht="15" hidden="1" outlineLevel="1" x14ac:dyDescent="0.25">
      <c r="A278" s="295">
        <f t="shared" si="89"/>
        <v>2042</v>
      </c>
      <c r="B278" s="295">
        <f t="shared" si="90"/>
        <v>9</v>
      </c>
      <c r="C278" s="305">
        <f t="shared" si="71"/>
        <v>52110</v>
      </c>
      <c r="E278" s="310">
        <v>910650</v>
      </c>
      <c r="F278" s="309">
        <v>843290</v>
      </c>
      <c r="G278" s="309">
        <v>76195</v>
      </c>
      <c r="H278" s="309">
        <v>5388</v>
      </c>
      <c r="I278" s="309">
        <v>351</v>
      </c>
      <c r="J278" s="309">
        <f t="shared" si="80"/>
        <v>1835874</v>
      </c>
      <c r="K278" s="309">
        <f t="shared" si="81"/>
        <v>155312</v>
      </c>
      <c r="L278" s="309">
        <f>ROUNDDOWN(J278/(1-0.078), 0)</f>
        <v>1991186</v>
      </c>
      <c r="M278" s="309">
        <v>1428</v>
      </c>
      <c r="N278" s="309">
        <f t="shared" si="72"/>
        <v>121</v>
      </c>
      <c r="O278" s="311">
        <f t="shared" si="73"/>
        <v>1992735</v>
      </c>
      <c r="P278" s="309"/>
      <c r="Q278" s="310">
        <v>1032507.4385490092</v>
      </c>
      <c r="R278" s="309">
        <v>1014771.4623622261</v>
      </c>
      <c r="S278" s="309">
        <v>83071</v>
      </c>
      <c r="T278" s="309">
        <f t="shared" si="83"/>
        <v>6929</v>
      </c>
      <c r="U278" s="309">
        <f t="shared" si="83"/>
        <v>351</v>
      </c>
      <c r="V278" s="309">
        <f t="shared" si="84"/>
        <v>2137629.9009112353</v>
      </c>
      <c r="W278" s="309">
        <f t="shared" si="85"/>
        <v>180841.09908876475</v>
      </c>
      <c r="X278" s="309">
        <f t="shared" si="86"/>
        <v>2318471</v>
      </c>
      <c r="Y278" s="309">
        <f t="shared" si="87"/>
        <v>1428</v>
      </c>
      <c r="Z278" s="309">
        <f t="shared" si="74"/>
        <v>121</v>
      </c>
      <c r="AA278" s="311">
        <f t="shared" si="88"/>
        <v>2320020</v>
      </c>
      <c r="AC278" s="310">
        <v>1097021</v>
      </c>
      <c r="AD278" s="309">
        <v>1061692</v>
      </c>
      <c r="AE278" s="309">
        <v>83071</v>
      </c>
      <c r="AF278" s="309">
        <v>6929</v>
      </c>
      <c r="AG278" s="309">
        <v>351</v>
      </c>
      <c r="AH278" s="309">
        <f t="shared" si="75"/>
        <v>2249064</v>
      </c>
      <c r="AI278" s="309">
        <f t="shared" si="76"/>
        <v>190268</v>
      </c>
      <c r="AJ278" s="309">
        <f t="shared" si="77"/>
        <v>2439332</v>
      </c>
      <c r="AK278" s="309">
        <v>1428</v>
      </c>
      <c r="AL278" s="309">
        <f t="shared" si="78"/>
        <v>121</v>
      </c>
      <c r="AM278" s="311">
        <f t="shared" si="79"/>
        <v>2440881</v>
      </c>
      <c r="AO278" s="458"/>
      <c r="AP278" s="459"/>
      <c r="AQ278" s="459"/>
      <c r="AR278" s="460"/>
      <c r="AS278" s="316"/>
      <c r="AT278" s="458"/>
      <c r="AU278" s="459"/>
      <c r="AV278" s="459"/>
      <c r="AW278" s="459"/>
      <c r="AX278" s="459"/>
      <c r="AY278" s="460"/>
    </row>
    <row r="279" spans="1:51" ht="15" hidden="1" outlineLevel="1" x14ac:dyDescent="0.25">
      <c r="A279" s="295">
        <f t="shared" si="89"/>
        <v>2042</v>
      </c>
      <c r="B279" s="295">
        <f t="shared" si="90"/>
        <v>10</v>
      </c>
      <c r="C279" s="305">
        <f t="shared" si="71"/>
        <v>52140</v>
      </c>
      <c r="E279" s="310">
        <v>959459</v>
      </c>
      <c r="F279" s="309">
        <v>851596</v>
      </c>
      <c r="G279" s="309">
        <v>71904</v>
      </c>
      <c r="H279" s="309">
        <v>4936</v>
      </c>
      <c r="I279" s="309">
        <v>457</v>
      </c>
      <c r="J279" s="309">
        <f t="shared" si="80"/>
        <v>1888352</v>
      </c>
      <c r="K279" s="309">
        <f t="shared" si="81"/>
        <v>159752</v>
      </c>
      <c r="L279" s="309">
        <f t="shared" si="82"/>
        <v>2048104</v>
      </c>
      <c r="M279" s="309">
        <v>1830</v>
      </c>
      <c r="N279" s="309">
        <f t="shared" si="72"/>
        <v>155</v>
      </c>
      <c r="O279" s="311">
        <f t="shared" si="73"/>
        <v>2050089</v>
      </c>
      <c r="P279" s="309"/>
      <c r="Q279" s="310">
        <v>1128972.6739311584</v>
      </c>
      <c r="R279" s="309">
        <v>1024648.7370894821</v>
      </c>
      <c r="S279" s="309">
        <v>79132</v>
      </c>
      <c r="T279" s="309">
        <f t="shared" si="83"/>
        <v>6878</v>
      </c>
      <c r="U279" s="309">
        <f t="shared" si="83"/>
        <v>457</v>
      </c>
      <c r="V279" s="309">
        <f t="shared" si="84"/>
        <v>2240088.4110206403</v>
      </c>
      <c r="W279" s="309">
        <f t="shared" si="85"/>
        <v>189508.58897935972</v>
      </c>
      <c r="X279" s="309">
        <f t="shared" si="86"/>
        <v>2429597</v>
      </c>
      <c r="Y279" s="309">
        <f t="shared" si="87"/>
        <v>1830</v>
      </c>
      <c r="Z279" s="309">
        <f t="shared" si="74"/>
        <v>155</v>
      </c>
      <c r="AA279" s="311">
        <f t="shared" si="88"/>
        <v>2431582</v>
      </c>
      <c r="AC279" s="310">
        <v>1213057</v>
      </c>
      <c r="AD279" s="309">
        <v>1069050</v>
      </c>
      <c r="AE279" s="309">
        <v>79132</v>
      </c>
      <c r="AF279" s="309">
        <v>6878</v>
      </c>
      <c r="AG279" s="309">
        <v>457</v>
      </c>
      <c r="AH279" s="309">
        <f t="shared" si="75"/>
        <v>2368574</v>
      </c>
      <c r="AI279" s="309">
        <f t="shared" si="76"/>
        <v>200378</v>
      </c>
      <c r="AJ279" s="309">
        <f t="shared" si="77"/>
        <v>2568952</v>
      </c>
      <c r="AK279" s="309">
        <v>1830</v>
      </c>
      <c r="AL279" s="309">
        <f t="shared" si="78"/>
        <v>155</v>
      </c>
      <c r="AM279" s="311">
        <f t="shared" si="79"/>
        <v>2570937</v>
      </c>
      <c r="AO279" s="458"/>
      <c r="AP279" s="459"/>
      <c r="AQ279" s="459"/>
      <c r="AR279" s="460"/>
      <c r="AS279" s="316"/>
      <c r="AT279" s="458"/>
      <c r="AU279" s="459"/>
      <c r="AV279" s="459"/>
      <c r="AW279" s="459"/>
      <c r="AX279" s="459"/>
      <c r="AY279" s="460"/>
    </row>
    <row r="280" spans="1:51" ht="15" hidden="1" outlineLevel="1" x14ac:dyDescent="0.25">
      <c r="A280" s="295">
        <f t="shared" si="89"/>
        <v>2042</v>
      </c>
      <c r="B280" s="295">
        <f t="shared" si="90"/>
        <v>11</v>
      </c>
      <c r="C280" s="305">
        <f t="shared" si="71"/>
        <v>52171</v>
      </c>
      <c r="E280" s="310">
        <v>1158769</v>
      </c>
      <c r="F280" s="309">
        <v>887149</v>
      </c>
      <c r="G280" s="309">
        <v>75977</v>
      </c>
      <c r="H280" s="309">
        <v>5529</v>
      </c>
      <c r="I280" s="309">
        <v>747</v>
      </c>
      <c r="J280" s="309">
        <f t="shared" si="80"/>
        <v>2128171</v>
      </c>
      <c r="K280" s="309">
        <f t="shared" si="81"/>
        <v>180040</v>
      </c>
      <c r="L280" s="309">
        <f t="shared" si="82"/>
        <v>2308211</v>
      </c>
      <c r="M280" s="309">
        <v>1832</v>
      </c>
      <c r="N280" s="309">
        <f t="shared" si="72"/>
        <v>155</v>
      </c>
      <c r="O280" s="311">
        <f t="shared" si="73"/>
        <v>2310198</v>
      </c>
      <c r="P280" s="309"/>
      <c r="Q280" s="310">
        <v>1380852.1474940118</v>
      </c>
      <c r="R280" s="309">
        <v>1050128.6086917154</v>
      </c>
      <c r="S280" s="309">
        <v>82606</v>
      </c>
      <c r="T280" s="309">
        <f t="shared" si="83"/>
        <v>7643</v>
      </c>
      <c r="U280" s="309">
        <f t="shared" si="83"/>
        <v>747</v>
      </c>
      <c r="V280" s="309">
        <f t="shared" si="84"/>
        <v>2521976.7561857272</v>
      </c>
      <c r="W280" s="309">
        <f t="shared" si="85"/>
        <v>213356.24381427281</v>
      </c>
      <c r="X280" s="309">
        <f t="shared" si="86"/>
        <v>2735333</v>
      </c>
      <c r="Y280" s="309">
        <f t="shared" si="87"/>
        <v>1832</v>
      </c>
      <c r="Z280" s="309">
        <f t="shared" si="74"/>
        <v>155</v>
      </c>
      <c r="AA280" s="311">
        <f t="shared" si="88"/>
        <v>2737320</v>
      </c>
      <c r="AC280" s="310">
        <v>1490357</v>
      </c>
      <c r="AD280" s="309">
        <v>1090488</v>
      </c>
      <c r="AE280" s="309">
        <v>82606</v>
      </c>
      <c r="AF280" s="309">
        <v>7643</v>
      </c>
      <c r="AG280" s="309">
        <v>747</v>
      </c>
      <c r="AH280" s="309">
        <f t="shared" si="75"/>
        <v>2671841</v>
      </c>
      <c r="AI280" s="309">
        <f t="shared" si="76"/>
        <v>226034</v>
      </c>
      <c r="AJ280" s="309">
        <f t="shared" si="77"/>
        <v>2897875</v>
      </c>
      <c r="AK280" s="309">
        <v>1832</v>
      </c>
      <c r="AL280" s="309">
        <f t="shared" si="78"/>
        <v>155</v>
      </c>
      <c r="AM280" s="311">
        <f t="shared" si="79"/>
        <v>2899862</v>
      </c>
      <c r="AO280" s="458"/>
      <c r="AP280" s="459"/>
      <c r="AQ280" s="459"/>
      <c r="AR280" s="460"/>
      <c r="AS280" s="316"/>
      <c r="AT280" s="458"/>
      <c r="AU280" s="459"/>
      <c r="AV280" s="459"/>
      <c r="AW280" s="459"/>
      <c r="AX280" s="459"/>
      <c r="AY280" s="460"/>
    </row>
    <row r="281" spans="1:51" ht="15" hidden="1" outlineLevel="1" x14ac:dyDescent="0.25">
      <c r="A281" s="295">
        <f t="shared" si="89"/>
        <v>2042</v>
      </c>
      <c r="B281" s="295">
        <f t="shared" si="90"/>
        <v>12</v>
      </c>
      <c r="C281" s="305">
        <f t="shared" si="71"/>
        <v>52201</v>
      </c>
      <c r="E281" s="310">
        <v>1235563</v>
      </c>
      <c r="F281" s="309">
        <v>915746</v>
      </c>
      <c r="G281" s="309">
        <v>68928</v>
      </c>
      <c r="H281" s="309">
        <v>4952</v>
      </c>
      <c r="I281" s="309">
        <v>816</v>
      </c>
      <c r="J281" s="309">
        <f t="shared" si="80"/>
        <v>2226005</v>
      </c>
      <c r="K281" s="309">
        <f t="shared" si="81"/>
        <v>188317</v>
      </c>
      <c r="L281" s="309">
        <f t="shared" si="82"/>
        <v>2414322</v>
      </c>
      <c r="M281" s="309">
        <v>1718</v>
      </c>
      <c r="N281" s="309">
        <f t="shared" si="72"/>
        <v>145</v>
      </c>
      <c r="O281" s="311">
        <f t="shared" si="73"/>
        <v>2416185</v>
      </c>
      <c r="P281" s="309"/>
      <c r="Q281" s="310">
        <v>1541766.3646325497</v>
      </c>
      <c r="R281" s="309">
        <v>1090093.1360168289</v>
      </c>
      <c r="S281" s="309">
        <v>75804</v>
      </c>
      <c r="T281" s="309">
        <f t="shared" si="83"/>
        <v>7191</v>
      </c>
      <c r="U281" s="309">
        <f t="shared" si="83"/>
        <v>816</v>
      </c>
      <c r="V281" s="309">
        <f t="shared" si="84"/>
        <v>2715670.5006493786</v>
      </c>
      <c r="W281" s="309">
        <f t="shared" si="85"/>
        <v>229742.49935062137</v>
      </c>
      <c r="X281" s="309">
        <f t="shared" si="86"/>
        <v>2945413</v>
      </c>
      <c r="Y281" s="309">
        <f t="shared" si="87"/>
        <v>1718</v>
      </c>
      <c r="Z281" s="309">
        <f t="shared" si="74"/>
        <v>145</v>
      </c>
      <c r="AA281" s="311">
        <f t="shared" si="88"/>
        <v>2947276</v>
      </c>
      <c r="AC281" s="310">
        <v>1686790</v>
      </c>
      <c r="AD281" s="309">
        <v>1140859</v>
      </c>
      <c r="AE281" s="309">
        <v>75804</v>
      </c>
      <c r="AF281" s="309">
        <v>7191</v>
      </c>
      <c r="AG281" s="309">
        <v>816</v>
      </c>
      <c r="AH281" s="309">
        <f t="shared" si="75"/>
        <v>2911460</v>
      </c>
      <c r="AI281" s="309">
        <f t="shared" si="76"/>
        <v>246306</v>
      </c>
      <c r="AJ281" s="309">
        <f t="shared" si="77"/>
        <v>3157766</v>
      </c>
      <c r="AK281" s="309">
        <v>1718</v>
      </c>
      <c r="AL281" s="309">
        <f t="shared" si="78"/>
        <v>145</v>
      </c>
      <c r="AM281" s="311">
        <f t="shared" si="79"/>
        <v>3159629</v>
      </c>
      <c r="AO281" s="458"/>
      <c r="AP281" s="459"/>
      <c r="AQ281" s="459"/>
      <c r="AR281" s="460"/>
      <c r="AS281" s="316"/>
      <c r="AT281" s="458"/>
      <c r="AU281" s="459"/>
      <c r="AV281" s="459"/>
      <c r="AW281" s="459"/>
      <c r="AX281" s="459"/>
      <c r="AY281" s="460"/>
    </row>
    <row r="282" spans="1:51" ht="15" hidden="1" outlineLevel="1" x14ac:dyDescent="0.25">
      <c r="A282" s="295">
        <f t="shared" si="89"/>
        <v>2043</v>
      </c>
      <c r="B282" s="295">
        <f t="shared" si="90"/>
        <v>1</v>
      </c>
      <c r="C282" s="305">
        <f t="shared" si="71"/>
        <v>52232</v>
      </c>
      <c r="E282" s="310">
        <v>1292831</v>
      </c>
      <c r="F282" s="309">
        <v>928734</v>
      </c>
      <c r="G282" s="309">
        <v>65628</v>
      </c>
      <c r="H282" s="309">
        <v>5411</v>
      </c>
      <c r="I282" s="309">
        <v>953</v>
      </c>
      <c r="J282" s="309">
        <f t="shared" si="80"/>
        <v>2293557</v>
      </c>
      <c r="K282" s="309">
        <f t="shared" si="81"/>
        <v>194032</v>
      </c>
      <c r="L282" s="309">
        <f t="shared" si="82"/>
        <v>2487589</v>
      </c>
      <c r="M282" s="309">
        <v>2325</v>
      </c>
      <c r="N282" s="309">
        <f t="shared" si="72"/>
        <v>197</v>
      </c>
      <c r="O282" s="311">
        <f t="shared" si="73"/>
        <v>2490111</v>
      </c>
      <c r="P282" s="309"/>
      <c r="Q282" s="310">
        <v>1566942.3323829917</v>
      </c>
      <c r="R282" s="309">
        <v>1099892.4242629267</v>
      </c>
      <c r="S282" s="309">
        <v>72570</v>
      </c>
      <c r="T282" s="309">
        <f t="shared" si="83"/>
        <v>7682</v>
      </c>
      <c r="U282" s="309">
        <f t="shared" si="83"/>
        <v>953</v>
      </c>
      <c r="V282" s="309">
        <f t="shared" si="84"/>
        <v>2748039.7566459184</v>
      </c>
      <c r="W282" s="309">
        <f t="shared" si="85"/>
        <v>232480.24335408164</v>
      </c>
      <c r="X282" s="309">
        <f t="shared" si="86"/>
        <v>2980520</v>
      </c>
      <c r="Y282" s="309">
        <f t="shared" si="87"/>
        <v>2325</v>
      </c>
      <c r="Z282" s="309">
        <f t="shared" si="74"/>
        <v>197</v>
      </c>
      <c r="AA282" s="311">
        <f t="shared" si="88"/>
        <v>2983042</v>
      </c>
      <c r="AC282" s="310">
        <v>1689875</v>
      </c>
      <c r="AD282" s="309">
        <v>1147733</v>
      </c>
      <c r="AE282" s="309">
        <v>72570</v>
      </c>
      <c r="AF282" s="309">
        <v>7682</v>
      </c>
      <c r="AG282" s="309">
        <v>953</v>
      </c>
      <c r="AH282" s="309">
        <f t="shared" si="75"/>
        <v>2918813</v>
      </c>
      <c r="AI282" s="309">
        <f t="shared" si="76"/>
        <v>246928</v>
      </c>
      <c r="AJ282" s="309">
        <f t="shared" si="77"/>
        <v>3165741</v>
      </c>
      <c r="AK282" s="309">
        <v>2325</v>
      </c>
      <c r="AL282" s="309">
        <f t="shared" si="78"/>
        <v>197</v>
      </c>
      <c r="AM282" s="311">
        <f t="shared" si="79"/>
        <v>3168263</v>
      </c>
      <c r="AO282" s="458"/>
      <c r="AP282" s="459"/>
      <c r="AQ282" s="459"/>
      <c r="AR282" s="460"/>
      <c r="AS282" s="316"/>
      <c r="AT282" s="458"/>
      <c r="AU282" s="459"/>
      <c r="AV282" s="459"/>
      <c r="AW282" s="459"/>
      <c r="AX282" s="459"/>
      <c r="AY282" s="460"/>
    </row>
    <row r="283" spans="1:51" ht="15" hidden="1" outlineLevel="1" x14ac:dyDescent="0.25">
      <c r="A283" s="295">
        <f t="shared" si="89"/>
        <v>2043</v>
      </c>
      <c r="B283" s="295">
        <f t="shared" si="90"/>
        <v>2</v>
      </c>
      <c r="C283" s="305">
        <f t="shared" si="71"/>
        <v>52263</v>
      </c>
      <c r="E283" s="310">
        <v>1116482</v>
      </c>
      <c r="F283" s="309">
        <v>869850</v>
      </c>
      <c r="G283" s="309">
        <v>65792</v>
      </c>
      <c r="H283" s="309">
        <v>5355</v>
      </c>
      <c r="I283" s="309">
        <v>822</v>
      </c>
      <c r="J283" s="309">
        <f t="shared" si="80"/>
        <v>2058301</v>
      </c>
      <c r="K283" s="309">
        <f t="shared" si="81"/>
        <v>174130</v>
      </c>
      <c r="L283" s="309">
        <f t="shared" si="82"/>
        <v>2232431</v>
      </c>
      <c r="M283" s="309">
        <v>2433</v>
      </c>
      <c r="N283" s="309">
        <f t="shared" si="72"/>
        <v>206</v>
      </c>
      <c r="O283" s="311">
        <f t="shared" si="73"/>
        <v>2235070</v>
      </c>
      <c r="P283" s="309"/>
      <c r="Q283" s="310">
        <v>1334613.0211820833</v>
      </c>
      <c r="R283" s="309">
        <v>1016641.9678757174</v>
      </c>
      <c r="S283" s="309">
        <v>71921</v>
      </c>
      <c r="T283" s="309">
        <f t="shared" si="83"/>
        <v>7091</v>
      </c>
      <c r="U283" s="309">
        <f t="shared" si="83"/>
        <v>822</v>
      </c>
      <c r="V283" s="309">
        <f t="shared" si="84"/>
        <v>2431088.9890578007</v>
      </c>
      <c r="W283" s="309">
        <f t="shared" si="85"/>
        <v>205667.01094219927</v>
      </c>
      <c r="X283" s="309">
        <f t="shared" si="86"/>
        <v>2636756</v>
      </c>
      <c r="Y283" s="309">
        <f t="shared" si="87"/>
        <v>2433</v>
      </c>
      <c r="Z283" s="309">
        <f t="shared" si="74"/>
        <v>206</v>
      </c>
      <c r="AA283" s="311">
        <f t="shared" si="88"/>
        <v>2639395</v>
      </c>
      <c r="AC283" s="310">
        <v>1434341</v>
      </c>
      <c r="AD283" s="309">
        <v>1057377</v>
      </c>
      <c r="AE283" s="309">
        <v>71921</v>
      </c>
      <c r="AF283" s="309">
        <v>7091</v>
      </c>
      <c r="AG283" s="309">
        <v>822</v>
      </c>
      <c r="AH283" s="309">
        <f t="shared" si="75"/>
        <v>2571552</v>
      </c>
      <c r="AI283" s="309">
        <f t="shared" si="76"/>
        <v>217550</v>
      </c>
      <c r="AJ283" s="309">
        <f t="shared" si="77"/>
        <v>2789102</v>
      </c>
      <c r="AK283" s="309">
        <v>2433</v>
      </c>
      <c r="AL283" s="309">
        <f t="shared" si="78"/>
        <v>206</v>
      </c>
      <c r="AM283" s="311">
        <f t="shared" si="79"/>
        <v>2791741</v>
      </c>
      <c r="AO283" s="458"/>
      <c r="AP283" s="459"/>
      <c r="AQ283" s="459"/>
      <c r="AR283" s="460"/>
      <c r="AS283" s="316"/>
      <c r="AT283" s="458"/>
      <c r="AU283" s="459"/>
      <c r="AV283" s="459"/>
      <c r="AW283" s="459"/>
      <c r="AX283" s="459"/>
      <c r="AY283" s="460"/>
    </row>
    <row r="284" spans="1:51" ht="15" hidden="1" outlineLevel="1" x14ac:dyDescent="0.25">
      <c r="A284" s="295">
        <f t="shared" si="89"/>
        <v>2043</v>
      </c>
      <c r="B284" s="295">
        <f t="shared" si="90"/>
        <v>3</v>
      </c>
      <c r="C284" s="305">
        <f t="shared" si="71"/>
        <v>52291</v>
      </c>
      <c r="E284" s="310">
        <v>1111389</v>
      </c>
      <c r="F284" s="309">
        <v>902613</v>
      </c>
      <c r="G284" s="309">
        <v>72483</v>
      </c>
      <c r="H284" s="309">
        <v>4729</v>
      </c>
      <c r="I284" s="309">
        <v>732</v>
      </c>
      <c r="J284" s="309">
        <f t="shared" si="80"/>
        <v>2091946</v>
      </c>
      <c r="K284" s="309">
        <f t="shared" si="81"/>
        <v>176976</v>
      </c>
      <c r="L284" s="309">
        <f t="shared" si="82"/>
        <v>2268922</v>
      </c>
      <c r="M284" s="309">
        <v>2339</v>
      </c>
      <c r="N284" s="309">
        <f t="shared" si="72"/>
        <v>198</v>
      </c>
      <c r="O284" s="311">
        <f t="shared" si="73"/>
        <v>2271459</v>
      </c>
      <c r="P284" s="309"/>
      <c r="Q284" s="310">
        <v>1330004.75744149</v>
      </c>
      <c r="R284" s="309">
        <v>1080857.0256080853</v>
      </c>
      <c r="S284" s="309">
        <v>79548</v>
      </c>
      <c r="T284" s="309">
        <f t="shared" si="83"/>
        <v>6561</v>
      </c>
      <c r="U284" s="309">
        <f t="shared" si="83"/>
        <v>732</v>
      </c>
      <c r="V284" s="309">
        <f t="shared" si="84"/>
        <v>2497702.7830495751</v>
      </c>
      <c r="W284" s="309">
        <f t="shared" si="85"/>
        <v>211302.21695042495</v>
      </c>
      <c r="X284" s="309">
        <f t="shared" si="86"/>
        <v>2709005</v>
      </c>
      <c r="Y284" s="309">
        <f t="shared" si="87"/>
        <v>2339</v>
      </c>
      <c r="Z284" s="309">
        <f t="shared" si="74"/>
        <v>198</v>
      </c>
      <c r="AA284" s="311">
        <f t="shared" si="88"/>
        <v>2711542</v>
      </c>
      <c r="AC284" s="310">
        <v>1427493</v>
      </c>
      <c r="AD284" s="309">
        <v>1130888</v>
      </c>
      <c r="AE284" s="309">
        <v>79548</v>
      </c>
      <c r="AF284" s="309">
        <v>6561</v>
      </c>
      <c r="AG284" s="309">
        <v>732</v>
      </c>
      <c r="AH284" s="309">
        <f t="shared" si="75"/>
        <v>2645222</v>
      </c>
      <c r="AI284" s="309">
        <f t="shared" si="76"/>
        <v>223782</v>
      </c>
      <c r="AJ284" s="309">
        <f t="shared" si="77"/>
        <v>2869004</v>
      </c>
      <c r="AK284" s="309">
        <v>2339</v>
      </c>
      <c r="AL284" s="309">
        <f t="shared" si="78"/>
        <v>198</v>
      </c>
      <c r="AM284" s="311">
        <f t="shared" si="79"/>
        <v>2871541</v>
      </c>
      <c r="AO284" s="458"/>
      <c r="AP284" s="459"/>
      <c r="AQ284" s="459"/>
      <c r="AR284" s="460"/>
      <c r="AS284" s="316"/>
      <c r="AT284" s="458"/>
      <c r="AU284" s="459"/>
      <c r="AV284" s="459"/>
      <c r="AW284" s="459"/>
      <c r="AX284" s="459"/>
      <c r="AY284" s="460"/>
    </row>
    <row r="285" spans="1:51" ht="15" hidden="1" outlineLevel="1" x14ac:dyDescent="0.25">
      <c r="A285" s="295">
        <f t="shared" si="89"/>
        <v>2043</v>
      </c>
      <c r="B285" s="295">
        <f t="shared" si="90"/>
        <v>4</v>
      </c>
      <c r="C285" s="305">
        <f t="shared" si="71"/>
        <v>52322</v>
      </c>
      <c r="E285" s="310">
        <v>1042782</v>
      </c>
      <c r="F285" s="309">
        <v>898590</v>
      </c>
      <c r="G285" s="309">
        <v>74146</v>
      </c>
      <c r="H285" s="309">
        <v>5402</v>
      </c>
      <c r="I285" s="309">
        <v>614</v>
      </c>
      <c r="J285" s="309">
        <f t="shared" si="80"/>
        <v>2021534</v>
      </c>
      <c r="K285" s="309">
        <f t="shared" si="81"/>
        <v>171019</v>
      </c>
      <c r="L285" s="309">
        <f t="shared" si="82"/>
        <v>2192553</v>
      </c>
      <c r="M285" s="309">
        <v>2172</v>
      </c>
      <c r="N285" s="309">
        <f t="shared" si="72"/>
        <v>184</v>
      </c>
      <c r="O285" s="311">
        <f t="shared" si="73"/>
        <v>2194909</v>
      </c>
      <c r="P285" s="309"/>
      <c r="Q285" s="310">
        <v>1234732.4946633421</v>
      </c>
      <c r="R285" s="309">
        <v>1060401.8979810006</v>
      </c>
      <c r="S285" s="309">
        <v>80789</v>
      </c>
      <c r="T285" s="309">
        <f t="shared" si="83"/>
        <v>6949</v>
      </c>
      <c r="U285" s="309">
        <f t="shared" si="83"/>
        <v>614</v>
      </c>
      <c r="V285" s="309">
        <f t="shared" si="84"/>
        <v>2383486.392644343</v>
      </c>
      <c r="W285" s="309">
        <f t="shared" si="85"/>
        <v>201639.60735565703</v>
      </c>
      <c r="X285" s="309">
        <f t="shared" si="86"/>
        <v>2585126</v>
      </c>
      <c r="Y285" s="309">
        <f t="shared" si="87"/>
        <v>2172</v>
      </c>
      <c r="Z285" s="309">
        <f t="shared" si="74"/>
        <v>184</v>
      </c>
      <c r="AA285" s="311">
        <f t="shared" si="88"/>
        <v>2587482</v>
      </c>
      <c r="AC285" s="310">
        <v>1320192</v>
      </c>
      <c r="AD285" s="309">
        <v>1113691</v>
      </c>
      <c r="AE285" s="309">
        <v>80789</v>
      </c>
      <c r="AF285" s="309">
        <v>6949</v>
      </c>
      <c r="AG285" s="309">
        <v>614</v>
      </c>
      <c r="AH285" s="309">
        <f t="shared" si="75"/>
        <v>2522235</v>
      </c>
      <c r="AI285" s="309">
        <f t="shared" si="76"/>
        <v>213378</v>
      </c>
      <c r="AJ285" s="309">
        <f t="shared" si="77"/>
        <v>2735613</v>
      </c>
      <c r="AK285" s="309">
        <v>2172</v>
      </c>
      <c r="AL285" s="309">
        <f t="shared" si="78"/>
        <v>184</v>
      </c>
      <c r="AM285" s="311">
        <f t="shared" si="79"/>
        <v>2737969</v>
      </c>
      <c r="AO285" s="458"/>
      <c r="AP285" s="459"/>
      <c r="AQ285" s="459"/>
      <c r="AR285" s="460"/>
      <c r="AS285" s="316"/>
      <c r="AT285" s="458"/>
      <c r="AU285" s="459"/>
      <c r="AV285" s="459"/>
      <c r="AW285" s="459"/>
      <c r="AX285" s="459"/>
      <c r="AY285" s="460"/>
    </row>
    <row r="286" spans="1:51" ht="15" hidden="1" outlineLevel="1" x14ac:dyDescent="0.25">
      <c r="A286" s="295">
        <f t="shared" si="89"/>
        <v>2043</v>
      </c>
      <c r="B286" s="295">
        <f t="shared" si="90"/>
        <v>5</v>
      </c>
      <c r="C286" s="305">
        <f t="shared" ref="C286:C293" si="91">DATE(A286,B286,1)</f>
        <v>52352</v>
      </c>
      <c r="E286" s="310">
        <v>926795</v>
      </c>
      <c r="F286" s="309">
        <v>816764</v>
      </c>
      <c r="G286" s="309">
        <v>69551</v>
      </c>
      <c r="H286" s="309">
        <v>5283</v>
      </c>
      <c r="I286" s="309">
        <v>431</v>
      </c>
      <c r="J286" s="309">
        <f t="shared" si="80"/>
        <v>1818824</v>
      </c>
      <c r="K286" s="309">
        <f t="shared" si="81"/>
        <v>153870</v>
      </c>
      <c r="L286" s="309">
        <f t="shared" si="82"/>
        <v>1972694</v>
      </c>
      <c r="M286" s="309">
        <v>2174</v>
      </c>
      <c r="N286" s="309">
        <f t="shared" ref="N286:N293" si="92">ROUND(M286/(1-0.078)-M286, 0)</f>
        <v>184</v>
      </c>
      <c r="O286" s="311">
        <f t="shared" ref="O286:O293" si="93">SUM(L286:N286)</f>
        <v>1975052</v>
      </c>
      <c r="P286" s="309"/>
      <c r="Q286" s="310">
        <v>1076107.2602729304</v>
      </c>
      <c r="R286" s="309">
        <v>998845.04110399343</v>
      </c>
      <c r="S286" s="309">
        <v>76435</v>
      </c>
      <c r="T286" s="309">
        <f t="shared" si="83"/>
        <v>6653</v>
      </c>
      <c r="U286" s="309">
        <f t="shared" si="83"/>
        <v>431</v>
      </c>
      <c r="V286" s="309">
        <f t="shared" si="84"/>
        <v>2158471.3013769239</v>
      </c>
      <c r="W286" s="309">
        <f t="shared" si="85"/>
        <v>182603.69862307608</v>
      </c>
      <c r="X286" s="309">
        <f t="shared" si="86"/>
        <v>2341075</v>
      </c>
      <c r="Y286" s="309">
        <f t="shared" si="87"/>
        <v>2174</v>
      </c>
      <c r="Z286" s="309">
        <f t="shared" ref="Z286:Z293" si="94">ROUND(Y286/(1-0.078)-Y286, 0)</f>
        <v>184</v>
      </c>
      <c r="AA286" s="311">
        <f t="shared" si="88"/>
        <v>2343433</v>
      </c>
      <c r="AC286" s="310">
        <v>1155133</v>
      </c>
      <c r="AD286" s="309">
        <v>1054491</v>
      </c>
      <c r="AE286" s="309">
        <v>76435</v>
      </c>
      <c r="AF286" s="309">
        <v>6653</v>
      </c>
      <c r="AG286" s="309">
        <v>431</v>
      </c>
      <c r="AH286" s="309">
        <f t="shared" ref="AH286:AH293" si="95">SUM(AC286:AG286)</f>
        <v>2293143</v>
      </c>
      <c r="AI286" s="309">
        <f t="shared" ref="AI286:AI293" si="96">AJ286-AH286</f>
        <v>193997</v>
      </c>
      <c r="AJ286" s="309">
        <f t="shared" ref="AJ286:AJ293" si="97">ROUND(AH286/(1-0.078), 0)</f>
        <v>2487140</v>
      </c>
      <c r="AK286" s="309">
        <v>2174</v>
      </c>
      <c r="AL286" s="309">
        <f t="shared" ref="AL286:AL293" si="98">N286</f>
        <v>184</v>
      </c>
      <c r="AM286" s="311">
        <f t="shared" ref="AM286:AM293" si="99">SUM(AJ286:AL286)</f>
        <v>2489498</v>
      </c>
      <c r="AO286" s="458"/>
      <c r="AP286" s="459"/>
      <c r="AQ286" s="459"/>
      <c r="AR286" s="460"/>
      <c r="AS286" s="316"/>
      <c r="AT286" s="458"/>
      <c r="AU286" s="459"/>
      <c r="AV286" s="459"/>
      <c r="AW286" s="459"/>
      <c r="AX286" s="459"/>
      <c r="AY286" s="460"/>
    </row>
    <row r="287" spans="1:51" ht="15" hidden="1" outlineLevel="1" x14ac:dyDescent="0.25">
      <c r="A287" s="295">
        <f t="shared" si="89"/>
        <v>2043</v>
      </c>
      <c r="B287" s="295">
        <f t="shared" si="90"/>
        <v>6</v>
      </c>
      <c r="C287" s="305">
        <f t="shared" si="91"/>
        <v>52383</v>
      </c>
      <c r="E287" s="310">
        <v>952671</v>
      </c>
      <c r="F287" s="309">
        <v>859700</v>
      </c>
      <c r="G287" s="309">
        <v>71850</v>
      </c>
      <c r="H287" s="309">
        <v>5256</v>
      </c>
      <c r="I287" s="309">
        <v>316</v>
      </c>
      <c r="J287" s="309">
        <f t="shared" ref="J287:J293" si="100">SUM(E287:I287)</f>
        <v>1889793</v>
      </c>
      <c r="K287" s="309">
        <f t="shared" ref="K287:K293" si="101">L287-J287</f>
        <v>159874</v>
      </c>
      <c r="L287" s="309">
        <f t="shared" ref="L287:L293" si="102">ROUND(J287/(1-0.078), 0)</f>
        <v>2049667</v>
      </c>
      <c r="M287" s="309">
        <v>1787</v>
      </c>
      <c r="N287" s="309">
        <f t="shared" si="92"/>
        <v>151</v>
      </c>
      <c r="O287" s="311">
        <f t="shared" si="93"/>
        <v>2051605</v>
      </c>
      <c r="P287" s="309"/>
      <c r="Q287" s="310">
        <v>1066966.685025729</v>
      </c>
      <c r="R287" s="309">
        <v>1030606.9578719779</v>
      </c>
      <c r="S287" s="309">
        <v>78634</v>
      </c>
      <c r="T287" s="309">
        <f t="shared" ref="T287:U293" si="103">AF287</f>
        <v>6407</v>
      </c>
      <c r="U287" s="309">
        <f t="shared" si="103"/>
        <v>316</v>
      </c>
      <c r="V287" s="309">
        <f t="shared" ref="V287:V293" si="104">SUM(Q287:U287)</f>
        <v>2182930.6428977069</v>
      </c>
      <c r="W287" s="309">
        <f t="shared" ref="W287:W293" si="105">X287-V287</f>
        <v>184673.35710229306</v>
      </c>
      <c r="X287" s="309">
        <f t="shared" ref="X287:X293" si="106">ROUND(V287/(1-0.078), 0)</f>
        <v>2367604</v>
      </c>
      <c r="Y287" s="309">
        <f t="shared" ref="Y287:Y293" si="107">M287</f>
        <v>1787</v>
      </c>
      <c r="Z287" s="309">
        <f t="shared" si="94"/>
        <v>151</v>
      </c>
      <c r="AA287" s="311">
        <f t="shared" ref="AA287:AA293" si="108">SUM(X287:Z287)</f>
        <v>2369542</v>
      </c>
      <c r="AC287" s="310">
        <v>1133324</v>
      </c>
      <c r="AD287" s="309">
        <v>1086895</v>
      </c>
      <c r="AE287" s="309">
        <v>78634</v>
      </c>
      <c r="AF287" s="309">
        <v>6407</v>
      </c>
      <c r="AG287" s="309">
        <v>316</v>
      </c>
      <c r="AH287" s="309">
        <f t="shared" si="95"/>
        <v>2305576</v>
      </c>
      <c r="AI287" s="309">
        <f t="shared" si="96"/>
        <v>195049</v>
      </c>
      <c r="AJ287" s="309">
        <f t="shared" si="97"/>
        <v>2500625</v>
      </c>
      <c r="AK287" s="309">
        <v>1787</v>
      </c>
      <c r="AL287" s="309">
        <f t="shared" si="98"/>
        <v>151</v>
      </c>
      <c r="AM287" s="311">
        <f t="shared" si="99"/>
        <v>2502563</v>
      </c>
      <c r="AO287" s="458"/>
      <c r="AP287" s="459"/>
      <c r="AQ287" s="459"/>
      <c r="AR287" s="460"/>
      <c r="AS287" s="316"/>
      <c r="AT287" s="458"/>
      <c r="AU287" s="459"/>
      <c r="AV287" s="459"/>
      <c r="AW287" s="459"/>
      <c r="AX287" s="459"/>
      <c r="AY287" s="460"/>
    </row>
    <row r="288" spans="1:51" ht="15" hidden="1" outlineLevel="1" x14ac:dyDescent="0.25">
      <c r="A288" s="295">
        <f t="shared" si="89"/>
        <v>2043</v>
      </c>
      <c r="B288" s="295">
        <f t="shared" si="90"/>
        <v>7</v>
      </c>
      <c r="C288" s="305">
        <f t="shared" si="91"/>
        <v>52413</v>
      </c>
      <c r="E288" s="310">
        <v>1045565</v>
      </c>
      <c r="F288" s="309">
        <v>893956</v>
      </c>
      <c r="G288" s="309">
        <v>79196</v>
      </c>
      <c r="H288" s="309">
        <v>4858</v>
      </c>
      <c r="I288" s="309">
        <v>288</v>
      </c>
      <c r="J288" s="309">
        <f t="shared" si="100"/>
        <v>2023863</v>
      </c>
      <c r="K288" s="309">
        <f t="shared" si="101"/>
        <v>171216</v>
      </c>
      <c r="L288" s="309">
        <f t="shared" si="102"/>
        <v>2195079</v>
      </c>
      <c r="M288" s="309">
        <v>2889</v>
      </c>
      <c r="N288" s="309">
        <f t="shared" si="92"/>
        <v>244</v>
      </c>
      <c r="O288" s="311">
        <f t="shared" si="93"/>
        <v>2198212</v>
      </c>
      <c r="P288" s="309"/>
      <c r="Q288" s="310">
        <v>1164258.3736814568</v>
      </c>
      <c r="R288" s="309">
        <v>1079929.5904190913</v>
      </c>
      <c r="S288" s="309">
        <v>86166</v>
      </c>
      <c r="T288" s="309">
        <f t="shared" si="103"/>
        <v>6211</v>
      </c>
      <c r="U288" s="309">
        <f t="shared" si="103"/>
        <v>288</v>
      </c>
      <c r="V288" s="309">
        <f t="shared" si="104"/>
        <v>2336852.9641005481</v>
      </c>
      <c r="W288" s="309">
        <f t="shared" si="105"/>
        <v>197695.03589945193</v>
      </c>
      <c r="X288" s="309">
        <f t="shared" si="106"/>
        <v>2534548</v>
      </c>
      <c r="Y288" s="309">
        <f t="shared" si="107"/>
        <v>2889</v>
      </c>
      <c r="Z288" s="309">
        <f t="shared" si="94"/>
        <v>244</v>
      </c>
      <c r="AA288" s="311">
        <f t="shared" si="108"/>
        <v>2537681</v>
      </c>
      <c r="AC288" s="310">
        <v>1239926</v>
      </c>
      <c r="AD288" s="309">
        <v>1142303</v>
      </c>
      <c r="AE288" s="309">
        <v>86166</v>
      </c>
      <c r="AF288" s="309">
        <v>6211</v>
      </c>
      <c r="AG288" s="309">
        <v>288</v>
      </c>
      <c r="AH288" s="309">
        <f t="shared" si="95"/>
        <v>2474894</v>
      </c>
      <c r="AI288" s="309">
        <f t="shared" si="96"/>
        <v>209373</v>
      </c>
      <c r="AJ288" s="309">
        <f t="shared" si="97"/>
        <v>2684267</v>
      </c>
      <c r="AK288" s="309">
        <v>2889</v>
      </c>
      <c r="AL288" s="309">
        <f t="shared" si="98"/>
        <v>244</v>
      </c>
      <c r="AM288" s="311">
        <f t="shared" si="99"/>
        <v>2687400</v>
      </c>
      <c r="AO288" s="458"/>
      <c r="AP288" s="459"/>
      <c r="AQ288" s="459"/>
      <c r="AR288" s="460"/>
      <c r="AS288" s="316"/>
      <c r="AT288" s="458"/>
      <c r="AU288" s="459"/>
      <c r="AV288" s="459"/>
      <c r="AW288" s="459"/>
      <c r="AX288" s="459"/>
      <c r="AY288" s="460"/>
    </row>
    <row r="289" spans="1:51" ht="15" hidden="1" outlineLevel="1" x14ac:dyDescent="0.25">
      <c r="A289" s="295">
        <f t="shared" si="89"/>
        <v>2043</v>
      </c>
      <c r="B289" s="295">
        <f t="shared" si="90"/>
        <v>8</v>
      </c>
      <c r="C289" s="305">
        <f t="shared" si="91"/>
        <v>52444</v>
      </c>
      <c r="E289" s="310">
        <v>1053841</v>
      </c>
      <c r="F289" s="309">
        <v>892828</v>
      </c>
      <c r="G289" s="309">
        <v>79507</v>
      </c>
      <c r="H289" s="309">
        <v>5132</v>
      </c>
      <c r="I289" s="309">
        <v>280</v>
      </c>
      <c r="J289" s="309">
        <f t="shared" si="100"/>
        <v>2031588</v>
      </c>
      <c r="K289" s="309">
        <f t="shared" si="101"/>
        <v>171870</v>
      </c>
      <c r="L289" s="309">
        <f t="shared" si="102"/>
        <v>2203458</v>
      </c>
      <c r="M289" s="309">
        <v>1634</v>
      </c>
      <c r="N289" s="309">
        <f t="shared" si="92"/>
        <v>138</v>
      </c>
      <c r="O289" s="311">
        <f t="shared" si="93"/>
        <v>2205230</v>
      </c>
      <c r="P289" s="309"/>
      <c r="Q289" s="310">
        <v>1174094.8230110346</v>
      </c>
      <c r="R289" s="309">
        <v>1079871.7449371086</v>
      </c>
      <c r="S289" s="309">
        <v>86824</v>
      </c>
      <c r="T289" s="309">
        <f t="shared" si="103"/>
        <v>6683</v>
      </c>
      <c r="U289" s="309">
        <f t="shared" si="103"/>
        <v>280</v>
      </c>
      <c r="V289" s="309">
        <f t="shared" si="104"/>
        <v>2347753.567948143</v>
      </c>
      <c r="W289" s="309">
        <f t="shared" si="105"/>
        <v>198616.432051857</v>
      </c>
      <c r="X289" s="309">
        <f t="shared" si="106"/>
        <v>2546370</v>
      </c>
      <c r="Y289" s="309">
        <f t="shared" si="107"/>
        <v>1634</v>
      </c>
      <c r="Z289" s="309">
        <f t="shared" si="94"/>
        <v>138</v>
      </c>
      <c r="AA289" s="311">
        <f t="shared" si="108"/>
        <v>2548142</v>
      </c>
      <c r="AC289" s="310">
        <v>1247328</v>
      </c>
      <c r="AD289" s="309">
        <v>1140196</v>
      </c>
      <c r="AE289" s="309">
        <v>86824</v>
      </c>
      <c r="AF289" s="309">
        <v>6683</v>
      </c>
      <c r="AG289" s="309">
        <v>280</v>
      </c>
      <c r="AH289" s="309">
        <f t="shared" si="95"/>
        <v>2481311</v>
      </c>
      <c r="AI289" s="309">
        <f t="shared" si="96"/>
        <v>209916</v>
      </c>
      <c r="AJ289" s="309">
        <f t="shared" si="97"/>
        <v>2691227</v>
      </c>
      <c r="AK289" s="309">
        <v>1634</v>
      </c>
      <c r="AL289" s="309">
        <f t="shared" si="98"/>
        <v>138</v>
      </c>
      <c r="AM289" s="311">
        <f t="shared" si="99"/>
        <v>2692999</v>
      </c>
      <c r="AO289" s="458"/>
      <c r="AP289" s="459"/>
      <c r="AQ289" s="459"/>
      <c r="AR289" s="460"/>
      <c r="AS289" s="316"/>
      <c r="AT289" s="458"/>
      <c r="AU289" s="459"/>
      <c r="AV289" s="459"/>
      <c r="AW289" s="459"/>
      <c r="AX289" s="459"/>
      <c r="AY289" s="460"/>
    </row>
    <row r="290" spans="1:51" ht="15" hidden="1" outlineLevel="1" x14ac:dyDescent="0.25">
      <c r="A290" s="295">
        <f t="shared" si="89"/>
        <v>2043</v>
      </c>
      <c r="B290" s="295">
        <f t="shared" si="90"/>
        <v>9</v>
      </c>
      <c r="C290" s="305">
        <f t="shared" si="91"/>
        <v>52475</v>
      </c>
      <c r="E290" s="310">
        <v>926280</v>
      </c>
      <c r="F290" s="309">
        <v>862760</v>
      </c>
      <c r="G290" s="309">
        <v>75882</v>
      </c>
      <c r="H290" s="309">
        <v>5471</v>
      </c>
      <c r="I290" s="309">
        <v>351</v>
      </c>
      <c r="J290" s="309">
        <f t="shared" si="100"/>
        <v>1870744</v>
      </c>
      <c r="K290" s="309">
        <f t="shared" si="101"/>
        <v>158263</v>
      </c>
      <c r="L290" s="309">
        <f t="shared" si="102"/>
        <v>2029007</v>
      </c>
      <c r="M290" s="309">
        <v>1428</v>
      </c>
      <c r="N290" s="309">
        <f t="shared" si="92"/>
        <v>121</v>
      </c>
      <c r="O290" s="311">
        <f t="shared" si="93"/>
        <v>2030556</v>
      </c>
      <c r="P290" s="309"/>
      <c r="Q290" s="310">
        <v>1050414.4421245921</v>
      </c>
      <c r="R290" s="309">
        <v>1037934.9843558446</v>
      </c>
      <c r="S290" s="309">
        <v>82761</v>
      </c>
      <c r="T290" s="309">
        <f t="shared" si="103"/>
        <v>7023</v>
      </c>
      <c r="U290" s="309">
        <f t="shared" si="103"/>
        <v>351</v>
      </c>
      <c r="V290" s="309">
        <f t="shared" si="104"/>
        <v>2178484.4264804367</v>
      </c>
      <c r="W290" s="309">
        <f t="shared" si="105"/>
        <v>184296.5735195633</v>
      </c>
      <c r="X290" s="309">
        <f t="shared" si="106"/>
        <v>2362781</v>
      </c>
      <c r="Y290" s="309">
        <f t="shared" si="107"/>
        <v>1428</v>
      </c>
      <c r="Z290" s="309">
        <f t="shared" si="94"/>
        <v>121</v>
      </c>
      <c r="AA290" s="311">
        <f t="shared" si="108"/>
        <v>2364330</v>
      </c>
      <c r="AC290" s="310">
        <v>1117226</v>
      </c>
      <c r="AD290" s="309">
        <v>1088072</v>
      </c>
      <c r="AE290" s="309">
        <v>82761</v>
      </c>
      <c r="AF290" s="309">
        <v>7023</v>
      </c>
      <c r="AG290" s="309">
        <v>351</v>
      </c>
      <c r="AH290" s="309">
        <f t="shared" si="95"/>
        <v>2295433</v>
      </c>
      <c r="AI290" s="309">
        <f t="shared" si="96"/>
        <v>194191</v>
      </c>
      <c r="AJ290" s="309">
        <f t="shared" si="97"/>
        <v>2489624</v>
      </c>
      <c r="AK290" s="309">
        <v>1428</v>
      </c>
      <c r="AL290" s="309">
        <f t="shared" si="98"/>
        <v>121</v>
      </c>
      <c r="AM290" s="311">
        <f t="shared" si="99"/>
        <v>2491173</v>
      </c>
      <c r="AO290" s="458"/>
      <c r="AP290" s="459"/>
      <c r="AQ290" s="459"/>
      <c r="AR290" s="460"/>
      <c r="AS290" s="316"/>
      <c r="AT290" s="458"/>
      <c r="AU290" s="459"/>
      <c r="AV290" s="459"/>
      <c r="AW290" s="459"/>
      <c r="AX290" s="459"/>
      <c r="AY290" s="460"/>
    </row>
    <row r="291" spans="1:51" ht="15" hidden="1" outlineLevel="1" x14ac:dyDescent="0.25">
      <c r="A291" s="295">
        <f t="shared" si="89"/>
        <v>2043</v>
      </c>
      <c r="B291" s="295">
        <f t="shared" si="90"/>
        <v>10</v>
      </c>
      <c r="C291" s="305">
        <f t="shared" si="91"/>
        <v>52505</v>
      </c>
      <c r="E291" s="310">
        <v>973586</v>
      </c>
      <c r="F291" s="309">
        <v>873879</v>
      </c>
      <c r="G291" s="309">
        <v>71611</v>
      </c>
      <c r="H291" s="309">
        <v>5015</v>
      </c>
      <c r="I291" s="309">
        <v>458</v>
      </c>
      <c r="J291" s="309">
        <f t="shared" si="100"/>
        <v>1924549</v>
      </c>
      <c r="K291" s="309">
        <f t="shared" si="101"/>
        <v>162814</v>
      </c>
      <c r="L291" s="309">
        <f t="shared" si="102"/>
        <v>2087363</v>
      </c>
      <c r="M291" s="309">
        <v>1830</v>
      </c>
      <c r="N291" s="309">
        <f t="shared" si="92"/>
        <v>155</v>
      </c>
      <c r="O291" s="311">
        <f t="shared" si="93"/>
        <v>2089348</v>
      </c>
      <c r="P291" s="309"/>
      <c r="Q291" s="310">
        <v>1146921.1124931206</v>
      </c>
      <c r="R291" s="309">
        <v>1050042.478657634</v>
      </c>
      <c r="S291" s="309">
        <v>78850</v>
      </c>
      <c r="T291" s="309">
        <f t="shared" si="103"/>
        <v>6972</v>
      </c>
      <c r="U291" s="309">
        <f t="shared" si="103"/>
        <v>458</v>
      </c>
      <c r="V291" s="309">
        <f t="shared" si="104"/>
        <v>2283243.5911507546</v>
      </c>
      <c r="W291" s="309">
        <f t="shared" si="105"/>
        <v>193159.4088492454</v>
      </c>
      <c r="X291" s="309">
        <f t="shared" si="106"/>
        <v>2476403</v>
      </c>
      <c r="Y291" s="309">
        <f t="shared" si="107"/>
        <v>1830</v>
      </c>
      <c r="Z291" s="309">
        <f t="shared" si="94"/>
        <v>155</v>
      </c>
      <c r="AA291" s="311">
        <f t="shared" si="108"/>
        <v>2478388</v>
      </c>
      <c r="AC291" s="310">
        <v>1233722</v>
      </c>
      <c r="AD291" s="309">
        <v>1097066</v>
      </c>
      <c r="AE291" s="309">
        <v>78850</v>
      </c>
      <c r="AF291" s="309">
        <v>6972</v>
      </c>
      <c r="AG291" s="309">
        <v>458</v>
      </c>
      <c r="AH291" s="309">
        <f t="shared" si="95"/>
        <v>2417068</v>
      </c>
      <c r="AI291" s="309">
        <f t="shared" si="96"/>
        <v>204481</v>
      </c>
      <c r="AJ291" s="309">
        <f t="shared" si="97"/>
        <v>2621549</v>
      </c>
      <c r="AK291" s="309">
        <v>1830</v>
      </c>
      <c r="AL291" s="309">
        <f t="shared" si="98"/>
        <v>155</v>
      </c>
      <c r="AM291" s="311">
        <f t="shared" si="99"/>
        <v>2623534</v>
      </c>
      <c r="AO291" s="458"/>
      <c r="AP291" s="459"/>
      <c r="AQ291" s="459"/>
      <c r="AR291" s="460"/>
      <c r="AS291" s="316"/>
      <c r="AT291" s="458"/>
      <c r="AU291" s="459"/>
      <c r="AV291" s="459"/>
      <c r="AW291" s="459"/>
      <c r="AX291" s="459"/>
      <c r="AY291" s="460"/>
    </row>
    <row r="292" spans="1:51" ht="15" hidden="1" outlineLevel="1" x14ac:dyDescent="0.25">
      <c r="A292" s="295">
        <f t="shared" si="89"/>
        <v>2043</v>
      </c>
      <c r="B292" s="295">
        <f t="shared" si="90"/>
        <v>11</v>
      </c>
      <c r="C292" s="305">
        <f t="shared" si="91"/>
        <v>52536</v>
      </c>
      <c r="E292" s="310">
        <v>1180978</v>
      </c>
      <c r="F292" s="309">
        <v>910721</v>
      </c>
      <c r="G292" s="309">
        <v>75710</v>
      </c>
      <c r="H292" s="309">
        <v>5618</v>
      </c>
      <c r="I292" s="309">
        <v>752</v>
      </c>
      <c r="J292" s="309">
        <f t="shared" si="100"/>
        <v>2173779</v>
      </c>
      <c r="K292" s="309">
        <f t="shared" si="101"/>
        <v>183899</v>
      </c>
      <c r="L292" s="309">
        <f t="shared" si="102"/>
        <v>2357678</v>
      </c>
      <c r="M292" s="309">
        <v>1832</v>
      </c>
      <c r="N292" s="309">
        <f t="shared" si="92"/>
        <v>155</v>
      </c>
      <c r="O292" s="311">
        <f t="shared" si="93"/>
        <v>2359665</v>
      </c>
      <c r="P292" s="309"/>
      <c r="Q292" s="310">
        <v>1406506.458869725</v>
      </c>
      <c r="R292" s="309">
        <v>1077506.9805993869</v>
      </c>
      <c r="S292" s="309">
        <v>82329</v>
      </c>
      <c r="T292" s="309">
        <f t="shared" si="103"/>
        <v>7748</v>
      </c>
      <c r="U292" s="309">
        <f t="shared" si="103"/>
        <v>752</v>
      </c>
      <c r="V292" s="309">
        <f t="shared" si="104"/>
        <v>2574842.4394691121</v>
      </c>
      <c r="W292" s="309">
        <f t="shared" si="105"/>
        <v>217828.56053088792</v>
      </c>
      <c r="X292" s="309">
        <f t="shared" si="106"/>
        <v>2792671</v>
      </c>
      <c r="Y292" s="309">
        <f t="shared" si="107"/>
        <v>1832</v>
      </c>
      <c r="Z292" s="309">
        <f t="shared" si="94"/>
        <v>155</v>
      </c>
      <c r="AA292" s="311">
        <f t="shared" si="108"/>
        <v>2794658</v>
      </c>
      <c r="AC292" s="310">
        <v>1519399</v>
      </c>
      <c r="AD292" s="309">
        <v>1119943</v>
      </c>
      <c r="AE292" s="309">
        <v>82329</v>
      </c>
      <c r="AF292" s="309">
        <v>7748</v>
      </c>
      <c r="AG292" s="309">
        <v>752</v>
      </c>
      <c r="AH292" s="309">
        <f t="shared" si="95"/>
        <v>2730171</v>
      </c>
      <c r="AI292" s="309">
        <f t="shared" si="96"/>
        <v>230969</v>
      </c>
      <c r="AJ292" s="309">
        <f t="shared" si="97"/>
        <v>2961140</v>
      </c>
      <c r="AK292" s="309">
        <v>1832</v>
      </c>
      <c r="AL292" s="309">
        <f t="shared" si="98"/>
        <v>155</v>
      </c>
      <c r="AM292" s="311">
        <f t="shared" si="99"/>
        <v>2963127</v>
      </c>
      <c r="AO292" s="458"/>
      <c r="AP292" s="459"/>
      <c r="AQ292" s="459"/>
      <c r="AR292" s="460"/>
      <c r="AS292" s="316"/>
      <c r="AT292" s="458"/>
      <c r="AU292" s="459"/>
      <c r="AV292" s="459"/>
      <c r="AW292" s="459"/>
      <c r="AX292" s="459"/>
      <c r="AY292" s="460"/>
    </row>
    <row r="293" spans="1:51" ht="15.75" hidden="1" outlineLevel="1" thickBot="1" x14ac:dyDescent="0.3">
      <c r="A293" s="295">
        <f t="shared" si="89"/>
        <v>2043</v>
      </c>
      <c r="B293" s="295">
        <f t="shared" si="90"/>
        <v>12</v>
      </c>
      <c r="C293" s="305">
        <f t="shared" si="91"/>
        <v>52566</v>
      </c>
      <c r="E293" s="312">
        <v>1247476</v>
      </c>
      <c r="F293" s="313">
        <v>937900</v>
      </c>
      <c r="G293" s="313">
        <v>68629</v>
      </c>
      <c r="H293" s="313">
        <v>5034</v>
      </c>
      <c r="I293" s="313">
        <v>814</v>
      </c>
      <c r="J293" s="313">
        <f t="shared" si="100"/>
        <v>2259853</v>
      </c>
      <c r="K293" s="313">
        <f t="shared" si="101"/>
        <v>191181</v>
      </c>
      <c r="L293" s="313">
        <f t="shared" si="102"/>
        <v>2451034</v>
      </c>
      <c r="M293" s="313">
        <v>1718</v>
      </c>
      <c r="N293" s="313">
        <f t="shared" si="92"/>
        <v>145</v>
      </c>
      <c r="O293" s="314">
        <f t="shared" si="93"/>
        <v>2452897</v>
      </c>
      <c r="P293" s="309"/>
      <c r="Q293" s="312">
        <v>1559253.5105454982</v>
      </c>
      <c r="R293" s="313">
        <v>1116067.4483077705</v>
      </c>
      <c r="S293" s="313">
        <v>75506</v>
      </c>
      <c r="T293" s="313">
        <f t="shared" si="103"/>
        <v>7290</v>
      </c>
      <c r="U293" s="313">
        <f t="shared" si="103"/>
        <v>814</v>
      </c>
      <c r="V293" s="313">
        <f t="shared" si="104"/>
        <v>2758930.958853269</v>
      </c>
      <c r="W293" s="313">
        <f t="shared" si="105"/>
        <v>233402.041146731</v>
      </c>
      <c r="X293" s="313">
        <f t="shared" si="106"/>
        <v>2992333</v>
      </c>
      <c r="Y293" s="313">
        <f t="shared" si="107"/>
        <v>1718</v>
      </c>
      <c r="Z293" s="313">
        <f t="shared" si="94"/>
        <v>145</v>
      </c>
      <c r="AA293" s="314">
        <f t="shared" si="108"/>
        <v>2994196</v>
      </c>
      <c r="AC293" s="312">
        <v>1708712</v>
      </c>
      <c r="AD293" s="313">
        <v>1169264</v>
      </c>
      <c r="AE293" s="313">
        <v>75506</v>
      </c>
      <c r="AF293" s="313">
        <v>7290</v>
      </c>
      <c r="AG293" s="313">
        <v>814</v>
      </c>
      <c r="AH293" s="313">
        <f t="shared" si="95"/>
        <v>2961586</v>
      </c>
      <c r="AI293" s="313">
        <f t="shared" si="96"/>
        <v>250546</v>
      </c>
      <c r="AJ293" s="313">
        <f t="shared" si="97"/>
        <v>3212132</v>
      </c>
      <c r="AK293" s="313">
        <v>1718</v>
      </c>
      <c r="AL293" s="313">
        <f t="shared" si="98"/>
        <v>145</v>
      </c>
      <c r="AM293" s="314">
        <f t="shared" si="99"/>
        <v>3213995</v>
      </c>
      <c r="AO293" s="458"/>
      <c r="AP293" s="459"/>
      <c r="AQ293" s="459"/>
      <c r="AR293" s="460"/>
      <c r="AS293" s="316"/>
      <c r="AT293" s="458"/>
      <c r="AU293" s="459"/>
      <c r="AV293" s="459"/>
      <c r="AW293" s="459"/>
      <c r="AX293" s="459"/>
      <c r="AY293" s="460"/>
    </row>
    <row r="294" spans="1:51" collapsed="1" x14ac:dyDescent="0.2">
      <c r="A294" s="295"/>
      <c r="B294" s="295"/>
      <c r="AO294" s="464"/>
      <c r="AP294" s="300"/>
      <c r="AQ294" s="300"/>
      <c r="AR294" s="465"/>
      <c r="AT294" s="464"/>
      <c r="AU294" s="300"/>
      <c r="AV294" s="300"/>
      <c r="AW294" s="300"/>
      <c r="AX294" s="300"/>
      <c r="AY294" s="465"/>
    </row>
    <row r="295" spans="1:51" ht="15" x14ac:dyDescent="0.25">
      <c r="E295" s="316">
        <f t="shared" ref="E295:G295" si="109">SUM(E44:E55)</f>
        <v>10813771</v>
      </c>
      <c r="F295" s="316">
        <f t="shared" si="109"/>
        <v>8512694</v>
      </c>
      <c r="G295" s="316">
        <f t="shared" si="109"/>
        <v>1022573</v>
      </c>
      <c r="H295" s="316">
        <f>SUM(H44:H55)</f>
        <v>64710</v>
      </c>
      <c r="I295" s="316">
        <f>SUM(I44:I55)</f>
        <v>7099</v>
      </c>
      <c r="J295" s="316">
        <f>SUM(J44:J55)</f>
        <v>20420847</v>
      </c>
      <c r="K295" s="292" t="s">
        <v>770</v>
      </c>
      <c r="L295" s="309"/>
      <c r="AO295" s="464"/>
      <c r="AP295" s="300"/>
      <c r="AQ295" s="300"/>
      <c r="AR295" s="465"/>
      <c r="AT295" s="464"/>
      <c r="AU295" s="300"/>
      <c r="AV295" s="300"/>
      <c r="AW295" s="300"/>
      <c r="AX295" s="300"/>
      <c r="AY295" s="465"/>
    </row>
    <row r="296" spans="1:51" ht="15" x14ac:dyDescent="0.25">
      <c r="E296" s="316">
        <f>'Rate Impacts from UE-230040'!D9/1000</f>
        <v>10811271.269433828</v>
      </c>
      <c r="F296" s="316">
        <f>('Rate Impacts from UE-230040'!D16+'Rate Impacts from UE-230040'!D27)/1000</f>
        <v>8086113.0253315521</v>
      </c>
      <c r="G296" s="316">
        <f>'Rate Impacts from UE-230040'!D22/1000</f>
        <v>1454197.8507296126</v>
      </c>
      <c r="H296" s="316">
        <f>'Rate Impacts from UE-230040'!D32/1000</f>
        <v>62167.183412781123</v>
      </c>
      <c r="I296" s="316">
        <f>'Rate Impacts from UE-230040'!D33/1000</f>
        <v>7099</v>
      </c>
      <c r="J296" s="316">
        <f>('Rate Impacts from UE-230040'!D36-'Rate Impacts from UE-230040'!D34)/1000</f>
        <v>20420848.328907777</v>
      </c>
      <c r="K296" s="292" t="s">
        <v>771</v>
      </c>
      <c r="L296" s="317"/>
      <c r="AO296" s="466">
        <f>SUM(AO44:AO294)</f>
        <v>10811271.269433828</v>
      </c>
      <c r="AP296" s="467">
        <f>SUM(AP44:AP294)</f>
        <v>8086113.0253315521</v>
      </c>
      <c r="AQ296" s="467">
        <f>SUM(AQ44:AQ294)</f>
        <v>1454197.8507296126</v>
      </c>
      <c r="AR296" s="468">
        <f>SUM(AO296:AQ296)</f>
        <v>20351582.14549499</v>
      </c>
      <c r="AT296" s="469">
        <f t="shared" ref="AT296:AY296" si="110">SUM(AT44:AT295)</f>
        <v>3448795.5349493911</v>
      </c>
      <c r="AU296" s="470">
        <f t="shared" si="110"/>
        <v>2182813.5818081461</v>
      </c>
      <c r="AV296" s="470">
        <f t="shared" si="110"/>
        <v>389501.10810622794</v>
      </c>
      <c r="AW296" s="470">
        <f t="shared" si="110"/>
        <v>6021110.2248637648</v>
      </c>
      <c r="AX296" s="470">
        <f t="shared" si="110"/>
        <v>6183905.5727833183</v>
      </c>
      <c r="AY296" s="471">
        <f t="shared" si="110"/>
        <v>-162795.34791955451</v>
      </c>
    </row>
    <row r="297" spans="1:51" x14ac:dyDescent="0.2">
      <c r="E297" s="316">
        <f>E296-E295</f>
        <v>-2499.7305661719292</v>
      </c>
      <c r="F297" s="316">
        <f t="shared" ref="F297:J297" si="111">F296-F295</f>
        <v>-426580.97466844786</v>
      </c>
      <c r="G297" s="316">
        <f t="shared" si="111"/>
        <v>431624.85072961263</v>
      </c>
      <c r="H297" s="316">
        <f t="shared" si="111"/>
        <v>-2542.8165872188765</v>
      </c>
      <c r="I297" s="316">
        <f t="shared" si="111"/>
        <v>0</v>
      </c>
      <c r="J297" s="316">
        <f t="shared" si="111"/>
        <v>1.3289077766239643</v>
      </c>
      <c r="K297" s="292" t="s">
        <v>772</v>
      </c>
      <c r="AT297" s="472">
        <f>'Rate Impacts from UE-230040'!J9-AT296</f>
        <v>-8.8475644588470459E-8</v>
      </c>
      <c r="AU297" s="472">
        <f>'Rate Impacts from UE-230040'!J16+'Rate Impacts from UE-230040'!J27-AU296</f>
        <v>0</v>
      </c>
      <c r="AV297" s="472">
        <f>'Rate Impacts from UE-230040'!J22-AV296</f>
        <v>-1.3853423297405243E-8</v>
      </c>
      <c r="AW297" s="472">
        <f>'Rate Impacts from UE-230040'!J29-AW296</f>
        <v>-1.0151416063308716E-7</v>
      </c>
      <c r="AX297" s="472"/>
    </row>
    <row r="298" spans="1:51" ht="15" x14ac:dyDescent="0.25">
      <c r="J298" s="318">
        <f>'JE Detail'!J58</f>
        <v>8949.1140819955617</v>
      </c>
      <c r="L298" s="317"/>
    </row>
  </sheetData>
  <mergeCells count="4">
    <mergeCell ref="Q3:AA3"/>
    <mergeCell ref="E4:O4"/>
    <mergeCell ref="Q4:AA4"/>
    <mergeCell ref="AC4:AM4"/>
  </mergeCells>
  <pageMargins left="0.7" right="0.7" top="0.75" bottom="0.75" header="0.3" footer="0.3"/>
  <pageSetup orientation="portrait" horizontalDpi="1200" verticalDpi="1200"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80" zoomScaleNormal="80" workbookViewId="0">
      <pane xSplit="3" ySplit="7" topLeftCell="D8" activePane="bottomRight" state="frozen"/>
      <selection activeCell="D27" activeCellId="1" sqref="D16 D27"/>
      <selection pane="topRight" activeCell="D27" activeCellId="1" sqref="D16 D27"/>
      <selection pane="bottomLeft" activeCell="D27" activeCellId="1" sqref="D16 D27"/>
      <selection pane="bottomRight" activeCell="R44" sqref="R44"/>
    </sheetView>
  </sheetViews>
  <sheetFormatPr defaultColWidth="9.140625" defaultRowHeight="12.75" x14ac:dyDescent="0.2"/>
  <cols>
    <col min="1" max="1" width="5.7109375" style="334" customWidth="1"/>
    <col min="2" max="2" width="30.85546875" style="320" bestFit="1" customWidth="1"/>
    <col min="3" max="3" width="13.42578125" style="334" bestFit="1" customWidth="1"/>
    <col min="4" max="4" width="16.28515625" style="335" bestFit="1" customWidth="1"/>
    <col min="5" max="5" width="20.7109375" style="335" bestFit="1" customWidth="1"/>
    <col min="6" max="6" width="14.7109375" style="335" bestFit="1" customWidth="1"/>
    <col min="7" max="7" width="14.28515625" style="320" customWidth="1"/>
    <col min="8" max="8" width="20.7109375" style="320" bestFit="1" customWidth="1"/>
    <col min="9" max="9" width="16.28515625" style="335" bestFit="1" customWidth="1"/>
    <col min="10" max="10" width="14.42578125" style="320" customWidth="1"/>
    <col min="11" max="11" width="10.5703125" style="320" customWidth="1"/>
    <col min="12" max="13" width="1.42578125" style="320" customWidth="1"/>
    <col min="14" max="14" width="16.42578125" style="320" bestFit="1" customWidth="1"/>
    <col min="15" max="16384" width="9.140625" style="320"/>
  </cols>
  <sheetData>
    <row r="1" spans="1:14" x14ac:dyDescent="0.2">
      <c r="A1" s="319" t="s">
        <v>122</v>
      </c>
      <c r="B1" s="473"/>
      <c r="C1" s="473"/>
      <c r="D1" s="473"/>
      <c r="E1" s="473"/>
      <c r="F1" s="473"/>
      <c r="G1" s="473"/>
      <c r="H1" s="473"/>
      <c r="I1" s="473"/>
      <c r="J1" s="473"/>
      <c r="K1" s="473"/>
    </row>
    <row r="2" spans="1:14" x14ac:dyDescent="0.2">
      <c r="A2" s="319" t="s">
        <v>773</v>
      </c>
      <c r="B2" s="473"/>
      <c r="C2" s="473"/>
      <c r="D2" s="473"/>
      <c r="E2" s="473"/>
      <c r="F2" s="473"/>
      <c r="G2" s="473"/>
      <c r="H2" s="473"/>
      <c r="I2" s="473"/>
      <c r="J2" s="473"/>
      <c r="K2" s="473"/>
    </row>
    <row r="3" spans="1:14" x14ac:dyDescent="0.2">
      <c r="A3" s="319" t="s">
        <v>774</v>
      </c>
      <c r="B3" s="319"/>
      <c r="C3" s="319"/>
      <c r="D3" s="319"/>
      <c r="E3" s="319"/>
      <c r="F3" s="319"/>
      <c r="G3" s="319"/>
      <c r="H3" s="319"/>
      <c r="I3" s="319"/>
      <c r="J3" s="319"/>
      <c r="K3" s="319"/>
    </row>
    <row r="4" spans="1:14" x14ac:dyDescent="0.2">
      <c r="A4" s="319" t="s">
        <v>775</v>
      </c>
      <c r="B4" s="319"/>
      <c r="C4" s="319"/>
      <c r="D4" s="319"/>
      <c r="E4" s="319"/>
      <c r="F4" s="319"/>
      <c r="G4" s="319"/>
      <c r="H4" s="319"/>
      <c r="I4" s="319"/>
      <c r="J4" s="319"/>
      <c r="K4" s="319"/>
    </row>
    <row r="5" spans="1:14" s="321" customFormat="1" ht="13.5" thickBot="1" x14ac:dyDescent="0.25">
      <c r="A5" s="474"/>
      <c r="B5" s="474"/>
      <c r="C5" s="474"/>
      <c r="D5" s="474"/>
      <c r="E5" s="474"/>
      <c r="F5" s="474"/>
      <c r="G5" s="474"/>
      <c r="H5" s="474"/>
      <c r="I5" s="474"/>
      <c r="J5" s="474"/>
      <c r="K5" s="474"/>
    </row>
    <row r="6" spans="1:14" s="321" customFormat="1" ht="90.75" customHeight="1" thickBot="1" x14ac:dyDescent="0.25">
      <c r="A6" s="322" t="s">
        <v>776</v>
      </c>
      <c r="B6" s="323" t="s">
        <v>777</v>
      </c>
      <c r="C6" s="323" t="s">
        <v>778</v>
      </c>
      <c r="D6" s="324" t="s">
        <v>779</v>
      </c>
      <c r="E6" s="325" t="s">
        <v>780</v>
      </c>
      <c r="F6" s="325" t="s">
        <v>781</v>
      </c>
      <c r="G6" s="325" t="s">
        <v>782</v>
      </c>
      <c r="H6" s="325" t="str">
        <f>E6</f>
        <v>Annual Estimated Net Revenue @ Rates Effective 01/11/23
[*Note 1]</v>
      </c>
      <c r="I6" s="325" t="s">
        <v>783</v>
      </c>
      <c r="J6" s="323" t="s">
        <v>784</v>
      </c>
      <c r="K6" s="323" t="s">
        <v>785</v>
      </c>
      <c r="N6" s="326" t="s">
        <v>786</v>
      </c>
    </row>
    <row r="7" spans="1:14" s="328" customFormat="1" ht="25.5" x14ac:dyDescent="0.25">
      <c r="A7" s="327"/>
      <c r="D7" s="329" t="s">
        <v>4</v>
      </c>
      <c r="E7" s="329" t="s">
        <v>5</v>
      </c>
      <c r="F7" s="330" t="s">
        <v>6</v>
      </c>
      <c r="G7" s="328" t="s">
        <v>787</v>
      </c>
      <c r="H7" s="329" t="s">
        <v>788</v>
      </c>
      <c r="I7" s="329" t="s">
        <v>789</v>
      </c>
      <c r="J7" s="328" t="s">
        <v>790</v>
      </c>
      <c r="K7" s="331" t="s">
        <v>791</v>
      </c>
      <c r="N7" s="332"/>
    </row>
    <row r="8" spans="1:14" x14ac:dyDescent="0.2">
      <c r="A8" s="333"/>
      <c r="K8" s="336"/>
      <c r="M8" s="321"/>
      <c r="N8" s="337"/>
    </row>
    <row r="9" spans="1:14" x14ac:dyDescent="0.2">
      <c r="A9" s="333">
        <v>1</v>
      </c>
      <c r="B9" s="320" t="s">
        <v>701</v>
      </c>
      <c r="C9" s="334">
        <v>7</v>
      </c>
      <c r="D9" s="335">
        <v>10811271269.433828</v>
      </c>
      <c r="E9" s="338">
        <v>1381621295.1793132</v>
      </c>
      <c r="F9" s="346">
        <v>0</v>
      </c>
      <c r="G9" s="346">
        <v>3.19E-4</v>
      </c>
      <c r="H9" s="338">
        <f>+E9+ROUND(F9,2)*D9</f>
        <v>1381621295.1793132</v>
      </c>
      <c r="I9" s="338">
        <f>+G9*$D9+$E9</f>
        <v>1385070090.7142625</v>
      </c>
      <c r="J9" s="338">
        <f>+I9-H9</f>
        <v>3448795.5349493027</v>
      </c>
      <c r="K9" s="339">
        <f>+J9/H9</f>
        <v>2.4961945411399455E-3</v>
      </c>
      <c r="M9" s="340"/>
      <c r="N9" s="341"/>
    </row>
    <row r="10" spans="1:14" x14ac:dyDescent="0.2">
      <c r="A10" s="333">
        <f t="shared" ref="A10:A36" si="0">+A9+1</f>
        <v>2</v>
      </c>
      <c r="E10" s="338"/>
      <c r="F10" s="338"/>
      <c r="G10" s="338"/>
      <c r="H10" s="342"/>
      <c r="I10" s="338"/>
      <c r="J10" s="338"/>
      <c r="K10" s="339"/>
      <c r="M10" s="340"/>
      <c r="N10" s="337"/>
    </row>
    <row r="11" spans="1:14" x14ac:dyDescent="0.2">
      <c r="A11" s="333">
        <f t="shared" si="0"/>
        <v>3</v>
      </c>
      <c r="B11" s="343" t="s">
        <v>792</v>
      </c>
      <c r="C11" s="334" t="s">
        <v>793</v>
      </c>
      <c r="D11" s="335">
        <v>2743164635.732255</v>
      </c>
      <c r="E11" s="338">
        <v>352532125.17360067</v>
      </c>
      <c r="F11" s="346">
        <v>0</v>
      </c>
      <c r="G11" s="346">
        <v>2.7700000000000001E-4</v>
      </c>
      <c r="H11" s="338">
        <f>+E11+ROUND(F11,6)*D11</f>
        <v>352532125.17360067</v>
      </c>
      <c r="I11" s="338">
        <f>+G11*$D11+$E11</f>
        <v>353291981.77769852</v>
      </c>
      <c r="J11" s="338">
        <f>+I11-H11</f>
        <v>759856.60409784317</v>
      </c>
      <c r="K11" s="339">
        <f>+J11/H11</f>
        <v>2.1554251367124624E-3</v>
      </c>
      <c r="M11" s="340"/>
      <c r="N11" s="341"/>
    </row>
    <row r="12" spans="1:14" x14ac:dyDescent="0.2">
      <c r="A12" s="333">
        <f t="shared" si="0"/>
        <v>4</v>
      </c>
      <c r="B12" s="344" t="s">
        <v>794</v>
      </c>
      <c r="C12" s="345" t="s">
        <v>795</v>
      </c>
      <c r="D12" s="335">
        <v>2901136837.913403</v>
      </c>
      <c r="E12" s="338">
        <v>361964620.28029543</v>
      </c>
      <c r="F12" s="346">
        <v>0</v>
      </c>
      <c r="G12" s="346">
        <v>2.8699999999999998E-4</v>
      </c>
      <c r="H12" s="338">
        <f>+E12+ROUND(F12,6)*D12</f>
        <v>361964620.28029543</v>
      </c>
      <c r="I12" s="338">
        <f>+G12*$D12+$E12</f>
        <v>362797246.55277658</v>
      </c>
      <c r="J12" s="338">
        <f>+I12-H12</f>
        <v>832626.27248114347</v>
      </c>
      <c r="K12" s="339">
        <f>+J12/H12</f>
        <v>2.3002973932545689E-3</v>
      </c>
      <c r="M12" s="340"/>
      <c r="N12" s="341"/>
    </row>
    <row r="13" spans="1:14" x14ac:dyDescent="0.2">
      <c r="A13" s="333">
        <f t="shared" si="0"/>
        <v>5</v>
      </c>
      <c r="B13" s="344" t="s">
        <v>796</v>
      </c>
      <c r="C13" s="334" t="s">
        <v>797</v>
      </c>
      <c r="D13" s="335">
        <v>1830801957.4203374</v>
      </c>
      <c r="E13" s="338">
        <v>210922289.00980806</v>
      </c>
      <c r="F13" s="346">
        <v>0</v>
      </c>
      <c r="G13" s="346">
        <v>2.43E-4</v>
      </c>
      <c r="H13" s="338">
        <f>+E13+ROUND(F13,6)*D13</f>
        <v>210922289.00980806</v>
      </c>
      <c r="I13" s="338">
        <f>+G13*$D13+$E13</f>
        <v>211367173.88546121</v>
      </c>
      <c r="J13" s="338">
        <f>+I13-H13</f>
        <v>444884.8756531477</v>
      </c>
      <c r="K13" s="339">
        <f>+J13/H13</f>
        <v>2.1092359548234383E-3</v>
      </c>
      <c r="M13" s="340"/>
      <c r="N13" s="341"/>
    </row>
    <row r="14" spans="1:14" x14ac:dyDescent="0.2">
      <c r="A14" s="333">
        <f t="shared" si="0"/>
        <v>6</v>
      </c>
      <c r="B14" s="344" t="s">
        <v>798</v>
      </c>
      <c r="C14" s="334">
        <v>29</v>
      </c>
      <c r="D14" s="335">
        <v>15002821.548252858</v>
      </c>
      <c r="E14" s="338">
        <v>1658579.1492573407</v>
      </c>
      <c r="F14" s="346">
        <v>0</v>
      </c>
      <c r="G14" s="346">
        <v>3.6999999999999999E-4</v>
      </c>
      <c r="H14" s="338">
        <f>+E14+ROUND(F14,6)*D14</f>
        <v>1658579.1492573407</v>
      </c>
      <c r="I14" s="338">
        <f>+G14*$D14+$E14</f>
        <v>1664130.1932301943</v>
      </c>
      <c r="J14" s="338">
        <f>+I14-H14</f>
        <v>5551.0439728535712</v>
      </c>
      <c r="K14" s="339">
        <f>+J14/H14</f>
        <v>3.3468670912323679E-3</v>
      </c>
      <c r="M14" s="340"/>
      <c r="N14" s="341"/>
    </row>
    <row r="15" spans="1:14" x14ac:dyDescent="0.2">
      <c r="A15" s="333">
        <f t="shared" si="0"/>
        <v>7</v>
      </c>
      <c r="E15" s="338"/>
      <c r="F15" s="342"/>
      <c r="G15" s="342"/>
      <c r="H15" s="342"/>
      <c r="I15" s="338"/>
      <c r="J15" s="338"/>
      <c r="K15" s="339"/>
      <c r="M15" s="340"/>
      <c r="N15" s="337"/>
    </row>
    <row r="16" spans="1:14" x14ac:dyDescent="0.2">
      <c r="A16" s="333">
        <f t="shared" si="0"/>
        <v>8</v>
      </c>
      <c r="B16" s="320" t="s">
        <v>799</v>
      </c>
      <c r="D16" s="335">
        <f>SUM(D11:D14)</f>
        <v>7490106252.6142492</v>
      </c>
      <c r="E16" s="335">
        <f>SUM(E11:E14)</f>
        <v>927077613.61296141</v>
      </c>
      <c r="F16" s="346">
        <f>SUMPRODUCT(D11:D14,F11:F14)/D16</f>
        <v>0</v>
      </c>
      <c r="G16" s="346">
        <f>SUMPRODUCT(D11:D14,G11:G14)/D16</f>
        <v>2.7274897408724246E-4</v>
      </c>
      <c r="H16" s="338">
        <f>SUM(H11:H14)</f>
        <v>927077613.61296141</v>
      </c>
      <c r="I16" s="338">
        <f>SUM(I11:I14)</f>
        <v>929120532.40916646</v>
      </c>
      <c r="J16" s="338">
        <f>SUM(J11:J14)</f>
        <v>2042918.7962049879</v>
      </c>
      <c r="K16" s="339">
        <f>+J16/H16</f>
        <v>2.2036113980181495E-3</v>
      </c>
      <c r="M16" s="340"/>
      <c r="N16" s="341"/>
    </row>
    <row r="17" spans="1:14" x14ac:dyDescent="0.2">
      <c r="A17" s="333">
        <f t="shared" si="0"/>
        <v>9</v>
      </c>
      <c r="E17" s="338"/>
      <c r="F17" s="342"/>
      <c r="G17" s="342"/>
      <c r="H17" s="342"/>
      <c r="I17" s="338"/>
      <c r="J17" s="338"/>
      <c r="K17" s="339"/>
      <c r="M17" s="338"/>
      <c r="N17" s="337"/>
    </row>
    <row r="18" spans="1:14" x14ac:dyDescent="0.2">
      <c r="A18" s="333">
        <f t="shared" si="0"/>
        <v>10</v>
      </c>
      <c r="B18" s="344" t="s">
        <v>800</v>
      </c>
      <c r="C18" s="334" t="s">
        <v>801</v>
      </c>
      <c r="D18" s="335">
        <v>1329024599.8352115</v>
      </c>
      <c r="E18" s="338">
        <v>149951711.07028487</v>
      </c>
      <c r="F18" s="346">
        <v>0</v>
      </c>
      <c r="G18" s="346">
        <v>2.52E-4</v>
      </c>
      <c r="H18" s="338">
        <f>+E18+ROUND(F18,6)*D18</f>
        <v>149951711.07028487</v>
      </c>
      <c r="I18" s="338">
        <f>+G18*$D18+$E18</f>
        <v>150286625.26944333</v>
      </c>
      <c r="J18" s="338">
        <f>+I18-H18</f>
        <v>334914.1991584599</v>
      </c>
      <c r="K18" s="339">
        <f>+J18/H18</f>
        <v>2.2334803435586008E-3</v>
      </c>
      <c r="M18" s="340"/>
      <c r="N18" s="341"/>
    </row>
    <row r="19" spans="1:14" x14ac:dyDescent="0.2">
      <c r="A19" s="333">
        <f t="shared" si="0"/>
        <v>11</v>
      </c>
      <c r="B19" s="344" t="s">
        <v>802</v>
      </c>
      <c r="C19" s="334">
        <v>35</v>
      </c>
      <c r="D19" s="335">
        <v>4706241.1306298776</v>
      </c>
      <c r="E19" s="338">
        <v>411015.95114776504</v>
      </c>
      <c r="F19" s="346">
        <v>0</v>
      </c>
      <c r="G19" s="346">
        <v>5.9199999999999997E-4</v>
      </c>
      <c r="H19" s="338">
        <f>+E19+ROUND(F19,6)*D19</f>
        <v>411015.95114776504</v>
      </c>
      <c r="I19" s="338">
        <f>+G19*$D19+$E19</f>
        <v>413802.04589709791</v>
      </c>
      <c r="J19" s="338">
        <f>+I19-H19</f>
        <v>2786.0947493328713</v>
      </c>
      <c r="K19" s="339">
        <f>+J19/H19</f>
        <v>6.7785562617525708E-3</v>
      </c>
      <c r="M19" s="340"/>
      <c r="N19" s="341"/>
    </row>
    <row r="20" spans="1:14" x14ac:dyDescent="0.2">
      <c r="A20" s="333">
        <f t="shared" si="0"/>
        <v>12</v>
      </c>
      <c r="B20" s="344" t="s">
        <v>803</v>
      </c>
      <c r="C20" s="334">
        <v>43</v>
      </c>
      <c r="D20" s="335">
        <v>120467009.7637714</v>
      </c>
      <c r="E20" s="338">
        <v>13933791.316341473</v>
      </c>
      <c r="F20" s="346">
        <v>0</v>
      </c>
      <c r="G20" s="346">
        <v>4.2999999999999999E-4</v>
      </c>
      <c r="H20" s="338">
        <f>+E20+ROUND(F20,6)*D20</f>
        <v>13933791.316341473</v>
      </c>
      <c r="I20" s="338">
        <f>+G20*$D20+$E20</f>
        <v>13985592.130539894</v>
      </c>
      <c r="J20" s="338">
        <f>+I20-H20</f>
        <v>51800.814198421314</v>
      </c>
      <c r="K20" s="339">
        <f>+J20/H20</f>
        <v>3.7176395872722456E-3</v>
      </c>
      <c r="M20" s="340"/>
      <c r="N20" s="341"/>
    </row>
    <row r="21" spans="1:14" x14ac:dyDescent="0.2">
      <c r="A21" s="333">
        <f t="shared" si="0"/>
        <v>13</v>
      </c>
      <c r="C21" s="320"/>
      <c r="E21" s="338"/>
      <c r="F21" s="342"/>
      <c r="G21" s="342"/>
      <c r="H21" s="342"/>
      <c r="I21" s="338"/>
      <c r="J21" s="338"/>
      <c r="K21" s="339"/>
      <c r="M21" s="340"/>
      <c r="N21" s="337"/>
    </row>
    <row r="22" spans="1:14" x14ac:dyDescent="0.2">
      <c r="A22" s="333">
        <f t="shared" si="0"/>
        <v>14</v>
      </c>
      <c r="B22" s="347" t="s">
        <v>804</v>
      </c>
      <c r="D22" s="335">
        <f>SUM(D18:D21)</f>
        <v>1454197850.7296126</v>
      </c>
      <c r="E22" s="338">
        <f>SUM(E18:E21)</f>
        <v>164296518.3377741</v>
      </c>
      <c r="F22" s="346">
        <f>SUMPRODUCT(D18:D20,F18:F20)/D22</f>
        <v>0</v>
      </c>
      <c r="G22" s="346">
        <f>SUMPRODUCT(D18:D20,G18:G20)/D22</f>
        <v>2.6784602102857192E-4</v>
      </c>
      <c r="H22" s="338">
        <f>SUM(H18:H21)</f>
        <v>164296518.3377741</v>
      </c>
      <c r="I22" s="338">
        <f>SUM(I18:I21)</f>
        <v>164686019.44588032</v>
      </c>
      <c r="J22" s="338">
        <f>SUM(J18:J21)</f>
        <v>389501.10810621409</v>
      </c>
      <c r="K22" s="339">
        <f>+J22/H22</f>
        <v>2.3707204026408284E-3</v>
      </c>
      <c r="M22" s="338"/>
      <c r="N22" s="337"/>
    </row>
    <row r="23" spans="1:14" x14ac:dyDescent="0.2">
      <c r="A23" s="333">
        <f t="shared" si="0"/>
        <v>15</v>
      </c>
      <c r="B23" s="347"/>
      <c r="E23" s="338"/>
      <c r="F23" s="342"/>
      <c r="G23" s="342"/>
      <c r="H23" s="342"/>
      <c r="I23" s="338"/>
      <c r="J23" s="338"/>
      <c r="K23" s="339"/>
      <c r="M23" s="338"/>
      <c r="N23" s="337"/>
    </row>
    <row r="24" spans="1:14" x14ac:dyDescent="0.2">
      <c r="A24" s="333">
        <f t="shared" si="0"/>
        <v>16</v>
      </c>
      <c r="B24" s="344" t="s">
        <v>805</v>
      </c>
      <c r="C24" s="334">
        <v>46</v>
      </c>
      <c r="D24" s="335">
        <v>89523424.544402152</v>
      </c>
      <c r="E24" s="338">
        <v>7134738.7174962945</v>
      </c>
      <c r="F24" s="346">
        <v>0</v>
      </c>
      <c r="G24" s="346">
        <v>3.1799999999999998E-4</v>
      </c>
      <c r="H24" s="338">
        <f>+E24+ROUND(F24,6)*D24</f>
        <v>7134738.7174962945</v>
      </c>
      <c r="I24" s="338">
        <f>+G24*$D24+$E24</f>
        <v>7163207.166501414</v>
      </c>
      <c r="J24" s="338">
        <f>+I24-H24</f>
        <v>28468.449005119503</v>
      </c>
      <c r="K24" s="339">
        <f>+J24/H24</f>
        <v>3.9901179471796529E-3</v>
      </c>
      <c r="M24" s="338"/>
      <c r="N24" s="337"/>
    </row>
    <row r="25" spans="1:14" x14ac:dyDescent="0.2">
      <c r="A25" s="333">
        <f t="shared" si="0"/>
        <v>17</v>
      </c>
      <c r="B25" s="343" t="s">
        <v>806</v>
      </c>
      <c r="C25" s="334">
        <v>49</v>
      </c>
      <c r="D25" s="335">
        <v>506483348.17290127</v>
      </c>
      <c r="E25" s="338">
        <v>42669079.589621224</v>
      </c>
      <c r="F25" s="346">
        <v>0</v>
      </c>
      <c r="G25" s="346">
        <v>2.2000000000000001E-4</v>
      </c>
      <c r="H25" s="338">
        <f>+E25+ROUND(F25,6)*D25</f>
        <v>42669079.589621224</v>
      </c>
      <c r="I25" s="338">
        <f>+G25*$D25+$E25</f>
        <v>42780505.926219262</v>
      </c>
      <c r="J25" s="338">
        <f>+I25-H25</f>
        <v>111426.33659803867</v>
      </c>
      <c r="K25" s="339">
        <f>+J25/H25</f>
        <v>2.6114070814206615E-3</v>
      </c>
      <c r="M25" s="340"/>
      <c r="N25" s="341"/>
    </row>
    <row r="26" spans="1:14" x14ac:dyDescent="0.2">
      <c r="A26" s="333">
        <f t="shared" si="0"/>
        <v>18</v>
      </c>
      <c r="E26" s="338"/>
      <c r="F26" s="342"/>
      <c r="G26" s="342"/>
      <c r="H26" s="342"/>
      <c r="I26" s="338"/>
      <c r="J26" s="338"/>
      <c r="K26" s="339"/>
      <c r="M26" s="340"/>
      <c r="N26" s="337"/>
    </row>
    <row r="27" spans="1:14" x14ac:dyDescent="0.2">
      <c r="A27" s="333">
        <f t="shared" si="0"/>
        <v>19</v>
      </c>
      <c r="B27" s="348" t="s">
        <v>807</v>
      </c>
      <c r="D27" s="335">
        <f>SUM(D24:D26)</f>
        <v>596006772.7173034</v>
      </c>
      <c r="E27" s="338">
        <f>SUM(E24:E26)</f>
        <v>49803818.307117522</v>
      </c>
      <c r="F27" s="346">
        <f>SUMPRODUCT(D24:D25,F24:F25)/D27</f>
        <v>0</v>
      </c>
      <c r="G27" s="346">
        <f>SUMPRODUCT(D24:D25,G24:G25)/D27</f>
        <v>2.3472012736592301E-4</v>
      </c>
      <c r="H27" s="335">
        <f>SUM(H24:H26)</f>
        <v>49803818.307117522</v>
      </c>
      <c r="I27" s="335">
        <f>SUM(I24:I26)</f>
        <v>49943713.092720672</v>
      </c>
      <c r="J27" s="338">
        <f>SUM(J24:J26)</f>
        <v>139894.78560315818</v>
      </c>
      <c r="K27" s="339">
        <f>+J27/H27</f>
        <v>2.8089168734110022E-3</v>
      </c>
      <c r="M27" s="340"/>
      <c r="N27" s="337"/>
    </row>
    <row r="28" spans="1:14" ht="13.5" thickBot="1" x14ac:dyDescent="0.25">
      <c r="A28" s="333">
        <f t="shared" si="0"/>
        <v>20</v>
      </c>
      <c r="E28" s="338"/>
      <c r="F28" s="342"/>
      <c r="G28" s="342"/>
      <c r="H28" s="342"/>
      <c r="I28" s="338"/>
      <c r="J28" s="338"/>
      <c r="K28" s="339"/>
      <c r="M28" s="338"/>
      <c r="N28" s="349"/>
    </row>
    <row r="29" spans="1:14" x14ac:dyDescent="0.2">
      <c r="A29" s="333">
        <f t="shared" si="0"/>
        <v>21</v>
      </c>
      <c r="B29" s="344" t="s">
        <v>116</v>
      </c>
      <c r="D29" s="335">
        <f>SUM(D9,D16,D22,D27)</f>
        <v>20351582145.494995</v>
      </c>
      <c r="E29" s="335">
        <f>SUM(E9,E16,E22,E27)</f>
        <v>2522799245.4371662</v>
      </c>
      <c r="F29" s="346">
        <f>(F9*D9+F16*D16+F22*D22+F27*D27)/D29</f>
        <v>0</v>
      </c>
      <c r="G29" s="346">
        <v>2.9573252745121979E-4</v>
      </c>
      <c r="H29" s="335">
        <f>SUM(H9,H16,H22,H27)</f>
        <v>2522799245.4371662</v>
      </c>
      <c r="I29" s="335">
        <f>SUM(I9,I16,I22,I27)</f>
        <v>2528820355.6620297</v>
      </c>
      <c r="J29" s="335">
        <f>SUM(J9,J16,J22,J27)</f>
        <v>6021110.2248636633</v>
      </c>
      <c r="K29" s="339">
        <f>+J29/H29</f>
        <v>2.3866783041709243E-3</v>
      </c>
      <c r="M29" s="321"/>
      <c r="N29" s="321"/>
    </row>
    <row r="30" spans="1:14" x14ac:dyDescent="0.2">
      <c r="A30" s="333">
        <f t="shared" si="0"/>
        <v>22</v>
      </c>
      <c r="B30" s="348"/>
      <c r="E30" s="338"/>
      <c r="F30" s="342"/>
      <c r="G30" s="342"/>
      <c r="H30" s="342"/>
      <c r="I30" s="338"/>
      <c r="J30" s="338"/>
      <c r="K30" s="339"/>
      <c r="M30" s="321"/>
      <c r="N30" s="321"/>
    </row>
    <row r="31" spans="1:14" x14ac:dyDescent="0.2">
      <c r="A31" s="333">
        <f t="shared" si="0"/>
        <v>23</v>
      </c>
      <c r="B31" s="348" t="s">
        <v>808</v>
      </c>
      <c r="E31" s="338"/>
      <c r="F31" s="338"/>
      <c r="G31" s="342"/>
      <c r="H31" s="342"/>
      <c r="I31" s="338"/>
      <c r="J31" s="338"/>
      <c r="K31" s="339"/>
      <c r="M31" s="321"/>
      <c r="N31" s="321"/>
    </row>
    <row r="32" spans="1:14" x14ac:dyDescent="0.2">
      <c r="A32" s="333">
        <f t="shared" si="0"/>
        <v>24</v>
      </c>
      <c r="B32" s="320" t="s">
        <v>809</v>
      </c>
      <c r="C32" s="334" t="s">
        <v>810</v>
      </c>
      <c r="D32" s="335">
        <v>62167183.412781127</v>
      </c>
      <c r="E32" s="338">
        <v>20149336.667966824</v>
      </c>
      <c r="F32" s="346"/>
      <c r="G32" s="346"/>
      <c r="H32" s="338">
        <f>+E32+ROUND(F32,6)*D32</f>
        <v>20149336.667966824</v>
      </c>
      <c r="I32" s="338">
        <f>+G32*$D32+$E32</f>
        <v>20149336.667966824</v>
      </c>
      <c r="J32" s="338">
        <f>+I32-H32</f>
        <v>0</v>
      </c>
      <c r="K32" s="339"/>
      <c r="M32" s="340"/>
      <c r="N32" s="474"/>
    </row>
    <row r="33" spans="1:14" x14ac:dyDescent="0.2">
      <c r="A33" s="333">
        <f t="shared" si="0"/>
        <v>25</v>
      </c>
      <c r="B33" s="350" t="s">
        <v>811</v>
      </c>
      <c r="C33" s="345" t="s">
        <v>812</v>
      </c>
      <c r="D33" s="335">
        <v>7099000</v>
      </c>
      <c r="E33" s="338">
        <v>656024.36075674777</v>
      </c>
      <c r="F33" s="346"/>
      <c r="G33" s="346"/>
      <c r="H33" s="338">
        <f>+E33+ROUND(F33,6)*D33</f>
        <v>656024.36075674777</v>
      </c>
      <c r="I33" s="338">
        <f>+G33*$D33+$E33</f>
        <v>656024.36075674777</v>
      </c>
      <c r="J33" s="338">
        <f>+I33-H33</f>
        <v>0</v>
      </c>
      <c r="K33" s="339"/>
      <c r="M33" s="321"/>
      <c r="N33" s="474"/>
    </row>
    <row r="34" spans="1:14" x14ac:dyDescent="0.2">
      <c r="A34" s="333">
        <f t="shared" si="0"/>
        <v>26</v>
      </c>
      <c r="B34" s="344" t="s">
        <v>813</v>
      </c>
      <c r="C34" s="345" t="s">
        <v>814</v>
      </c>
      <c r="D34" s="335">
        <v>2245720268.8083301</v>
      </c>
      <c r="E34" s="338">
        <v>18300072.8919576</v>
      </c>
      <c r="F34" s="338"/>
      <c r="G34" s="342"/>
      <c r="H34" s="338">
        <f>+E34+ROUND(F34,6)*D34</f>
        <v>18300072.8919576</v>
      </c>
      <c r="I34" s="338">
        <f>+G34*$D34+$E34</f>
        <v>18300072.8919576</v>
      </c>
      <c r="J34" s="338">
        <f>+I34-H34</f>
        <v>0</v>
      </c>
      <c r="K34" s="339"/>
      <c r="M34" s="321"/>
      <c r="N34" s="321"/>
    </row>
    <row r="35" spans="1:14" x14ac:dyDescent="0.2">
      <c r="A35" s="333">
        <f t="shared" si="0"/>
        <v>27</v>
      </c>
      <c r="B35" s="348"/>
      <c r="E35" s="338"/>
      <c r="F35" s="338"/>
      <c r="G35" s="342"/>
      <c r="H35" s="342"/>
      <c r="I35" s="338"/>
      <c r="J35" s="338"/>
      <c r="K35" s="339"/>
      <c r="M35" s="321"/>
    </row>
    <row r="36" spans="1:14" x14ac:dyDescent="0.2">
      <c r="A36" s="333">
        <f t="shared" si="0"/>
        <v>28</v>
      </c>
      <c r="B36" s="348" t="s">
        <v>25</v>
      </c>
      <c r="D36" s="335">
        <f>SUM(D29:D34)</f>
        <v>22666568597.716106</v>
      </c>
      <c r="E36" s="338">
        <f>SUM(E29:E34)</f>
        <v>2561904679.3578477</v>
      </c>
      <c r="F36" s="338"/>
      <c r="G36" s="342"/>
      <c r="H36" s="338">
        <f>SUM(H29:H34)</f>
        <v>2561904679.3578477</v>
      </c>
      <c r="I36" s="338">
        <f>SUM(I29:I34)</f>
        <v>2567925789.5827112</v>
      </c>
      <c r="J36" s="338">
        <f>SUM(J29:J34)</f>
        <v>6021110.2248636633</v>
      </c>
      <c r="K36" s="339"/>
      <c r="M36" s="321"/>
    </row>
    <row r="37" spans="1:14" ht="13.5" thickBot="1" x14ac:dyDescent="0.25">
      <c r="A37" s="351"/>
      <c r="B37" s="352"/>
      <c r="C37" s="353"/>
      <c r="D37" s="354"/>
      <c r="E37" s="355"/>
      <c r="F37" s="355"/>
      <c r="G37" s="352"/>
      <c r="H37" s="352"/>
      <c r="I37" s="354"/>
      <c r="J37" s="352"/>
      <c r="K37" s="356"/>
      <c r="M37" s="340"/>
      <c r="N37" s="340"/>
    </row>
    <row r="38" spans="1:14" ht="13.5" thickBot="1" x14ac:dyDescent="0.25">
      <c r="J38" s="338"/>
    </row>
    <row r="39" spans="1:14" ht="13.15" customHeight="1" x14ac:dyDescent="0.2">
      <c r="A39" s="475" t="s">
        <v>815</v>
      </c>
      <c r="B39" s="476"/>
      <c r="C39" s="476"/>
      <c r="D39" s="476"/>
      <c r="E39" s="476"/>
      <c r="F39" s="476"/>
      <c r="G39" s="476"/>
      <c r="H39" s="476"/>
      <c r="I39" s="476"/>
      <c r="J39" s="476"/>
      <c r="K39" s="477"/>
    </row>
    <row r="40" spans="1:14" ht="13.15" customHeight="1" x14ac:dyDescent="0.2">
      <c r="A40" s="478"/>
      <c r="B40" s="479"/>
      <c r="C40" s="479"/>
      <c r="D40" s="479"/>
      <c r="E40" s="479"/>
      <c r="F40" s="479"/>
      <c r="G40" s="479"/>
      <c r="H40" s="479"/>
      <c r="I40" s="479"/>
      <c r="J40" s="479"/>
      <c r="K40" s="480"/>
    </row>
    <row r="41" spans="1:14" ht="13.15" customHeight="1" x14ac:dyDescent="0.2">
      <c r="A41" s="478"/>
      <c r="B41" s="479"/>
      <c r="C41" s="479"/>
      <c r="D41" s="479"/>
      <c r="E41" s="479"/>
      <c r="F41" s="479"/>
      <c r="G41" s="479"/>
      <c r="H41" s="479"/>
      <c r="I41" s="479"/>
      <c r="J41" s="479"/>
      <c r="K41" s="480"/>
    </row>
    <row r="42" spans="1:14" x14ac:dyDescent="0.2">
      <c r="A42" s="478"/>
      <c r="B42" s="479"/>
      <c r="C42" s="479"/>
      <c r="D42" s="479"/>
      <c r="E42" s="479"/>
      <c r="F42" s="479"/>
      <c r="G42" s="479"/>
      <c r="H42" s="479"/>
      <c r="I42" s="479"/>
      <c r="J42" s="479"/>
      <c r="K42" s="480"/>
    </row>
    <row r="43" spans="1:14" ht="13.5" thickBot="1" x14ac:dyDescent="0.25">
      <c r="A43" s="481"/>
      <c r="B43" s="482"/>
      <c r="C43" s="482"/>
      <c r="D43" s="482"/>
      <c r="E43" s="482"/>
      <c r="F43" s="482"/>
      <c r="G43" s="482"/>
      <c r="H43" s="482"/>
      <c r="I43" s="482"/>
      <c r="J43" s="482"/>
      <c r="K43" s="483"/>
    </row>
    <row r="44" spans="1:14" x14ac:dyDescent="0.2">
      <c r="A44" s="484"/>
      <c r="B44" s="484"/>
      <c r="C44" s="484"/>
      <c r="D44" s="484"/>
      <c r="E44" s="484"/>
      <c r="F44" s="484"/>
      <c r="G44" s="484"/>
      <c r="H44" s="484"/>
      <c r="I44" s="484"/>
      <c r="J44" s="484"/>
      <c r="K44" s="484"/>
    </row>
    <row r="45" spans="1:14" x14ac:dyDescent="0.2">
      <c r="A45" s="484"/>
      <c r="B45" s="484"/>
      <c r="C45" s="484"/>
      <c r="D45" s="485"/>
      <c r="E45" s="484"/>
      <c r="F45" s="484"/>
      <c r="G45" s="484"/>
      <c r="H45" s="484"/>
      <c r="I45" s="484"/>
      <c r="J45" s="484"/>
      <c r="K45" s="484"/>
    </row>
    <row r="46" spans="1:14" x14ac:dyDescent="0.2">
      <c r="A46" s="484"/>
      <c r="B46" s="484"/>
      <c r="C46" s="484"/>
      <c r="D46" s="484"/>
      <c r="E46" s="484"/>
      <c r="F46" s="484"/>
      <c r="G46" s="484"/>
      <c r="H46" s="484"/>
      <c r="I46" s="484"/>
      <c r="J46" s="484"/>
      <c r="K46" s="484"/>
    </row>
    <row r="47" spans="1:14" x14ac:dyDescent="0.2">
      <c r="A47" s="484"/>
      <c r="B47" s="484"/>
      <c r="C47" s="484"/>
      <c r="D47" s="484"/>
      <c r="E47" s="484"/>
      <c r="F47" s="484"/>
      <c r="G47" s="484"/>
      <c r="H47" s="484"/>
      <c r="I47" s="484"/>
      <c r="J47" s="484"/>
      <c r="K47" s="484"/>
    </row>
    <row r="48" spans="1:14" x14ac:dyDescent="0.2">
      <c r="A48" s="484"/>
      <c r="B48" s="484"/>
      <c r="C48" s="484"/>
      <c r="D48" s="484"/>
      <c r="E48" s="484"/>
      <c r="F48" s="484"/>
      <c r="G48" s="484"/>
      <c r="H48" s="484"/>
      <c r="I48" s="484"/>
      <c r="J48" s="484"/>
      <c r="K48" s="484"/>
    </row>
    <row r="49" spans="1:8" s="335" customFormat="1" x14ac:dyDescent="0.2">
      <c r="A49" s="334"/>
      <c r="B49" s="320"/>
      <c r="C49" s="334"/>
      <c r="G49" s="320"/>
      <c r="H49" s="320"/>
    </row>
    <row r="50" spans="1:8" s="335" customFormat="1" x14ac:dyDescent="0.2">
      <c r="A50" s="334"/>
      <c r="B50" s="320"/>
      <c r="C50" s="334"/>
      <c r="G50" s="320"/>
      <c r="H50" s="320"/>
    </row>
  </sheetData>
  <mergeCells count="1">
    <mergeCell ref="A39:K43"/>
  </mergeCells>
  <printOptions horizontalCentered="1"/>
  <pageMargins left="0.7" right="0.7" top="0.75" bottom="0.75" header="0.3" footer="0.3"/>
  <pageSetup scale="71" orientation="landscape" r:id="rId1"/>
  <headerFooter alignWithMargins="0">
    <oddFooter>&amp;L&amp;F
&amp;A&amp;RSchedule 95A Filing Eff 1-1-21
Page &amp;P of &amp;N</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V34" sqref="V34"/>
    </sheetView>
  </sheetViews>
  <sheetFormatPr defaultRowHeight="15" x14ac:dyDescent="0.25"/>
  <sheetData/>
  <pageMargins left="0.7" right="0.7" top="0.75" bottom="0.75" header="0.3" footer="0.3"/>
  <customProperties>
    <customPr name="_pios_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C1" workbookViewId="0">
      <selection activeCell="M41" sqref="M41"/>
    </sheetView>
  </sheetViews>
  <sheetFormatPr defaultRowHeight="12.75" x14ac:dyDescent="0.2"/>
  <cols>
    <col min="1" max="1" width="29.85546875" style="262" bestFit="1" customWidth="1"/>
    <col min="2" max="2" width="28.5703125" style="262" bestFit="1" customWidth="1"/>
    <col min="3" max="3" width="16.42578125" style="262" bestFit="1" customWidth="1"/>
    <col min="4" max="4" width="20.42578125" style="262" bestFit="1" customWidth="1"/>
    <col min="5" max="5" width="11.140625" style="262" bestFit="1" customWidth="1"/>
    <col min="6" max="6" width="15.42578125" style="262" bestFit="1" customWidth="1"/>
    <col min="7" max="7" width="12.5703125" style="262" bestFit="1" customWidth="1"/>
    <col min="8" max="8" width="20.5703125" style="262" bestFit="1" customWidth="1"/>
    <col min="9" max="9" width="37.140625" style="262" bestFit="1" customWidth="1"/>
    <col min="10" max="11" width="12.85546875" style="262" bestFit="1" customWidth="1"/>
    <col min="12" max="12" width="15.28515625" style="262" bestFit="1" customWidth="1"/>
    <col min="13" max="13" width="31.140625" style="262" bestFit="1" customWidth="1"/>
    <col min="14" max="14" width="13.5703125" style="262" bestFit="1" customWidth="1"/>
    <col min="15" max="15" width="11.28515625" style="262" bestFit="1" customWidth="1"/>
    <col min="16" max="16" width="11.7109375" style="262" bestFit="1" customWidth="1"/>
    <col min="17" max="17" width="18.42578125" style="262" bestFit="1" customWidth="1"/>
    <col min="18" max="16384" width="9.140625" style="262"/>
  </cols>
  <sheetData>
    <row r="1" spans="1:17" x14ac:dyDescent="0.2">
      <c r="A1" s="262" t="s">
        <v>504</v>
      </c>
      <c r="B1" s="262" t="s">
        <v>505</v>
      </c>
      <c r="C1" s="262" t="s">
        <v>506</v>
      </c>
      <c r="D1" s="262" t="s">
        <v>507</v>
      </c>
      <c r="E1" s="262" t="s">
        <v>508</v>
      </c>
      <c r="F1" s="262" t="s">
        <v>509</v>
      </c>
      <c r="G1" s="262" t="s">
        <v>510</v>
      </c>
      <c r="H1" s="262" t="s">
        <v>511</v>
      </c>
      <c r="I1" s="262" t="s">
        <v>512</v>
      </c>
      <c r="J1" s="262" t="s">
        <v>513</v>
      </c>
      <c r="K1" s="262" t="s">
        <v>514</v>
      </c>
      <c r="L1" s="262" t="s">
        <v>515</v>
      </c>
      <c r="M1" s="262" t="s">
        <v>516</v>
      </c>
      <c r="N1" s="262" t="s">
        <v>517</v>
      </c>
      <c r="O1" s="262" t="s">
        <v>518</v>
      </c>
      <c r="P1" s="262" t="s">
        <v>519</v>
      </c>
      <c r="Q1" s="262" t="s">
        <v>520</v>
      </c>
    </row>
    <row r="2" spans="1:17" x14ac:dyDescent="0.2">
      <c r="A2" s="262" t="s">
        <v>499</v>
      </c>
      <c r="B2" s="262" t="s">
        <v>533</v>
      </c>
      <c r="C2" s="262" t="s">
        <v>534</v>
      </c>
      <c r="D2" s="262" t="s">
        <v>535</v>
      </c>
      <c r="E2" s="262" t="s">
        <v>524</v>
      </c>
      <c r="F2" s="262" t="s">
        <v>525</v>
      </c>
      <c r="G2" s="262">
        <v>202305</v>
      </c>
      <c r="H2" s="262" t="s">
        <v>535</v>
      </c>
      <c r="I2" s="262" t="s">
        <v>536</v>
      </c>
      <c r="L2" s="262" t="s">
        <v>497</v>
      </c>
      <c r="M2" s="262" t="s">
        <v>498</v>
      </c>
      <c r="N2" s="262">
        <v>1</v>
      </c>
      <c r="O2" s="264">
        <v>249046.18</v>
      </c>
      <c r="P2" s="264">
        <v>249046.18</v>
      </c>
      <c r="Q2" s="262">
        <v>0</v>
      </c>
    </row>
    <row r="3" spans="1:17" x14ac:dyDescent="0.2">
      <c r="A3" s="262" t="s">
        <v>499</v>
      </c>
      <c r="B3" s="262" t="s">
        <v>533</v>
      </c>
      <c r="C3" s="262" t="s">
        <v>534</v>
      </c>
      <c r="D3" s="262" t="s">
        <v>535</v>
      </c>
      <c r="E3" s="262" t="s">
        <v>524</v>
      </c>
      <c r="F3" s="262" t="s">
        <v>525</v>
      </c>
      <c r="G3" s="262">
        <v>202306</v>
      </c>
      <c r="H3" s="262" t="s">
        <v>535</v>
      </c>
      <c r="I3" s="262" t="s">
        <v>536</v>
      </c>
      <c r="L3" s="262" t="s">
        <v>497</v>
      </c>
      <c r="M3" s="262" t="s">
        <v>498</v>
      </c>
      <c r="N3" s="262">
        <v>0</v>
      </c>
      <c r="O3" s="264">
        <v>1019.2</v>
      </c>
      <c r="P3" s="264">
        <v>0</v>
      </c>
      <c r="Q3" s="262">
        <v>0</v>
      </c>
    </row>
    <row r="4" spans="1:17" x14ac:dyDescent="0.2">
      <c r="A4" s="262" t="s">
        <v>499</v>
      </c>
      <c r="B4" s="262" t="s">
        <v>533</v>
      </c>
      <c r="C4" s="262" t="s">
        <v>534</v>
      </c>
      <c r="D4" s="262" t="s">
        <v>535</v>
      </c>
      <c r="E4" s="262" t="s">
        <v>524</v>
      </c>
      <c r="F4" s="262" t="s">
        <v>525</v>
      </c>
      <c r="G4" s="262">
        <v>202307</v>
      </c>
      <c r="H4" s="262" t="s">
        <v>535</v>
      </c>
      <c r="I4" s="262" t="s">
        <v>536</v>
      </c>
      <c r="L4" s="262" t="s">
        <v>497</v>
      </c>
      <c r="M4" s="262" t="s">
        <v>498</v>
      </c>
      <c r="N4" s="262">
        <v>0</v>
      </c>
      <c r="O4" s="264">
        <v>833.87</v>
      </c>
      <c r="P4" s="264">
        <v>0</v>
      </c>
      <c r="Q4" s="262">
        <v>0</v>
      </c>
    </row>
    <row r="5" spans="1:17" x14ac:dyDescent="0.2">
      <c r="A5" s="262" t="s">
        <v>500</v>
      </c>
      <c r="B5" s="262" t="s">
        <v>521</v>
      </c>
      <c r="C5" s="262" t="s">
        <v>522</v>
      </c>
      <c r="D5" s="262" t="s">
        <v>523</v>
      </c>
      <c r="E5" s="262" t="s">
        <v>524</v>
      </c>
      <c r="F5" s="262" t="s">
        <v>525</v>
      </c>
      <c r="G5" s="262">
        <v>202310</v>
      </c>
      <c r="H5" s="262" t="s">
        <v>523</v>
      </c>
      <c r="I5" s="262" t="s">
        <v>526</v>
      </c>
      <c r="J5" s="262" t="s">
        <v>527</v>
      </c>
      <c r="K5" s="262" t="s">
        <v>527</v>
      </c>
      <c r="L5" s="262" t="s">
        <v>497</v>
      </c>
      <c r="M5" s="262" t="s">
        <v>498</v>
      </c>
      <c r="N5" s="262">
        <v>2</v>
      </c>
      <c r="O5" s="264">
        <v>38744.75</v>
      </c>
      <c r="P5" s="264">
        <v>19372.38</v>
      </c>
      <c r="Q5" s="262">
        <v>0</v>
      </c>
    </row>
    <row r="6" spans="1:17" x14ac:dyDescent="0.2">
      <c r="A6" s="262" t="s">
        <v>155</v>
      </c>
      <c r="B6" s="262" t="s">
        <v>521</v>
      </c>
      <c r="C6" s="262" t="s">
        <v>522</v>
      </c>
      <c r="D6" s="262" t="s">
        <v>528</v>
      </c>
      <c r="E6" s="262" t="s">
        <v>524</v>
      </c>
      <c r="F6" s="262" t="s">
        <v>525</v>
      </c>
      <c r="G6" s="262">
        <v>202310</v>
      </c>
      <c r="H6" s="262" t="s">
        <v>528</v>
      </c>
      <c r="I6" s="262" t="s">
        <v>529</v>
      </c>
      <c r="J6" s="262" t="s">
        <v>527</v>
      </c>
      <c r="K6" s="262" t="s">
        <v>527</v>
      </c>
      <c r="L6" s="262" t="s">
        <v>497</v>
      </c>
      <c r="M6" s="262" t="s">
        <v>498</v>
      </c>
      <c r="N6" s="262">
        <v>2</v>
      </c>
      <c r="O6" s="264">
        <v>6288.71</v>
      </c>
      <c r="P6" s="264">
        <v>3144.36</v>
      </c>
      <c r="Q6" s="262">
        <v>0</v>
      </c>
    </row>
    <row r="7" spans="1:17" x14ac:dyDescent="0.2">
      <c r="A7" s="262" t="s">
        <v>503</v>
      </c>
      <c r="B7" s="262" t="s">
        <v>521</v>
      </c>
      <c r="C7" s="262" t="s">
        <v>522</v>
      </c>
      <c r="D7" s="262" t="s">
        <v>523</v>
      </c>
      <c r="E7" s="262" t="s">
        <v>524</v>
      </c>
      <c r="F7" s="262" t="s">
        <v>525</v>
      </c>
      <c r="G7" s="262">
        <v>202310</v>
      </c>
      <c r="H7" s="262" t="s">
        <v>523</v>
      </c>
      <c r="I7" s="262" t="s">
        <v>526</v>
      </c>
      <c r="J7" s="262" t="s">
        <v>527</v>
      </c>
      <c r="K7" s="262" t="s">
        <v>527</v>
      </c>
      <c r="L7" s="262" t="s">
        <v>497</v>
      </c>
      <c r="M7" s="262" t="s">
        <v>498</v>
      </c>
      <c r="N7" s="262">
        <v>2</v>
      </c>
      <c r="O7" s="264">
        <v>624.91999999999996</v>
      </c>
      <c r="P7" s="264">
        <v>312.45999999999998</v>
      </c>
      <c r="Q7" s="262">
        <v>0</v>
      </c>
    </row>
    <row r="8" spans="1:17" x14ac:dyDescent="0.2">
      <c r="A8" s="262" t="s">
        <v>503</v>
      </c>
      <c r="B8" s="262" t="s">
        <v>521</v>
      </c>
      <c r="C8" s="262" t="s">
        <v>522</v>
      </c>
      <c r="D8" s="262" t="s">
        <v>528</v>
      </c>
      <c r="E8" s="262" t="s">
        <v>524</v>
      </c>
      <c r="F8" s="262" t="s">
        <v>525</v>
      </c>
      <c r="G8" s="262">
        <v>202310</v>
      </c>
      <c r="H8" s="262" t="s">
        <v>528</v>
      </c>
      <c r="I8" s="262" t="s">
        <v>529</v>
      </c>
      <c r="J8" s="262" t="s">
        <v>527</v>
      </c>
      <c r="K8" s="262" t="s">
        <v>527</v>
      </c>
      <c r="L8" s="262" t="s">
        <v>497</v>
      </c>
      <c r="M8" s="262" t="s">
        <v>498</v>
      </c>
      <c r="N8" s="262">
        <v>2</v>
      </c>
      <c r="O8" s="264">
        <v>299.45</v>
      </c>
      <c r="P8" s="264">
        <v>149.72999999999999</v>
      </c>
      <c r="Q8" s="262">
        <v>0</v>
      </c>
    </row>
    <row r="9" spans="1:17" x14ac:dyDescent="0.2">
      <c r="A9" s="262" t="s">
        <v>501</v>
      </c>
      <c r="B9" s="262" t="s">
        <v>521</v>
      </c>
      <c r="C9" s="262" t="s">
        <v>522</v>
      </c>
      <c r="D9" s="262" t="s">
        <v>523</v>
      </c>
      <c r="E9" s="262" t="s">
        <v>524</v>
      </c>
      <c r="F9" s="262" t="s">
        <v>525</v>
      </c>
      <c r="G9" s="262">
        <v>202310</v>
      </c>
      <c r="H9" s="262" t="s">
        <v>523</v>
      </c>
      <c r="I9" s="262" t="s">
        <v>526</v>
      </c>
      <c r="J9" s="262" t="s">
        <v>527</v>
      </c>
      <c r="K9" s="262" t="s">
        <v>527</v>
      </c>
      <c r="L9" s="262" t="s">
        <v>497</v>
      </c>
      <c r="M9" s="262" t="s">
        <v>498</v>
      </c>
      <c r="N9" s="262">
        <v>2</v>
      </c>
      <c r="O9" s="264">
        <v>9998.65</v>
      </c>
      <c r="P9" s="264">
        <v>4999.33</v>
      </c>
      <c r="Q9" s="262">
        <v>0</v>
      </c>
    </row>
    <row r="10" spans="1:17" x14ac:dyDescent="0.2">
      <c r="A10" s="262" t="s">
        <v>155</v>
      </c>
      <c r="B10" s="262" t="s">
        <v>521</v>
      </c>
      <c r="C10" s="262" t="s">
        <v>522</v>
      </c>
      <c r="D10" s="262" t="s">
        <v>537</v>
      </c>
      <c r="E10" s="262" t="s">
        <v>524</v>
      </c>
      <c r="F10" s="262" t="s">
        <v>525</v>
      </c>
      <c r="G10" s="262">
        <v>202310</v>
      </c>
      <c r="H10" s="262" t="s">
        <v>537</v>
      </c>
      <c r="I10" s="262" t="s">
        <v>538</v>
      </c>
      <c r="J10" s="262" t="s">
        <v>527</v>
      </c>
      <c r="K10" s="262" t="s">
        <v>527</v>
      </c>
      <c r="L10" s="262" t="s">
        <v>497</v>
      </c>
      <c r="M10" s="262" t="s">
        <v>498</v>
      </c>
      <c r="N10" s="262">
        <v>2</v>
      </c>
      <c r="O10" s="264">
        <v>9321.5500000000011</v>
      </c>
      <c r="P10" s="264">
        <v>4660.78</v>
      </c>
      <c r="Q10" s="262">
        <v>0</v>
      </c>
    </row>
    <row r="11" spans="1:17" x14ac:dyDescent="0.2">
      <c r="A11" s="262" t="s">
        <v>155</v>
      </c>
      <c r="B11" s="262" t="s">
        <v>521</v>
      </c>
      <c r="C11" s="262" t="s">
        <v>522</v>
      </c>
      <c r="D11" s="262" t="s">
        <v>523</v>
      </c>
      <c r="E11" s="262" t="s">
        <v>524</v>
      </c>
      <c r="F11" s="262" t="s">
        <v>525</v>
      </c>
      <c r="G11" s="262">
        <v>202310</v>
      </c>
      <c r="H11" s="262" t="s">
        <v>523</v>
      </c>
      <c r="I11" s="262" t="s">
        <v>526</v>
      </c>
      <c r="J11" s="262" t="s">
        <v>527</v>
      </c>
      <c r="K11" s="262" t="s">
        <v>527</v>
      </c>
      <c r="L11" s="262" t="s">
        <v>497</v>
      </c>
      <c r="M11" s="262" t="s">
        <v>498</v>
      </c>
      <c r="N11" s="262">
        <v>2</v>
      </c>
      <c r="O11" s="264">
        <v>13123.220000000001</v>
      </c>
      <c r="P11" s="264">
        <v>6561.6100000000006</v>
      </c>
      <c r="Q11" s="262">
        <v>0</v>
      </c>
    </row>
    <row r="12" spans="1:17" x14ac:dyDescent="0.2">
      <c r="A12" s="262" t="s">
        <v>500</v>
      </c>
      <c r="B12" s="262" t="s">
        <v>521</v>
      </c>
      <c r="C12" s="262" t="s">
        <v>522</v>
      </c>
      <c r="D12" s="262" t="s">
        <v>528</v>
      </c>
      <c r="E12" s="262" t="s">
        <v>524</v>
      </c>
      <c r="F12" s="262" t="s">
        <v>525</v>
      </c>
      <c r="G12" s="262">
        <v>202310</v>
      </c>
      <c r="H12" s="262" t="s">
        <v>528</v>
      </c>
      <c r="I12" s="262" t="s">
        <v>529</v>
      </c>
      <c r="J12" s="262" t="s">
        <v>527</v>
      </c>
      <c r="K12" s="262" t="s">
        <v>527</v>
      </c>
      <c r="L12" s="262" t="s">
        <v>497</v>
      </c>
      <c r="M12" s="262" t="s">
        <v>498</v>
      </c>
      <c r="N12" s="262">
        <v>2</v>
      </c>
      <c r="O12" s="264">
        <v>18566.670000000002</v>
      </c>
      <c r="P12" s="264">
        <v>9283.34</v>
      </c>
      <c r="Q12" s="262">
        <v>0</v>
      </c>
    </row>
    <row r="13" spans="1:17" x14ac:dyDescent="0.2">
      <c r="A13" s="262" t="s">
        <v>155</v>
      </c>
      <c r="B13" s="262" t="s">
        <v>521</v>
      </c>
      <c r="C13" s="262" t="s">
        <v>522</v>
      </c>
      <c r="D13" s="262" t="s">
        <v>539</v>
      </c>
      <c r="E13" s="262" t="s">
        <v>524</v>
      </c>
      <c r="F13" s="262" t="s">
        <v>525</v>
      </c>
      <c r="G13" s="262">
        <v>202310</v>
      </c>
      <c r="H13" s="262" t="s">
        <v>539</v>
      </c>
      <c r="I13" s="262" t="s">
        <v>540</v>
      </c>
      <c r="J13" s="262" t="s">
        <v>527</v>
      </c>
      <c r="K13" s="262" t="s">
        <v>527</v>
      </c>
      <c r="L13" s="262" t="s">
        <v>497</v>
      </c>
      <c r="M13" s="262" t="s">
        <v>498</v>
      </c>
      <c r="N13" s="262">
        <v>2</v>
      </c>
      <c r="O13" s="264">
        <v>1658.6100000000001</v>
      </c>
      <c r="P13" s="264">
        <v>829.31000000000006</v>
      </c>
      <c r="Q13" s="262">
        <v>0</v>
      </c>
    </row>
    <row r="14" spans="1:17" x14ac:dyDescent="0.2">
      <c r="A14" s="262" t="s">
        <v>501</v>
      </c>
      <c r="B14" s="262" t="s">
        <v>521</v>
      </c>
      <c r="C14" s="262" t="s">
        <v>522</v>
      </c>
      <c r="D14" s="262" t="s">
        <v>537</v>
      </c>
      <c r="E14" s="262" t="s">
        <v>524</v>
      </c>
      <c r="F14" s="262" t="s">
        <v>525</v>
      </c>
      <c r="G14" s="262">
        <v>202310</v>
      </c>
      <c r="H14" s="262" t="s">
        <v>537</v>
      </c>
      <c r="I14" s="262" t="s">
        <v>538</v>
      </c>
      <c r="J14" s="262" t="s">
        <v>527</v>
      </c>
      <c r="K14" s="262" t="s">
        <v>527</v>
      </c>
      <c r="L14" s="262" t="s">
        <v>497</v>
      </c>
      <c r="M14" s="262" t="s">
        <v>498</v>
      </c>
      <c r="N14" s="262">
        <v>2</v>
      </c>
      <c r="O14" s="264">
        <v>7102.1500000000005</v>
      </c>
      <c r="P14" s="264">
        <v>3551.08</v>
      </c>
      <c r="Q14" s="262">
        <v>0</v>
      </c>
    </row>
    <row r="15" spans="1:17" x14ac:dyDescent="0.2">
      <c r="A15" s="262" t="s">
        <v>501</v>
      </c>
      <c r="B15" s="262" t="s">
        <v>521</v>
      </c>
      <c r="C15" s="262" t="s">
        <v>522</v>
      </c>
      <c r="D15" s="262" t="s">
        <v>528</v>
      </c>
      <c r="E15" s="262" t="s">
        <v>524</v>
      </c>
      <c r="F15" s="262" t="s">
        <v>525</v>
      </c>
      <c r="G15" s="262">
        <v>202310</v>
      </c>
      <c r="H15" s="262" t="s">
        <v>528</v>
      </c>
      <c r="I15" s="262" t="s">
        <v>529</v>
      </c>
      <c r="J15" s="262" t="s">
        <v>527</v>
      </c>
      <c r="K15" s="262" t="s">
        <v>527</v>
      </c>
      <c r="L15" s="262" t="s">
        <v>497</v>
      </c>
      <c r="M15" s="262" t="s">
        <v>498</v>
      </c>
      <c r="N15" s="262">
        <v>2</v>
      </c>
      <c r="O15" s="264">
        <v>4791.41</v>
      </c>
      <c r="P15" s="264">
        <v>2395.71</v>
      </c>
      <c r="Q15" s="262">
        <v>0</v>
      </c>
    </row>
    <row r="16" spans="1:17" x14ac:dyDescent="0.2">
      <c r="A16" s="262" t="s">
        <v>503</v>
      </c>
      <c r="B16" s="262" t="s">
        <v>521</v>
      </c>
      <c r="C16" s="262" t="s">
        <v>522</v>
      </c>
      <c r="D16" s="262" t="s">
        <v>539</v>
      </c>
      <c r="E16" s="262" t="s">
        <v>524</v>
      </c>
      <c r="F16" s="262" t="s">
        <v>525</v>
      </c>
      <c r="G16" s="262">
        <v>202310</v>
      </c>
      <c r="H16" s="262" t="s">
        <v>539</v>
      </c>
      <c r="I16" s="262" t="s">
        <v>540</v>
      </c>
      <c r="J16" s="262" t="s">
        <v>527</v>
      </c>
      <c r="K16" s="262" t="s">
        <v>527</v>
      </c>
      <c r="L16" s="262" t="s">
        <v>497</v>
      </c>
      <c r="M16" s="262" t="s">
        <v>498</v>
      </c>
      <c r="N16" s="262">
        <v>2</v>
      </c>
      <c r="O16" s="264">
        <v>78.98</v>
      </c>
      <c r="P16" s="264">
        <v>39.49</v>
      </c>
      <c r="Q16" s="262">
        <v>0</v>
      </c>
    </row>
    <row r="17" spans="1:17" x14ac:dyDescent="0.2">
      <c r="A17" s="262" t="s">
        <v>500</v>
      </c>
      <c r="B17" s="262" t="s">
        <v>521</v>
      </c>
      <c r="C17" s="262" t="s">
        <v>522</v>
      </c>
      <c r="D17" s="262" t="s">
        <v>539</v>
      </c>
      <c r="E17" s="262" t="s">
        <v>524</v>
      </c>
      <c r="F17" s="262" t="s">
        <v>525</v>
      </c>
      <c r="G17" s="262">
        <v>202310</v>
      </c>
      <c r="H17" s="262" t="s">
        <v>539</v>
      </c>
      <c r="I17" s="262" t="s">
        <v>540</v>
      </c>
      <c r="J17" s="262" t="s">
        <v>527</v>
      </c>
      <c r="K17" s="262" t="s">
        <v>527</v>
      </c>
      <c r="L17" s="262" t="s">
        <v>497</v>
      </c>
      <c r="M17" s="262" t="s">
        <v>498</v>
      </c>
      <c r="N17" s="262">
        <v>2</v>
      </c>
      <c r="O17" s="264">
        <v>4896.84</v>
      </c>
      <c r="P17" s="264">
        <v>2448.42</v>
      </c>
      <c r="Q17" s="262">
        <v>0</v>
      </c>
    </row>
    <row r="18" spans="1:17" x14ac:dyDescent="0.2">
      <c r="A18" s="262" t="s">
        <v>501</v>
      </c>
      <c r="B18" s="262" t="s">
        <v>521</v>
      </c>
      <c r="C18" s="262" t="s">
        <v>522</v>
      </c>
      <c r="D18" s="262" t="s">
        <v>539</v>
      </c>
      <c r="E18" s="262" t="s">
        <v>524</v>
      </c>
      <c r="F18" s="262" t="s">
        <v>525</v>
      </c>
      <c r="G18" s="262">
        <v>202310</v>
      </c>
      <c r="H18" s="262" t="s">
        <v>539</v>
      </c>
      <c r="I18" s="262" t="s">
        <v>540</v>
      </c>
      <c r="J18" s="262" t="s">
        <v>527</v>
      </c>
      <c r="K18" s="262" t="s">
        <v>527</v>
      </c>
      <c r="L18" s="262" t="s">
        <v>497</v>
      </c>
      <c r="M18" s="262" t="s">
        <v>498</v>
      </c>
      <c r="N18" s="262">
        <v>2</v>
      </c>
      <c r="O18" s="264">
        <v>1263.71</v>
      </c>
      <c r="P18" s="264">
        <v>631.86</v>
      </c>
      <c r="Q18" s="262">
        <v>0</v>
      </c>
    </row>
    <row r="19" spans="1:17" x14ac:dyDescent="0.2">
      <c r="A19" s="262" t="s">
        <v>503</v>
      </c>
      <c r="B19" s="262" t="s">
        <v>521</v>
      </c>
      <c r="C19" s="262" t="s">
        <v>522</v>
      </c>
      <c r="D19" s="262" t="s">
        <v>537</v>
      </c>
      <c r="E19" s="262" t="s">
        <v>524</v>
      </c>
      <c r="F19" s="262" t="s">
        <v>525</v>
      </c>
      <c r="G19" s="262">
        <v>202310</v>
      </c>
      <c r="H19" s="262" t="s">
        <v>537</v>
      </c>
      <c r="I19" s="262" t="s">
        <v>538</v>
      </c>
      <c r="J19" s="262" t="s">
        <v>527</v>
      </c>
      <c r="K19" s="262" t="s">
        <v>527</v>
      </c>
      <c r="L19" s="262" t="s">
        <v>497</v>
      </c>
      <c r="M19" s="262" t="s">
        <v>498</v>
      </c>
      <c r="N19" s="262">
        <v>2</v>
      </c>
      <c r="O19" s="264">
        <v>443.88</v>
      </c>
      <c r="P19" s="264">
        <v>221.94</v>
      </c>
      <c r="Q19" s="262">
        <v>0</v>
      </c>
    </row>
    <row r="20" spans="1:17" x14ac:dyDescent="0.2">
      <c r="A20" s="262" t="s">
        <v>500</v>
      </c>
      <c r="B20" s="262" t="s">
        <v>521</v>
      </c>
      <c r="C20" s="262" t="s">
        <v>522</v>
      </c>
      <c r="D20" s="262" t="s">
        <v>537</v>
      </c>
      <c r="E20" s="262" t="s">
        <v>524</v>
      </c>
      <c r="F20" s="262" t="s">
        <v>525</v>
      </c>
      <c r="G20" s="262">
        <v>202310</v>
      </c>
      <c r="H20" s="262" t="s">
        <v>537</v>
      </c>
      <c r="I20" s="262" t="s">
        <v>538</v>
      </c>
      <c r="J20" s="262" t="s">
        <v>527</v>
      </c>
      <c r="K20" s="262" t="s">
        <v>527</v>
      </c>
      <c r="L20" s="262" t="s">
        <v>497</v>
      </c>
      <c r="M20" s="262" t="s">
        <v>498</v>
      </c>
      <c r="N20" s="262">
        <v>2</v>
      </c>
      <c r="O20" s="264">
        <v>27520.79</v>
      </c>
      <c r="P20" s="264">
        <v>13760.4</v>
      </c>
      <c r="Q20" s="262">
        <v>0</v>
      </c>
    </row>
    <row r="21" spans="1:17" x14ac:dyDescent="0.2">
      <c r="A21" s="262" t="s">
        <v>502</v>
      </c>
      <c r="B21" s="262" t="s">
        <v>521</v>
      </c>
      <c r="C21" s="262" t="s">
        <v>522</v>
      </c>
      <c r="D21" s="262" t="s">
        <v>530</v>
      </c>
      <c r="E21" s="262" t="s">
        <v>524</v>
      </c>
      <c r="F21" s="262" t="s">
        <v>525</v>
      </c>
      <c r="G21" s="262">
        <v>202312</v>
      </c>
      <c r="H21" s="262" t="s">
        <v>530</v>
      </c>
      <c r="I21" s="262" t="s">
        <v>531</v>
      </c>
      <c r="J21" s="262" t="s">
        <v>532</v>
      </c>
      <c r="L21" s="262" t="s">
        <v>497</v>
      </c>
      <c r="M21" s="262" t="s">
        <v>498</v>
      </c>
      <c r="N21" s="262">
        <v>2</v>
      </c>
      <c r="O21" s="264">
        <v>1092.3700000000001</v>
      </c>
      <c r="P21" s="264">
        <v>546.19000000000005</v>
      </c>
      <c r="Q21" s="262">
        <v>0</v>
      </c>
    </row>
    <row r="22" spans="1:17" x14ac:dyDescent="0.2">
      <c r="L22" s="265" t="s">
        <v>497</v>
      </c>
      <c r="O22" s="268">
        <f>SUM(O2:O21)</f>
        <v>396715.91</v>
      </c>
      <c r="P22" s="266"/>
    </row>
  </sheetData>
  <sortState ref="A2:Q21">
    <sortCondition ref="G2:G21"/>
  </sortState>
  <pageMargins left="0.7" right="0.7" top="0.75" bottom="0.75" header="0.3" footer="0.3"/>
  <customProperties>
    <customPr name="_pios_id" r:id="rId1"/>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8"/>
  <sheetViews>
    <sheetView topLeftCell="B10" workbookViewId="0">
      <selection activeCell="J56" sqref="J56"/>
    </sheetView>
  </sheetViews>
  <sheetFormatPr defaultRowHeight="15" x14ac:dyDescent="0.25"/>
  <cols>
    <col min="1" max="1" width="9.140625" style="1"/>
    <col min="2" max="2" width="8.28515625" style="1" customWidth="1"/>
    <col min="3" max="3" width="13.28515625" style="1" bestFit="1" customWidth="1"/>
    <col min="4" max="4" width="7.42578125" style="1" bestFit="1" customWidth="1"/>
    <col min="5" max="5" width="5" style="1" bestFit="1" customWidth="1"/>
    <col min="6" max="6" width="4" style="1" bestFit="1" customWidth="1"/>
    <col min="7" max="7" width="10.7109375" style="1" bestFit="1" customWidth="1"/>
    <col min="8" max="8" width="9.85546875" style="1" bestFit="1" customWidth="1"/>
    <col min="9" max="9" width="14.28515625" style="488" bestFit="1" customWidth="1"/>
    <col min="10" max="10" width="24.85546875" style="1" bestFit="1" customWidth="1"/>
    <col min="11" max="11" width="14.28515625" style="1" bestFit="1" customWidth="1"/>
    <col min="12" max="12" width="19.140625" style="1" bestFit="1" customWidth="1"/>
    <col min="13" max="13" width="10.28515625" style="1" bestFit="1" customWidth="1"/>
    <col min="14" max="14" width="20.7109375" style="1" bestFit="1" customWidth="1"/>
    <col min="15" max="15" width="12.140625" style="1" bestFit="1" customWidth="1"/>
    <col min="16" max="16" width="26.85546875" style="1" bestFit="1" customWidth="1"/>
    <col min="17" max="17" width="9.42578125" style="1" bestFit="1" customWidth="1"/>
    <col min="18" max="18" width="20.5703125" style="1" bestFit="1" customWidth="1"/>
    <col min="19" max="16384" width="9.140625" style="1"/>
  </cols>
  <sheetData>
    <row r="2" spans="2:18" x14ac:dyDescent="0.25">
      <c r="B2" s="1" t="s">
        <v>615</v>
      </c>
    </row>
    <row r="3" spans="2:18" x14ac:dyDescent="0.25">
      <c r="B3" s="1" t="s">
        <v>616</v>
      </c>
    </row>
    <row r="4" spans="2:18" x14ac:dyDescent="0.25">
      <c r="B4" s="1" t="s">
        <v>616</v>
      </c>
    </row>
    <row r="5" spans="2:18" x14ac:dyDescent="0.25">
      <c r="C5" s="1" t="s">
        <v>617</v>
      </c>
      <c r="D5" s="1" t="s">
        <v>618</v>
      </c>
      <c r="E5" s="1" t="s">
        <v>81</v>
      </c>
      <c r="F5" s="1" t="s">
        <v>619</v>
      </c>
      <c r="G5" s="1" t="s">
        <v>620</v>
      </c>
      <c r="H5" s="1" t="s">
        <v>621</v>
      </c>
      <c r="I5" s="488" t="s">
        <v>622</v>
      </c>
      <c r="J5" s="1" t="s">
        <v>623</v>
      </c>
      <c r="K5" s="1" t="s">
        <v>624</v>
      </c>
      <c r="L5" s="1" t="s">
        <v>625</v>
      </c>
      <c r="M5" s="1" t="s">
        <v>626</v>
      </c>
      <c r="N5" s="1" t="s">
        <v>627</v>
      </c>
      <c r="O5" s="1" t="s">
        <v>628</v>
      </c>
      <c r="P5" s="1" t="s">
        <v>629</v>
      </c>
      <c r="Q5" s="1" t="s">
        <v>630</v>
      </c>
      <c r="R5" s="1" t="s">
        <v>631</v>
      </c>
    </row>
    <row r="6" spans="2:18" x14ac:dyDescent="0.25">
      <c r="B6" s="1" t="s">
        <v>616</v>
      </c>
    </row>
    <row r="7" spans="2:18" x14ac:dyDescent="0.25">
      <c r="B7" s="1" t="s">
        <v>632</v>
      </c>
      <c r="C7" s="1">
        <v>218361658</v>
      </c>
      <c r="D7" s="1" t="s">
        <v>633</v>
      </c>
      <c r="E7" s="1">
        <v>2023</v>
      </c>
      <c r="F7" s="1">
        <v>3</v>
      </c>
      <c r="G7" s="489">
        <v>45016</v>
      </c>
      <c r="H7" s="489">
        <v>45020</v>
      </c>
      <c r="I7" s="488">
        <v>247736.53</v>
      </c>
      <c r="J7" s="1" t="s">
        <v>634</v>
      </c>
      <c r="K7" s="1">
        <v>40730018</v>
      </c>
      <c r="L7" s="1" t="s">
        <v>575</v>
      </c>
      <c r="M7" s="1">
        <v>64000290</v>
      </c>
      <c r="N7" s="1" t="s">
        <v>635</v>
      </c>
      <c r="O7" s="1" t="s">
        <v>636</v>
      </c>
      <c r="P7" s="1" t="s">
        <v>637</v>
      </c>
      <c r="Q7" s="1">
        <v>18230621</v>
      </c>
      <c r="R7" s="1" t="s">
        <v>638</v>
      </c>
    </row>
    <row r="8" spans="2:18" x14ac:dyDescent="0.25">
      <c r="B8" s="1" t="s">
        <v>639</v>
      </c>
      <c r="C8" s="1">
        <v>218361471</v>
      </c>
      <c r="D8" s="1" t="s">
        <v>640</v>
      </c>
      <c r="E8" s="1">
        <v>2023</v>
      </c>
      <c r="F8" s="1">
        <v>3</v>
      </c>
      <c r="G8" s="489">
        <v>45016</v>
      </c>
      <c r="H8" s="489">
        <v>45020</v>
      </c>
      <c r="I8" s="488">
        <v>395567.56</v>
      </c>
      <c r="J8" s="1" t="s">
        <v>641</v>
      </c>
      <c r="K8" s="1">
        <v>40730018</v>
      </c>
      <c r="L8" s="1" t="s">
        <v>575</v>
      </c>
      <c r="M8" s="1">
        <v>64000290</v>
      </c>
      <c r="N8" s="1" t="s">
        <v>635</v>
      </c>
      <c r="O8" s="1" t="s">
        <v>636</v>
      </c>
      <c r="P8" s="1" t="s">
        <v>637</v>
      </c>
      <c r="Q8" s="1">
        <v>18230621</v>
      </c>
      <c r="R8" s="1" t="s">
        <v>638</v>
      </c>
    </row>
    <row r="9" spans="2:18" x14ac:dyDescent="0.25">
      <c r="B9" s="1" t="s">
        <v>639</v>
      </c>
      <c r="C9" s="1">
        <v>218381831</v>
      </c>
      <c r="D9" s="1" t="s">
        <v>642</v>
      </c>
      <c r="E9" s="1">
        <v>2023</v>
      </c>
      <c r="F9" s="1">
        <v>4</v>
      </c>
      <c r="G9" s="489">
        <v>45028</v>
      </c>
      <c r="H9" s="489">
        <v>45020</v>
      </c>
      <c r="I9" s="488">
        <v>-395567.56</v>
      </c>
      <c r="J9" s="1" t="s">
        <v>641</v>
      </c>
      <c r="K9" s="1">
        <v>40730018</v>
      </c>
      <c r="L9" s="1" t="s">
        <v>575</v>
      </c>
      <c r="M9" s="1">
        <v>64000290</v>
      </c>
      <c r="N9" s="1" t="s">
        <v>635</v>
      </c>
      <c r="O9" s="1" t="s">
        <v>636</v>
      </c>
      <c r="P9" s="1" t="s">
        <v>637</v>
      </c>
      <c r="Q9" s="1">
        <v>18230621</v>
      </c>
      <c r="R9" s="1" t="s">
        <v>638</v>
      </c>
    </row>
    <row r="10" spans="2:18" x14ac:dyDescent="0.25">
      <c r="B10" s="1" t="s">
        <v>639</v>
      </c>
      <c r="C10" s="1">
        <v>218434413</v>
      </c>
      <c r="D10" s="1" t="s">
        <v>640</v>
      </c>
      <c r="E10" s="1">
        <v>2023</v>
      </c>
      <c r="F10" s="1">
        <v>4</v>
      </c>
      <c r="G10" s="489">
        <v>45046</v>
      </c>
      <c r="H10" s="489">
        <v>45048</v>
      </c>
      <c r="I10" s="488">
        <v>377726.37</v>
      </c>
      <c r="J10" s="1" t="s">
        <v>643</v>
      </c>
      <c r="K10" s="1">
        <v>40730018</v>
      </c>
      <c r="L10" s="1" t="s">
        <v>575</v>
      </c>
      <c r="M10" s="1">
        <v>64000290</v>
      </c>
      <c r="N10" s="1" t="s">
        <v>635</v>
      </c>
      <c r="O10" s="1" t="s">
        <v>636</v>
      </c>
      <c r="P10" s="1" t="s">
        <v>637</v>
      </c>
      <c r="Q10" s="1">
        <v>18230621</v>
      </c>
      <c r="R10" s="1" t="s">
        <v>638</v>
      </c>
    </row>
    <row r="11" spans="2:18" x14ac:dyDescent="0.25">
      <c r="B11" s="1" t="s">
        <v>632</v>
      </c>
      <c r="C11" s="1">
        <v>218434412</v>
      </c>
      <c r="D11" s="1" t="s">
        <v>633</v>
      </c>
      <c r="E11" s="1">
        <v>2023</v>
      </c>
      <c r="F11" s="1">
        <v>4</v>
      </c>
      <c r="G11" s="489">
        <v>45046</v>
      </c>
      <c r="H11" s="489">
        <v>45048</v>
      </c>
      <c r="I11" s="488">
        <v>485289.53</v>
      </c>
      <c r="J11" s="1" t="s">
        <v>644</v>
      </c>
      <c r="K11" s="1">
        <v>40730018</v>
      </c>
      <c r="L11" s="1" t="s">
        <v>575</v>
      </c>
      <c r="M11" s="1">
        <v>64000290</v>
      </c>
      <c r="N11" s="1" t="s">
        <v>635</v>
      </c>
      <c r="O11" s="1" t="s">
        <v>636</v>
      </c>
      <c r="P11" s="1" t="s">
        <v>637</v>
      </c>
      <c r="Q11" s="1">
        <v>18230621</v>
      </c>
      <c r="R11" s="1" t="s">
        <v>638</v>
      </c>
    </row>
    <row r="12" spans="2:18" x14ac:dyDescent="0.25">
      <c r="B12" s="1" t="s">
        <v>639</v>
      </c>
      <c r="C12" s="1">
        <v>218450499</v>
      </c>
      <c r="D12" s="1" t="s">
        <v>642</v>
      </c>
      <c r="E12" s="1">
        <v>2023</v>
      </c>
      <c r="F12" s="1">
        <v>5</v>
      </c>
      <c r="G12" s="489">
        <v>45055</v>
      </c>
      <c r="H12" s="489">
        <v>45048</v>
      </c>
      <c r="I12" s="488">
        <v>-377726.37</v>
      </c>
      <c r="J12" s="1" t="s">
        <v>643</v>
      </c>
      <c r="K12" s="1">
        <v>40730018</v>
      </c>
      <c r="L12" s="1" t="s">
        <v>575</v>
      </c>
      <c r="M12" s="1">
        <v>64000290</v>
      </c>
      <c r="N12" s="1" t="s">
        <v>635</v>
      </c>
      <c r="O12" s="1" t="s">
        <v>636</v>
      </c>
      <c r="P12" s="1" t="s">
        <v>637</v>
      </c>
      <c r="Q12" s="1">
        <v>18230621</v>
      </c>
      <c r="R12" s="1" t="s">
        <v>638</v>
      </c>
    </row>
    <row r="13" spans="2:18" x14ac:dyDescent="0.25">
      <c r="B13" s="1" t="s">
        <v>639</v>
      </c>
      <c r="C13" s="1">
        <v>218505186</v>
      </c>
      <c r="D13" s="1" t="s">
        <v>640</v>
      </c>
      <c r="E13" s="1">
        <v>2023</v>
      </c>
      <c r="F13" s="1">
        <v>5</v>
      </c>
      <c r="G13" s="489">
        <v>45077</v>
      </c>
      <c r="H13" s="489">
        <v>45079</v>
      </c>
      <c r="I13" s="488">
        <v>360094.77</v>
      </c>
      <c r="J13" s="1" t="s">
        <v>645</v>
      </c>
      <c r="K13" s="1">
        <v>40730018</v>
      </c>
      <c r="L13" s="1" t="s">
        <v>575</v>
      </c>
      <c r="M13" s="1">
        <v>64000290</v>
      </c>
      <c r="N13" s="1" t="s">
        <v>635</v>
      </c>
      <c r="O13" s="1" t="s">
        <v>636</v>
      </c>
      <c r="P13" s="1" t="s">
        <v>637</v>
      </c>
      <c r="Q13" s="1">
        <v>18230621</v>
      </c>
      <c r="R13" s="1" t="s">
        <v>638</v>
      </c>
    </row>
    <row r="14" spans="2:18" x14ac:dyDescent="0.25">
      <c r="B14" s="1" t="s">
        <v>632</v>
      </c>
      <c r="C14" s="1">
        <v>218505185</v>
      </c>
      <c r="D14" s="1" t="s">
        <v>633</v>
      </c>
      <c r="E14" s="1">
        <v>2023</v>
      </c>
      <c r="F14" s="1">
        <v>5</v>
      </c>
      <c r="G14" s="489">
        <v>45077</v>
      </c>
      <c r="H14" s="489">
        <v>45079</v>
      </c>
      <c r="I14" s="488">
        <v>434578.26</v>
      </c>
      <c r="J14" s="1" t="s">
        <v>646</v>
      </c>
      <c r="K14" s="1">
        <v>40730018</v>
      </c>
      <c r="L14" s="1" t="s">
        <v>575</v>
      </c>
      <c r="M14" s="1">
        <v>64000290</v>
      </c>
      <c r="N14" s="1" t="s">
        <v>635</v>
      </c>
      <c r="O14" s="1" t="s">
        <v>636</v>
      </c>
      <c r="P14" s="1" t="s">
        <v>637</v>
      </c>
      <c r="Q14" s="1">
        <v>18230621</v>
      </c>
      <c r="R14" s="1" t="s">
        <v>638</v>
      </c>
    </row>
    <row r="15" spans="2:18" x14ac:dyDescent="0.25">
      <c r="B15" s="1" t="s">
        <v>639</v>
      </c>
      <c r="C15" s="1">
        <v>218522235</v>
      </c>
      <c r="D15" s="1" t="s">
        <v>642</v>
      </c>
      <c r="E15" s="1">
        <v>2023</v>
      </c>
      <c r="F15" s="1">
        <v>6</v>
      </c>
      <c r="G15" s="489">
        <v>45085</v>
      </c>
      <c r="H15" s="489">
        <v>45079</v>
      </c>
      <c r="I15" s="488">
        <v>-360094.77</v>
      </c>
      <c r="J15" s="1" t="s">
        <v>645</v>
      </c>
      <c r="K15" s="1">
        <v>40730018</v>
      </c>
      <c r="L15" s="1" t="s">
        <v>575</v>
      </c>
      <c r="M15" s="1">
        <v>64000290</v>
      </c>
      <c r="N15" s="1" t="s">
        <v>635</v>
      </c>
      <c r="O15" s="1" t="s">
        <v>636</v>
      </c>
      <c r="P15" s="1" t="s">
        <v>637</v>
      </c>
      <c r="Q15" s="1">
        <v>18230621</v>
      </c>
      <c r="R15" s="1" t="s">
        <v>638</v>
      </c>
    </row>
    <row r="16" spans="2:18" x14ac:dyDescent="0.25">
      <c r="B16" s="1" t="s">
        <v>639</v>
      </c>
      <c r="C16" s="1">
        <v>218579450</v>
      </c>
      <c r="D16" s="1" t="s">
        <v>640</v>
      </c>
      <c r="E16" s="1">
        <v>2023</v>
      </c>
      <c r="F16" s="1">
        <v>6</v>
      </c>
      <c r="G16" s="489">
        <v>45107</v>
      </c>
      <c r="H16" s="489">
        <v>45112</v>
      </c>
      <c r="I16" s="488">
        <v>323271.43</v>
      </c>
      <c r="J16" s="1" t="s">
        <v>647</v>
      </c>
      <c r="K16" s="1">
        <v>40730018</v>
      </c>
      <c r="L16" s="1" t="s">
        <v>575</v>
      </c>
      <c r="M16" s="1">
        <v>64000290</v>
      </c>
      <c r="N16" s="1" t="s">
        <v>635</v>
      </c>
      <c r="O16" s="1" t="s">
        <v>636</v>
      </c>
      <c r="P16" s="1" t="s">
        <v>637</v>
      </c>
      <c r="Q16" s="1">
        <v>18230621</v>
      </c>
      <c r="R16" s="1" t="s">
        <v>638</v>
      </c>
    </row>
    <row r="17" spans="2:18" x14ac:dyDescent="0.25">
      <c r="B17" s="1" t="s">
        <v>632</v>
      </c>
      <c r="C17" s="1">
        <v>218579449</v>
      </c>
      <c r="D17" s="1" t="s">
        <v>633</v>
      </c>
      <c r="E17" s="1">
        <v>2023</v>
      </c>
      <c r="F17" s="1">
        <v>6</v>
      </c>
      <c r="G17" s="489">
        <v>45107</v>
      </c>
      <c r="H17" s="489">
        <v>45112</v>
      </c>
      <c r="I17" s="488">
        <v>427774.76</v>
      </c>
      <c r="J17" s="1" t="s">
        <v>648</v>
      </c>
      <c r="K17" s="1">
        <v>40730018</v>
      </c>
      <c r="L17" s="1" t="s">
        <v>575</v>
      </c>
      <c r="M17" s="1">
        <v>64000290</v>
      </c>
      <c r="N17" s="1" t="s">
        <v>635</v>
      </c>
      <c r="O17" s="1" t="s">
        <v>636</v>
      </c>
      <c r="P17" s="1" t="s">
        <v>637</v>
      </c>
      <c r="Q17" s="1">
        <v>18230621</v>
      </c>
      <c r="R17" s="1" t="s">
        <v>638</v>
      </c>
    </row>
    <row r="18" spans="2:18" x14ac:dyDescent="0.25">
      <c r="B18" s="1" t="s">
        <v>639</v>
      </c>
      <c r="C18" s="1">
        <v>218592587</v>
      </c>
      <c r="D18" s="1" t="s">
        <v>642</v>
      </c>
      <c r="E18" s="1">
        <v>2023</v>
      </c>
      <c r="F18" s="1">
        <v>7</v>
      </c>
      <c r="G18" s="489">
        <v>45118</v>
      </c>
      <c r="H18" s="489">
        <v>45112</v>
      </c>
      <c r="I18" s="488">
        <v>-323271.43</v>
      </c>
      <c r="J18" s="1" t="s">
        <v>647</v>
      </c>
      <c r="K18" s="1">
        <v>40730018</v>
      </c>
      <c r="L18" s="1" t="s">
        <v>575</v>
      </c>
      <c r="M18" s="1">
        <v>64000290</v>
      </c>
      <c r="N18" s="1" t="s">
        <v>635</v>
      </c>
      <c r="O18" s="1" t="s">
        <v>636</v>
      </c>
      <c r="P18" s="1" t="s">
        <v>637</v>
      </c>
      <c r="Q18" s="1">
        <v>18230621</v>
      </c>
      <c r="R18" s="1" t="s">
        <v>638</v>
      </c>
    </row>
    <row r="19" spans="2:18" x14ac:dyDescent="0.25">
      <c r="B19" s="1" t="s">
        <v>649</v>
      </c>
      <c r="C19" s="1">
        <v>218646730</v>
      </c>
      <c r="D19" s="1" t="s">
        <v>633</v>
      </c>
      <c r="E19" s="1">
        <v>2023</v>
      </c>
      <c r="F19" s="1">
        <v>7</v>
      </c>
      <c r="G19" s="489">
        <v>45138</v>
      </c>
      <c r="H19" s="489">
        <v>45141</v>
      </c>
      <c r="I19" s="488">
        <v>-1778</v>
      </c>
      <c r="J19" s="1" t="s">
        <v>650</v>
      </c>
      <c r="K19" s="1">
        <v>40730018</v>
      </c>
      <c r="L19" s="1" t="s">
        <v>575</v>
      </c>
      <c r="M19" s="1">
        <v>64000290</v>
      </c>
      <c r="N19" s="1" t="s">
        <v>635</v>
      </c>
      <c r="O19" s="1" t="s">
        <v>636</v>
      </c>
      <c r="P19" s="1" t="s">
        <v>637</v>
      </c>
      <c r="Q19" s="1">
        <v>64000100</v>
      </c>
      <c r="R19" s="1" t="s">
        <v>485</v>
      </c>
    </row>
    <row r="20" spans="2:18" x14ac:dyDescent="0.25">
      <c r="B20" s="1" t="s">
        <v>649</v>
      </c>
      <c r="C20" s="1">
        <v>218646730</v>
      </c>
      <c r="D20" s="1" t="s">
        <v>633</v>
      </c>
      <c r="E20" s="1">
        <v>2023</v>
      </c>
      <c r="F20" s="1">
        <v>7</v>
      </c>
      <c r="G20" s="489">
        <v>45138</v>
      </c>
      <c r="H20" s="489">
        <v>45141</v>
      </c>
      <c r="I20" s="488">
        <v>-631</v>
      </c>
      <c r="J20" s="1" t="s">
        <v>650</v>
      </c>
      <c r="K20" s="1">
        <v>40730018</v>
      </c>
      <c r="L20" s="1" t="s">
        <v>575</v>
      </c>
      <c r="M20" s="1">
        <v>64000290</v>
      </c>
      <c r="N20" s="1" t="s">
        <v>635</v>
      </c>
      <c r="O20" s="1" t="s">
        <v>636</v>
      </c>
      <c r="P20" s="1" t="s">
        <v>637</v>
      </c>
      <c r="Q20" s="1">
        <v>64000100</v>
      </c>
      <c r="R20" s="1" t="s">
        <v>485</v>
      </c>
    </row>
    <row r="21" spans="2:18" x14ac:dyDescent="0.25">
      <c r="B21" s="1" t="s">
        <v>639</v>
      </c>
      <c r="C21" s="1">
        <v>218642535</v>
      </c>
      <c r="D21" s="1" t="s">
        <v>640</v>
      </c>
      <c r="E21" s="1">
        <v>2023</v>
      </c>
      <c r="F21" s="1">
        <v>7</v>
      </c>
      <c r="G21" s="489">
        <v>45138</v>
      </c>
      <c r="H21" s="489">
        <v>45140</v>
      </c>
      <c r="I21" s="488">
        <v>307475.44</v>
      </c>
      <c r="J21" s="1" t="s">
        <v>651</v>
      </c>
      <c r="K21" s="1">
        <v>40730018</v>
      </c>
      <c r="L21" s="1" t="s">
        <v>575</v>
      </c>
      <c r="M21" s="1">
        <v>64000290</v>
      </c>
      <c r="N21" s="1" t="s">
        <v>635</v>
      </c>
      <c r="O21" s="1" t="s">
        <v>636</v>
      </c>
      <c r="P21" s="1" t="s">
        <v>637</v>
      </c>
      <c r="Q21" s="1">
        <v>18230621</v>
      </c>
      <c r="R21" s="1" t="s">
        <v>638</v>
      </c>
    </row>
    <row r="22" spans="2:18" x14ac:dyDescent="0.25">
      <c r="B22" s="1" t="s">
        <v>632</v>
      </c>
      <c r="C22" s="1">
        <v>218642534</v>
      </c>
      <c r="D22" s="1" t="s">
        <v>633</v>
      </c>
      <c r="E22" s="1">
        <v>2023</v>
      </c>
      <c r="F22" s="1">
        <v>7</v>
      </c>
      <c r="G22" s="489">
        <v>45138</v>
      </c>
      <c r="H22" s="489">
        <v>45140</v>
      </c>
      <c r="I22" s="488">
        <v>429039.42</v>
      </c>
      <c r="J22" s="1" t="s">
        <v>652</v>
      </c>
      <c r="K22" s="1">
        <v>40730018</v>
      </c>
      <c r="L22" s="1" t="s">
        <v>575</v>
      </c>
      <c r="M22" s="1">
        <v>64000290</v>
      </c>
      <c r="N22" s="1" t="s">
        <v>635</v>
      </c>
      <c r="O22" s="1" t="s">
        <v>636</v>
      </c>
      <c r="P22" s="1" t="s">
        <v>637</v>
      </c>
      <c r="Q22" s="1">
        <v>18230621</v>
      </c>
      <c r="R22" s="1" t="s">
        <v>638</v>
      </c>
    </row>
    <row r="23" spans="2:18" x14ac:dyDescent="0.25">
      <c r="B23" s="1" t="s">
        <v>639</v>
      </c>
      <c r="C23" s="1">
        <v>218657798</v>
      </c>
      <c r="D23" s="1" t="s">
        <v>642</v>
      </c>
      <c r="E23" s="1">
        <v>2023</v>
      </c>
      <c r="F23" s="1">
        <v>8</v>
      </c>
      <c r="G23" s="489">
        <v>45147</v>
      </c>
      <c r="H23" s="489">
        <v>45140</v>
      </c>
      <c r="I23" s="488">
        <v>-307475.44</v>
      </c>
      <c r="J23" s="1" t="s">
        <v>651</v>
      </c>
      <c r="K23" s="1">
        <v>40730018</v>
      </c>
      <c r="L23" s="1" t="s">
        <v>575</v>
      </c>
      <c r="M23" s="1">
        <v>64000290</v>
      </c>
      <c r="N23" s="1" t="s">
        <v>635</v>
      </c>
      <c r="O23" s="1" t="s">
        <v>636</v>
      </c>
      <c r="P23" s="1" t="s">
        <v>637</v>
      </c>
      <c r="Q23" s="1">
        <v>18230621</v>
      </c>
      <c r="R23" s="1" t="s">
        <v>638</v>
      </c>
    </row>
    <row r="24" spans="2:18" x14ac:dyDescent="0.25">
      <c r="B24" s="1" t="s">
        <v>649</v>
      </c>
      <c r="C24" s="1">
        <v>218708787</v>
      </c>
      <c r="D24" s="1" t="s">
        <v>633</v>
      </c>
      <c r="E24" s="1">
        <v>2023</v>
      </c>
      <c r="F24" s="1">
        <v>8</v>
      </c>
      <c r="G24" s="489">
        <v>45169</v>
      </c>
      <c r="H24" s="489">
        <v>45175</v>
      </c>
      <c r="I24" s="488">
        <v>-2833</v>
      </c>
      <c r="J24" s="1" t="s">
        <v>650</v>
      </c>
      <c r="K24" s="1">
        <v>40730018</v>
      </c>
      <c r="L24" s="1" t="s">
        <v>575</v>
      </c>
      <c r="M24" s="1">
        <v>64000290</v>
      </c>
      <c r="N24" s="1" t="s">
        <v>635</v>
      </c>
      <c r="O24" s="1" t="s">
        <v>636</v>
      </c>
      <c r="P24" s="1" t="s">
        <v>637</v>
      </c>
      <c r="Q24" s="1">
        <v>18231361</v>
      </c>
      <c r="R24" s="1" t="s">
        <v>653</v>
      </c>
    </row>
    <row r="25" spans="2:18" x14ac:dyDescent="0.25">
      <c r="B25" s="1" t="s">
        <v>639</v>
      </c>
      <c r="C25" s="1">
        <v>218706450</v>
      </c>
      <c r="D25" s="1" t="s">
        <v>640</v>
      </c>
      <c r="E25" s="1">
        <v>2023</v>
      </c>
      <c r="F25" s="1">
        <v>8</v>
      </c>
      <c r="G25" s="489">
        <v>45169</v>
      </c>
      <c r="H25" s="489">
        <v>45174</v>
      </c>
      <c r="I25" s="488">
        <v>298450.36</v>
      </c>
      <c r="J25" s="1" t="s">
        <v>654</v>
      </c>
      <c r="K25" s="1">
        <v>40730018</v>
      </c>
      <c r="L25" s="1" t="s">
        <v>575</v>
      </c>
      <c r="M25" s="1">
        <v>64000290</v>
      </c>
      <c r="N25" s="1" t="s">
        <v>635</v>
      </c>
      <c r="O25" s="1" t="s">
        <v>636</v>
      </c>
      <c r="P25" s="1" t="s">
        <v>637</v>
      </c>
      <c r="Q25" s="1">
        <v>18230621</v>
      </c>
      <c r="R25" s="1" t="s">
        <v>638</v>
      </c>
    </row>
    <row r="26" spans="2:18" x14ac:dyDescent="0.25">
      <c r="B26" s="1" t="s">
        <v>632</v>
      </c>
      <c r="C26" s="1">
        <v>218706448</v>
      </c>
      <c r="D26" s="1" t="s">
        <v>633</v>
      </c>
      <c r="E26" s="1">
        <v>2023</v>
      </c>
      <c r="F26" s="1">
        <v>8</v>
      </c>
      <c r="G26" s="489">
        <v>45169</v>
      </c>
      <c r="H26" s="489">
        <v>45174</v>
      </c>
      <c r="I26" s="488">
        <v>465442.39</v>
      </c>
      <c r="J26" s="1" t="s">
        <v>655</v>
      </c>
      <c r="K26" s="1">
        <v>40730018</v>
      </c>
      <c r="L26" s="1" t="s">
        <v>575</v>
      </c>
      <c r="M26" s="1">
        <v>64000290</v>
      </c>
      <c r="N26" s="1" t="s">
        <v>635</v>
      </c>
      <c r="O26" s="1" t="s">
        <v>636</v>
      </c>
      <c r="P26" s="1" t="s">
        <v>637</v>
      </c>
      <c r="Q26" s="1">
        <v>18230621</v>
      </c>
      <c r="R26" s="1" t="s">
        <v>638</v>
      </c>
    </row>
    <row r="27" spans="2:18" x14ac:dyDescent="0.25">
      <c r="B27" s="1" t="s">
        <v>639</v>
      </c>
      <c r="C27" s="1">
        <v>218714956</v>
      </c>
      <c r="D27" s="1" t="s">
        <v>642</v>
      </c>
      <c r="E27" s="1">
        <v>2023</v>
      </c>
      <c r="F27" s="1">
        <v>9</v>
      </c>
      <c r="G27" s="489">
        <v>45180</v>
      </c>
      <c r="H27" s="489">
        <v>45174</v>
      </c>
      <c r="I27" s="488">
        <v>-298450.36</v>
      </c>
      <c r="J27" s="1" t="s">
        <v>654</v>
      </c>
      <c r="K27" s="1">
        <v>40730018</v>
      </c>
      <c r="L27" s="1" t="s">
        <v>575</v>
      </c>
      <c r="M27" s="1">
        <v>64000290</v>
      </c>
      <c r="N27" s="1" t="s">
        <v>635</v>
      </c>
      <c r="O27" s="1" t="s">
        <v>636</v>
      </c>
      <c r="P27" s="1" t="s">
        <v>637</v>
      </c>
      <c r="Q27" s="1">
        <v>18230621</v>
      </c>
      <c r="R27" s="1" t="s">
        <v>638</v>
      </c>
    </row>
    <row r="28" spans="2:18" x14ac:dyDescent="0.25">
      <c r="B28" s="1" t="s">
        <v>649</v>
      </c>
      <c r="C28" s="1">
        <v>218752581</v>
      </c>
      <c r="D28" s="1" t="s">
        <v>633</v>
      </c>
      <c r="E28" s="1">
        <v>2023</v>
      </c>
      <c r="F28" s="1">
        <v>9</v>
      </c>
      <c r="G28" s="489">
        <v>45199</v>
      </c>
      <c r="H28" s="489">
        <v>45203</v>
      </c>
      <c r="I28" s="488">
        <v>-2201</v>
      </c>
      <c r="J28" s="1" t="s">
        <v>656</v>
      </c>
      <c r="K28" s="1">
        <v>40730018</v>
      </c>
      <c r="L28" s="1" t="s">
        <v>575</v>
      </c>
      <c r="M28" s="1">
        <v>64000290</v>
      </c>
      <c r="N28" s="1" t="s">
        <v>635</v>
      </c>
      <c r="O28" s="1" t="s">
        <v>636</v>
      </c>
      <c r="P28" s="1" t="s">
        <v>637</v>
      </c>
      <c r="Q28" s="1">
        <v>18231361</v>
      </c>
      <c r="R28" s="1" t="s">
        <v>653</v>
      </c>
    </row>
    <row r="29" spans="2:18" x14ac:dyDescent="0.25">
      <c r="B29" s="1" t="s">
        <v>632</v>
      </c>
      <c r="C29" s="1">
        <v>218749198</v>
      </c>
      <c r="D29" s="1" t="s">
        <v>640</v>
      </c>
      <c r="E29" s="1">
        <v>2023</v>
      </c>
      <c r="F29" s="1">
        <v>9</v>
      </c>
      <c r="G29" s="489">
        <v>45199</v>
      </c>
      <c r="H29" s="489">
        <v>45202</v>
      </c>
      <c r="I29" s="488">
        <v>259070.07</v>
      </c>
      <c r="J29" s="1" t="s">
        <v>657</v>
      </c>
      <c r="K29" s="1">
        <v>40730018</v>
      </c>
      <c r="L29" s="1" t="s">
        <v>575</v>
      </c>
      <c r="M29" s="1">
        <v>64000290</v>
      </c>
      <c r="N29" s="1" t="s">
        <v>635</v>
      </c>
      <c r="O29" s="1" t="s">
        <v>636</v>
      </c>
      <c r="P29" s="1" t="s">
        <v>637</v>
      </c>
      <c r="Q29" s="1">
        <v>18230621</v>
      </c>
      <c r="R29" s="1" t="s">
        <v>638</v>
      </c>
    </row>
    <row r="30" spans="2:18" x14ac:dyDescent="0.25">
      <c r="B30" s="1" t="s">
        <v>632</v>
      </c>
      <c r="C30" s="1">
        <v>218749196</v>
      </c>
      <c r="D30" s="1" t="s">
        <v>633</v>
      </c>
      <c r="E30" s="1">
        <v>2023</v>
      </c>
      <c r="F30" s="1">
        <v>9</v>
      </c>
      <c r="G30" s="489">
        <v>45199</v>
      </c>
      <c r="H30" s="489">
        <v>45202</v>
      </c>
      <c r="I30" s="488">
        <v>441520.69</v>
      </c>
      <c r="J30" s="1" t="s">
        <v>658</v>
      </c>
      <c r="K30" s="1">
        <v>40730018</v>
      </c>
      <c r="L30" s="1" t="s">
        <v>575</v>
      </c>
      <c r="M30" s="1">
        <v>64000290</v>
      </c>
      <c r="N30" s="1" t="s">
        <v>635</v>
      </c>
      <c r="O30" s="1" t="s">
        <v>636</v>
      </c>
      <c r="P30" s="1" t="s">
        <v>637</v>
      </c>
      <c r="Q30" s="1">
        <v>18230621</v>
      </c>
      <c r="R30" s="1" t="s">
        <v>638</v>
      </c>
    </row>
    <row r="31" spans="2:18" x14ac:dyDescent="0.25">
      <c r="B31" s="1" t="s">
        <v>632</v>
      </c>
      <c r="C31" s="1">
        <v>218757339</v>
      </c>
      <c r="D31" s="1" t="s">
        <v>642</v>
      </c>
      <c r="E31" s="1">
        <v>2023</v>
      </c>
      <c r="F31" s="1">
        <v>10</v>
      </c>
      <c r="G31" s="489">
        <v>45208</v>
      </c>
      <c r="H31" s="489">
        <v>45202</v>
      </c>
      <c r="I31" s="488">
        <v>-259070.07</v>
      </c>
      <c r="J31" s="1" t="s">
        <v>657</v>
      </c>
      <c r="K31" s="1">
        <v>40730018</v>
      </c>
      <c r="L31" s="1" t="s">
        <v>575</v>
      </c>
      <c r="M31" s="1">
        <v>64000290</v>
      </c>
      <c r="N31" s="1" t="s">
        <v>635</v>
      </c>
      <c r="O31" s="1" t="s">
        <v>636</v>
      </c>
      <c r="P31" s="1" t="s">
        <v>637</v>
      </c>
      <c r="Q31" s="1">
        <v>18230621</v>
      </c>
      <c r="R31" s="1" t="s">
        <v>638</v>
      </c>
    </row>
    <row r="32" spans="2:18" x14ac:dyDescent="0.25">
      <c r="B32" s="1" t="s">
        <v>649</v>
      </c>
      <c r="C32" s="1">
        <v>218793232</v>
      </c>
      <c r="D32" s="1" t="s">
        <v>633</v>
      </c>
      <c r="E32" s="1">
        <v>2023</v>
      </c>
      <c r="F32" s="1">
        <v>10</v>
      </c>
      <c r="G32" s="489">
        <v>45230</v>
      </c>
      <c r="H32" s="489">
        <v>45232</v>
      </c>
      <c r="I32" s="488">
        <v>-471</v>
      </c>
      <c r="J32" s="1" t="s">
        <v>659</v>
      </c>
      <c r="K32" s="1">
        <v>40730018</v>
      </c>
      <c r="L32" s="1" t="s">
        <v>575</v>
      </c>
      <c r="M32" s="1">
        <v>64000290</v>
      </c>
      <c r="N32" s="1" t="s">
        <v>635</v>
      </c>
      <c r="O32" s="1" t="s">
        <v>636</v>
      </c>
      <c r="P32" s="1" t="s">
        <v>637</v>
      </c>
      <c r="Q32" s="1">
        <v>18231361</v>
      </c>
      <c r="R32" s="1" t="s">
        <v>653</v>
      </c>
    </row>
    <row r="33" spans="2:18" x14ac:dyDescent="0.25">
      <c r="B33" s="1" t="s">
        <v>639</v>
      </c>
      <c r="C33" s="1">
        <v>218794870</v>
      </c>
      <c r="D33" s="1" t="s">
        <v>640</v>
      </c>
      <c r="E33" s="1">
        <v>2023</v>
      </c>
      <c r="F33" s="1">
        <v>10</v>
      </c>
      <c r="G33" s="489">
        <v>45230</v>
      </c>
      <c r="H33" s="489">
        <v>45232</v>
      </c>
      <c r="I33" s="488">
        <v>313013.34000000003</v>
      </c>
      <c r="J33" s="1" t="s">
        <v>660</v>
      </c>
      <c r="K33" s="1">
        <v>40730018</v>
      </c>
      <c r="L33" s="1" t="s">
        <v>575</v>
      </c>
      <c r="M33" s="1">
        <v>64000290</v>
      </c>
      <c r="N33" s="1" t="s">
        <v>635</v>
      </c>
      <c r="O33" s="1" t="s">
        <v>636</v>
      </c>
      <c r="P33" s="1" t="s">
        <v>637</v>
      </c>
      <c r="Q33" s="1">
        <v>18230621</v>
      </c>
      <c r="R33" s="1" t="s">
        <v>638</v>
      </c>
    </row>
    <row r="34" spans="2:18" x14ac:dyDescent="0.25">
      <c r="B34" s="1" t="s">
        <v>632</v>
      </c>
      <c r="C34" s="1">
        <v>218794871</v>
      </c>
      <c r="D34" s="1" t="s">
        <v>633</v>
      </c>
      <c r="E34" s="1">
        <v>2023</v>
      </c>
      <c r="F34" s="1">
        <v>10</v>
      </c>
      <c r="G34" s="489">
        <v>45230</v>
      </c>
      <c r="H34" s="489">
        <v>45232</v>
      </c>
      <c r="I34" s="488">
        <v>408594.85</v>
      </c>
      <c r="J34" s="1" t="s">
        <v>661</v>
      </c>
      <c r="K34" s="1">
        <v>40730018</v>
      </c>
      <c r="L34" s="1" t="s">
        <v>575</v>
      </c>
      <c r="M34" s="1">
        <v>64000290</v>
      </c>
      <c r="N34" s="1" t="s">
        <v>635</v>
      </c>
      <c r="O34" s="1" t="s">
        <v>636</v>
      </c>
      <c r="P34" s="1" t="s">
        <v>637</v>
      </c>
      <c r="Q34" s="1">
        <v>18230621</v>
      </c>
      <c r="R34" s="1" t="s">
        <v>638</v>
      </c>
    </row>
    <row r="35" spans="2:18" x14ac:dyDescent="0.25">
      <c r="B35" s="1" t="s">
        <v>639</v>
      </c>
      <c r="C35" s="1">
        <v>218803313</v>
      </c>
      <c r="D35" s="1" t="s">
        <v>642</v>
      </c>
      <c r="E35" s="1">
        <v>2023</v>
      </c>
      <c r="F35" s="1">
        <v>11</v>
      </c>
      <c r="G35" s="489">
        <v>45238</v>
      </c>
      <c r="H35" s="489">
        <v>45232</v>
      </c>
      <c r="I35" s="488">
        <v>-313013.34000000003</v>
      </c>
      <c r="J35" s="1" t="s">
        <v>660</v>
      </c>
      <c r="K35" s="1">
        <v>40730018</v>
      </c>
      <c r="L35" s="1" t="s">
        <v>575</v>
      </c>
      <c r="M35" s="1">
        <v>64000290</v>
      </c>
      <c r="N35" s="1" t="s">
        <v>635</v>
      </c>
      <c r="O35" s="1" t="s">
        <v>636</v>
      </c>
      <c r="P35" s="1" t="s">
        <v>637</v>
      </c>
      <c r="Q35" s="1">
        <v>18230621</v>
      </c>
      <c r="R35" s="1" t="s">
        <v>638</v>
      </c>
    </row>
    <row r="36" spans="2:18" x14ac:dyDescent="0.25">
      <c r="B36" s="1" t="s">
        <v>649</v>
      </c>
      <c r="C36" s="1">
        <v>218839970</v>
      </c>
      <c r="D36" s="1" t="s">
        <v>633</v>
      </c>
      <c r="E36" s="1">
        <v>2023</v>
      </c>
      <c r="F36" s="1">
        <v>11</v>
      </c>
      <c r="G36" s="489">
        <v>45260</v>
      </c>
      <c r="H36" s="489">
        <v>45265</v>
      </c>
      <c r="I36" s="488">
        <v>-3301</v>
      </c>
      <c r="J36" s="1" t="s">
        <v>662</v>
      </c>
      <c r="K36" s="1">
        <v>40730018</v>
      </c>
      <c r="L36" s="1" t="s">
        <v>575</v>
      </c>
      <c r="M36" s="1">
        <v>64000290</v>
      </c>
      <c r="N36" s="1" t="s">
        <v>635</v>
      </c>
      <c r="O36" s="1" t="s">
        <v>636</v>
      </c>
      <c r="P36" s="1" t="s">
        <v>637</v>
      </c>
      <c r="Q36" s="1">
        <v>18231361</v>
      </c>
      <c r="R36" s="1" t="s">
        <v>653</v>
      </c>
    </row>
    <row r="37" spans="2:18" x14ac:dyDescent="0.25">
      <c r="B37" s="1" t="s">
        <v>639</v>
      </c>
      <c r="C37" s="1">
        <v>218838840</v>
      </c>
      <c r="D37" s="1" t="s">
        <v>640</v>
      </c>
      <c r="E37" s="1">
        <v>2023</v>
      </c>
      <c r="F37" s="1">
        <v>11</v>
      </c>
      <c r="G37" s="489">
        <v>45260</v>
      </c>
      <c r="H37" s="489">
        <v>45264</v>
      </c>
      <c r="I37" s="488">
        <v>380314.26</v>
      </c>
      <c r="J37" s="1" t="s">
        <v>663</v>
      </c>
      <c r="K37" s="1">
        <v>40730018</v>
      </c>
      <c r="L37" s="1" t="s">
        <v>575</v>
      </c>
      <c r="M37" s="1">
        <v>64000290</v>
      </c>
      <c r="N37" s="1" t="s">
        <v>635</v>
      </c>
      <c r="O37" s="1" t="s">
        <v>636</v>
      </c>
      <c r="P37" s="1" t="s">
        <v>637</v>
      </c>
      <c r="Q37" s="1">
        <v>18230621</v>
      </c>
      <c r="R37" s="1" t="s">
        <v>638</v>
      </c>
    </row>
    <row r="38" spans="2:18" x14ac:dyDescent="0.25">
      <c r="B38" s="1" t="s">
        <v>632</v>
      </c>
      <c r="C38" s="1">
        <v>218838839</v>
      </c>
      <c r="D38" s="1" t="s">
        <v>633</v>
      </c>
      <c r="E38" s="1">
        <v>2023</v>
      </c>
      <c r="F38" s="1">
        <v>11</v>
      </c>
      <c r="G38" s="489">
        <v>45260</v>
      </c>
      <c r="H38" s="489">
        <v>45264</v>
      </c>
      <c r="I38" s="488">
        <v>477080.96</v>
      </c>
      <c r="J38" s="1" t="s">
        <v>664</v>
      </c>
      <c r="K38" s="1">
        <v>40730018</v>
      </c>
      <c r="L38" s="1" t="s">
        <v>575</v>
      </c>
      <c r="M38" s="1">
        <v>64000290</v>
      </c>
      <c r="N38" s="1" t="s">
        <v>635</v>
      </c>
      <c r="O38" s="1" t="s">
        <v>636</v>
      </c>
      <c r="P38" s="1" t="s">
        <v>637</v>
      </c>
      <c r="Q38" s="1">
        <v>18230621</v>
      </c>
      <c r="R38" s="1" t="s">
        <v>638</v>
      </c>
    </row>
    <row r="39" spans="2:18" x14ac:dyDescent="0.25">
      <c r="B39" s="1" t="s">
        <v>639</v>
      </c>
      <c r="C39" s="1">
        <v>218846250</v>
      </c>
      <c r="D39" s="1" t="s">
        <v>642</v>
      </c>
      <c r="E39" s="1">
        <v>2023</v>
      </c>
      <c r="F39" s="1">
        <v>12</v>
      </c>
      <c r="G39" s="489">
        <v>45268</v>
      </c>
      <c r="H39" s="489">
        <v>45264</v>
      </c>
      <c r="I39" s="488">
        <v>-380314.26</v>
      </c>
      <c r="J39" s="1" t="s">
        <v>663</v>
      </c>
      <c r="K39" s="1">
        <v>40730018</v>
      </c>
      <c r="L39" s="1" t="s">
        <v>575</v>
      </c>
      <c r="M39" s="1">
        <v>64000290</v>
      </c>
      <c r="N39" s="1" t="s">
        <v>635</v>
      </c>
      <c r="O39" s="1" t="s">
        <v>636</v>
      </c>
      <c r="P39" s="1" t="s">
        <v>637</v>
      </c>
      <c r="Q39" s="1">
        <v>18230621</v>
      </c>
      <c r="R39" s="1" t="s">
        <v>638</v>
      </c>
    </row>
    <row r="40" spans="2:18" x14ac:dyDescent="0.25">
      <c r="B40" s="1" t="s">
        <v>649</v>
      </c>
      <c r="C40" s="1">
        <v>218882067</v>
      </c>
      <c r="D40" s="1" t="s">
        <v>633</v>
      </c>
      <c r="E40" s="1">
        <v>2023</v>
      </c>
      <c r="F40" s="1">
        <v>12</v>
      </c>
      <c r="G40" s="489">
        <v>45291</v>
      </c>
      <c r="H40" s="489">
        <v>45295</v>
      </c>
      <c r="I40" s="488">
        <v>-2290</v>
      </c>
      <c r="J40" s="1" t="s">
        <v>665</v>
      </c>
      <c r="K40" s="1">
        <v>40730018</v>
      </c>
      <c r="L40" s="1" t="s">
        <v>575</v>
      </c>
      <c r="M40" s="1">
        <v>64000290</v>
      </c>
      <c r="N40" s="1" t="s">
        <v>635</v>
      </c>
      <c r="O40" s="1" t="s">
        <v>636</v>
      </c>
      <c r="P40" s="1" t="s">
        <v>637</v>
      </c>
      <c r="Q40" s="1">
        <v>18231361</v>
      </c>
      <c r="R40" s="1" t="s">
        <v>653</v>
      </c>
    </row>
    <row r="41" spans="2:18" x14ac:dyDescent="0.25">
      <c r="B41" s="1" t="s">
        <v>632</v>
      </c>
      <c r="C41" s="1">
        <v>218879861</v>
      </c>
      <c r="D41" s="1" t="s">
        <v>640</v>
      </c>
      <c r="E41" s="1">
        <v>2023</v>
      </c>
      <c r="F41" s="1">
        <v>12</v>
      </c>
      <c r="G41" s="489">
        <v>45291</v>
      </c>
      <c r="H41" s="489">
        <v>45294</v>
      </c>
      <c r="I41" s="488">
        <v>377302.33</v>
      </c>
      <c r="J41" s="1" t="s">
        <v>666</v>
      </c>
      <c r="K41" s="1">
        <v>40730018</v>
      </c>
      <c r="L41" s="1" t="s">
        <v>575</v>
      </c>
      <c r="M41" s="1">
        <v>64000290</v>
      </c>
      <c r="N41" s="1" t="s">
        <v>635</v>
      </c>
      <c r="O41" s="1" t="s">
        <v>636</v>
      </c>
      <c r="P41" s="1" t="s">
        <v>637</v>
      </c>
      <c r="Q41" s="1">
        <v>18230621</v>
      </c>
      <c r="R41" s="1" t="s">
        <v>638</v>
      </c>
    </row>
    <row r="42" spans="2:18" x14ac:dyDescent="0.25">
      <c r="B42" s="1" t="s">
        <v>632</v>
      </c>
      <c r="C42" s="1">
        <v>218879859</v>
      </c>
      <c r="D42" s="1" t="s">
        <v>633</v>
      </c>
      <c r="E42" s="1">
        <v>2023</v>
      </c>
      <c r="F42" s="1">
        <v>12</v>
      </c>
      <c r="G42" s="489">
        <v>45291</v>
      </c>
      <c r="H42" s="489">
        <v>45294</v>
      </c>
      <c r="I42" s="488">
        <v>588420.51</v>
      </c>
      <c r="J42" s="1" t="s">
        <v>667</v>
      </c>
      <c r="K42" s="1">
        <v>40730018</v>
      </c>
      <c r="L42" s="1" t="s">
        <v>575</v>
      </c>
      <c r="M42" s="1">
        <v>64000290</v>
      </c>
      <c r="N42" s="1" t="s">
        <v>635</v>
      </c>
      <c r="O42" s="1" t="s">
        <v>636</v>
      </c>
      <c r="P42" s="1" t="s">
        <v>637</v>
      </c>
      <c r="Q42" s="1">
        <v>18230621</v>
      </c>
      <c r="R42" s="1" t="s">
        <v>638</v>
      </c>
    </row>
    <row r="43" spans="2:18" x14ac:dyDescent="0.25">
      <c r="B43" s="1" t="s">
        <v>616</v>
      </c>
    </row>
    <row r="44" spans="2:18" x14ac:dyDescent="0.25">
      <c r="C44" s="1" t="s">
        <v>668</v>
      </c>
      <c r="D44" s="1" t="s">
        <v>669</v>
      </c>
      <c r="E44" s="1" t="s">
        <v>670</v>
      </c>
      <c r="F44" s="1" t="s">
        <v>671</v>
      </c>
      <c r="G44" s="1" t="s">
        <v>292</v>
      </c>
      <c r="H44" s="1" t="s">
        <v>292</v>
      </c>
      <c r="I44" s="488">
        <f>SUM(I7:I43)</f>
        <v>4769275.2300000004</v>
      </c>
      <c r="J44" s="1" t="s">
        <v>672</v>
      </c>
      <c r="K44" s="1" t="s">
        <v>673</v>
      </c>
      <c r="L44" s="1" t="s">
        <v>674</v>
      </c>
      <c r="M44" s="1" t="s">
        <v>292</v>
      </c>
      <c r="N44" s="1" t="s">
        <v>675</v>
      </c>
      <c r="O44" s="1" t="s">
        <v>292</v>
      </c>
      <c r="P44" s="1" t="s">
        <v>676</v>
      </c>
      <c r="Q44" s="1" t="s">
        <v>292</v>
      </c>
      <c r="R44" s="1" t="s">
        <v>675</v>
      </c>
    </row>
    <row r="45" spans="2:18" x14ac:dyDescent="0.25">
      <c r="B45" s="1" t="s">
        <v>616</v>
      </c>
    </row>
    <row r="46" spans="2:18" x14ac:dyDescent="0.25">
      <c r="I46" s="488">
        <v>4769275.2300000004</v>
      </c>
    </row>
    <row r="48" spans="2:18" x14ac:dyDescent="0.25">
      <c r="I48" s="488">
        <f>I46-I44</f>
        <v>0</v>
      </c>
    </row>
    <row r="49" spans="7:12" x14ac:dyDescent="0.25">
      <c r="J49" s="490">
        <v>0.95234799999999997</v>
      </c>
    </row>
    <row r="50" spans="7:12" x14ac:dyDescent="0.25">
      <c r="I50" s="488" t="s">
        <v>677</v>
      </c>
      <c r="J50" s="490" t="s">
        <v>678</v>
      </c>
    </row>
    <row r="51" spans="7:12" x14ac:dyDescent="0.25">
      <c r="G51" s="1" t="s">
        <v>679</v>
      </c>
      <c r="I51" s="488">
        <f>SUMIF($B$7:$B$42,"UB",$I$7:$I$42)</f>
        <v>0</v>
      </c>
      <c r="K51" s="490" t="s">
        <v>680</v>
      </c>
    </row>
    <row r="52" spans="7:12" x14ac:dyDescent="0.25">
      <c r="G52" s="1" t="s">
        <v>681</v>
      </c>
      <c r="I52" s="491">
        <f>SUMIF($B$7:$B$42,"B",$I$7:$I$42)</f>
        <v>4782780.2299999995</v>
      </c>
      <c r="J52" s="492">
        <f>I52/$J$49</f>
        <v>5022093.0059180046</v>
      </c>
      <c r="K52" s="492">
        <f>'Rev Req 2024'!U39</f>
        <v>6018624.8255183529</v>
      </c>
      <c r="L52" s="493">
        <f>(K52-J52)/J52</f>
        <v>0.19842958273095324</v>
      </c>
    </row>
    <row r="53" spans="7:12" x14ac:dyDescent="0.25">
      <c r="G53" s="1" t="s">
        <v>682</v>
      </c>
      <c r="I53" s="488">
        <f>SUMIF($B$7:$B$42,"O",$I$7:$I$42)</f>
        <v>-13505</v>
      </c>
      <c r="J53" s="494">
        <f>I53/$J$49</f>
        <v>-14180.740653626615</v>
      </c>
    </row>
    <row r="54" spans="7:12" ht="15.75" thickBot="1" x14ac:dyDescent="0.3">
      <c r="G54" s="1" t="s">
        <v>25</v>
      </c>
      <c r="I54" s="495">
        <f>SUM(I51:I53)</f>
        <v>4769275.2299999995</v>
      </c>
      <c r="J54" s="495">
        <f>SUM(J51:J53)</f>
        <v>5007912.2652643779</v>
      </c>
      <c r="K54" s="492"/>
    </row>
    <row r="55" spans="7:12" ht="15.75" thickTop="1" x14ac:dyDescent="0.25"/>
    <row r="56" spans="7:12" x14ac:dyDescent="0.25">
      <c r="J56" s="492">
        <f>SOE!C40</f>
        <v>5031042.12</v>
      </c>
      <c r="K56" s="1" t="s">
        <v>683</v>
      </c>
      <c r="L56" s="493">
        <f>(K52-J56)/K52</f>
        <v>0.16408776658267571</v>
      </c>
    </row>
    <row r="57" spans="7:12" x14ac:dyDescent="0.25">
      <c r="J57" s="492">
        <f>J52</f>
        <v>5022093.0059180046</v>
      </c>
      <c r="K57" s="1" t="s">
        <v>684</v>
      </c>
    </row>
    <row r="58" spans="7:12" x14ac:dyDescent="0.25">
      <c r="J58" s="492">
        <f>J56-J57</f>
        <v>8949.1140819955617</v>
      </c>
      <c r="K58" s="1" t="s">
        <v>685</v>
      </c>
    </row>
  </sheetData>
  <pageMargins left="0.7" right="0.7" top="0.75" bottom="0.75" header="0.3" footer="0.3"/>
  <pageSetup orientation="portrait" horizontalDpi="1200" verticalDpi="1200"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4"/>
  <sheetViews>
    <sheetView workbookViewId="0">
      <pane ySplit="2" topLeftCell="A12" activePane="bottomLeft" state="frozen"/>
      <selection activeCell="P51" sqref="P51"/>
      <selection pane="bottomLeft" activeCell="L49" sqref="L49"/>
    </sheetView>
  </sheetViews>
  <sheetFormatPr defaultColWidth="11.42578125" defaultRowHeight="15" x14ac:dyDescent="0.25"/>
  <cols>
    <col min="1" max="1" width="1.7109375" style="1" customWidth="1"/>
    <col min="2" max="2" width="43.7109375" style="1" customWidth="1"/>
    <col min="3" max="5" width="17.7109375" style="1" customWidth="1"/>
    <col min="6" max="6" width="9.7109375" style="1" customWidth="1"/>
    <col min="7" max="8" width="17.7109375" style="1" customWidth="1"/>
    <col min="9" max="9" width="9.7109375" style="1" customWidth="1"/>
    <col min="10" max="13" width="12.7109375" style="1" customWidth="1"/>
    <col min="14" max="14" width="43.7109375" style="1" customWidth="1"/>
    <col min="15" max="16" width="12.7109375" style="1" customWidth="1"/>
    <col min="17" max="17" width="17.7109375" style="1" customWidth="1"/>
    <col min="18" max="16384" width="11.42578125" style="1"/>
  </cols>
  <sheetData>
    <row r="2" spans="2:17" x14ac:dyDescent="0.25">
      <c r="B2" s="273" t="s">
        <v>686</v>
      </c>
      <c r="C2" s="274" t="s">
        <v>687</v>
      </c>
      <c r="D2" s="274" t="s">
        <v>688</v>
      </c>
      <c r="E2" s="274" t="s">
        <v>689</v>
      </c>
      <c r="F2" s="274" t="s">
        <v>690</v>
      </c>
      <c r="G2" s="274" t="s">
        <v>691</v>
      </c>
      <c r="H2" s="274" t="s">
        <v>692</v>
      </c>
      <c r="I2" s="274" t="s">
        <v>693</v>
      </c>
      <c r="J2" s="274" t="s">
        <v>694</v>
      </c>
      <c r="K2" s="274" t="s">
        <v>695</v>
      </c>
      <c r="L2" s="274" t="s">
        <v>696</v>
      </c>
      <c r="M2" s="274" t="s">
        <v>697</v>
      </c>
      <c r="N2" s="273" t="s">
        <v>686</v>
      </c>
      <c r="O2" s="274" t="s">
        <v>698</v>
      </c>
      <c r="P2" s="274" t="s">
        <v>699</v>
      </c>
      <c r="Q2" s="274" t="s">
        <v>692</v>
      </c>
    </row>
    <row r="3" spans="2:17" x14ac:dyDescent="0.25">
      <c r="B3" s="275" t="s">
        <v>700</v>
      </c>
      <c r="C3" s="276">
        <v>0</v>
      </c>
      <c r="D3" s="276">
        <v>0</v>
      </c>
      <c r="E3" s="276">
        <v>0</v>
      </c>
      <c r="F3" s="276">
        <v>0</v>
      </c>
      <c r="G3" s="276">
        <v>0</v>
      </c>
      <c r="H3" s="276">
        <v>0</v>
      </c>
      <c r="I3" s="276">
        <v>0</v>
      </c>
      <c r="J3" s="277">
        <v>0</v>
      </c>
      <c r="K3" s="277">
        <v>0</v>
      </c>
      <c r="L3" s="277">
        <v>0</v>
      </c>
      <c r="M3" s="276">
        <v>0</v>
      </c>
      <c r="N3" s="275" t="s">
        <v>700</v>
      </c>
      <c r="O3" s="276">
        <v>0</v>
      </c>
      <c r="P3" s="276">
        <v>0</v>
      </c>
      <c r="Q3" s="276">
        <v>0</v>
      </c>
    </row>
    <row r="4" spans="2:17" x14ac:dyDescent="0.25">
      <c r="B4" s="275" t="s">
        <v>701</v>
      </c>
      <c r="C4" s="278">
        <v>1514148994.6500001</v>
      </c>
      <c r="D4" s="278">
        <v>1545998586</v>
      </c>
      <c r="E4" s="278">
        <v>-31849591.350000001</v>
      </c>
      <c r="F4" s="279">
        <v>-2.0600999999999998</v>
      </c>
      <c r="G4" s="278">
        <v>1381833367.55</v>
      </c>
      <c r="H4" s="278">
        <v>132315627.09999999</v>
      </c>
      <c r="I4" s="279">
        <v>9.5754000000000001</v>
      </c>
      <c r="J4" s="277">
        <v>0.13300000000000001</v>
      </c>
      <c r="K4" s="277">
        <v>0.14330000000000001</v>
      </c>
      <c r="L4" s="277">
        <v>0.1176</v>
      </c>
      <c r="M4" s="277">
        <v>132.96039999999999</v>
      </c>
      <c r="N4" s="275" t="s">
        <v>701</v>
      </c>
      <c r="O4" s="277">
        <v>117.5722</v>
      </c>
      <c r="P4" s="280">
        <v>15.388199999999999</v>
      </c>
      <c r="Q4" s="276">
        <v>0</v>
      </c>
    </row>
    <row r="5" spans="2:17" x14ac:dyDescent="0.25">
      <c r="B5" s="275" t="s">
        <v>702</v>
      </c>
      <c r="C5" s="278">
        <v>1071384693.61</v>
      </c>
      <c r="D5" s="278">
        <v>1108967436</v>
      </c>
      <c r="E5" s="278">
        <v>-37582742.390000001</v>
      </c>
      <c r="F5" s="279">
        <v>-3.3889999999999998</v>
      </c>
      <c r="G5" s="278">
        <v>981170440.22000003</v>
      </c>
      <c r="H5" s="278">
        <v>90214253.390000001</v>
      </c>
      <c r="I5" s="279">
        <v>9.1945999999999994</v>
      </c>
      <c r="J5" s="277">
        <v>0.124</v>
      </c>
      <c r="K5" s="277">
        <v>0.1313</v>
      </c>
      <c r="L5" s="277">
        <v>0.11310000000000001</v>
      </c>
      <c r="M5" s="277">
        <v>124.045</v>
      </c>
      <c r="N5" s="275" t="s">
        <v>702</v>
      </c>
      <c r="O5" s="277">
        <v>113.0748</v>
      </c>
      <c r="P5" s="280">
        <v>10.9702</v>
      </c>
      <c r="Q5" s="276">
        <v>0</v>
      </c>
    </row>
    <row r="6" spans="2:17" x14ac:dyDescent="0.25">
      <c r="B6" s="275" t="s">
        <v>703</v>
      </c>
      <c r="C6" s="278">
        <v>123547974.70999999</v>
      </c>
      <c r="D6" s="278">
        <v>126523901</v>
      </c>
      <c r="E6" s="278">
        <v>-2975926.29</v>
      </c>
      <c r="F6" s="279">
        <v>-2.3521000000000001</v>
      </c>
      <c r="G6" s="278">
        <v>116711892.81</v>
      </c>
      <c r="H6" s="278">
        <v>6836081.9000000004</v>
      </c>
      <c r="I6" s="279">
        <v>5.8571999999999997</v>
      </c>
      <c r="J6" s="277">
        <v>0.1154</v>
      </c>
      <c r="K6" s="277">
        <v>0.12379999999999999</v>
      </c>
      <c r="L6" s="277">
        <v>0.1048</v>
      </c>
      <c r="M6" s="277">
        <v>115.3648</v>
      </c>
      <c r="N6" s="275" t="s">
        <v>703</v>
      </c>
      <c r="O6" s="277">
        <v>104.77679999999999</v>
      </c>
      <c r="P6" s="280">
        <v>10.587999999999999</v>
      </c>
      <c r="Q6" s="276">
        <v>0</v>
      </c>
    </row>
    <row r="7" spans="2:17" x14ac:dyDescent="0.25">
      <c r="B7" s="275" t="s">
        <v>704</v>
      </c>
      <c r="C7" s="278">
        <v>20865110.77</v>
      </c>
      <c r="D7" s="278">
        <v>21275659</v>
      </c>
      <c r="E7" s="278">
        <v>-410548.23</v>
      </c>
      <c r="F7" s="279">
        <v>-1.9297</v>
      </c>
      <c r="G7" s="278">
        <v>18414823.609999999</v>
      </c>
      <c r="H7" s="278">
        <v>2450287.16</v>
      </c>
      <c r="I7" s="279">
        <v>13.306100000000001</v>
      </c>
      <c r="J7" s="277">
        <v>0.2989</v>
      </c>
      <c r="K7" s="277">
        <v>0.32629999999999998</v>
      </c>
      <c r="L7" s="277">
        <v>0.26579999999999998</v>
      </c>
      <c r="M7" s="277">
        <v>298.94529999999997</v>
      </c>
      <c r="N7" s="275" t="s">
        <v>704</v>
      </c>
      <c r="O7" s="277">
        <v>265.83870000000002</v>
      </c>
      <c r="P7" s="280">
        <v>33.1066</v>
      </c>
      <c r="Q7" s="276">
        <v>0</v>
      </c>
    </row>
    <row r="8" spans="2:17" x14ac:dyDescent="0.25">
      <c r="B8" s="275" t="s">
        <v>705</v>
      </c>
      <c r="C8" s="278">
        <v>324999.76</v>
      </c>
      <c r="D8" s="278">
        <v>333817</v>
      </c>
      <c r="E8" s="278">
        <v>-8817.24</v>
      </c>
      <c r="F8" s="279">
        <v>-2.6413000000000002</v>
      </c>
      <c r="G8" s="278">
        <v>343676.59</v>
      </c>
      <c r="H8" s="278">
        <v>-18676.830000000002</v>
      </c>
      <c r="I8" s="279">
        <v>-5.4344000000000001</v>
      </c>
      <c r="J8" s="277">
        <v>4.8500000000000001E-2</v>
      </c>
      <c r="K8" s="277">
        <v>4.7100000000000003E-2</v>
      </c>
      <c r="L8" s="277">
        <v>4.82E-2</v>
      </c>
      <c r="M8" s="277">
        <v>48.511800000000001</v>
      </c>
      <c r="N8" s="275" t="s">
        <v>705</v>
      </c>
      <c r="O8" s="277">
        <v>48.1601</v>
      </c>
      <c r="P8" s="280">
        <v>0.35170000000000001</v>
      </c>
      <c r="Q8" s="276">
        <v>0</v>
      </c>
    </row>
    <row r="9" spans="2:17" x14ac:dyDescent="0.25">
      <c r="B9" s="281" t="s">
        <v>706</v>
      </c>
      <c r="C9" s="282">
        <v>2730271773.5</v>
      </c>
      <c r="D9" s="282">
        <v>2803099399</v>
      </c>
      <c r="E9" s="282">
        <v>-72827625.5</v>
      </c>
      <c r="F9" s="283">
        <v>-2.5981000000000001</v>
      </c>
      <c r="G9" s="282">
        <v>2498474200.7800002</v>
      </c>
      <c r="H9" s="282">
        <v>231797572.72</v>
      </c>
      <c r="I9" s="283">
        <v>9.2775999999999996</v>
      </c>
      <c r="J9" s="284">
        <v>0.129</v>
      </c>
      <c r="K9" s="284">
        <v>0.13789999999999999</v>
      </c>
      <c r="L9" s="284">
        <v>0.11559999999999999</v>
      </c>
      <c r="M9" s="284">
        <v>128.9539</v>
      </c>
      <c r="N9" s="281" t="s">
        <v>706</v>
      </c>
      <c r="O9" s="284">
        <v>115.56019999999999</v>
      </c>
      <c r="P9" s="285">
        <v>13.393700000000001</v>
      </c>
      <c r="Q9" s="286">
        <v>0</v>
      </c>
    </row>
    <row r="10" spans="2:17" x14ac:dyDescent="0.25">
      <c r="B10" s="275" t="s">
        <v>707</v>
      </c>
      <c r="C10" s="278">
        <v>23572559.449999999</v>
      </c>
      <c r="D10" s="278">
        <v>12079614</v>
      </c>
      <c r="E10" s="278">
        <v>11492945.449999999</v>
      </c>
      <c r="F10" s="279">
        <v>95.143299999999996</v>
      </c>
      <c r="G10" s="278">
        <v>22353048.170000002</v>
      </c>
      <c r="H10" s="278">
        <v>1219511.28</v>
      </c>
      <c r="I10" s="279">
        <v>5.4557000000000002</v>
      </c>
      <c r="J10" s="277">
        <v>1.04E-2</v>
      </c>
      <c r="K10" s="277">
        <v>5.4000000000000003E-3</v>
      </c>
      <c r="L10" s="277">
        <v>9.7000000000000003E-3</v>
      </c>
      <c r="M10" s="277">
        <v>10.382199999999999</v>
      </c>
      <c r="N10" s="275" t="s">
        <v>707</v>
      </c>
      <c r="O10" s="277">
        <v>9.7157</v>
      </c>
      <c r="P10" s="280">
        <v>0.66649999999999998</v>
      </c>
      <c r="Q10" s="276">
        <v>0</v>
      </c>
    </row>
    <row r="11" spans="2:17" x14ac:dyDescent="0.25">
      <c r="B11" s="275" t="s">
        <v>708</v>
      </c>
      <c r="C11" s="278">
        <v>502390834.41000003</v>
      </c>
      <c r="D11" s="278">
        <v>23649940</v>
      </c>
      <c r="E11" s="278">
        <v>478740894.41000003</v>
      </c>
      <c r="F11" s="279">
        <v>2024.2795000000001</v>
      </c>
      <c r="G11" s="278">
        <v>329588903.31</v>
      </c>
      <c r="H11" s="278">
        <v>172801931.09999999</v>
      </c>
      <c r="I11" s="279">
        <v>52.429499999999997</v>
      </c>
      <c r="J11" s="277">
        <v>6.8599999999999994E-2</v>
      </c>
      <c r="K11" s="277">
        <v>0</v>
      </c>
      <c r="L11" s="277">
        <v>9.1399999999999995E-2</v>
      </c>
      <c r="M11" s="277">
        <v>68.589500000000001</v>
      </c>
      <c r="N11" s="275" t="s">
        <v>708</v>
      </c>
      <c r="O11" s="277">
        <v>91.4499</v>
      </c>
      <c r="P11" s="280">
        <v>-22.860399999999998</v>
      </c>
      <c r="Q11" s="276">
        <v>0</v>
      </c>
    </row>
    <row r="12" spans="2:17" x14ac:dyDescent="0.25">
      <c r="B12" s="281" t="s">
        <v>709</v>
      </c>
      <c r="C12" s="282">
        <v>3256235167.3600001</v>
      </c>
      <c r="D12" s="282">
        <v>2838828953</v>
      </c>
      <c r="E12" s="282">
        <v>417406214.36000001</v>
      </c>
      <c r="F12" s="283">
        <v>14.7035</v>
      </c>
      <c r="G12" s="282">
        <v>2850416152.2600002</v>
      </c>
      <c r="H12" s="282">
        <v>405819015.10000002</v>
      </c>
      <c r="I12" s="283">
        <v>14.2372</v>
      </c>
      <c r="J12" s="286">
        <v>0</v>
      </c>
      <c r="K12" s="286">
        <v>0</v>
      </c>
      <c r="L12" s="286">
        <v>0</v>
      </c>
      <c r="M12" s="286">
        <v>0</v>
      </c>
      <c r="N12" s="281" t="s">
        <v>709</v>
      </c>
      <c r="O12" s="286">
        <v>0</v>
      </c>
      <c r="P12" s="286">
        <v>0</v>
      </c>
      <c r="Q12" s="286">
        <v>0</v>
      </c>
    </row>
    <row r="13" spans="2:17" x14ac:dyDescent="0.25">
      <c r="B13" s="275" t="s">
        <v>710</v>
      </c>
      <c r="C13" s="276">
        <v>0</v>
      </c>
      <c r="D13" s="276">
        <v>0</v>
      </c>
      <c r="E13" s="276">
        <v>0</v>
      </c>
      <c r="F13" s="276">
        <v>0</v>
      </c>
      <c r="G13" s="276">
        <v>0</v>
      </c>
      <c r="H13" s="276">
        <v>0</v>
      </c>
      <c r="I13" s="276">
        <v>0</v>
      </c>
      <c r="J13" s="276">
        <v>0</v>
      </c>
      <c r="K13" s="276">
        <v>0</v>
      </c>
      <c r="L13" s="276">
        <v>0</v>
      </c>
      <c r="M13" s="276">
        <v>0</v>
      </c>
      <c r="N13" s="275" t="s">
        <v>710</v>
      </c>
      <c r="O13" s="276">
        <v>0</v>
      </c>
      <c r="P13" s="276">
        <v>0</v>
      </c>
      <c r="Q13" s="276">
        <v>0</v>
      </c>
    </row>
    <row r="14" spans="2:17" x14ac:dyDescent="0.25">
      <c r="B14" s="275" t="s">
        <v>711</v>
      </c>
      <c r="C14" s="278">
        <v>47546521.189999998</v>
      </c>
      <c r="D14" s="278">
        <v>71587821</v>
      </c>
      <c r="E14" s="278">
        <v>-24041299.809999999</v>
      </c>
      <c r="F14" s="279">
        <v>0</v>
      </c>
      <c r="G14" s="278">
        <v>111024352.11</v>
      </c>
      <c r="H14" s="278">
        <v>-63477830.920000002</v>
      </c>
      <c r="I14" s="279">
        <v>-57.174700000000001</v>
      </c>
      <c r="J14" s="276">
        <v>0</v>
      </c>
      <c r="K14" s="276">
        <v>0</v>
      </c>
      <c r="L14" s="276">
        <v>0</v>
      </c>
      <c r="M14" s="276">
        <v>0</v>
      </c>
      <c r="N14" s="275" t="s">
        <v>711</v>
      </c>
      <c r="O14" s="276">
        <v>0</v>
      </c>
      <c r="P14" s="276">
        <v>0</v>
      </c>
      <c r="Q14" s="276">
        <v>0</v>
      </c>
    </row>
    <row r="15" spans="2:17" x14ac:dyDescent="0.25">
      <c r="B15" s="275" t="s">
        <v>712</v>
      </c>
      <c r="C15" s="278">
        <v>22577993.66</v>
      </c>
      <c r="D15" s="278">
        <v>0</v>
      </c>
      <c r="E15" s="278">
        <v>22577993.66</v>
      </c>
      <c r="F15" s="279">
        <v>0</v>
      </c>
      <c r="G15" s="278">
        <v>24673703.890000001</v>
      </c>
      <c r="H15" s="278">
        <v>-2095710.23</v>
      </c>
      <c r="I15" s="279">
        <v>-8.4937000000000005</v>
      </c>
      <c r="J15" s="276">
        <v>0</v>
      </c>
      <c r="K15" s="276">
        <v>0</v>
      </c>
      <c r="L15" s="276">
        <v>0</v>
      </c>
      <c r="M15" s="276">
        <v>0</v>
      </c>
      <c r="N15" s="275" t="s">
        <v>712</v>
      </c>
      <c r="O15" s="276">
        <v>0</v>
      </c>
      <c r="P15" s="276">
        <v>0</v>
      </c>
      <c r="Q15" s="276">
        <v>0</v>
      </c>
    </row>
    <row r="16" spans="2:17" x14ac:dyDescent="0.25">
      <c r="B16" s="275" t="s">
        <v>713</v>
      </c>
      <c r="C16" s="278">
        <v>-18986194.039999999</v>
      </c>
      <c r="D16" s="278">
        <v>637385</v>
      </c>
      <c r="E16" s="278">
        <v>-19623579.039999999</v>
      </c>
      <c r="F16" s="279">
        <v>-3078.7638999999999</v>
      </c>
      <c r="G16" s="278">
        <v>-49490067.270000003</v>
      </c>
      <c r="H16" s="278">
        <v>30503873.23</v>
      </c>
      <c r="I16" s="279">
        <v>-61.636400000000002</v>
      </c>
      <c r="J16" s="277">
        <v>0</v>
      </c>
      <c r="K16" s="277">
        <v>0</v>
      </c>
      <c r="L16" s="277">
        <v>0</v>
      </c>
      <c r="M16" s="277">
        <v>0</v>
      </c>
      <c r="N16" s="275" t="s">
        <v>713</v>
      </c>
      <c r="O16" s="277">
        <v>0</v>
      </c>
      <c r="P16" s="280">
        <v>0</v>
      </c>
      <c r="Q16" s="276">
        <v>0</v>
      </c>
    </row>
    <row r="17" spans="2:17" x14ac:dyDescent="0.25">
      <c r="B17" s="275" t="s">
        <v>714</v>
      </c>
      <c r="C17" s="278">
        <v>38493631.270000003</v>
      </c>
      <c r="D17" s="278">
        <v>99648986</v>
      </c>
      <c r="E17" s="278">
        <v>-61155354.729999997</v>
      </c>
      <c r="F17" s="279">
        <v>-61.370800000000003</v>
      </c>
      <c r="G17" s="278">
        <v>24833246.289999999</v>
      </c>
      <c r="H17" s="278">
        <v>13660384.98</v>
      </c>
      <c r="I17" s="279">
        <v>55.008499999999998</v>
      </c>
      <c r="J17" s="276">
        <v>0</v>
      </c>
      <c r="K17" s="276">
        <v>0</v>
      </c>
      <c r="L17" s="276">
        <v>0</v>
      </c>
      <c r="M17" s="276">
        <v>0</v>
      </c>
      <c r="N17" s="275" t="s">
        <v>714</v>
      </c>
      <c r="O17" s="276">
        <v>0</v>
      </c>
      <c r="P17" s="276">
        <v>0</v>
      </c>
      <c r="Q17" s="276">
        <v>0</v>
      </c>
    </row>
    <row r="18" spans="2:17" x14ac:dyDescent="0.25">
      <c r="B18" s="281" t="s">
        <v>715</v>
      </c>
      <c r="C18" s="282">
        <v>89631952.079999998</v>
      </c>
      <c r="D18" s="282">
        <v>171874192</v>
      </c>
      <c r="E18" s="282">
        <v>-82242239.920000002</v>
      </c>
      <c r="F18" s="283">
        <v>-47.850299999999997</v>
      </c>
      <c r="G18" s="282">
        <v>111041235.02</v>
      </c>
      <c r="H18" s="282">
        <v>-21409282.940000001</v>
      </c>
      <c r="I18" s="283">
        <v>-19.2805</v>
      </c>
      <c r="J18" s="286">
        <v>0</v>
      </c>
      <c r="K18" s="286">
        <v>0</v>
      </c>
      <c r="L18" s="286">
        <v>0</v>
      </c>
      <c r="M18" s="286">
        <v>0</v>
      </c>
      <c r="N18" s="281" t="s">
        <v>715</v>
      </c>
      <c r="O18" s="286">
        <v>0</v>
      </c>
      <c r="P18" s="286">
        <v>0</v>
      </c>
      <c r="Q18" s="286">
        <v>0</v>
      </c>
    </row>
    <row r="19" spans="2:17" x14ac:dyDescent="0.25">
      <c r="B19" s="287" t="s">
        <v>716</v>
      </c>
      <c r="C19" s="288">
        <v>3345867119.4400001</v>
      </c>
      <c r="D19" s="288">
        <v>3010703145</v>
      </c>
      <c r="E19" s="288">
        <v>335163974.44</v>
      </c>
      <c r="F19" s="289">
        <v>11.132400000000001</v>
      </c>
      <c r="G19" s="288">
        <v>2961457387.2800002</v>
      </c>
      <c r="H19" s="288">
        <v>384409732.16000003</v>
      </c>
      <c r="I19" s="289">
        <v>12.980399999999999</v>
      </c>
      <c r="J19" s="290">
        <v>0</v>
      </c>
      <c r="K19" s="290">
        <v>0</v>
      </c>
      <c r="L19" s="290">
        <v>0</v>
      </c>
      <c r="M19" s="290">
        <v>0</v>
      </c>
      <c r="N19" s="287" t="s">
        <v>716</v>
      </c>
      <c r="O19" s="290">
        <v>0</v>
      </c>
      <c r="P19" s="290">
        <v>0</v>
      </c>
      <c r="Q19" s="290">
        <v>0</v>
      </c>
    </row>
    <row r="20" spans="2:17" x14ac:dyDescent="0.25">
      <c r="B20" s="275" t="s">
        <v>717</v>
      </c>
      <c r="C20" s="278">
        <v>-899359.32</v>
      </c>
      <c r="D20" s="278">
        <v>0</v>
      </c>
      <c r="E20" s="276">
        <v>0</v>
      </c>
      <c r="F20" s="276">
        <v>0</v>
      </c>
      <c r="G20" s="278">
        <v>0</v>
      </c>
      <c r="H20" s="276">
        <v>0</v>
      </c>
      <c r="I20" s="276">
        <v>0</v>
      </c>
      <c r="J20" s="276">
        <v>0</v>
      </c>
      <c r="K20" s="276">
        <v>0</v>
      </c>
      <c r="L20" s="276">
        <v>0</v>
      </c>
      <c r="M20" s="276">
        <v>0</v>
      </c>
      <c r="N20" s="275" t="s">
        <v>717</v>
      </c>
      <c r="O20" s="276">
        <v>0</v>
      </c>
      <c r="P20" s="276">
        <v>0</v>
      </c>
      <c r="Q20" s="276">
        <v>0</v>
      </c>
    </row>
    <row r="21" spans="2:17" x14ac:dyDescent="0.25">
      <c r="B21" s="275" t="s">
        <v>718</v>
      </c>
      <c r="C21" s="278">
        <v>104381133.47</v>
      </c>
      <c r="D21" s="278">
        <v>109511669</v>
      </c>
      <c r="E21" s="276">
        <v>0</v>
      </c>
      <c r="F21" s="276">
        <v>0</v>
      </c>
      <c r="G21" s="278">
        <v>97868168.989999995</v>
      </c>
      <c r="H21" s="276">
        <v>0</v>
      </c>
      <c r="I21" s="276">
        <v>0</v>
      </c>
      <c r="J21" s="276">
        <v>0</v>
      </c>
      <c r="K21" s="276">
        <v>0</v>
      </c>
      <c r="L21" s="276">
        <v>0</v>
      </c>
      <c r="M21" s="276">
        <v>0</v>
      </c>
      <c r="N21" s="275" t="s">
        <v>718</v>
      </c>
      <c r="O21" s="276">
        <v>0</v>
      </c>
      <c r="P21" s="276">
        <v>0</v>
      </c>
      <c r="Q21" s="276">
        <v>6512964.4800000004</v>
      </c>
    </row>
    <row r="22" spans="2:17" x14ac:dyDescent="0.25">
      <c r="B22" s="275" t="s">
        <v>719</v>
      </c>
      <c r="C22" s="278">
        <v>-81204605.430000007</v>
      </c>
      <c r="D22" s="278">
        <v>71359403</v>
      </c>
      <c r="E22" s="276">
        <v>0</v>
      </c>
      <c r="F22" s="276">
        <v>0</v>
      </c>
      <c r="G22" s="278">
        <v>-81709083.799999997</v>
      </c>
      <c r="H22" s="276">
        <v>0</v>
      </c>
      <c r="I22" s="276">
        <v>0</v>
      </c>
      <c r="J22" s="276">
        <v>0</v>
      </c>
      <c r="K22" s="276">
        <v>0</v>
      </c>
      <c r="L22" s="276">
        <v>0</v>
      </c>
      <c r="M22" s="276">
        <v>0</v>
      </c>
      <c r="N22" s="275" t="s">
        <v>719</v>
      </c>
      <c r="O22" s="276">
        <v>0</v>
      </c>
      <c r="P22" s="276">
        <v>0</v>
      </c>
      <c r="Q22" s="276">
        <v>504478.37</v>
      </c>
    </row>
    <row r="23" spans="2:17" x14ac:dyDescent="0.25">
      <c r="B23" s="275" t="s">
        <v>720</v>
      </c>
      <c r="C23" s="278">
        <v>103031288.93000001</v>
      </c>
      <c r="D23" s="278">
        <v>110484826</v>
      </c>
      <c r="E23" s="276">
        <v>0</v>
      </c>
      <c r="F23" s="276">
        <v>0</v>
      </c>
      <c r="G23" s="278">
        <v>101006212.95999999</v>
      </c>
      <c r="H23" s="276">
        <v>0</v>
      </c>
      <c r="I23" s="276">
        <v>0</v>
      </c>
      <c r="J23" s="276">
        <v>0</v>
      </c>
      <c r="K23" s="276">
        <v>0</v>
      </c>
      <c r="L23" s="276">
        <v>0</v>
      </c>
      <c r="M23" s="276">
        <v>0</v>
      </c>
      <c r="N23" s="275" t="s">
        <v>720</v>
      </c>
      <c r="O23" s="276">
        <v>0</v>
      </c>
      <c r="P23" s="276">
        <v>0</v>
      </c>
      <c r="Q23" s="276">
        <v>2025075.97</v>
      </c>
    </row>
    <row r="24" spans="2:17" x14ac:dyDescent="0.25">
      <c r="B24" s="275" t="s">
        <v>721</v>
      </c>
      <c r="C24" s="278">
        <v>1236484.8999999999</v>
      </c>
      <c r="D24" s="278">
        <v>1864541</v>
      </c>
      <c r="E24" s="276">
        <v>0</v>
      </c>
      <c r="F24" s="276">
        <v>0</v>
      </c>
      <c r="G24" s="278">
        <v>-30080007.370000001</v>
      </c>
      <c r="H24" s="276">
        <v>0</v>
      </c>
      <c r="I24" s="276">
        <v>0</v>
      </c>
      <c r="J24" s="276">
        <v>0</v>
      </c>
      <c r="K24" s="276">
        <v>0</v>
      </c>
      <c r="L24" s="276">
        <v>0</v>
      </c>
      <c r="M24" s="276">
        <v>0</v>
      </c>
      <c r="N24" s="275" t="s">
        <v>721</v>
      </c>
      <c r="O24" s="276">
        <v>0</v>
      </c>
      <c r="P24" s="276">
        <v>0</v>
      </c>
      <c r="Q24" s="276">
        <v>31316492.27</v>
      </c>
    </row>
    <row r="25" spans="2:17" x14ac:dyDescent="0.25">
      <c r="B25" s="275" t="s">
        <v>722</v>
      </c>
      <c r="C25" s="278">
        <v>48157496.340000004</v>
      </c>
      <c r="D25" s="278">
        <v>0</v>
      </c>
      <c r="E25" s="276">
        <v>0</v>
      </c>
      <c r="F25" s="276">
        <v>0</v>
      </c>
      <c r="G25" s="278">
        <v>46623386.640000001</v>
      </c>
      <c r="H25" s="276">
        <v>0</v>
      </c>
      <c r="I25" s="276">
        <v>0</v>
      </c>
      <c r="J25" s="276">
        <v>0</v>
      </c>
      <c r="K25" s="276">
        <v>0</v>
      </c>
      <c r="L25" s="276">
        <v>0</v>
      </c>
      <c r="M25" s="276">
        <v>0</v>
      </c>
      <c r="N25" s="275" t="s">
        <v>722</v>
      </c>
      <c r="O25" s="276">
        <v>0</v>
      </c>
      <c r="P25" s="276">
        <v>0</v>
      </c>
      <c r="Q25" s="276">
        <v>0</v>
      </c>
    </row>
    <row r="26" spans="2:17" x14ac:dyDescent="0.25">
      <c r="B26" s="275" t="s">
        <v>723</v>
      </c>
      <c r="C26" s="278">
        <v>1895831.93</v>
      </c>
      <c r="D26" s="278">
        <v>0</v>
      </c>
      <c r="E26" s="276">
        <v>0</v>
      </c>
      <c r="F26" s="276">
        <v>0</v>
      </c>
      <c r="G26" s="278">
        <v>71468245.489999995</v>
      </c>
      <c r="H26" s="276">
        <v>0</v>
      </c>
      <c r="I26" s="276">
        <v>0</v>
      </c>
      <c r="J26" s="276">
        <v>0</v>
      </c>
      <c r="K26" s="276">
        <v>0</v>
      </c>
      <c r="L26" s="276">
        <v>0</v>
      </c>
      <c r="M26" s="276">
        <v>0</v>
      </c>
      <c r="N26" s="275" t="s">
        <v>723</v>
      </c>
      <c r="O26" s="276">
        <v>0</v>
      </c>
      <c r="P26" s="276">
        <v>0</v>
      </c>
      <c r="Q26" s="276">
        <v>0</v>
      </c>
    </row>
    <row r="27" spans="2:17" x14ac:dyDescent="0.25">
      <c r="B27" s="275" t="s">
        <v>724</v>
      </c>
      <c r="C27" s="278">
        <v>47021030.420000002</v>
      </c>
      <c r="D27" s="278">
        <v>43848340</v>
      </c>
      <c r="E27" s="276">
        <v>0</v>
      </c>
      <c r="F27" s="276">
        <v>0</v>
      </c>
      <c r="G27" s="278">
        <v>35506636.869999997</v>
      </c>
      <c r="H27" s="276">
        <v>0</v>
      </c>
      <c r="I27" s="276">
        <v>0</v>
      </c>
      <c r="J27" s="276">
        <v>0</v>
      </c>
      <c r="K27" s="276">
        <v>0</v>
      </c>
      <c r="L27" s="276">
        <v>0</v>
      </c>
      <c r="M27" s="276">
        <v>0</v>
      </c>
      <c r="N27" s="275" t="s">
        <v>724</v>
      </c>
      <c r="O27" s="276">
        <v>0</v>
      </c>
      <c r="P27" s="276">
        <v>0</v>
      </c>
      <c r="Q27" s="276">
        <v>11514393.550000001</v>
      </c>
    </row>
    <row r="28" spans="2:17" x14ac:dyDescent="0.25">
      <c r="B28" s="275" t="s">
        <v>725</v>
      </c>
      <c r="C28" s="278">
        <v>3203741.37</v>
      </c>
      <c r="D28" s="278">
        <v>0</v>
      </c>
      <c r="E28" s="276">
        <v>0</v>
      </c>
      <c r="F28" s="276">
        <v>0</v>
      </c>
      <c r="G28" s="278">
        <v>0</v>
      </c>
      <c r="H28" s="276">
        <v>0</v>
      </c>
      <c r="I28" s="276">
        <v>0</v>
      </c>
      <c r="J28" s="276">
        <v>0</v>
      </c>
      <c r="K28" s="276">
        <v>0</v>
      </c>
      <c r="L28" s="276">
        <v>0</v>
      </c>
      <c r="M28" s="276">
        <v>0</v>
      </c>
      <c r="N28" s="275" t="s">
        <v>725</v>
      </c>
      <c r="O28" s="276">
        <v>0</v>
      </c>
      <c r="P28" s="276">
        <v>0</v>
      </c>
      <c r="Q28" s="276">
        <v>0</v>
      </c>
    </row>
    <row r="29" spans="2:17" x14ac:dyDescent="0.25">
      <c r="B29" s="275" t="s">
        <v>726</v>
      </c>
      <c r="C29" s="278">
        <v>0</v>
      </c>
      <c r="D29" s="278">
        <v>0</v>
      </c>
      <c r="E29" s="276">
        <v>0</v>
      </c>
      <c r="F29" s="276">
        <v>0</v>
      </c>
      <c r="G29" s="278">
        <v>0</v>
      </c>
      <c r="H29" s="276">
        <v>0</v>
      </c>
      <c r="I29" s="276">
        <v>0</v>
      </c>
      <c r="J29" s="276">
        <v>0</v>
      </c>
      <c r="K29" s="276">
        <v>0</v>
      </c>
      <c r="L29" s="276">
        <v>0</v>
      </c>
      <c r="M29" s="276">
        <v>0</v>
      </c>
      <c r="N29" s="275" t="s">
        <v>726</v>
      </c>
      <c r="O29" s="276">
        <v>0</v>
      </c>
      <c r="P29" s="276">
        <v>0</v>
      </c>
      <c r="Q29" s="276">
        <v>0</v>
      </c>
    </row>
    <row r="30" spans="2:17" x14ac:dyDescent="0.25">
      <c r="B30" s="275" t="s">
        <v>727</v>
      </c>
      <c r="C30" s="278">
        <v>2685.08</v>
      </c>
      <c r="D30" s="278">
        <v>-307889</v>
      </c>
      <c r="E30" s="276">
        <v>0</v>
      </c>
      <c r="F30" s="276">
        <v>0</v>
      </c>
      <c r="G30" s="278">
        <v>-450680.44</v>
      </c>
      <c r="H30" s="276">
        <v>0</v>
      </c>
      <c r="I30" s="276">
        <v>0</v>
      </c>
      <c r="J30" s="276">
        <v>0</v>
      </c>
      <c r="K30" s="276">
        <v>0</v>
      </c>
      <c r="L30" s="276">
        <v>0</v>
      </c>
      <c r="M30" s="276">
        <v>0</v>
      </c>
      <c r="N30" s="275" t="s">
        <v>727</v>
      </c>
      <c r="O30" s="276">
        <v>0</v>
      </c>
      <c r="P30" s="276">
        <v>0</v>
      </c>
      <c r="Q30" s="276">
        <v>453365.52</v>
      </c>
    </row>
    <row r="31" spans="2:17" x14ac:dyDescent="0.25">
      <c r="B31" s="275" t="s">
        <v>728</v>
      </c>
      <c r="C31" s="278">
        <v>-35465646.399999999</v>
      </c>
      <c r="D31" s="278">
        <v>0</v>
      </c>
      <c r="E31" s="276">
        <v>0</v>
      </c>
      <c r="F31" s="276">
        <v>0</v>
      </c>
      <c r="G31" s="278">
        <v>-28508035.280000001</v>
      </c>
      <c r="H31" s="276">
        <v>0</v>
      </c>
      <c r="I31" s="276">
        <v>0</v>
      </c>
      <c r="J31" s="276">
        <v>0</v>
      </c>
      <c r="K31" s="276">
        <v>0</v>
      </c>
      <c r="L31" s="276">
        <v>0</v>
      </c>
      <c r="M31" s="276">
        <v>0</v>
      </c>
      <c r="N31" s="275" t="s">
        <v>728</v>
      </c>
      <c r="O31" s="276">
        <v>0</v>
      </c>
      <c r="P31" s="276">
        <v>0</v>
      </c>
      <c r="Q31" s="276">
        <v>0</v>
      </c>
    </row>
    <row r="32" spans="2:17" x14ac:dyDescent="0.25">
      <c r="B32" s="275" t="s">
        <v>729</v>
      </c>
      <c r="C32" s="278">
        <v>33739508.754000001</v>
      </c>
      <c r="D32" s="278">
        <v>0</v>
      </c>
      <c r="E32" s="276">
        <v>0</v>
      </c>
      <c r="F32" s="276">
        <v>0</v>
      </c>
      <c r="G32" s="278">
        <v>32517564.27</v>
      </c>
      <c r="H32" s="276">
        <v>0</v>
      </c>
      <c r="I32" s="276">
        <v>0</v>
      </c>
      <c r="J32" s="276">
        <v>0</v>
      </c>
      <c r="K32" s="276">
        <v>0</v>
      </c>
      <c r="L32" s="276">
        <v>0</v>
      </c>
      <c r="M32" s="276">
        <v>0</v>
      </c>
      <c r="N32" s="275" t="s">
        <v>729</v>
      </c>
      <c r="O32" s="276">
        <v>0</v>
      </c>
      <c r="P32" s="276">
        <v>0</v>
      </c>
      <c r="Q32" s="276">
        <v>0</v>
      </c>
    </row>
    <row r="33" spans="2:17" x14ac:dyDescent="0.25">
      <c r="B33" s="275" t="s">
        <v>730</v>
      </c>
      <c r="C33" s="278">
        <v>-1418501.3829999999</v>
      </c>
      <c r="D33" s="278">
        <v>0</v>
      </c>
      <c r="E33" s="276">
        <v>0</v>
      </c>
      <c r="F33" s="276">
        <v>0</v>
      </c>
      <c r="G33" s="278">
        <v>-207000.18</v>
      </c>
      <c r="H33" s="276">
        <v>0</v>
      </c>
      <c r="I33" s="276">
        <v>0</v>
      </c>
      <c r="J33" s="276">
        <v>0</v>
      </c>
      <c r="K33" s="276">
        <v>0</v>
      </c>
      <c r="L33" s="276">
        <v>0</v>
      </c>
      <c r="M33" s="276">
        <v>0</v>
      </c>
      <c r="N33" s="275" t="s">
        <v>730</v>
      </c>
      <c r="O33" s="276">
        <v>0</v>
      </c>
      <c r="P33" s="276">
        <v>0</v>
      </c>
      <c r="Q33" s="276">
        <v>0</v>
      </c>
    </row>
    <row r="34" spans="2:17" x14ac:dyDescent="0.25">
      <c r="B34" s="275" t="s">
        <v>731</v>
      </c>
      <c r="C34" s="278">
        <v>49536671.710000001</v>
      </c>
      <c r="D34" s="278">
        <v>50818130</v>
      </c>
      <c r="E34" s="276">
        <v>0</v>
      </c>
      <c r="F34" s="276">
        <v>0</v>
      </c>
      <c r="G34" s="278">
        <v>56084345.590000004</v>
      </c>
      <c r="H34" s="276">
        <v>0</v>
      </c>
      <c r="I34" s="276">
        <v>0</v>
      </c>
      <c r="J34" s="276">
        <v>0</v>
      </c>
      <c r="K34" s="276">
        <v>0</v>
      </c>
      <c r="L34" s="276">
        <v>0</v>
      </c>
      <c r="M34" s="276">
        <v>0</v>
      </c>
      <c r="N34" s="275" t="s">
        <v>731</v>
      </c>
      <c r="O34" s="276">
        <v>0</v>
      </c>
      <c r="P34" s="276">
        <v>0</v>
      </c>
      <c r="Q34" s="276">
        <v>0</v>
      </c>
    </row>
    <row r="35" spans="2:17" x14ac:dyDescent="0.25">
      <c r="B35" s="275" t="s">
        <v>732</v>
      </c>
      <c r="C35" s="278">
        <v>35102690.109999999</v>
      </c>
      <c r="D35" s="278">
        <v>0</v>
      </c>
      <c r="E35" s="276">
        <v>0</v>
      </c>
      <c r="F35" s="276">
        <v>0</v>
      </c>
      <c r="G35" s="278">
        <v>0</v>
      </c>
      <c r="H35" s="276">
        <v>0</v>
      </c>
      <c r="I35" s="276">
        <v>0</v>
      </c>
      <c r="J35" s="276">
        <v>0</v>
      </c>
      <c r="K35" s="276">
        <v>0</v>
      </c>
      <c r="L35" s="276">
        <v>0</v>
      </c>
      <c r="M35" s="276">
        <v>0</v>
      </c>
      <c r="N35" s="275" t="s">
        <v>732</v>
      </c>
      <c r="O35" s="276">
        <v>0</v>
      </c>
      <c r="P35" s="276">
        <v>0</v>
      </c>
      <c r="Q35" s="276">
        <v>0</v>
      </c>
    </row>
    <row r="36" spans="2:17" x14ac:dyDescent="0.25">
      <c r="B36" s="275" t="s">
        <v>733</v>
      </c>
      <c r="C36" s="278">
        <v>7997053.0199999996</v>
      </c>
      <c r="D36" s="278">
        <v>0</v>
      </c>
      <c r="E36" s="276">
        <v>0</v>
      </c>
      <c r="F36" s="276">
        <v>0</v>
      </c>
      <c r="G36" s="278">
        <v>0</v>
      </c>
      <c r="H36" s="276">
        <v>0</v>
      </c>
      <c r="I36" s="276">
        <v>0</v>
      </c>
      <c r="J36" s="276">
        <v>0</v>
      </c>
      <c r="K36" s="276">
        <v>0</v>
      </c>
      <c r="L36" s="276">
        <v>0</v>
      </c>
      <c r="M36" s="276">
        <v>0</v>
      </c>
      <c r="N36" s="275" t="s">
        <v>733</v>
      </c>
      <c r="O36" s="276">
        <v>0</v>
      </c>
      <c r="P36" s="276">
        <v>0</v>
      </c>
      <c r="Q36" s="276">
        <v>0</v>
      </c>
    </row>
    <row r="37" spans="2:17" x14ac:dyDescent="0.25">
      <c r="B37" s="275" t="s">
        <v>734</v>
      </c>
      <c r="C37" s="278">
        <v>54167412.390000001</v>
      </c>
      <c r="D37" s="278">
        <v>0</v>
      </c>
      <c r="E37" s="276">
        <v>0</v>
      </c>
      <c r="F37" s="276">
        <v>0</v>
      </c>
      <c r="G37" s="278">
        <v>0</v>
      </c>
      <c r="H37" s="276">
        <v>0</v>
      </c>
      <c r="I37" s="276">
        <v>0</v>
      </c>
      <c r="J37" s="276">
        <v>0</v>
      </c>
      <c r="K37" s="276">
        <v>0</v>
      </c>
      <c r="L37" s="276">
        <v>0</v>
      </c>
      <c r="M37" s="276">
        <v>0</v>
      </c>
      <c r="N37" s="275" t="s">
        <v>734</v>
      </c>
      <c r="O37" s="276">
        <v>0</v>
      </c>
      <c r="P37" s="276">
        <v>0</v>
      </c>
      <c r="Q37" s="276">
        <v>0</v>
      </c>
    </row>
    <row r="38" spans="2:17" x14ac:dyDescent="0.25">
      <c r="B38" s="275" t="s">
        <v>735</v>
      </c>
      <c r="C38" s="278">
        <v>191219075.65000001</v>
      </c>
      <c r="D38" s="278">
        <v>0</v>
      </c>
      <c r="E38" s="276">
        <v>0</v>
      </c>
      <c r="F38" s="276">
        <v>0</v>
      </c>
      <c r="G38" s="278">
        <v>0</v>
      </c>
      <c r="H38" s="276">
        <v>0</v>
      </c>
      <c r="I38" s="276">
        <v>0</v>
      </c>
      <c r="J38" s="276">
        <v>0</v>
      </c>
      <c r="K38" s="276">
        <v>0</v>
      </c>
      <c r="L38" s="276">
        <v>0</v>
      </c>
      <c r="M38" s="276">
        <v>0</v>
      </c>
      <c r="N38" s="275" t="s">
        <v>735</v>
      </c>
      <c r="O38" s="276">
        <v>0</v>
      </c>
      <c r="P38" s="276">
        <v>0</v>
      </c>
      <c r="Q38" s="276">
        <v>0</v>
      </c>
    </row>
    <row r="39" spans="2:17" x14ac:dyDescent="0.25">
      <c r="B39" s="275" t="s">
        <v>736</v>
      </c>
      <c r="C39" s="278">
        <v>86370162.939999998</v>
      </c>
      <c r="D39" s="278">
        <v>0</v>
      </c>
      <c r="E39" s="276">
        <v>0</v>
      </c>
      <c r="F39" s="276">
        <v>0</v>
      </c>
      <c r="G39" s="278">
        <v>0</v>
      </c>
      <c r="H39" s="276">
        <v>0</v>
      </c>
      <c r="I39" s="276">
        <v>0</v>
      </c>
      <c r="J39" s="276">
        <v>0</v>
      </c>
      <c r="K39" s="276">
        <v>0</v>
      </c>
      <c r="L39" s="276">
        <v>0</v>
      </c>
      <c r="M39" s="276">
        <v>0</v>
      </c>
      <c r="N39" s="275" t="s">
        <v>736</v>
      </c>
      <c r="O39" s="276">
        <v>0</v>
      </c>
      <c r="P39" s="276">
        <v>0</v>
      </c>
      <c r="Q39" s="276">
        <v>0</v>
      </c>
    </row>
    <row r="40" spans="2:17" x14ac:dyDescent="0.25">
      <c r="B40" s="486" t="s">
        <v>737</v>
      </c>
      <c r="C40" s="487">
        <v>5031042.12</v>
      </c>
      <c r="D40" s="278">
        <v>0</v>
      </c>
      <c r="E40" s="276">
        <v>0</v>
      </c>
      <c r="F40" s="276">
        <v>0</v>
      </c>
      <c r="G40" s="278">
        <v>0</v>
      </c>
      <c r="H40" s="276">
        <v>0</v>
      </c>
      <c r="I40" s="276">
        <v>0</v>
      </c>
      <c r="J40" s="276">
        <v>0</v>
      </c>
      <c r="K40" s="276">
        <v>0</v>
      </c>
      <c r="L40" s="276">
        <v>0</v>
      </c>
      <c r="M40" s="276">
        <v>0</v>
      </c>
      <c r="N40" s="275" t="s">
        <v>737</v>
      </c>
      <c r="O40" s="276">
        <v>0</v>
      </c>
      <c r="P40" s="276">
        <v>0</v>
      </c>
      <c r="Q40" s="276">
        <v>0</v>
      </c>
    </row>
    <row r="41" spans="2:17" x14ac:dyDescent="0.25">
      <c r="B41" s="275" t="s">
        <v>738</v>
      </c>
      <c r="C41" s="278">
        <v>-101886.1</v>
      </c>
      <c r="D41" s="278">
        <v>0</v>
      </c>
      <c r="E41" s="276">
        <v>0</v>
      </c>
      <c r="F41" s="276">
        <v>0</v>
      </c>
      <c r="G41" s="278">
        <v>0</v>
      </c>
      <c r="H41" s="276">
        <v>0</v>
      </c>
      <c r="I41" s="276">
        <v>0</v>
      </c>
      <c r="J41" s="276">
        <v>0</v>
      </c>
      <c r="K41" s="276">
        <v>0</v>
      </c>
      <c r="L41" s="276">
        <v>0</v>
      </c>
      <c r="M41" s="276">
        <v>0</v>
      </c>
      <c r="N41" s="275" t="s">
        <v>738</v>
      </c>
      <c r="O41" s="276">
        <v>0</v>
      </c>
      <c r="P41" s="276">
        <v>0</v>
      </c>
      <c r="Q41" s="276">
        <v>0</v>
      </c>
    </row>
    <row r="42" spans="2:17" x14ac:dyDescent="0.25">
      <c r="B42" s="275" t="s">
        <v>739</v>
      </c>
      <c r="C42" s="278">
        <v>-11909056.32</v>
      </c>
      <c r="D42" s="278">
        <v>0</v>
      </c>
      <c r="E42" s="276">
        <v>0</v>
      </c>
      <c r="F42" s="276">
        <v>0</v>
      </c>
      <c r="G42" s="278">
        <v>-16827486.010000002</v>
      </c>
      <c r="H42" s="276">
        <v>0</v>
      </c>
      <c r="I42" s="276">
        <v>0</v>
      </c>
      <c r="J42" s="276">
        <v>0</v>
      </c>
      <c r="K42" s="276">
        <v>0</v>
      </c>
      <c r="L42" s="276">
        <v>0</v>
      </c>
      <c r="M42" s="276">
        <v>0</v>
      </c>
      <c r="N42" s="275" t="s">
        <v>739</v>
      </c>
      <c r="O42" s="276">
        <v>0</v>
      </c>
      <c r="P42" s="276">
        <v>0</v>
      </c>
      <c r="Q42" s="276">
        <v>0</v>
      </c>
    </row>
    <row r="43" spans="2:17" x14ac:dyDescent="0.25">
      <c r="B43" s="275" t="s">
        <v>740</v>
      </c>
      <c r="C43" s="278">
        <v>-17624786.670000002</v>
      </c>
      <c r="D43" s="278">
        <v>0</v>
      </c>
      <c r="E43" s="276">
        <v>0</v>
      </c>
      <c r="F43" s="276">
        <v>0</v>
      </c>
      <c r="G43" s="278">
        <v>16498521.439999999</v>
      </c>
      <c r="H43" s="276">
        <v>0</v>
      </c>
      <c r="I43" s="276">
        <v>0</v>
      </c>
      <c r="J43" s="276">
        <v>0</v>
      </c>
      <c r="K43" s="276">
        <v>0</v>
      </c>
      <c r="L43" s="276">
        <v>0</v>
      </c>
      <c r="M43" s="276">
        <v>0</v>
      </c>
      <c r="N43" s="275" t="s">
        <v>740</v>
      </c>
      <c r="O43" s="276">
        <v>0</v>
      </c>
      <c r="P43" s="276">
        <v>0</v>
      </c>
      <c r="Q43" s="276">
        <v>0</v>
      </c>
    </row>
    <row r="45" spans="2:17" x14ac:dyDescent="0.25">
      <c r="B45" s="275" t="s">
        <v>741</v>
      </c>
      <c r="C45" s="276">
        <v>0</v>
      </c>
      <c r="D45" s="276">
        <v>0</v>
      </c>
      <c r="E45" s="276">
        <v>0</v>
      </c>
      <c r="F45" s="276">
        <v>0</v>
      </c>
      <c r="G45" s="276">
        <v>0</v>
      </c>
      <c r="H45" s="276">
        <v>0</v>
      </c>
      <c r="I45" s="276">
        <v>0</v>
      </c>
      <c r="J45" s="276">
        <v>0</v>
      </c>
      <c r="K45" s="276">
        <v>0</v>
      </c>
      <c r="L45" s="276">
        <v>0</v>
      </c>
    </row>
    <row r="46" spans="2:17" x14ac:dyDescent="0.25">
      <c r="B46" s="275" t="s">
        <v>701</v>
      </c>
      <c r="C46" s="276">
        <v>11387970376.433001</v>
      </c>
      <c r="D46" s="276">
        <v>10788032160</v>
      </c>
      <c r="E46" s="276">
        <v>599938216.43299997</v>
      </c>
      <c r="F46" s="279">
        <v>5.5610999999999997</v>
      </c>
      <c r="G46" s="276">
        <v>11753057385.48</v>
      </c>
      <c r="H46" s="276">
        <v>-365087009.04699999</v>
      </c>
      <c r="I46" s="279">
        <v>-3.1063000000000001</v>
      </c>
      <c r="J46" s="276">
        <v>0</v>
      </c>
      <c r="K46" s="276">
        <v>0</v>
      </c>
      <c r="L46" s="276">
        <v>0</v>
      </c>
    </row>
    <row r="47" spans="2:17" x14ac:dyDescent="0.25">
      <c r="B47" s="275" t="s">
        <v>702</v>
      </c>
      <c r="C47" s="276">
        <v>8637063236.0030003</v>
      </c>
      <c r="D47" s="276">
        <v>8444982003</v>
      </c>
      <c r="E47" s="276">
        <v>192081233.00299999</v>
      </c>
      <c r="F47" s="279">
        <v>2.2745000000000002</v>
      </c>
      <c r="G47" s="276">
        <v>8677177760.7199993</v>
      </c>
      <c r="H47" s="276">
        <v>-40114524.717</v>
      </c>
      <c r="I47" s="279">
        <v>-0.46229999999999999</v>
      </c>
      <c r="J47" s="276">
        <v>0</v>
      </c>
      <c r="K47" s="276">
        <v>0</v>
      </c>
      <c r="L47" s="276">
        <v>0</v>
      </c>
    </row>
    <row r="48" spans="2:17" x14ac:dyDescent="0.25">
      <c r="B48" s="275" t="s">
        <v>703</v>
      </c>
      <c r="C48" s="276">
        <v>1070932601.304</v>
      </c>
      <c r="D48" s="276">
        <v>1021668418</v>
      </c>
      <c r="E48" s="276">
        <v>49264183.303999998</v>
      </c>
      <c r="F48" s="279">
        <v>4.8219000000000003</v>
      </c>
      <c r="G48" s="276">
        <v>1113909344.2</v>
      </c>
      <c r="H48" s="276">
        <v>-42976742.895999998</v>
      </c>
      <c r="I48" s="279">
        <v>-3.8582000000000001</v>
      </c>
      <c r="J48" s="276">
        <v>0</v>
      </c>
      <c r="K48" s="276">
        <v>0</v>
      </c>
      <c r="L48" s="276">
        <v>0</v>
      </c>
    </row>
    <row r="49" spans="2:12" x14ac:dyDescent="0.25">
      <c r="B49" s="275" t="s">
        <v>704</v>
      </c>
      <c r="C49" s="276">
        <v>69795756.467999995</v>
      </c>
      <c r="D49" s="276">
        <v>65194486</v>
      </c>
      <c r="E49" s="276">
        <v>4601270.4680000003</v>
      </c>
      <c r="F49" s="279">
        <v>7.0578000000000003</v>
      </c>
      <c r="G49" s="276">
        <v>69270665.989999995</v>
      </c>
      <c r="H49" s="276">
        <v>525090.478</v>
      </c>
      <c r="I49" s="279">
        <v>0.75800000000000001</v>
      </c>
      <c r="J49" s="276">
        <v>0</v>
      </c>
      <c r="K49" s="276">
        <v>0</v>
      </c>
      <c r="L49" s="276">
        <v>0</v>
      </c>
    </row>
    <row r="50" spans="2:12" x14ac:dyDescent="0.25">
      <c r="B50" s="275" t="s">
        <v>705</v>
      </c>
      <c r="C50" s="276">
        <v>6699400</v>
      </c>
      <c r="D50" s="276">
        <v>7089449</v>
      </c>
      <c r="E50" s="276">
        <v>-390049</v>
      </c>
      <c r="F50" s="279">
        <v>-5.5018000000000002</v>
      </c>
      <c r="G50" s="276">
        <v>7136120</v>
      </c>
      <c r="H50" s="276">
        <v>-436720</v>
      </c>
      <c r="I50" s="279">
        <v>-6.1199000000000003</v>
      </c>
      <c r="J50" s="276">
        <v>0</v>
      </c>
      <c r="K50" s="276">
        <v>0</v>
      </c>
      <c r="L50" s="276">
        <v>0</v>
      </c>
    </row>
    <row r="51" spans="2:12" x14ac:dyDescent="0.25">
      <c r="B51" s="281" t="s">
        <v>706</v>
      </c>
      <c r="C51" s="286">
        <v>21172461370.208</v>
      </c>
      <c r="D51" s="286">
        <v>20326966516</v>
      </c>
      <c r="E51" s="286">
        <v>845494854.20799994</v>
      </c>
      <c r="F51" s="283">
        <v>4.1595000000000004</v>
      </c>
      <c r="G51" s="286">
        <v>21620551276.389999</v>
      </c>
      <c r="H51" s="286">
        <v>-448089906.18199998</v>
      </c>
      <c r="I51" s="283">
        <v>-2.0724999999999998</v>
      </c>
      <c r="J51" s="286">
        <v>0</v>
      </c>
      <c r="K51" s="286">
        <v>0</v>
      </c>
      <c r="L51" s="286">
        <v>0</v>
      </c>
    </row>
    <row r="52" spans="2:12" x14ac:dyDescent="0.25">
      <c r="B52" s="275" t="s">
        <v>707</v>
      </c>
      <c r="C52" s="276">
        <v>2270474388.178</v>
      </c>
      <c r="D52" s="276">
        <v>2242058254</v>
      </c>
      <c r="E52" s="276">
        <v>28416134.177999999</v>
      </c>
      <c r="F52" s="279">
        <v>1.2674000000000001</v>
      </c>
      <c r="G52" s="276">
        <v>2300711270.3299999</v>
      </c>
      <c r="H52" s="276">
        <v>-30236882.151999999</v>
      </c>
      <c r="I52" s="279">
        <v>-1.3142</v>
      </c>
      <c r="J52" s="276">
        <v>0</v>
      </c>
      <c r="K52" s="276">
        <v>0</v>
      </c>
      <c r="L52" s="276">
        <v>0</v>
      </c>
    </row>
    <row r="53" spans="2:12" x14ac:dyDescent="0.25">
      <c r="B53" s="275" t="s">
        <v>708</v>
      </c>
      <c r="C53" s="276">
        <v>7324598985</v>
      </c>
      <c r="D53" s="276">
        <v>0</v>
      </c>
      <c r="E53" s="276">
        <v>7324598985</v>
      </c>
      <c r="F53" s="279">
        <v>0</v>
      </c>
      <c r="G53" s="276">
        <v>3604038734</v>
      </c>
      <c r="H53" s="276">
        <v>3720560251</v>
      </c>
      <c r="I53" s="279">
        <v>103.23309999999999</v>
      </c>
      <c r="J53" s="276">
        <v>0</v>
      </c>
      <c r="K53" s="276">
        <v>0</v>
      </c>
      <c r="L53" s="276">
        <v>0</v>
      </c>
    </row>
    <row r="54" spans="2:12" x14ac:dyDescent="0.25">
      <c r="B54" s="287" t="s">
        <v>742</v>
      </c>
      <c r="C54" s="290">
        <v>30767534743.386002</v>
      </c>
      <c r="D54" s="290">
        <v>22569024770</v>
      </c>
      <c r="E54" s="290">
        <v>8198509973.3859997</v>
      </c>
      <c r="F54" s="289">
        <v>36.3264</v>
      </c>
      <c r="G54" s="290">
        <v>27525301280.720001</v>
      </c>
      <c r="H54" s="290">
        <v>3242233462.6659999</v>
      </c>
      <c r="I54" s="289">
        <v>11.7791</v>
      </c>
      <c r="J54" s="290">
        <v>0</v>
      </c>
      <c r="K54" s="290">
        <v>0</v>
      </c>
      <c r="L54" s="290">
        <v>0</v>
      </c>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6A53FAD20FDB24790A92C6AF5C0B3F1" ma:contentTypeVersion="16" ma:contentTypeDescription="" ma:contentTypeScope="" ma:versionID="4d8ef10940e0f2470d1a554e439f41b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2024-01-30T08:00:00+00:00</OpenedDate>
    <SignificantOrder xmlns="dc463f71-b30c-4ab2-9473-d307f9d35888">false</SignificantOrder>
    <Date1 xmlns="dc463f71-b30c-4ab2-9473-d307f9d35888">2024-01-30T08:00:00+00:00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240067</DocketNumber>
    <DelegatedOrder xmlns="dc463f71-b30c-4ab2-9473-d307f9d35888">false</DelegatedOrder>
  </documentManagement>
</p:properties>
</file>

<file path=customXml/itemProps1.xml><?xml version="1.0" encoding="utf-8"?>
<ds:datastoreItem xmlns:ds="http://schemas.openxmlformats.org/officeDocument/2006/customXml" ds:itemID="{48F83A0C-F6E0-4F49-8EDB-29C3AE48F38D}"/>
</file>

<file path=customXml/itemProps2.xml><?xml version="1.0" encoding="utf-8"?>
<ds:datastoreItem xmlns:ds="http://schemas.openxmlformats.org/officeDocument/2006/customXml" ds:itemID="{70B9E49D-620F-41C8-B678-0B04426608B9}"/>
</file>

<file path=customXml/itemProps3.xml><?xml version="1.0" encoding="utf-8"?>
<ds:datastoreItem xmlns:ds="http://schemas.openxmlformats.org/officeDocument/2006/customXml" ds:itemID="{E1794EE5-EB6A-4501-8727-850696C3A371}"/>
</file>

<file path=customXml/itemProps4.xml><?xml version="1.0" encoding="utf-8"?>
<ds:datastoreItem xmlns:ds="http://schemas.openxmlformats.org/officeDocument/2006/customXml" ds:itemID="{2A4B7E98-FD6C-49DA-8B0F-758068857F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vt:i4>
      </vt:variant>
    </vt:vector>
  </HeadingPairs>
  <TitlesOfParts>
    <vt:vector size="29" baseType="lpstr">
      <vt:lpstr>Lead Sheet</vt:lpstr>
      <vt:lpstr>Rate Impact and Spread--&gt;</vt:lpstr>
      <vt:lpstr>Rev Req 2024</vt:lpstr>
      <vt:lpstr>WorkPapers--&gt;</vt:lpstr>
      <vt:lpstr>TEP Leadsheet</vt:lpstr>
      <vt:lpstr>IRR</vt:lpstr>
      <vt:lpstr>TEP Plant Closings Mo</vt:lpstr>
      <vt:lpstr>Closings by Depr Group</vt:lpstr>
      <vt:lpstr>AMA Totals By Depr Grp</vt:lpstr>
      <vt:lpstr>E368</vt:lpstr>
      <vt:lpstr>E3711</vt:lpstr>
      <vt:lpstr>E3912</vt:lpstr>
      <vt:lpstr>E303.3</vt:lpstr>
      <vt:lpstr>TEP By Depr Grp</vt:lpstr>
      <vt:lpstr>TEP Opex and Revenues</vt:lpstr>
      <vt:lpstr>MACRS</vt:lpstr>
      <vt:lpstr>Exh. NWA-4</vt:lpstr>
      <vt:lpstr>Approved ROR-CF</vt:lpstr>
      <vt:lpstr>Checks==&gt;</vt:lpstr>
      <vt:lpstr>Load==&gt;</vt:lpstr>
      <vt:lpstr>F22 Load used in UE-230040</vt:lpstr>
      <vt:lpstr>Rate Impacts from UE-230040</vt:lpstr>
      <vt:lpstr>2023 Actuals==&gt;</vt:lpstr>
      <vt:lpstr>TEP_2023</vt:lpstr>
      <vt:lpstr>JE Detail</vt:lpstr>
      <vt:lpstr>SOE</vt:lpstr>
      <vt:lpstr>'Exh. NWA-4'!Print_Area</vt:lpstr>
      <vt:lpstr>'Rate Impacts from UE-230040'!Print_Area</vt:lpstr>
      <vt:lpstr>'Exh. NWA-4'!Print_Titles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pwinne</dc:creator>
  <cp:lastModifiedBy>DiMasso, James</cp:lastModifiedBy>
  <cp:lastPrinted>2019-10-09T21:23:17Z</cp:lastPrinted>
  <dcterms:created xsi:type="dcterms:W3CDTF">2012-08-21T18:32:48Z</dcterms:created>
  <dcterms:modified xsi:type="dcterms:W3CDTF">2024-01-19T00:07:27Z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0x0101006E56B4D1795A2E4DB2F0B01679ED314A0026A53FAD20FDB24790A92C6AF5C0B3F1</vt:lpwstr>
  </property>
  <property fmtid="{D5CDD505-2E9C-101B-9397-08002B2CF9AE}" pid="4" name="_docset_NoMedatataSyncRequired">
    <vt:lpwstr>False</vt:lpwstr>
  </property>
</Properties>
</file>