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7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3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publicservices-my.sharepoint.com/personal/easlema_repsrv_com/Documents/Maria Documents/``Maria Documents/`BU407 docs - Rick Waldren/Cedar Grove disposal increases eff Feb 2024/4197 Lynnwood Disposal/"/>
    </mc:Choice>
  </mc:AlternateContent>
  <xr:revisionPtr revIDLastSave="27" documentId="8_{286AD01B-490E-4232-94AB-EBC74656174D}" xr6:coauthVersionLast="47" xr6:coauthVersionMax="47" xr10:uidLastSave="{B3BE535B-D460-4445-98B0-52056F381691}"/>
  <bookViews>
    <workbookView xWindow="22932" yWindow="-96" windowWidth="23256" windowHeight="12576" activeTab="2" xr2:uid="{B79B8A9A-A4CD-48AE-91ED-9B204D9E8998}"/>
  </bookViews>
  <sheets>
    <sheet name="Tariff Changes" sheetId="16" r:id="rId1"/>
    <sheet name="Price Out Rates" sheetId="7" r:id="rId2"/>
    <sheet name="References" sheetId="4" r:id="rId3"/>
    <sheet name="Disposal Summary (with IC)" sheetId="1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ACT1">[2]Hidden!#REF!</definedName>
    <definedName name="_ACT2">[2]Hidden!#REF!</definedName>
    <definedName name="_ACT3">[2]Hidden!#REF!</definedName>
    <definedName name="_BUN1">'[6]2008 West Group IS'!$AJ$5</definedName>
    <definedName name="_BUN3">'[6]2008 Group Office IS'!$AJ$5</definedName>
    <definedName name="_COS1" localSheetId="3">#REF!</definedName>
    <definedName name="_COS1">#REF!</definedName>
    <definedName name="_COS2" localSheetId="3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Key1" localSheetId="3" hidden="1">#REF!</definedName>
    <definedName name="_Key1" hidden="1">#REF!</definedName>
    <definedName name="_Key2" localSheetId="3" hidden="1">'[7]GL Codes'!$G$3:$G$3</definedName>
    <definedName name="_Key2" hidden="1">'[8]GL Codes'!$G$3:$G$3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Order1" hidden="1">255</definedName>
    <definedName name="_Order2" hidden="1">255</definedName>
    <definedName name="_Order3" hidden="1">0</definedName>
    <definedName name="_PER1">[6]WTB!$DC$8</definedName>
    <definedName name="_PER2">'[6]2008 West Group IS'!$AH$8</definedName>
    <definedName name="_PER3">'[6]2008 West Group IS'!$AI$5</definedName>
    <definedName name="_PER4">'[6]2008 Group Office IS'!$AH$8</definedName>
    <definedName name="_PER5">'[6]2008 Group Office IS'!$AI$5</definedName>
    <definedName name="_Regression_Int">0</definedName>
    <definedName name="_SFD1">'[6]2008 West Group IS'!$AK$5</definedName>
    <definedName name="_SFD3">'[6]2008 Group Office IS'!$AK$5</definedName>
    <definedName name="_SFV1">'[6]2008 West Group IS'!$AK$4</definedName>
    <definedName name="_SFV4">'[6]2008 Group Office IS'!$AK$4</definedName>
    <definedName name="_Sort" localSheetId="3" hidden="1">#REF!</definedName>
    <definedName name="_Sort" hidden="1">#REF!</definedName>
    <definedName name="_Sort1" hidden="1">'[4]#REF'!$A$10:$Z$281</definedName>
    <definedName name="_sort3" hidden="1">[5]XXXXXX!$G$10:$J$11</definedName>
    <definedName name="a">#REF!</definedName>
    <definedName name="aa">#REF!</definedName>
    <definedName name="aaa">#REF!</definedName>
    <definedName name="aaaaa">#REF!</definedName>
    <definedName name="aaaaa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Angie" hidden="1">#REF!</definedName>
    <definedName name="AprSun1" localSheetId="3">DATEVALUE("4/1/"&amp;TheYear)-WEEKDAY(DATEVALUE("4/1/"&amp;TheYear))+1</definedName>
    <definedName name="AprSun1">DATEVALUE("4/1/"&amp;TheYear)-WEEKDAY(DATEVALUE("4/1/"&amp;TheYear))+1</definedName>
    <definedName name="AugSun1" localSheetId="3">DATEVALUE("8/1/"&amp;TheYear)-WEEKDAY(DATEVALUE("8/1/"&amp;TheYear))+1</definedName>
    <definedName name="AugSun1">DATEVALUE("8/1/"&amp;TheYear)-WEEKDAY(DATEVALUE("8/1/"&amp;TheYear))+1</definedName>
    <definedName name="autemplate" localSheetId="3">'[9]AU Mapping TEMPLATE'!$A$1:$B$335</definedName>
    <definedName name="autemplate">'[10]AU Mapping TEMPLATE'!$A$1:$B$335</definedName>
    <definedName name="averaging" localSheetId="3">#REF!</definedName>
    <definedName name="averaging">#REF!</definedName>
    <definedName name="BREMAIR_COST_of_SERVICE_STUDY" localSheetId="3">#REF!</definedName>
    <definedName name="BREMAIR_COST_of_SERVICE_STUDY">#REF!</definedName>
    <definedName name="BUD_CUR" localSheetId="3">[2]Hidden!#REF!</definedName>
    <definedName name="BUD_CUR">[2]Hidden!#REF!</definedName>
    <definedName name="BUD_YTD" localSheetId="3">[2]Hidden!#REF!</definedName>
    <definedName name="BUD_YTD">[2]Hidden!#REF!</definedName>
    <definedName name="BUN">[6]WTB!$DD$5</definedName>
    <definedName name="Calc">[6]WTB!#REF!</definedName>
    <definedName name="Calc0">[6]WTB!#REF!</definedName>
    <definedName name="Calc1">[6]WTB!#REF!</definedName>
    <definedName name="Calc10">[6]WTB!#REF!</definedName>
    <definedName name="Calc11">[6]WTB!#REF!</definedName>
    <definedName name="Calc12">[6]WTB!#REF!</definedName>
    <definedName name="Calc13">[6]WTB!#REF!</definedName>
    <definedName name="Calc14">[6]WTB!#REF!</definedName>
    <definedName name="Calc15">[6]WTB!#REF!</definedName>
    <definedName name="Calc16">[6]WTB!#REF!</definedName>
    <definedName name="Calc17">[6]WTB!#REF!</definedName>
    <definedName name="Calc18">[6]WTB!#REF!</definedName>
    <definedName name="Calc2">[6]WTB!#REF!</definedName>
    <definedName name="Calc3">[6]WTB!#REF!</definedName>
    <definedName name="Calc4">[6]WTB!#REF!</definedName>
    <definedName name="Calc5">[6]WTB!#REF!</definedName>
    <definedName name="Calc6">[6]WTB!#REF!</definedName>
    <definedName name="Calc7">[6]WTB!#REF!</definedName>
    <definedName name="Calc8">[6]WTB!#REF!</definedName>
    <definedName name="Calc9">[6]WTB!#REF!</definedName>
    <definedName name="CanCartTons">[11]CanCartTonsAllocate!$E$3</definedName>
    <definedName name="CheckTotals" localSheetId="3">#REF!</definedName>
    <definedName name="CheckTotals">#REF!</definedName>
    <definedName name="coa" localSheetId="3">'[12]lawson extract'!$D$2:$E$2761</definedName>
    <definedName name="coa">'[13]lawson extract'!$D$2:$E$2761</definedName>
    <definedName name="CoCanTons">[14]Cust_Count1!$M$28</definedName>
    <definedName name="CoComYd">'[14]Gross Yardage Worksheet'!$L$16</definedName>
    <definedName name="CoCustCnt" localSheetId="3">#REF!</definedName>
    <definedName name="CoCustCnt">#REF!</definedName>
    <definedName name="colgroup">[1]Orientation!$G$6</definedName>
    <definedName name="colist" localSheetId="3">'[9]AW Co''s - Mapped only 10-23-08'!$A$2:$L$2107</definedName>
    <definedName name="colist">'[10]AW Co''s - Mapped only 10-23-08'!$A$2:$L$2107</definedName>
    <definedName name="color" localSheetId="3">#REF!</definedName>
    <definedName name="color">#REF!</definedName>
    <definedName name="colsegment">[1]Orientation!$F$6</definedName>
    <definedName name="CommlStaffPriceOut" localSheetId="3">'[15]Price Out-Reg EASTSIDE-Resi'!#REF!</definedName>
    <definedName name="CommlStaffPriceOut">'[15]Price Out-Reg EASTSIDE-Resi'!#REF!</definedName>
    <definedName name="CoMultiYd">'[14]Gross Yardage Worksheet'!$L$31</definedName>
    <definedName name="ContainerTons">[11]ContainerTonsAllocation!$E$2</definedName>
    <definedName name="COST_OF_SERVICE_STUDY" localSheetId="3">#REF!</definedName>
    <definedName name="COST_OF_SERVICE_STUDY">#REF!</definedName>
    <definedName name="CoXtraYds" localSheetId="3">#REF!</definedName>
    <definedName name="CoXtraYds">#REF!</definedName>
    <definedName name="CR" localSheetId="3">#REF!</definedName>
    <definedName name="CR">#REF!</definedName>
    <definedName name="CRCTable">#REF!</definedName>
    <definedName name="CRCTableOLD">#REF!</definedName>
    <definedName name="CriteriaType">[16]ControlPanel!$Z$2:$Z$5</definedName>
    <definedName name="CtyCanTons">[14]Cust_Count1!$N$28</definedName>
    <definedName name="CtyComYd">'[14]Gross Yardage Worksheet'!$L$49</definedName>
    <definedName name="CtyCustCnt" localSheetId="3">#REF!</definedName>
    <definedName name="CtyCustCnt">#REF!</definedName>
    <definedName name="CtyMultiYd">'[14]Gross Yardage Worksheet'!$L$64</definedName>
    <definedName name="CtyXtraYds" localSheetId="3">#REF!</definedName>
    <definedName name="CtyXtraYds">#REF!</definedName>
    <definedName name="CURRENCY">'[6]Balance Sheet'!$AD$8</definedName>
    <definedName name="Cutomers" localSheetId="3">#REF!</definedName>
    <definedName name="Cutomers">#REF!</definedName>
    <definedName name="Database1" localSheetId="3">#REF!</definedName>
    <definedName name="Database1">#REF!</definedName>
    <definedName name="DateFrom">'[17]Finance Charges'!$I$12</definedName>
    <definedName name="DateTo">'[17]Finance Charges'!$I$13</definedName>
    <definedName name="DBxStaffPriceOut" localSheetId="3">'[15]Price Out-Reg EASTSIDE-Resi'!#REF!</definedName>
    <definedName name="DBxStaffPriceOut">'[15]Price Out-Reg EASTSIDE-Resi'!#REF!</definedName>
    <definedName name="debtP" localSheetId="3">#REF!</definedName>
    <definedName name="debtP">#REF!</definedName>
    <definedName name="DecSun1" localSheetId="3">DATEVALUE("12/1/"&amp;TheYear)-WEEKDAY(DATEVALUE("12/1/"&amp;TheYear))+1</definedName>
    <definedName name="DecSun1">DATEVALUE("12/1/"&amp;TheYear)-WEEKDAY(DATEVALUE("12/1/"&amp;TheYear))+1</definedName>
    <definedName name="delete">'[18]Excluded divisions'!$C$2:$C$108</definedName>
    <definedName name="DEPT">[2]Hidden!#REF!</definedName>
    <definedName name="DetailBudYear">#REF!</definedName>
    <definedName name="DetailDistrict">#REF!</definedName>
    <definedName name="DistrictNum">#REF!</definedName>
    <definedName name="Division_Number">#REF!</definedName>
    <definedName name="DivName" localSheetId="3">[19]Start!$G$2</definedName>
    <definedName name="DivName">[20]Start!$G$2</definedName>
    <definedName name="DivNo" localSheetId="3">'[21]Cont Count Data'!#REF!</definedName>
    <definedName name="DivNo">'[22]Cont Count Data'!#REF!</definedName>
    <definedName name="drlFilter">[1]Settings!$D$27</definedName>
    <definedName name="End" localSheetId="3">#REF!</definedName>
    <definedName name="End">#REF!</definedName>
    <definedName name="EntrieShownLimit">'[17]Finance Charges'!$D$6</definedName>
    <definedName name="EXT" localSheetId="3">#REF!</definedName>
    <definedName name="EXT">#REF!</definedName>
    <definedName name="FBTable" localSheetId="3">#REF!</definedName>
    <definedName name="FBTable">#REF!</definedName>
    <definedName name="FBTableOld" localSheetId="3">#REF!</definedName>
    <definedName name="FBTableOld">#REF!</definedName>
    <definedName name="fences">#REF!</definedName>
    <definedName name="FICA">'[23]Tax &amp; Ben'!$H$6</definedName>
    <definedName name="filter">[1]Settings!$B$14:$H$25</definedName>
    <definedName name="Financial">[6]WTB!#REF!</definedName>
    <definedName name="FirstColCriteria">[6]WTB!#REF!</definedName>
    <definedName name="FirstHeaderCriteria">[6]WTB!#REF!</definedName>
    <definedName name="flag">[6]WTB!#REF!</definedName>
    <definedName name="g" localSheetId="3">#REF!</definedName>
    <definedName name="g">#REF!</definedName>
    <definedName name="gg" localSheetId="3">#REF!</definedName>
    <definedName name="gg">#REF!</definedName>
    <definedName name="ggg" localSheetId="3">#REF!</definedName>
    <definedName name="ggg">#REF!</definedName>
    <definedName name="ggggg">#REF!</definedName>
    <definedName name="gggggg">#REF!</definedName>
    <definedName name="GLMappingStart">#REF!</definedName>
    <definedName name="GRETABLE">[24]Gresham!$E$12:$AI$261</definedName>
    <definedName name="Hazardous_Stops" localSheetId="3">#REF!</definedName>
    <definedName name="Hazardous_Stops">#REF!</definedName>
    <definedName name="helpp" localSheetId="3">#REF!,#REF!,#REF!,#REF!</definedName>
    <definedName name="helpp">#REF!,#REF!,#REF!,#REF!</definedName>
    <definedName name="IncomeStmnt">#REF!</definedName>
    <definedName name="infopro" localSheetId="3">#REF!,#REF!,#REF!,#REF!</definedName>
    <definedName name="infopro">#REF!,#REF!,#REF!,#REF!</definedName>
    <definedName name="INPUT" localSheetId="3">#REF!</definedName>
    <definedName name="INPUT">#REF!</definedName>
    <definedName name="INPUT1" localSheetId="3">#REF!</definedName>
    <definedName name="INPUT1">#REF!</definedName>
    <definedName name="INPUTc">#REF!</definedName>
    <definedName name="InsertColRange">[6]WTB!#REF!</definedName>
    <definedName name="Insurance" localSheetId="3">#REF!</definedName>
    <definedName name="Insurance">#REF!</definedName>
    <definedName name="inter2">'[25]LG Nonpublic 2018 V5.0'!$W$55</definedName>
    <definedName name="intercept" localSheetId="3">#REF!</definedName>
    <definedName name="intercep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4C">'[26]5. BDI Gen Ledger Table'!$J$2:$J$4682</definedName>
    <definedName name="IS_Lines">'[26]6. V Lookup Tables'!$B$3:$D$401</definedName>
    <definedName name="JEDate" localSheetId="3">[19]Start!$B$3</definedName>
    <definedName name="JEDate">[20]Start!$B$3</definedName>
    <definedName name="JEDetail" localSheetId="3">#REF!</definedName>
    <definedName name="JEDetail">#REF!</definedName>
    <definedName name="JEInitials" localSheetId="3">[19]Start!$B$7</definedName>
    <definedName name="JEInitials">[20]Start!$B$7</definedName>
    <definedName name="JEType" localSheetId="3">#REF!</definedName>
    <definedName name="JEType">#REF!</definedName>
    <definedName name="JulSun1" localSheetId="3">DATEVALUE("7/1/"&amp;TheYear)-WEEKDAY(DATEVALUE("7/1/"&amp;TheYear))+1</definedName>
    <definedName name="JulSun1">DATEVALUE("7/1/"&amp;TheYear)-WEEKDAY(DATEVALUE("7/1/"&amp;TheYear))+1</definedName>
    <definedName name="Juris1CanCount">[11]Cust_Count1!$C$60</definedName>
    <definedName name="Juris1CanTons">[11]Cust_Count1!$C$30</definedName>
    <definedName name="Juris1ComYd">'[11]Gross Yardage Worksheet'!$L$16</definedName>
    <definedName name="Juris1CustCnt">[11]Cust_Count2!$E$39</definedName>
    <definedName name="Juris1MultiYd">'[11]Gross Yardage Worksheet'!$X$16</definedName>
    <definedName name="Juris1SeasonalYds">'[11]Gross Yardage Worksheet'!$R$18</definedName>
    <definedName name="Juris1XtraYds">[11]Cust_Count2!$E$28</definedName>
    <definedName name="Juris2CanCount">[11]Cust_Count1!$D$60</definedName>
    <definedName name="Juris2CanTons">[11]Cust_Count1!$D$30</definedName>
    <definedName name="Juris2ComYd">'[11]Gross Yardage Worksheet'!$L$33</definedName>
    <definedName name="Juris2CustCnt">[11]Cust_Count2!$F$39</definedName>
    <definedName name="Juris2MultiYd">'[11]Gross Yardage Worksheet'!$X$33</definedName>
    <definedName name="Juris2SeasonalYds">'[11]Gross Yardage Worksheet'!$R$35</definedName>
    <definedName name="Juris2XtraYds">[11]Cust_Count2!$F$28</definedName>
    <definedName name="Juris3CanCount">[11]Cust_Count1!$E$60</definedName>
    <definedName name="Juris3CanTons">[11]Cust_Count1!$E$30</definedName>
    <definedName name="Juris3ComYd">'[11]Gross Yardage Worksheet'!$L$51</definedName>
    <definedName name="Juris3CustCnt">[11]Cust_Count2!$G$39</definedName>
    <definedName name="Juris3MultiYd">'[11]Gross Yardage Worksheet'!$X$51</definedName>
    <definedName name="Juris3SeasonalYds">'[11]Gross Yardage Worksheet'!$R$53</definedName>
    <definedName name="Juris3XtraYds">[11]Cust_Count2!$G$28</definedName>
    <definedName name="Juris4CanCount">[11]Cust_Count1!$F$60</definedName>
    <definedName name="Juris4CanTons">[11]Cust_Count1!$F$30</definedName>
    <definedName name="Juris4ComYd">'[11]Gross Yardage Worksheet'!$L$68</definedName>
    <definedName name="Juris4CustCnt">[11]Cust_Count2!$H$39</definedName>
    <definedName name="Juris4MultiYd">'[11]Gross Yardage Worksheet'!$X$68</definedName>
    <definedName name="Juris4SeasonalYds">'[11]Gross Yardage Worksheet'!$R$70</definedName>
    <definedName name="Juris4XtraYds">[11]Cust_Count2!$H$28</definedName>
    <definedName name="Juris5CanCount">[11]Cust_Count1!$G$60</definedName>
    <definedName name="Juris5CanTons">[11]Cust_Count1!$G$30</definedName>
    <definedName name="Juris5ComYD">'[11]Gross Yardage Worksheet'!$L$85</definedName>
    <definedName name="Juris5CustCnt">[11]Cust_Count2!$I$39</definedName>
    <definedName name="Juris5MultiYd">'[11]Gross Yardage Worksheet'!$X$85</definedName>
    <definedName name="Juris5SeasonalYds">'[11]Gross Yardage Worksheet'!$R$87</definedName>
    <definedName name="Juris5XtraYds">[11]Cust_Count2!$I$28</definedName>
    <definedName name="Jurisdiction_1">'[11]Title Inputs'!$C$5</definedName>
    <definedName name="Jurisdiction_2">'[11]Title Inputs'!$C$6</definedName>
    <definedName name="Jurisdiction_3">'[11]Title Inputs'!$C$7</definedName>
    <definedName name="Jurisdiction_4">'[11]Title Inputs'!$C$8</definedName>
    <definedName name="Jurisdiction_5">'[11]Title Inputs'!$C$9</definedName>
    <definedName name="lblBillAreaStatus" localSheetId="3">#REF!</definedName>
    <definedName name="lblBillAreaStatus">#REF!</definedName>
    <definedName name="lblBillCycleStatus" localSheetId="3">#REF!</definedName>
    <definedName name="lblBillCycleStatus">#REF!</definedName>
    <definedName name="lblCategoryStatus" localSheetId="3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evel">#REF!</definedName>
    <definedName name="lllllllllllllllllllll">#REF!</definedName>
    <definedName name="LU_Line">#REF!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Date">[27]Calcuation!$I$3</definedName>
    <definedName name="MetaSet">[1]Orientation!$C$22</definedName>
    <definedName name="MFStaffPriceOut" localSheetId="3">'[15]Price Out-Reg EASTSIDE-Resi'!#REF!</definedName>
    <definedName name="MFStaffPriceOut">'[15]Price Out-Reg EASTSIDE-Resi'!#REF!</definedName>
    <definedName name="Month" localSheetId="3">#REF!</definedName>
    <definedName name="Month">#REF!</definedName>
    <definedName name="NewOnlyOrg">#N/A</definedName>
    <definedName name="NOTES" localSheetId="3">#REF!</definedName>
    <definedName name="NOTES">#REF!</definedName>
    <definedName name="NovSun1" localSheetId="3">DATEVALUE("11/1/"&amp;TheYear)-WEEKDAY(DATEVALUE("11/1/"&amp;TheYear))+1</definedName>
    <definedName name="NovSun1">DATEVALUE("11/1/"&amp;TheYear)-WEEKDAY(DATEVALUE("11/1/"&amp;TheYear))+1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observations">#REF!</definedName>
    <definedName name="OctSun1" localSheetId="3">DATEVALUE("10/1/"&amp;TheYear)-WEEKDAY(DATEVALUE("10/1/"&amp;TheYear))+1</definedName>
    <definedName name="OctSun1">DATEVALUE("10/1/"&amp;TheYear)-WEEKDAY(DATEVALUE("10/1/"&amp;TheYear))+1</definedName>
    <definedName name="OfficerSalary">#N/A</definedName>
    <definedName name="OffsetAcctBil">[28]JEexport!$L$10</definedName>
    <definedName name="OffsetAcctPmt">[28]JEexport!$L$9</definedName>
    <definedName name="OPRD" localSheetId="3">#REF!</definedName>
    <definedName name="OPRD">#REF!</definedName>
    <definedName name="Org11_13">#N/A</definedName>
    <definedName name="Org7_10">#N/A</definedName>
    <definedName name="OthCanTons">[14]Cust_Count1!$O$28</definedName>
    <definedName name="OthComYd">'[14]Gross Yardage Worksheet'!$L$82</definedName>
    <definedName name="OthCustCnt" localSheetId="3">#REF!</definedName>
    <definedName name="OthCustCnt">#REF!</definedName>
    <definedName name="OthMultiYd">'[14]Gross Yardage Worksheet'!$L$98</definedName>
    <definedName name="OthXtraYds" localSheetId="3">#REF!</definedName>
    <definedName name="OthXtraYds">#REF!</definedName>
    <definedName name="outliercut" localSheetId="3">#REF!</definedName>
    <definedName name="outliercut">#REF!</definedName>
    <definedName name="p" localSheetId="3">#REF!</definedName>
    <definedName name="p">#REF!</definedName>
    <definedName name="Page10">#REF!</definedName>
    <definedName name="Page10a">#REF!</definedName>
    <definedName name="page11">#REF!</definedName>
    <definedName name="page12">#REF!</definedName>
    <definedName name="Page20">#REF!</definedName>
    <definedName name="page7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">[6]WTB!$DC$5</definedName>
    <definedName name="Period" localSheetId="3">#REF!</definedName>
    <definedName name="Period">#REF!</definedName>
    <definedName name="pMonth" localSheetId="3">#REF!</definedName>
    <definedName name="pMonth">#REF!</definedName>
    <definedName name="pOnlyShowLastTranx" localSheetId="3">#REF!</definedName>
    <definedName name="pOnlyShowLastTranx">#REF!</definedName>
    <definedName name="ppemeasurement" localSheetId="3">#REF!</definedName>
    <definedName name="ppemeasurement">#REF!</definedName>
    <definedName name="primtbl">[1]Orientation!$C$23</definedName>
    <definedName name="Print_Area_MI" localSheetId="3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3">'Disposal Summary (with IC)'!$3:$3</definedName>
    <definedName name="Print1" localSheetId="3">#REF!</definedName>
    <definedName name="Print1">#REF!</definedName>
    <definedName name="Print2" localSheetId="3">#REF!</definedName>
    <definedName name="Print2">#REF!</definedName>
    <definedName name="Print5" localSheetId="3">#REF!</definedName>
    <definedName name="Print5">#REF!</definedName>
    <definedName name="ProF">'[26]5. BDI Gen Ledger Table'!$K$2:$K$4682</definedName>
    <definedName name="pServer" localSheetId="3">#REF!</definedName>
    <definedName name="pServer">#REF!</definedName>
    <definedName name="pServiceCode" localSheetId="3">#REF!</definedName>
    <definedName name="pServiceCode">#REF!</definedName>
    <definedName name="pShowAllUnposted" localSheetId="3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ange">#REF!</definedName>
    <definedName name="RCW_81.04.080">#N/A</definedName>
    <definedName name="RecyDisposal">#N/A</definedName>
    <definedName name="RefType" localSheetId="3">[19]Start!$B$5</definedName>
    <definedName name="RefType">[20]Start!$B$5</definedName>
    <definedName name="RelatedSalary">#N/A</definedName>
    <definedName name="report" localSheetId="3">[29]ST97TONS!#REF!</definedName>
    <definedName name="report">[29]ST97TONS!#REF!</definedName>
    <definedName name="report_type">[1]Orientation!$C$24</definedName>
    <definedName name="Reporting_Jurisdiction">'[11]Title Inputs'!$C$4</definedName>
    <definedName name="ReportNames">[30]ControlPanel!$S$2:$S$16</definedName>
    <definedName name="ReportVersion">[1]Settings!$D$5</definedName>
    <definedName name="ReslStaffPriceOut" localSheetId="3">'[15]Price Out-Reg EASTSIDE-Resi'!#REF!</definedName>
    <definedName name="ReslStaffPriceOut">'[15]Price Out-Reg EASTSIDE-Resi'!#REF!</definedName>
    <definedName name="RetainedEarnings" localSheetId="3">#REF!</definedName>
    <definedName name="RetainedEarnings">#REF!</definedName>
    <definedName name="RevCust" localSheetId="3">[31]RevenuesCust!#REF!</definedName>
    <definedName name="RevCust">[31]RevenuesCust!#REF!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arch1" localSheetId="3" hidden="1">#REF!</definedName>
    <definedName name="search1" hidden="1">#REF!</definedName>
    <definedName name="search2" hidden="1">#REF!</definedName>
    <definedName name="SectorNme">[27]Calcuation!$I$5</definedName>
    <definedName name="SepSun1" localSheetId="3">DATEVALUE("9/1/"&amp;TheYear)-WEEKDAY(DATEVALUE("9/1/"&amp;TheYear))+1</definedName>
    <definedName name="SepSun1">DATEVALUE("9/1/"&amp;TheYear)-WEEKDAY(DATEVALUE("9/1/"&amp;TheYear))+1</definedName>
    <definedName name="Sequential_Group">[1]Settings!$J$6</definedName>
    <definedName name="Sequential_Segment">[1]Settings!$I$6</definedName>
    <definedName name="Sequential_sort">[1]Settings!$I$10:$J$11</definedName>
    <definedName name="SFD">[6]WTB!$DE$5</definedName>
    <definedName name="SFV">[6]WTB!$DE$4</definedName>
    <definedName name="SFV_CUR1">'[6]2008 West Group IS'!$AM$9</definedName>
    <definedName name="SFV_CUR5">'[6]2008 Group Office IS'!$AM$9</definedName>
    <definedName name="SIC_Table">#REF!</definedName>
    <definedName name="sics">#REF!</definedName>
    <definedName name="slope" localSheetId="3">'[32]LG Nonpublic 2018 V5.0'!$X$58</definedName>
    <definedName name="slope">'[33]LG Nonpublic 2018 V5.0'!$X$58</definedName>
    <definedName name="SLOPE1">'[25]LG Nonpublic 2018 V5.0'!$X$58</definedName>
    <definedName name="sort1" localSheetId="3">#REF!</definedName>
    <definedName name="sort1">#REF!</definedName>
    <definedName name="sortcol" localSheetId="3">#REF!</definedName>
    <definedName name="sortcol">#REF!</definedName>
    <definedName name="SPECIAL1" hidden="1">#REF!</definedName>
    <definedName name="SPECIAL2" hidden="1">#REF!</definedName>
    <definedName name="SPWS_WBID">"115966228744984"</definedName>
    <definedName name="sSRCDate">'[34]Feb''12 FAR Data'!#REF!</definedName>
    <definedName name="ssssss" localSheetId="3">#REF!</definedName>
    <definedName name="ssssss">#REF!</definedName>
    <definedName name="SubSystem" localSheetId="3">#REF!</definedName>
    <definedName name="SubSystem">#REF!</definedName>
    <definedName name="Supplemental_filter">[1]Settings!$C$31</definedName>
    <definedName name="SWDisposal">#N/A</definedName>
    <definedName name="System">[35]BS_Close!$V$8</definedName>
    <definedName name="Table_SIC" localSheetId="3">#REF!</definedName>
    <definedName name="Table_SIC">#REF!</definedName>
    <definedName name="TemplateEnd" localSheetId="3">#REF!</definedName>
    <definedName name="TemplateEnd">#REF!</definedName>
    <definedName name="TemplateStart" localSheetId="3">#REF!</definedName>
    <definedName name="TemplateStart">#REF!</definedName>
    <definedName name="TheTable" localSheetId="3">#REF!</definedName>
    <definedName name="TheTable">#REF!</definedName>
    <definedName name="TheTableOLD">#REF!</definedName>
    <definedName name="timeseries">[1]Orientation!$B$6:$C$13</definedName>
    <definedName name="Total_Interest">'[36]Amortization Table'!$F$18</definedName>
    <definedName name="TotalYards">'[14]Gross Yardage Worksheet'!$N$101</definedName>
    <definedName name="TOTCONT">'[24]Sorted Master'!$K$9</definedName>
    <definedName name="TOTCRECCONT">'[24]Sorted Master'!$Z$9</definedName>
    <definedName name="TOTCRECCUST">'[37]Master IS (C)'!#REF!</definedName>
    <definedName name="TOTCRECDH">'[37]Master IS (C)'!#REF!</definedName>
    <definedName name="TOTCRECREV">'[37]Master IS (C)'!#REF!</definedName>
    <definedName name="TOTCRECTDEP">'[37]Master IS (C)'!#REF!</definedName>
    <definedName name="TOTCRECTH">'[24]Sorted Master'!$Z$8</definedName>
    <definedName name="TOTCRECTV">'[37]Master IS (C)'!#REF!</definedName>
    <definedName name="TOTCUST">'[37]Master IS (C)'!#REF!</definedName>
    <definedName name="TOTDBCONT">'[37]Master IS (C)'!#REF!</definedName>
    <definedName name="TOTDBCUST">'[37]Master IS (C)'!#REF!</definedName>
    <definedName name="TOTDBDH">'[37]Master IS (C)'!#REF!</definedName>
    <definedName name="TOTDBREV">'[37]Master IS (C)'!#REF!</definedName>
    <definedName name="TOTDBTDEP">'[37]Master IS (C)'!#REF!</definedName>
    <definedName name="TOTDBTH">'[37]Master IS (C)'!#REF!</definedName>
    <definedName name="TOTDBTV">'[37]Master IS (C)'!#REF!</definedName>
    <definedName name="TOTDEBCONT">'[37]Master IS (C)'!#REF!</definedName>
    <definedName name="TOTDEBCUST">'[37]Master IS (C)'!#REF!</definedName>
    <definedName name="TOTDEBDH">'[37]Master IS (C)'!#REF!</definedName>
    <definedName name="TOTDEBREV">'[37]Master IS (C)'!#REF!</definedName>
    <definedName name="TOTDEBTH">'[24]Sorted Master'!$AD$8</definedName>
    <definedName name="TOTDH">'[37]Master IS (C)'!#REF!</definedName>
    <definedName name="TOTFELCONT">'[37]Master IS (C)'!#REF!</definedName>
    <definedName name="TOTFELCUST">'[37]Master IS (C)'!#REF!</definedName>
    <definedName name="TOTFELDH">'[37]Master IS (C)'!#REF!</definedName>
    <definedName name="TOTFELREV">'[37]Master IS (C)'!#REF!</definedName>
    <definedName name="TOTFELTDEP">'[37]Master IS (C)'!#REF!</definedName>
    <definedName name="TOTFELTH">'[37]Master IS (C)'!#REF!</definedName>
    <definedName name="TOTFELTV">'[37]Master IS (C)'!#REF!</definedName>
    <definedName name="TOTRESCONT">'[37]Master IS (C)'!#REF!</definedName>
    <definedName name="TOTRESCUST">'[37]Master IS (C)'!#REF!</definedName>
    <definedName name="TOTRESDH">'[37]Master IS (C)'!#REF!</definedName>
    <definedName name="TOTRESRCONT">'[37]Master IS (C)'!#REF!</definedName>
    <definedName name="TOTRESRCUST">'[37]Master IS (C)'!#REF!</definedName>
    <definedName name="TOTRESRDH">'[37]Master IS (C)'!#REF!</definedName>
    <definedName name="TOTRESREV">'[37]Master IS (C)'!#REF!</definedName>
    <definedName name="TOTRESRREV">'[37]Master IS (C)'!#REF!</definedName>
    <definedName name="TOTRESRTDEP">'[37]Master IS (C)'!#REF!</definedName>
    <definedName name="TOTRESRTH">'[37]Master IS (C)'!#REF!</definedName>
    <definedName name="TOTRESRTV">'[37]Master IS (C)'!#REF!</definedName>
    <definedName name="TOTRESTDEP">'[37]Master IS (C)'!#REF!</definedName>
    <definedName name="TOTRESTH">'[37]Master IS (C)'!#REF!</definedName>
    <definedName name="TOTRESTV">'[37]Master IS (C)'!#REF!</definedName>
    <definedName name="TOTREV">'[37]Master IS (C)'!#REF!</definedName>
    <definedName name="TOTTDEP">'[37]Master IS (C)'!#REF!</definedName>
    <definedName name="TOTTH">'[37]Master IS (C)'!#REF!</definedName>
    <definedName name="TOTTV">'[37]Master IS (C)'!#REF!</definedName>
    <definedName name="Transactions" localSheetId="3">#REF!</definedName>
    <definedName name="Transactions">#REF!</definedName>
    <definedName name="trx_total">'[26]5. BDI Gen Ledger Table'!$N$2:$N$4682</definedName>
    <definedName name="Tukwila_Report" localSheetId="3">[29]ST97TONS!#REF!</definedName>
    <definedName name="Tukwila_Report">[29]ST97TONS!#REF!</definedName>
    <definedName name="Tukwila_Report1" localSheetId="3">[29]ST97TONS!#REF!</definedName>
    <definedName name="Tukwila_Report1">[29]ST97TONS!#REF!</definedName>
    <definedName name="UnformattedIS" localSheetId="3">#REF!</definedName>
    <definedName name="UnformattedIS">#REF!</definedName>
    <definedName name="ValidFormats">[3]Delivery!$AA$4:$AA$10</definedName>
    <definedName name="WksInYr" localSheetId="3">#REF!</definedName>
    <definedName name="WksInYr">#REF!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Table">#REF!</definedName>
    <definedName name="WTableOld">#REF!</definedName>
    <definedName name="xperiod">[1]Orientation!$G$15</definedName>
    <definedName name="xtabin">[2]Hidden!#REF!</definedName>
    <definedName name="xx">#REF!</definedName>
    <definedName name="y_inter1" localSheetId="3">'[32]LG Nonpublic 2018 V5.0'!$W$55</definedName>
    <definedName name="y_inter1">'[33]LG Nonpublic 2018 V5.0'!$W$55</definedName>
    <definedName name="y_inter2" localSheetId="3">'[32]LG Nonpublic 2018 V5.0'!$W$56</definedName>
    <definedName name="y_inter2">'[33]LG Nonpublic 2018 V5.0'!$W$56</definedName>
    <definedName name="y_inter3" localSheetId="3">'[32]LG Nonpublic 2018 V5.0'!$Y$55</definedName>
    <definedName name="y_inter3">'[33]LG Nonpublic 2018 V5.0'!$Y$55</definedName>
    <definedName name="y_inter4" localSheetId="3">'[32]LG Nonpublic 2018 V5.0'!$Y$56</definedName>
    <definedName name="y_inter4">'[33]LG Nonpublic 2018 V5.0'!$Y$56</definedName>
    <definedName name="Year" localSheetId="3">#REF!</definedName>
    <definedName name="Year">#REF!</definedName>
    <definedName name="Year_of_Review">'[11]Title Inputs'!$C$3</definedName>
    <definedName name="years" localSheetId="3">#REF!</definedName>
    <definedName name="years">#REF!</definedName>
    <definedName name="YR_PD">'[26]5. BDI Gen Ledger Table'!$Q$2:$Q$4682</definedName>
    <definedName name="YWMedWasteDisp">#N/A</definedName>
    <definedName name="Z_2D4BA4D8_9810_4CD8_BC99_BAF8C6DC6FDE_.wvu.PrintTitles" localSheetId="3" hidden="1">'Disposal Summary (with IC)'!$3:$3</definedName>
    <definedName name="Z_E9505D05_5738_4953_8422_9EB6E0EB24BD_.wvu.PrintTitles" localSheetId="3" hidden="1">'Disposal Summary (with IC)'!$3:$3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7" l="1"/>
  <c r="D18" i="7"/>
  <c r="L122" i="18"/>
  <c r="F120" i="18"/>
  <c r="H119" i="18"/>
  <c r="F119" i="18"/>
  <c r="J117" i="18"/>
  <c r="O113" i="18"/>
  <c r="F113" i="18"/>
  <c r="E113" i="18"/>
  <c r="G112" i="18"/>
  <c r="E111" i="18"/>
  <c r="D105" i="18"/>
  <c r="C105" i="18"/>
  <c r="B105" i="18"/>
  <c r="A105" i="18"/>
  <c r="A107" i="18" s="1"/>
  <c r="C102" i="18"/>
  <c r="E98" i="18"/>
  <c r="N94" i="18"/>
  <c r="M94" i="18"/>
  <c r="K94" i="18"/>
  <c r="I94" i="18"/>
  <c r="G94" i="18"/>
  <c r="P94" i="18"/>
  <c r="S93" i="18"/>
  <c r="Q94" i="18"/>
  <c r="O94" i="18"/>
  <c r="L94" i="18"/>
  <c r="J94" i="18"/>
  <c r="H94" i="18"/>
  <c r="F94" i="18"/>
  <c r="F88" i="18"/>
  <c r="G88" i="18" s="1"/>
  <c r="H88" i="18" s="1"/>
  <c r="I88" i="18" s="1"/>
  <c r="J88" i="18" s="1"/>
  <c r="K88" i="18" s="1"/>
  <c r="L88" i="18" s="1"/>
  <c r="M88" i="18" s="1"/>
  <c r="N88" i="18" s="1"/>
  <c r="O88" i="18" s="1"/>
  <c r="E88" i="18"/>
  <c r="E122" i="18" s="1"/>
  <c r="G87" i="18"/>
  <c r="H87" i="18" s="1"/>
  <c r="I87" i="18" s="1"/>
  <c r="J87" i="18" s="1"/>
  <c r="K87" i="18" s="1"/>
  <c r="L87" i="18" s="1"/>
  <c r="M87" i="18" s="1"/>
  <c r="N87" i="18" s="1"/>
  <c r="O87" i="18" s="1"/>
  <c r="P87" i="18" s="1"/>
  <c r="E87" i="18"/>
  <c r="E121" i="18" s="1"/>
  <c r="I86" i="18"/>
  <c r="J86" i="18" s="1"/>
  <c r="K86" i="18" s="1"/>
  <c r="L86" i="18" s="1"/>
  <c r="M86" i="18" s="1"/>
  <c r="N86" i="18" s="1"/>
  <c r="O86" i="18" s="1"/>
  <c r="P86" i="18" s="1"/>
  <c r="H86" i="18"/>
  <c r="E86" i="18"/>
  <c r="E120" i="18" s="1"/>
  <c r="H85" i="18"/>
  <c r="I85" i="18" s="1"/>
  <c r="E85" i="18"/>
  <c r="E119" i="18" s="1"/>
  <c r="E84" i="18"/>
  <c r="E118" i="18" s="1"/>
  <c r="F83" i="18"/>
  <c r="G83" i="18" s="1"/>
  <c r="H83" i="18" s="1"/>
  <c r="I83" i="18" s="1"/>
  <c r="J83" i="18" s="1"/>
  <c r="K83" i="18" s="1"/>
  <c r="L83" i="18" s="1"/>
  <c r="M83" i="18" s="1"/>
  <c r="E83" i="18"/>
  <c r="E117" i="18" s="1"/>
  <c r="E82" i="18"/>
  <c r="E116" i="18" s="1"/>
  <c r="Q80" i="18"/>
  <c r="Q113" i="18" s="1"/>
  <c r="G80" i="18"/>
  <c r="H80" i="18" s="1"/>
  <c r="I80" i="18" s="1"/>
  <c r="J80" i="18" s="1"/>
  <c r="K80" i="18" s="1"/>
  <c r="L80" i="18" s="1"/>
  <c r="M80" i="18" s="1"/>
  <c r="N80" i="18" s="1"/>
  <c r="O80" i="18" s="1"/>
  <c r="P80" i="18" s="1"/>
  <c r="E80" i="18"/>
  <c r="H79" i="18"/>
  <c r="H112" i="18" s="1"/>
  <c r="G79" i="18"/>
  <c r="F79" i="18"/>
  <c r="E79" i="18"/>
  <c r="E112" i="18" s="1"/>
  <c r="F78" i="18"/>
  <c r="G78" i="18" s="1"/>
  <c r="H78" i="18" s="1"/>
  <c r="I78" i="18" s="1"/>
  <c r="E78" i="18"/>
  <c r="G77" i="18"/>
  <c r="H77" i="18" s="1"/>
  <c r="I77" i="18" s="1"/>
  <c r="F77" i="18"/>
  <c r="E77" i="18"/>
  <c r="E110" i="18" s="1"/>
  <c r="E76" i="18"/>
  <c r="E109" i="18" s="1"/>
  <c r="E71" i="18"/>
  <c r="E102" i="18" s="1"/>
  <c r="J70" i="18"/>
  <c r="H70" i="18"/>
  <c r="I70" i="18" s="1"/>
  <c r="I79" i="18" s="1"/>
  <c r="G70" i="18"/>
  <c r="E70" i="18"/>
  <c r="E101" i="18" s="1"/>
  <c r="F69" i="18"/>
  <c r="G69" i="18" s="1"/>
  <c r="H69" i="18" s="1"/>
  <c r="I69" i="18" s="1"/>
  <c r="J69" i="18" s="1"/>
  <c r="K69" i="18" s="1"/>
  <c r="L69" i="18" s="1"/>
  <c r="M69" i="18" s="1"/>
  <c r="N69" i="18" s="1"/>
  <c r="O69" i="18" s="1"/>
  <c r="P69" i="18" s="1"/>
  <c r="Q69" i="18" s="1"/>
  <c r="E69" i="18"/>
  <c r="E100" i="18" s="1"/>
  <c r="G68" i="18"/>
  <c r="H68" i="18" s="1"/>
  <c r="I68" i="18" s="1"/>
  <c r="J68" i="18" s="1"/>
  <c r="K68" i="18" s="1"/>
  <c r="L68" i="18" s="1"/>
  <c r="M68" i="18" s="1"/>
  <c r="N68" i="18" s="1"/>
  <c r="O68" i="18" s="1"/>
  <c r="P68" i="18" s="1"/>
  <c r="Q68" i="18" s="1"/>
  <c r="E68" i="18"/>
  <c r="E99" i="18" s="1"/>
  <c r="E67" i="18"/>
  <c r="P60" i="18"/>
  <c r="N60" i="18"/>
  <c r="F60" i="18"/>
  <c r="I54" i="18"/>
  <c r="I55" i="18" s="1"/>
  <c r="E54" i="18"/>
  <c r="E53" i="18"/>
  <c r="E123" i="18" s="1"/>
  <c r="E52" i="18"/>
  <c r="A52" i="18"/>
  <c r="M122" i="18"/>
  <c r="K122" i="18"/>
  <c r="J122" i="18"/>
  <c r="I122" i="18"/>
  <c r="H122" i="18"/>
  <c r="G122" i="18"/>
  <c r="F122" i="18"/>
  <c r="M121" i="18"/>
  <c r="L121" i="18"/>
  <c r="H121" i="18"/>
  <c r="G121" i="18"/>
  <c r="F121" i="18"/>
  <c r="E49" i="18"/>
  <c r="A49" i="18"/>
  <c r="M120" i="18"/>
  <c r="K120" i="18"/>
  <c r="I120" i="18"/>
  <c r="H120" i="18"/>
  <c r="G54" i="18"/>
  <c r="G55" i="18" s="1"/>
  <c r="O60" i="18"/>
  <c r="M60" i="18"/>
  <c r="K60" i="18"/>
  <c r="I60" i="18"/>
  <c r="H60" i="18"/>
  <c r="G119" i="18"/>
  <c r="S47" i="18"/>
  <c r="E46" i="18"/>
  <c r="O54" i="18"/>
  <c r="O55" i="18" s="1"/>
  <c r="M54" i="18"/>
  <c r="L54" i="18"/>
  <c r="K117" i="18"/>
  <c r="J54" i="18"/>
  <c r="J55" i="18" s="1"/>
  <c r="I117" i="18"/>
  <c r="H54" i="18"/>
  <c r="H55" i="18" s="1"/>
  <c r="P40" i="18"/>
  <c r="P41" i="18" s="1"/>
  <c r="E40" i="18"/>
  <c r="E39" i="18"/>
  <c r="E114" i="18" s="1"/>
  <c r="E38" i="18"/>
  <c r="A38" i="18"/>
  <c r="P113" i="18"/>
  <c r="N113" i="18"/>
  <c r="M113" i="18"/>
  <c r="L113" i="18"/>
  <c r="K113" i="18"/>
  <c r="J113" i="18"/>
  <c r="I113" i="18"/>
  <c r="H113" i="18"/>
  <c r="G113" i="18"/>
  <c r="I112" i="18"/>
  <c r="E35" i="18"/>
  <c r="F111" i="18"/>
  <c r="K40" i="18"/>
  <c r="J40" i="18"/>
  <c r="J41" i="18" s="1"/>
  <c r="I40" i="18"/>
  <c r="H110" i="18"/>
  <c r="F110" i="18"/>
  <c r="E30" i="18"/>
  <c r="E107" i="18" s="1"/>
  <c r="A30" i="18"/>
  <c r="E25" i="18"/>
  <c r="E103" i="18" s="1"/>
  <c r="F24" i="18" a="1"/>
  <c r="P24" i="18" s="1"/>
  <c r="O24" i="18"/>
  <c r="K24" i="18"/>
  <c r="B23" i="18"/>
  <c r="B102" i="18" s="1"/>
  <c r="D21" i="18"/>
  <c r="C21" i="18"/>
  <c r="B20" i="18"/>
  <c r="E20" i="18" s="1"/>
  <c r="A20" i="18"/>
  <c r="A21" i="18" s="1"/>
  <c r="A23" i="18" s="1"/>
  <c r="A102" i="18" s="1"/>
  <c r="H15" i="18"/>
  <c r="S14" i="18"/>
  <c r="G15" i="18"/>
  <c r="S12" i="18"/>
  <c r="Q15" i="18"/>
  <c r="O15" i="18"/>
  <c r="M15" i="18"/>
  <c r="L15" i="18"/>
  <c r="K15" i="18"/>
  <c r="I15" i="18"/>
  <c r="F4" i="18"/>
  <c r="G3" i="18"/>
  <c r="H3" i="18" s="1"/>
  <c r="Q86" i="18" l="1"/>
  <c r="P120" i="18"/>
  <c r="Q87" i="18"/>
  <c r="P121" i="18"/>
  <c r="O122" i="18"/>
  <c r="P88" i="18"/>
  <c r="Q88" i="18" s="1"/>
  <c r="Q122" i="18" s="1"/>
  <c r="J77" i="18"/>
  <c r="K77" i="18" s="1"/>
  <c r="I110" i="18"/>
  <c r="I114" i="18" s="1"/>
  <c r="J78" i="18"/>
  <c r="I111" i="18"/>
  <c r="N15" i="18"/>
  <c r="S33" i="18"/>
  <c r="P15" i="18"/>
  <c r="M40" i="18"/>
  <c r="M41" i="18" s="1"/>
  <c r="N54" i="18"/>
  <c r="N55" i="18" s="1"/>
  <c r="S51" i="18"/>
  <c r="N121" i="18"/>
  <c r="J15" i="18"/>
  <c r="M24" i="18"/>
  <c r="N40" i="18"/>
  <c r="N41" i="18" s="1"/>
  <c r="L60" i="18"/>
  <c r="L120" i="18"/>
  <c r="F99" i="18"/>
  <c r="F28" i="18"/>
  <c r="F73" i="18" s="1"/>
  <c r="Q54" i="18"/>
  <c r="Q55" i="18" s="1"/>
  <c r="N120" i="18"/>
  <c r="I121" i="18"/>
  <c r="G111" i="18"/>
  <c r="L117" i="18"/>
  <c r="N122" i="18"/>
  <c r="O40" i="18"/>
  <c r="O41" i="18" s="1"/>
  <c r="P54" i="18"/>
  <c r="P55" i="18" s="1"/>
  <c r="L24" i="18"/>
  <c r="J24" i="18"/>
  <c r="I24" i="18"/>
  <c r="H24" i="18"/>
  <c r="G24" i="18"/>
  <c r="F24" i="18"/>
  <c r="Q24" i="18"/>
  <c r="N24" i="18"/>
  <c r="F54" i="18"/>
  <c r="F55" i="18" s="1"/>
  <c r="O120" i="18"/>
  <c r="J121" i="18"/>
  <c r="J85" i="18"/>
  <c r="K85" i="18" s="1"/>
  <c r="L85" i="18" s="1"/>
  <c r="M85" i="18" s="1"/>
  <c r="N85" i="18" s="1"/>
  <c r="O85" i="18" s="1"/>
  <c r="P85" i="18" s="1"/>
  <c r="Q85" i="18" s="1"/>
  <c r="Q119" i="18" s="1"/>
  <c r="I119" i="18"/>
  <c r="G117" i="18"/>
  <c r="G118" i="18"/>
  <c r="P119" i="18"/>
  <c r="K121" i="18"/>
  <c r="S121" i="18" s="1"/>
  <c r="G110" i="18"/>
  <c r="G40" i="18"/>
  <c r="G41" i="18" s="1"/>
  <c r="S34" i="18"/>
  <c r="Q120" i="18"/>
  <c r="J79" i="18"/>
  <c r="J112" i="18" s="1"/>
  <c r="K70" i="18"/>
  <c r="S94" i="18"/>
  <c r="F114" i="18"/>
  <c r="E23" i="18"/>
  <c r="S48" i="18"/>
  <c r="O121" i="18"/>
  <c r="N83" i="18"/>
  <c r="O83" i="18" s="1"/>
  <c r="P83" i="18" s="1"/>
  <c r="Q83" i="18" s="1"/>
  <c r="M117" i="18"/>
  <c r="S113" i="18"/>
  <c r="I41" i="18"/>
  <c r="H111" i="18"/>
  <c r="H114" i="18" s="1"/>
  <c r="I3" i="18"/>
  <c r="H4" i="18"/>
  <c r="S9" i="18"/>
  <c r="S11" i="18"/>
  <c r="S13" i="18"/>
  <c r="K41" i="18"/>
  <c r="F40" i="18"/>
  <c r="F41" i="18" s="1"/>
  <c r="L55" i="18"/>
  <c r="K54" i="18"/>
  <c r="K55" i="18" s="1"/>
  <c r="S8" i="18"/>
  <c r="S10" i="18"/>
  <c r="L40" i="18"/>
  <c r="L41" i="18" s="1"/>
  <c r="S36" i="18"/>
  <c r="S37" i="18"/>
  <c r="M55" i="18"/>
  <c r="J60" i="18"/>
  <c r="J120" i="18"/>
  <c r="Q121" i="18"/>
  <c r="F15" i="18"/>
  <c r="Q40" i="18"/>
  <c r="Q41" i="18" s="1"/>
  <c r="S50" i="18"/>
  <c r="Q60" i="18"/>
  <c r="S60" i="18" s="1"/>
  <c r="J110" i="18"/>
  <c r="F112" i="18"/>
  <c r="G60" i="18"/>
  <c r="S92" i="18"/>
  <c r="G120" i="18"/>
  <c r="S120" i="18" s="1"/>
  <c r="H40" i="18"/>
  <c r="H41" i="18" s="1"/>
  <c r="S44" i="18"/>
  <c r="F84" i="18"/>
  <c r="G84" i="18" s="1"/>
  <c r="H84" i="18" s="1"/>
  <c r="S45" i="18"/>
  <c r="G4" i="18"/>
  <c r="Q117" i="18"/>
  <c r="F117" i="18"/>
  <c r="H117" i="18"/>
  <c r="F106" i="18" l="1"/>
  <c r="O119" i="18"/>
  <c r="K119" i="18"/>
  <c r="J119" i="18"/>
  <c r="F118" i="18"/>
  <c r="N119" i="18"/>
  <c r="F101" i="18"/>
  <c r="L77" i="18"/>
  <c r="K110" i="18"/>
  <c r="O117" i="18"/>
  <c r="H26" i="18"/>
  <c r="H106" i="18"/>
  <c r="M119" i="18"/>
  <c r="P122" i="18"/>
  <c r="S122" i="18" s="1"/>
  <c r="I4" i="18"/>
  <c r="J3" i="18"/>
  <c r="J114" i="18"/>
  <c r="G114" i="18"/>
  <c r="P117" i="18"/>
  <c r="S40" i="18"/>
  <c r="S41" i="18" s="1"/>
  <c r="F29" i="18"/>
  <c r="K79" i="18"/>
  <c r="K112" i="18" s="1"/>
  <c r="L70" i="18"/>
  <c r="G123" i="18"/>
  <c r="F26" i="18"/>
  <c r="I84" i="18"/>
  <c r="H118" i="18"/>
  <c r="H123" i="18" s="1"/>
  <c r="F19" i="18"/>
  <c r="S54" i="18"/>
  <c r="S55" i="18" s="1"/>
  <c r="S15" i="18"/>
  <c r="K78" i="18"/>
  <c r="J111" i="18"/>
  <c r="G26" i="18"/>
  <c r="F22" i="18"/>
  <c r="F59" i="18" s="1"/>
  <c r="L119" i="18"/>
  <c r="N117" i="18"/>
  <c r="F61" i="18" l="1"/>
  <c r="L78" i="18"/>
  <c r="K111" i="18"/>
  <c r="G22" i="18"/>
  <c r="F71" i="18"/>
  <c r="H19" i="18"/>
  <c r="H100" i="18" s="1"/>
  <c r="J84" i="18"/>
  <c r="I118" i="18"/>
  <c r="I123" i="18" s="1"/>
  <c r="L79" i="18"/>
  <c r="L112" i="18" s="1"/>
  <c r="M70" i="18"/>
  <c r="G106" i="18"/>
  <c r="G74" i="18" s="1"/>
  <c r="F100" i="18"/>
  <c r="F57" i="18"/>
  <c r="G19" i="18"/>
  <c r="G100" i="18" s="1"/>
  <c r="H71" i="18"/>
  <c r="S119" i="18"/>
  <c r="H101" i="18"/>
  <c r="H59" i="18"/>
  <c r="H61" i="18" s="1"/>
  <c r="H28" i="18"/>
  <c r="H29" i="18" s="1"/>
  <c r="H74" i="18" s="1"/>
  <c r="H57" i="18"/>
  <c r="H99" i="18"/>
  <c r="S117" i="18"/>
  <c r="G99" i="18"/>
  <c r="G28" i="18"/>
  <c r="G73" i="18" s="1"/>
  <c r="F123" i="18"/>
  <c r="F74" i="18"/>
  <c r="G101" i="18"/>
  <c r="G59" i="18"/>
  <c r="G61" i="18" s="1"/>
  <c r="G71" i="18"/>
  <c r="K3" i="18"/>
  <c r="J4" i="18"/>
  <c r="H22" i="18"/>
  <c r="I26" i="18"/>
  <c r="K114" i="18"/>
  <c r="G29" i="18"/>
  <c r="F125" i="18"/>
  <c r="M77" i="18"/>
  <c r="L110" i="18"/>
  <c r="H73" i="18" l="1"/>
  <c r="M79" i="18"/>
  <c r="M112" i="18" s="1"/>
  <c r="N70" i="18"/>
  <c r="M78" i="18"/>
  <c r="L111" i="18"/>
  <c r="L114" i="18" s="1"/>
  <c r="G57" i="18"/>
  <c r="K84" i="18"/>
  <c r="J118" i="18"/>
  <c r="J123" i="18" s="1"/>
  <c r="I22" i="18"/>
  <c r="J26" i="18"/>
  <c r="N77" i="18"/>
  <c r="M110" i="18"/>
  <c r="K4" i="18"/>
  <c r="L3" i="18"/>
  <c r="G125" i="18"/>
  <c r="G103" i="18"/>
  <c r="G127" i="18" s="1"/>
  <c r="G128" i="18" s="1"/>
  <c r="I99" i="18"/>
  <c r="I57" i="18"/>
  <c r="I28" i="18"/>
  <c r="H125" i="18"/>
  <c r="H103" i="18"/>
  <c r="H127" i="18" s="1"/>
  <c r="H128" i="18" s="1"/>
  <c r="F62" i="18"/>
  <c r="F58" i="18"/>
  <c r="I19" i="18"/>
  <c r="I100" i="18" s="1"/>
  <c r="I106" i="18"/>
  <c r="H62" i="18"/>
  <c r="H63" i="18" s="1"/>
  <c r="H58" i="18"/>
  <c r="F103" i="18"/>
  <c r="I101" i="18"/>
  <c r="I59" i="18"/>
  <c r="I61" i="18" s="1"/>
  <c r="I71" i="18"/>
  <c r="K26" i="18" l="1"/>
  <c r="J29" i="18"/>
  <c r="J73" i="18"/>
  <c r="L84" i="18"/>
  <c r="K118" i="18"/>
  <c r="K123" i="18" s="1"/>
  <c r="J22" i="18"/>
  <c r="J71" i="18" s="1"/>
  <c r="G62" i="18"/>
  <c r="G63" i="18" s="1"/>
  <c r="G58" i="18"/>
  <c r="I73" i="18"/>
  <c r="I62" i="18"/>
  <c r="I63" i="18" s="1"/>
  <c r="I58" i="18"/>
  <c r="I103" i="18"/>
  <c r="I127" i="18" s="1"/>
  <c r="I128" i="18" s="1"/>
  <c r="I125" i="18"/>
  <c r="I29" i="18"/>
  <c r="I74" i="18" s="1"/>
  <c r="M3" i="18"/>
  <c r="L4" i="18"/>
  <c r="F127" i="18"/>
  <c r="F128" i="18" s="1"/>
  <c r="O77" i="18"/>
  <c r="N110" i="18"/>
  <c r="J106" i="18"/>
  <c r="J74" i="18" s="1"/>
  <c r="J57" i="18"/>
  <c r="J28" i="18"/>
  <c r="J99" i="18"/>
  <c r="J19" i="18"/>
  <c r="N78" i="18"/>
  <c r="M111" i="18"/>
  <c r="M114" i="18" s="1"/>
  <c r="J101" i="18"/>
  <c r="J59" i="18"/>
  <c r="N79" i="18"/>
  <c r="N112" i="18" s="1"/>
  <c r="O70" i="18"/>
  <c r="F63" i="18"/>
  <c r="J61" i="18" l="1"/>
  <c r="K22" i="18"/>
  <c r="K19" i="18"/>
  <c r="K100" i="18" s="1"/>
  <c r="O78" i="18"/>
  <c r="N111" i="18"/>
  <c r="N114" i="18" s="1"/>
  <c r="K71" i="18"/>
  <c r="K101" i="18"/>
  <c r="K59" i="18"/>
  <c r="K61" i="18" s="1"/>
  <c r="J100" i="18"/>
  <c r="K106" i="18"/>
  <c r="P77" i="18"/>
  <c r="O110" i="18"/>
  <c r="J125" i="18"/>
  <c r="J103" i="18"/>
  <c r="J127" i="18" s="1"/>
  <c r="J128" i="18" s="1"/>
  <c r="L106" i="18"/>
  <c r="O79" i="18"/>
  <c r="O112" i="18" s="1"/>
  <c r="P70" i="18"/>
  <c r="J62" i="18"/>
  <c r="J63" i="18" s="1"/>
  <c r="J58" i="18"/>
  <c r="M4" i="18"/>
  <c r="N3" i="18"/>
  <c r="M84" i="18"/>
  <c r="L118" i="18"/>
  <c r="K57" i="18"/>
  <c r="K99" i="18"/>
  <c r="K28" i="18"/>
  <c r="K29" i="18" s="1"/>
  <c r="K73" i="18"/>
  <c r="M26" i="18" l="1"/>
  <c r="M19" i="18"/>
  <c r="M100" i="18" s="1"/>
  <c r="L101" i="18"/>
  <c r="P78" i="18"/>
  <c r="O111" i="18"/>
  <c r="O114" i="18" s="1"/>
  <c r="Q77" i="18"/>
  <c r="Q110" i="18" s="1"/>
  <c r="P110" i="18"/>
  <c r="K125" i="18"/>
  <c r="K103" i="18"/>
  <c r="K127" i="18" s="1"/>
  <c r="K128" i="18" s="1"/>
  <c r="P79" i="18"/>
  <c r="P112" i="18" s="1"/>
  <c r="Q70" i="18"/>
  <c r="Q79" i="18" s="1"/>
  <c r="Q112" i="18" s="1"/>
  <c r="K62" i="18"/>
  <c r="K63" i="18" s="1"/>
  <c r="K58" i="18"/>
  <c r="L29" i="18"/>
  <c r="L74" i="18" s="1"/>
  <c r="K74" i="18"/>
  <c r="L57" i="18"/>
  <c r="L99" i="18"/>
  <c r="L28" i="18"/>
  <c r="L73" i="18"/>
  <c r="L19" i="18"/>
  <c r="L100" i="18" s="1"/>
  <c r="L26" i="18"/>
  <c r="L22" i="18"/>
  <c r="L71" i="18" s="1"/>
  <c r="L123" i="18"/>
  <c r="N84" i="18"/>
  <c r="M118" i="18"/>
  <c r="M123" i="18" s="1"/>
  <c r="O3" i="18"/>
  <c r="N4" i="18"/>
  <c r="L62" i="18" l="1"/>
  <c r="L63" i="18" s="1"/>
  <c r="L58" i="18"/>
  <c r="Q78" i="18"/>
  <c r="Q111" i="18" s="1"/>
  <c r="S111" i="18" s="1"/>
  <c r="P111" i="18"/>
  <c r="M106" i="18"/>
  <c r="L59" i="18"/>
  <c r="M101" i="18"/>
  <c r="M59" i="18"/>
  <c r="M61" i="18" s="1"/>
  <c r="Q114" i="18"/>
  <c r="S110" i="18"/>
  <c r="N26" i="18"/>
  <c r="L125" i="18"/>
  <c r="L103" i="18"/>
  <c r="L127" i="18" s="1"/>
  <c r="L128" i="18" s="1"/>
  <c r="P3" i="18"/>
  <c r="O4" i="18"/>
  <c r="S112" i="18"/>
  <c r="M57" i="18"/>
  <c r="M99" i="18"/>
  <c r="M28" i="18"/>
  <c r="M29" i="18" s="1"/>
  <c r="O84" i="18"/>
  <c r="N118" i="18"/>
  <c r="N123" i="18" s="1"/>
  <c r="M22" i="18"/>
  <c r="M71" i="18" s="1"/>
  <c r="P114" i="18"/>
  <c r="P4" i="18" l="1"/>
  <c r="Q3" i="18"/>
  <c r="Q4" i="18" s="1"/>
  <c r="L61" i="18"/>
  <c r="O26" i="18"/>
  <c r="M73" i="18"/>
  <c r="N101" i="18"/>
  <c r="N99" i="18"/>
  <c r="N28" i="18"/>
  <c r="N73" i="18" s="1"/>
  <c r="M74" i="18"/>
  <c r="P84" i="18"/>
  <c r="O118" i="18"/>
  <c r="O123" i="18" s="1"/>
  <c r="N19" i="18"/>
  <c r="N100" i="18" s="1"/>
  <c r="N29" i="18"/>
  <c r="M125" i="18"/>
  <c r="M103" i="18"/>
  <c r="M127" i="18" s="1"/>
  <c r="M128" i="18" s="1"/>
  <c r="M62" i="18"/>
  <c r="M58" i="18"/>
  <c r="N106" i="18"/>
  <c r="S114" i="18"/>
  <c r="N22" i="18"/>
  <c r="N59" i="18" s="1"/>
  <c r="N61" i="18" s="1"/>
  <c r="O101" i="18" l="1"/>
  <c r="O59" i="18"/>
  <c r="O61" i="18" s="1"/>
  <c r="Q84" i="18"/>
  <c r="Q118" i="18" s="1"/>
  <c r="P118" i="18"/>
  <c r="P123" i="18" s="1"/>
  <c r="O57" i="18"/>
  <c r="O99" i="18"/>
  <c r="O28" i="18"/>
  <c r="O29" i="18" s="1"/>
  <c r="O22" i="18"/>
  <c r="O73" i="18"/>
  <c r="O106" i="18"/>
  <c r="N74" i="18"/>
  <c r="O19" i="18"/>
  <c r="O100" i="18" s="1"/>
  <c r="N125" i="18"/>
  <c r="N103" i="18"/>
  <c r="N127" i="18" s="1"/>
  <c r="N128" i="18" s="1"/>
  <c r="N71" i="18"/>
  <c r="M63" i="18"/>
  <c r="N57" i="18"/>
  <c r="S53" i="18"/>
  <c r="P26" i="18"/>
  <c r="P106" i="18"/>
  <c r="O71" i="18"/>
  <c r="Q101" i="18" l="1"/>
  <c r="Q59" i="18"/>
  <c r="S21" i="18"/>
  <c r="S102" i="18"/>
  <c r="O74" i="18"/>
  <c r="Q29" i="18"/>
  <c r="S30" i="18"/>
  <c r="S38" i="18"/>
  <c r="Q22" i="18"/>
  <c r="S39" i="18"/>
  <c r="Q57" i="18"/>
  <c r="Q99" i="18"/>
  <c r="Q28" i="18"/>
  <c r="S18" i="18"/>
  <c r="S49" i="18"/>
  <c r="Q73" i="18"/>
  <c r="S105" i="18"/>
  <c r="N58" i="18"/>
  <c r="N62" i="18"/>
  <c r="N63" i="18" s="1"/>
  <c r="O125" i="18"/>
  <c r="O103" i="18"/>
  <c r="O127" i="18" s="1"/>
  <c r="O128" i="18" s="1"/>
  <c r="P71" i="18"/>
  <c r="S35" i="18"/>
  <c r="O58" i="18"/>
  <c r="O62" i="18"/>
  <c r="O63" i="18" s="1"/>
  <c r="P19" i="18"/>
  <c r="P100" i="18" s="1"/>
  <c r="S52" i="18"/>
  <c r="Q106" i="18"/>
  <c r="S106" i="18" s="1"/>
  <c r="S107" i="18"/>
  <c r="Q123" i="18"/>
  <c r="S123" i="18" s="1"/>
  <c r="S118" i="18"/>
  <c r="P57" i="18"/>
  <c r="P99" i="18"/>
  <c r="P28" i="18"/>
  <c r="P73" i="18" s="1"/>
  <c r="P59" i="18"/>
  <c r="P61" i="18" s="1"/>
  <c r="P101" i="18"/>
  <c r="Q19" i="18"/>
  <c r="S20" i="18"/>
  <c r="Q26" i="18"/>
  <c r="S25" i="18"/>
  <c r="S26" i="18" s="1"/>
  <c r="P22" i="18"/>
  <c r="S46" i="18"/>
  <c r="Q58" i="18" l="1"/>
  <c r="Q62" i="18"/>
  <c r="S57" i="18"/>
  <c r="S58" i="18" s="1"/>
  <c r="P125" i="18"/>
  <c r="P103" i="18"/>
  <c r="P127" i="18" s="1"/>
  <c r="P128" i="18" s="1"/>
  <c r="S22" i="18"/>
  <c r="Q125" i="18"/>
  <c r="S125" i="18" s="1"/>
  <c r="S99" i="18"/>
  <c r="P58" i="18"/>
  <c r="P62" i="18"/>
  <c r="P63" i="18" s="1"/>
  <c r="S29" i="18"/>
  <c r="Q61" i="18"/>
  <c r="S59" i="18"/>
  <c r="S61" i="18" s="1"/>
  <c r="Q74" i="18"/>
  <c r="P29" i="18"/>
  <c r="P74" i="18" s="1"/>
  <c r="S101" i="18"/>
  <c r="Q100" i="18"/>
  <c r="S100" i="18" s="1"/>
  <c r="S19" i="18"/>
  <c r="S28" i="18"/>
  <c r="Q71" i="18"/>
  <c r="Q103" i="18" l="1"/>
  <c r="Q63" i="18"/>
  <c r="S62" i="18"/>
  <c r="S63" i="18" s="1"/>
  <c r="Q127" i="18" l="1"/>
  <c r="Q128" i="18" s="1"/>
  <c r="S103" i="18"/>
  <c r="S127" i="18" s="1"/>
  <c r="S128" i="18" s="1"/>
  <c r="C12" i="16" l="1"/>
  <c r="C11" i="16"/>
  <c r="C8" i="16"/>
  <c r="A12" i="16"/>
  <c r="A11" i="16"/>
  <c r="A8" i="16"/>
  <c r="G3" i="7"/>
  <c r="E12" i="7"/>
  <c r="G12" i="7"/>
  <c r="G11" i="7"/>
  <c r="E11" i="7"/>
  <c r="E3" i="7"/>
  <c r="E2" i="7"/>
  <c r="G2" i="7"/>
  <c r="F3" i="7" l="1"/>
  <c r="D19" i="7" l="1"/>
  <c r="G47" i="4" l="1"/>
  <c r="C7" i="16"/>
  <c r="C16" i="16" s="1"/>
  <c r="A7" i="16"/>
  <c r="F11" i="7" l="1"/>
  <c r="F12" i="7"/>
  <c r="D5" i="7" l="1"/>
  <c r="D7" i="7" s="1"/>
  <c r="B54" i="4" l="1"/>
  <c r="O3" i="7" l="1"/>
  <c r="O2" i="7" l="1"/>
  <c r="O5" i="7" s="1"/>
  <c r="O7" i="7" s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B50" i="4" s="1"/>
  <c r="C48" i="4"/>
  <c r="C47" i="4"/>
  <c r="B9" i="4"/>
  <c r="B8" i="4"/>
  <c r="B7" i="4"/>
  <c r="H11" i="7" s="1"/>
  <c r="B52" i="4" l="1"/>
  <c r="B53" i="4" s="1"/>
  <c r="B55" i="4" s="1"/>
  <c r="D49" i="4"/>
  <c r="H12" i="7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2" i="7" l="1"/>
  <c r="H3" i="7"/>
  <c r="F5" i="7" l="1"/>
  <c r="H2" i="7"/>
  <c r="H5" i="7" s="1"/>
  <c r="H7" i="7" s="1"/>
  <c r="F7" i="7" l="1"/>
  <c r="D20" i="7" s="1"/>
  <c r="D21" i="7"/>
  <c r="I12" i="7" s="1"/>
  <c r="J12" i="7" s="1"/>
  <c r="K12" i="7" s="1"/>
  <c r="L12" i="7" s="1"/>
  <c r="D12" i="16" s="1"/>
  <c r="I3" i="7" l="1"/>
  <c r="J3" i="7" s="1"/>
  <c r="K3" i="7" s="1"/>
  <c r="I11" i="7"/>
  <c r="J11" i="7" s="1"/>
  <c r="K11" i="7" s="1"/>
  <c r="L11" i="7" s="1"/>
  <c r="V12" i="7"/>
  <c r="I2" i="7"/>
  <c r="I5" i="7" s="1"/>
  <c r="I7" i="7" s="1"/>
  <c r="N12" i="7"/>
  <c r="W12" i="7" s="1"/>
  <c r="L3" i="7"/>
  <c r="V3" i="7" l="1"/>
  <c r="D11" i="16"/>
  <c r="V11" i="7"/>
  <c r="D8" i="16"/>
  <c r="E12" i="16"/>
  <c r="J2" i="7"/>
  <c r="K2" i="7" s="1"/>
  <c r="L2" i="7" s="1"/>
  <c r="N3" i="7"/>
  <c r="E8" i="16"/>
  <c r="N11" i="7"/>
  <c r="W11" i="7" s="1"/>
  <c r="E11" i="16"/>
  <c r="N2" i="7" l="1"/>
  <c r="W2" i="7" s="1"/>
  <c r="V2" i="7"/>
  <c r="R3" i="7"/>
  <c r="S3" i="7" s="1"/>
  <c r="T3" i="7" s="1"/>
  <c r="W3" i="7"/>
  <c r="P3" i="7"/>
  <c r="Q3" i="7" s="1"/>
  <c r="D7" i="16"/>
  <c r="D16" i="16" s="1"/>
  <c r="P2" i="7" l="1"/>
  <c r="Q2" i="7" s="1"/>
  <c r="E7" i="16"/>
  <c r="E16" i="16" s="1"/>
  <c r="R2" i="7"/>
  <c r="S2" i="7" s="1"/>
  <c r="T2" i="7" s="1"/>
  <c r="T5" i="7" s="1"/>
  <c r="T7" i="7" s="1"/>
  <c r="P5" i="7"/>
  <c r="P7" i="7" s="1"/>
  <c r="S5" i="7" l="1"/>
  <c r="S7" i="7" s="1"/>
  <c r="B60" i="4" l="1"/>
  <c r="B61" i="4" s="1"/>
  <c r="Q5" i="7"/>
  <c r="Q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B47" authorId="0" shapeId="0" xr:uid="{A4A811C1-3AE3-481F-A928-84CBBA1E8C59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rate used in the last general rate case.</t>
        </r>
      </text>
    </comment>
    <comment ref="B48" authorId="0" shapeId="0" xr:uid="{19F53BEF-A13D-4FAB-BE2D-321058EB12E9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2024 rate with Cedar Grove.
</t>
        </r>
      </text>
    </comment>
  </commentList>
</comments>
</file>

<file path=xl/sharedStrings.xml><?xml version="1.0" encoding="utf-8"?>
<sst xmlns="http://schemas.openxmlformats.org/spreadsheetml/2006/main" count="217" uniqueCount="171">
  <si>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</si>
  <si>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</si>
  <si>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</si>
  <si>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</si>
  <si>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</si>
  <si>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</si>
  <si>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</si>
  <si>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</si>
  <si>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</si>
  <si>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</si>
  <si>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</si>
  <si>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</si>
  <si>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</si>
  <si>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</si>
  <si>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</si>
  <si>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</si>
  <si>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</si>
  <si>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</si>
  <si>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</si>
  <si>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</si>
  <si>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</si>
  <si>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</si>
  <si>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</si>
  <si>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</si>
  <si>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</si>
  <si>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</si>
  <si>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</si>
  <si>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</si>
  <si>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</si>
  <si>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</si>
  <si>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</si>
  <si>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</si>
  <si>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</si>
  <si>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</si>
  <si>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</si>
  <si>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</si>
  <si>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</si>
  <si>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</si>
  <si>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</si>
  <si>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</si>
  <si>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</si>
  <si>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</si>
  <si>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</si>
  <si>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</si>
  <si>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</si>
  <si>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</si>
  <si>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</si>
  <si>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</si>
  <si>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</si>
  <si>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</si>
  <si>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</si>
  <si>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</si>
  <si>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</si>
  <si>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</si>
  <si>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</si>
  <si>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</si>
  <si>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</si>
  <si>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</si>
  <si>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</si>
  <si>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</si>
  <si>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</si>
  <si>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</si>
  <si>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</si>
  <si>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</si>
  <si>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</si>
  <si>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</si>
  <si>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</si>
  <si>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</si>
  <si>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</si>
  <si>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</si>
  <si>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</si>
  <si>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</si>
  <si>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</si>
  <si>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</si>
  <si>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</si>
  <si>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</si>
  <si>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</si>
  <si>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</si>
  <si>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</si>
  <si>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</si>
  <si>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</si>
  <si>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</si>
  <si>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</si>
  <si>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</si>
  <si>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</si>
  <si>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</si>
  <si>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</si>
  <si>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</si>
  <si>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</si>
  <si>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</si>
  <si>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</si>
  <si>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</si>
  <si>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</si>
  <si>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</si>
  <si>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</si>
  <si>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</si>
  <si>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</si>
  <si>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* not on meeks - calculated by staff in previous cases</t>
  </si>
  <si>
    <t>King County</t>
  </si>
  <si>
    <t>TOTAL</t>
  </si>
  <si>
    <t>Item 100, pg 21 Appendix A</t>
  </si>
  <si>
    <t>Item 100, pg 23 Appendix B</t>
  </si>
  <si>
    <t>No Customers</t>
  </si>
  <si>
    <t>LOB</t>
  </si>
  <si>
    <t>Matrl</t>
  </si>
  <si>
    <t>Rev Dist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</si>
  <si>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</si>
  <si>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</si>
  <si>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</si>
  <si>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</si>
  <si>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</si>
  <si>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</si>
  <si>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</si>
  <si>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</si>
  <si>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Residential YW</t>
  </si>
  <si>
    <t>Roll-off / Industrial</t>
  </si>
  <si>
    <t>I</t>
  </si>
  <si>
    <t>MSW</t>
  </si>
  <si>
    <t>Regulated Garbage</t>
  </si>
  <si>
    <t>Unregulated Garbage</t>
  </si>
  <si>
    <t>RCY</t>
  </si>
  <si>
    <t>Regulated RCY (MF)</t>
  </si>
  <si>
    <t>2G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</si>
  <si>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</si>
  <si>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</si>
  <si>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</si>
  <si>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</si>
  <si>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</si>
  <si>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</si>
  <si>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</si>
  <si>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R</t>
  </si>
  <si>
    <t>U</t>
  </si>
  <si>
    <t>C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</si>
  <si>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</si>
  <si>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</si>
  <si>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</si>
  <si>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</si>
  <si>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</si>
  <si>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</si>
  <si>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</si>
  <si>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</si>
  <si>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</si>
  <si>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</si>
  <si>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</si>
  <si>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</si>
  <si>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</si>
  <si>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</si>
  <si>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</si>
  <si>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</si>
  <si>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</si>
  <si>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</si>
  <si>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</si>
  <si>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no customers</t>
  </si>
  <si>
    <t>Company</t>
  </si>
  <si>
    <t>Current</t>
  </si>
  <si>
    <t>Proposed Increase</t>
  </si>
  <si>
    <t>Proposed</t>
  </si>
  <si>
    <t>Tariff</t>
  </si>
  <si>
    <t>Check</t>
  </si>
  <si>
    <t>Disposal Summary Report</t>
  </si>
  <si>
    <t>% increase check</t>
  </si>
  <si>
    <t>Rate check</t>
  </si>
  <si>
    <t>X</t>
  </si>
  <si>
    <t>Disposal Increase Effective 2/1/2024</t>
  </si>
  <si>
    <t>Cedar Grove</t>
  </si>
  <si>
    <t>Yardwaste/Organics 96G, EOW</t>
  </si>
  <si>
    <t>Yardwaste only, EOW</t>
  </si>
  <si>
    <t>Yardwaste only 96G, EOW</t>
  </si>
  <si>
    <t>2E</t>
  </si>
  <si>
    <t>Per General Rate Case filed in March 2023</t>
  </si>
  <si>
    <t>Item 100, pg 21A 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</si>
</sst>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</borders>
  <cellStyleXfs count="4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8" applyNumberFormat="0" applyFont="0" applyAlignment="0" applyProtection="0"/>
    <xf numFmtId="43" fontId="1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28" fillId="39" borderId="38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8" fillId="0" borderId="0" applyFont="0" applyFill="0" applyBorder="0" applyAlignment="0" applyProtection="0"/>
  </cellStyleXfs>
  <cellXfs count="264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6" borderId="36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7" xfId="0" applyFont="1" applyBorder="1"/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5" fontId="0" fillId="0" borderId="1" xfId="2" applyNumberFormat="1" applyFont="1" applyFill="1" applyBorder="1"/>
    <xf numFmtId="0" fontId="0" fillId="0" borderId="0" xfId="0" applyFont="1" applyFill="1"/>
    <xf numFmtId="165" fontId="0" fillId="0" borderId="0" xfId="2" applyNumberFormat="1" applyFont="1" applyFill="1"/>
    <xf numFmtId="44" fontId="0" fillId="0" borderId="0" xfId="2" applyFont="1" applyFill="1"/>
    <xf numFmtId="166" fontId="11" fillId="0" borderId="0" xfId="373" applyNumberFormat="1" applyFont="1" applyFill="1" applyBorder="1"/>
    <xf numFmtId="0" fontId="3" fillId="6" borderId="1" xfId="0" applyFont="1" applyFill="1" applyBorder="1" applyAlignment="1">
      <alignment horizontal="center"/>
    </xf>
    <xf numFmtId="167" fontId="0" fillId="40" borderId="0" xfId="1" applyNumberFormat="1" applyFont="1" applyFill="1"/>
    <xf numFmtId="167" fontId="0" fillId="40" borderId="0" xfId="1" applyNumberFormat="1" applyFont="1" applyFill="1" applyBorder="1"/>
    <xf numFmtId="167" fontId="0" fillId="40" borderId="1" xfId="1" applyNumberFormat="1" applyFont="1" applyFill="1" applyBorder="1"/>
    <xf numFmtId="166" fontId="0" fillId="40" borderId="0" xfId="1" applyNumberFormat="1" applyFont="1" applyFill="1" applyBorder="1"/>
    <xf numFmtId="0" fontId="1" fillId="0" borderId="0" xfId="23"/>
    <xf numFmtId="0" fontId="3" fillId="0" borderId="0" xfId="23" applyFont="1"/>
    <xf numFmtId="172" fontId="3" fillId="39" borderId="38" xfId="404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1" fillId="0" borderId="0" xfId="405" applyNumberFormat="1" applyFont="1"/>
    <xf numFmtId="166" fontId="3" fillId="0" borderId="0" xfId="23" applyNumberFormat="1" applyFont="1"/>
    <xf numFmtId="0" fontId="1" fillId="0" borderId="1" xfId="23" applyBorder="1"/>
    <xf numFmtId="166" fontId="11" fillId="0" borderId="1" xfId="405" applyNumberFormat="1" applyFont="1" applyBorder="1"/>
    <xf numFmtId="166" fontId="3" fillId="0" borderId="1" xfId="23" applyNumberFormat="1" applyFont="1" applyBorder="1"/>
    <xf numFmtId="166" fontId="1" fillId="0" borderId="0" xfId="23" applyNumberFormat="1"/>
    <xf numFmtId="166" fontId="11" fillId="0" borderId="0" xfId="405" applyNumberFormat="1" applyFont="1" applyBorder="1"/>
    <xf numFmtId="0" fontId="11" fillId="39" borderId="38" xfId="404" applyFont="1" applyAlignment="1">
      <alignment horizontal="center"/>
    </xf>
    <xf numFmtId="0" fontId="63" fillId="0" borderId="39" xfId="23" applyFont="1" applyBorder="1" applyAlignment="1">
      <alignment horizontal="center"/>
    </xf>
    <xf numFmtId="0" fontId="63" fillId="0" borderId="39" xfId="23" applyFont="1" applyBorder="1"/>
    <xf numFmtId="166" fontId="63" fillId="0" borderId="39" xfId="405" applyNumberFormat="1" applyFont="1" applyBorder="1"/>
    <xf numFmtId="166" fontId="64" fillId="0" borderId="39" xfId="23" applyNumberFormat="1" applyFont="1" applyBorder="1"/>
    <xf numFmtId="166" fontId="63" fillId="0" borderId="0" xfId="405" applyNumberFormat="1" applyFont="1"/>
    <xf numFmtId="0" fontId="63" fillId="0" borderId="0" xfId="23" applyFont="1"/>
    <xf numFmtId="171" fontId="11" fillId="0" borderId="0" xfId="407" applyNumberFormat="1" applyFont="1"/>
    <xf numFmtId="0" fontId="65" fillId="0" borderId="39" xfId="23" applyFont="1" applyBorder="1" applyAlignment="1">
      <alignment horizontal="center"/>
    </xf>
    <xf numFmtId="0" fontId="65" fillId="0" borderId="39" xfId="23" applyFont="1" applyBorder="1"/>
    <xf numFmtId="1" fontId="65" fillId="39" borderId="38" xfId="408" applyNumberFormat="1" applyFont="1" applyAlignment="1">
      <alignment horizontal="center"/>
    </xf>
    <xf numFmtId="0" fontId="65" fillId="0" borderId="0" xfId="23" applyFont="1"/>
    <xf numFmtId="166" fontId="65" fillId="0" borderId="0" xfId="405" applyNumberFormat="1" applyFont="1"/>
    <xf numFmtId="166" fontId="66" fillId="0" borderId="0" xfId="405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05" applyNumberFormat="1" applyFont="1" applyBorder="1"/>
    <xf numFmtId="166" fontId="3" fillId="0" borderId="3" xfId="23" applyNumberFormat="1" applyFont="1" applyBorder="1"/>
    <xf numFmtId="0" fontId="63" fillId="0" borderId="0" xfId="409" applyNumberFormat="1" applyFont="1"/>
    <xf numFmtId="171" fontId="63" fillId="0" borderId="0" xfId="409" applyNumberFormat="1" applyFont="1"/>
    <xf numFmtId="171" fontId="63" fillId="0" borderId="0" xfId="409" applyNumberFormat="1" applyFont="1" applyFill="1"/>
    <xf numFmtId="166" fontId="3" fillId="0" borderId="0" xfId="405" applyNumberFormat="1" applyFont="1"/>
    <xf numFmtId="0" fontId="1" fillId="0" borderId="40" xfId="23" applyBorder="1" applyAlignment="1">
      <alignment horizontal="center"/>
    </xf>
    <xf numFmtId="166" fontId="12" fillId="0" borderId="40" xfId="405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173" fontId="11" fillId="41" borderId="35" xfId="405" applyNumberFormat="1" applyFont="1" applyFill="1" applyBorder="1"/>
    <xf numFmtId="173" fontId="11" fillId="0" borderId="35" xfId="405" applyNumberFormat="1" applyFont="1" applyBorder="1"/>
    <xf numFmtId="0" fontId="11" fillId="39" borderId="41" xfId="404" applyFont="1" applyBorder="1" applyAlignment="1">
      <alignment horizontal="center"/>
    </xf>
    <xf numFmtId="0" fontId="63" fillId="2" borderId="39" xfId="23" applyFont="1" applyFill="1" applyBorder="1"/>
    <xf numFmtId="166" fontId="63" fillId="2" borderId="39" xfId="405" applyNumberFormat="1" applyFont="1" applyFill="1" applyBorder="1"/>
    <xf numFmtId="166" fontId="64" fillId="2" borderId="39" xfId="23" applyNumberFormat="1" applyFont="1" applyFill="1" applyBorder="1"/>
    <xf numFmtId="173" fontId="63" fillId="0" borderId="35" xfId="405" applyNumberFormat="1" applyFont="1" applyBorder="1"/>
    <xf numFmtId="0" fontId="63" fillId="0" borderId="42" xfId="23" applyFont="1" applyBorder="1"/>
    <xf numFmtId="166" fontId="63" fillId="0" borderId="35" xfId="405" applyNumberFormat="1" applyFont="1" applyBorder="1"/>
    <xf numFmtId="0" fontId="1" fillId="2" borderId="3" xfId="23" applyFill="1" applyBorder="1"/>
    <xf numFmtId="166" fontId="11" fillId="2" borderId="3" xfId="405" applyNumberFormat="1" applyFont="1" applyFill="1" applyBorder="1"/>
    <xf numFmtId="166" fontId="3" fillId="2" borderId="3" xfId="23" applyNumberFormat="1" applyFont="1" applyFill="1" applyBorder="1"/>
    <xf numFmtId="166" fontId="11" fillId="0" borderId="35" xfId="405" applyNumberFormat="1" applyFont="1" applyBorder="1"/>
    <xf numFmtId="173" fontId="1" fillId="41" borderId="35" xfId="23" applyNumberFormat="1" applyFill="1" applyBorder="1"/>
    <xf numFmtId="173" fontId="12" fillId="0" borderId="40" xfId="405" applyNumberFormat="1" applyFont="1" applyBorder="1"/>
    <xf numFmtId="0" fontId="9" fillId="0" borderId="0" xfId="23" applyFont="1"/>
    <xf numFmtId="0" fontId="65" fillId="0" borderId="0" xfId="409" applyNumberFormat="1" applyFont="1"/>
    <xf numFmtId="43" fontId="11" fillId="0" borderId="0" xfId="405" applyFont="1"/>
    <xf numFmtId="0" fontId="9" fillId="0" borderId="3" xfId="23" applyFont="1" applyBorder="1"/>
    <xf numFmtId="44" fontId="11" fillId="39" borderId="38" xfId="404" applyNumberFormat="1" applyFont="1"/>
    <xf numFmtId="44" fontId="11" fillId="0" borderId="0" xfId="410" applyFont="1"/>
    <xf numFmtId="44" fontId="3" fillId="0" borderId="0" xfId="410" applyFont="1"/>
    <xf numFmtId="0" fontId="67" fillId="38" borderId="34" xfId="23" applyFont="1" applyFill="1" applyBorder="1"/>
    <xf numFmtId="166" fontId="67" fillId="38" borderId="34" xfId="405" applyNumberFormat="1" applyFont="1" applyFill="1" applyBorder="1"/>
    <xf numFmtId="166" fontId="68" fillId="38" borderId="34" xfId="23" applyNumberFormat="1" applyFont="1" applyFill="1" applyBorder="1"/>
    <xf numFmtId="9" fontId="3" fillId="0" borderId="0" xfId="407" applyFont="1"/>
    <xf numFmtId="43" fontId="1" fillId="0" borderId="0" xfId="1" applyFont="1"/>
    <xf numFmtId="0" fontId="71" fillId="0" borderId="0" xfId="412" applyFont="1"/>
    <xf numFmtId="0" fontId="72" fillId="0" borderId="0" xfId="411" applyFont="1"/>
    <xf numFmtId="43" fontId="49" fillId="0" borderId="0" xfId="1" applyFont="1" applyFill="1" applyBorder="1"/>
    <xf numFmtId="43" fontId="2" fillId="0" borderId="0" xfId="1" applyFont="1"/>
    <xf numFmtId="0" fontId="2" fillId="0" borderId="0" xfId="412"/>
    <xf numFmtId="0" fontId="0" fillId="5" borderId="0" xfId="0" applyFill="1"/>
    <xf numFmtId="43" fontId="71" fillId="0" borderId="0" xfId="1" applyFont="1" applyFill="1" applyAlignment="1">
      <alignment horizontal="center"/>
    </xf>
    <xf numFmtId="43" fontId="71" fillId="0" borderId="0" xfId="1" applyFont="1" applyAlignment="1">
      <alignment horizontal="center"/>
    </xf>
    <xf numFmtId="0" fontId="2" fillId="0" borderId="0" xfId="412" applyAlignment="1">
      <alignment horizontal="center"/>
    </xf>
    <xf numFmtId="0" fontId="71" fillId="0" borderId="0" xfId="412" applyFont="1" applyAlignment="1">
      <alignment horizontal="center"/>
    </xf>
    <xf numFmtId="14" fontId="2" fillId="0" borderId="0" xfId="412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412" applyNumberFormat="1"/>
    <xf numFmtId="0" fontId="2" fillId="5" borderId="0" xfId="412" applyFill="1"/>
    <xf numFmtId="43" fontId="2" fillId="5" borderId="0" xfId="1" applyFont="1" applyFill="1"/>
    <xf numFmtId="0" fontId="2" fillId="0" borderId="0" xfId="412" applyFill="1"/>
    <xf numFmtId="44" fontId="0" fillId="42" borderId="0" xfId="2" applyFont="1" applyFill="1"/>
    <xf numFmtId="44" fontId="0" fillId="42" borderId="1" xfId="2" applyFont="1" applyFill="1" applyBorder="1"/>
    <xf numFmtId="169" fontId="0" fillId="0" borderId="0" xfId="0" applyNumberFormat="1" applyFont="1" applyFill="1"/>
    <xf numFmtId="166" fontId="11" fillId="42" borderId="0" xfId="1" applyNumberFormat="1" applyFont="1" applyFill="1" applyAlignment="1">
      <alignment horizontal="left" indent="2"/>
    </xf>
    <xf numFmtId="166" fontId="11" fillId="42" borderId="0" xfId="1" applyNumberFormat="1" applyFont="1" applyFill="1" applyBorder="1" applyAlignment="1">
      <alignment horizontal="left" indent="2"/>
    </xf>
    <xf numFmtId="44" fontId="11" fillId="42" borderId="0" xfId="10" applyFont="1" applyFill="1" applyBorder="1"/>
    <xf numFmtId="0" fontId="0" fillId="0" borderId="37" xfId="0" applyFont="1" applyFill="1" applyBorder="1"/>
    <xf numFmtId="37" fontId="11" fillId="0" borderId="0" xfId="4" applyNumberFormat="1" applyFont="1" applyFill="1" applyBorder="1" applyAlignment="1" applyProtection="1">
      <alignment horizontal="right"/>
    </xf>
    <xf numFmtId="166" fontId="11" fillId="0" borderId="0" xfId="405" applyNumberFormat="1" applyFont="1" applyFill="1"/>
    <xf numFmtId="166" fontId="11" fillId="0" borderId="1" xfId="405" applyNumberFormat="1" applyFont="1" applyFill="1" applyBorder="1"/>
    <xf numFmtId="0" fontId="74" fillId="0" borderId="0" xfId="23" applyFont="1" applyAlignment="1">
      <alignment horizontal="left" vertical="center"/>
    </xf>
    <xf numFmtId="8" fontId="11" fillId="39" borderId="38" xfId="404" applyNumberFormat="1" applyFont="1"/>
    <xf numFmtId="44" fontId="11" fillId="0" borderId="0" xfId="410" applyFont="1" applyFill="1"/>
    <xf numFmtId="166" fontId="9" fillId="0" borderId="1" xfId="405" applyNumberFormat="1" applyFont="1" applyFill="1" applyBorder="1"/>
    <xf numFmtId="0" fontId="1" fillId="43" borderId="0" xfId="23" applyFill="1" applyAlignment="1">
      <alignment horizontal="center"/>
    </xf>
    <xf numFmtId="0" fontId="1" fillId="43" borderId="0" xfId="23" applyFill="1"/>
    <xf numFmtId="166" fontId="11" fillId="43" borderId="0" xfId="405" applyNumberFormat="1" applyFont="1" applyFill="1"/>
    <xf numFmtId="166" fontId="3" fillId="43" borderId="0" xfId="23" applyNumberFormat="1" applyFont="1" applyFill="1"/>
    <xf numFmtId="169" fontId="0" fillId="0" borderId="0" xfId="2" applyNumberFormat="1" applyFont="1" applyFill="1"/>
    <xf numFmtId="0" fontId="0" fillId="0" borderId="0" xfId="0" applyFont="1" applyFill="1" applyBorder="1" applyAlignment="1">
      <alignment horizontal="left"/>
    </xf>
    <xf numFmtId="166" fontId="11" fillId="42" borderId="0" xfId="373" applyNumberFormat="1" applyFont="1" applyFill="1"/>
    <xf numFmtId="44" fontId="11" fillId="42" borderId="0" xfId="10" applyFont="1" applyFill="1"/>
    <xf numFmtId="10" fontId="0" fillId="0" borderId="0" xfId="3" applyNumberFormat="1" applyFont="1" applyFill="1"/>
    <xf numFmtId="171" fontId="0" fillId="0" borderId="0" xfId="3" applyNumberFormat="1" applyFont="1" applyFill="1" applyBorder="1"/>
    <xf numFmtId="10" fontId="0" fillId="0" borderId="0" xfId="3" applyNumberFormat="1" applyFont="1" applyFill="1" applyBorder="1"/>
    <xf numFmtId="0" fontId="75" fillId="6" borderId="0" xfId="0" applyFont="1" applyFill="1" applyBorder="1" applyAlignment="1">
      <alignment horizontal="center" wrapText="1"/>
    </xf>
    <xf numFmtId="0" fontId="7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4" fontId="3" fillId="0" borderId="0" xfId="2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Border="1" applyAlignment="1">
      <alignment horizontal="left" vertical="top" indent="1"/>
    </xf>
    <xf numFmtId="0" fontId="3" fillId="6" borderId="0" xfId="0" applyFont="1" applyFill="1" applyBorder="1" applyAlignment="1">
      <alignment horizontal="center" vertical="center"/>
    </xf>
    <xf numFmtId="0" fontId="3" fillId="0" borderId="0" xfId="23" applyFont="1" applyAlignment="1">
      <alignment horizontal="center"/>
    </xf>
    <xf numFmtId="0" fontId="3" fillId="5" borderId="0" xfId="23" applyFont="1" applyFill="1" applyAlignment="1">
      <alignment horizontal="left"/>
    </xf>
    <xf numFmtId="0" fontId="1" fillId="5" borderId="0" xfId="23" applyFill="1" applyAlignment="1">
      <alignment horizontal="center"/>
    </xf>
    <xf numFmtId="0" fontId="1" fillId="5" borderId="0" xfId="23" applyFill="1"/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4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1" xfId="396" xr:uid="{00000000-0005-0000-0000-00006C000000}"/>
    <cellStyle name="Comma 3" xfId="9" xr:uid="{00000000-0005-0000-0000-00006D000000}"/>
    <cellStyle name="Comma 3 2" xfId="106" xr:uid="{00000000-0005-0000-0000-00006E000000}"/>
    <cellStyle name="Comma 3 2 2" xfId="107" xr:uid="{00000000-0005-0000-0000-00006F000000}"/>
    <cellStyle name="Comma 3 3" xfId="287" xr:uid="{00000000-0005-0000-0000-000070000000}"/>
    <cellStyle name="Comma 3 4" xfId="322" xr:uid="{00000000-0005-0000-0000-000071000000}"/>
    <cellStyle name="Comma 4" xfId="108" xr:uid="{00000000-0005-0000-0000-000072000000}"/>
    <cellStyle name="Comma 4 2" xfId="109" xr:uid="{00000000-0005-0000-0000-000073000000}"/>
    <cellStyle name="Comma 4 2 2" xfId="288" xr:uid="{00000000-0005-0000-0000-000074000000}"/>
    <cellStyle name="Comma 4 3" xfId="110" xr:uid="{00000000-0005-0000-0000-000075000000}"/>
    <cellStyle name="Comma 4 3 2" xfId="289" xr:uid="{00000000-0005-0000-0000-000076000000}"/>
    <cellStyle name="Comma 4 4" xfId="290" xr:uid="{00000000-0005-0000-0000-000077000000}"/>
    <cellStyle name="Comma 4 5" xfId="111" xr:uid="{00000000-0005-0000-0000-000078000000}"/>
    <cellStyle name="Comma 4 6" xfId="280" xr:uid="{00000000-0005-0000-0000-000079000000}"/>
    <cellStyle name="Comma 5" xfId="112" xr:uid="{00000000-0005-0000-0000-00007A000000}"/>
    <cellStyle name="Comma 6" xfId="113" xr:uid="{00000000-0005-0000-0000-00007B000000}"/>
    <cellStyle name="Comma 6 2" xfId="323" xr:uid="{00000000-0005-0000-0000-00007C000000}"/>
    <cellStyle name="Comma 7" xfId="114" xr:uid="{00000000-0005-0000-0000-00007D000000}"/>
    <cellStyle name="Comma 7 2" xfId="405" xr:uid="{F7825E2E-B097-49F7-A0EC-FECA4C1B829C}"/>
    <cellStyle name="Comma 8" xfId="115" xr:uid="{00000000-0005-0000-0000-00007E000000}"/>
    <cellStyle name="Comma 9" xfId="116" xr:uid="{00000000-0005-0000-0000-00007F000000}"/>
    <cellStyle name="Comma(2)" xfId="117" xr:uid="{00000000-0005-0000-0000-000080000000}"/>
    <cellStyle name="Comma0 - Style2" xfId="118" xr:uid="{00000000-0005-0000-0000-000081000000}"/>
    <cellStyle name="Comma1 - Style1" xfId="119" xr:uid="{00000000-0005-0000-0000-000082000000}"/>
    <cellStyle name="Comments" xfId="120" xr:uid="{00000000-0005-0000-0000-000083000000}"/>
    <cellStyle name="Currency" xfId="2" builtinId="4"/>
    <cellStyle name="Currency 10" xfId="324" xr:uid="{00000000-0005-0000-0000-000085000000}"/>
    <cellStyle name="Currency 11" xfId="371" xr:uid="{00000000-0005-0000-0000-000086000000}"/>
    <cellStyle name="Currency 12" xfId="397" xr:uid="{00000000-0005-0000-0000-000087000000}"/>
    <cellStyle name="Currency 13" xfId="413" xr:uid="{DB06B991-BB4E-429F-8B48-D420E189666A}"/>
    <cellStyle name="Currency 2" xfId="10" xr:uid="{00000000-0005-0000-0000-000088000000}"/>
    <cellStyle name="Currency 2 2" xfId="11" xr:uid="{00000000-0005-0000-0000-000089000000}"/>
    <cellStyle name="Currency 2 2 2" xfId="123" xr:uid="{00000000-0005-0000-0000-00008A000000}"/>
    <cellStyle name="Currency 2 3" xfId="122" xr:uid="{00000000-0005-0000-0000-00008B000000}"/>
    <cellStyle name="Currency 2 3 2" xfId="325" xr:uid="{00000000-0005-0000-0000-00008C000000}"/>
    <cellStyle name="Currency 2 6" xfId="12" xr:uid="{00000000-0005-0000-0000-00008D000000}"/>
    <cellStyle name="Currency 2 6 2" xfId="13" xr:uid="{00000000-0005-0000-0000-00008E000000}"/>
    <cellStyle name="Currency 3" xfId="14" xr:uid="{00000000-0005-0000-0000-00008F000000}"/>
    <cellStyle name="Currency 3 2" xfId="125" xr:uid="{00000000-0005-0000-0000-000090000000}"/>
    <cellStyle name="Currency 3 3" xfId="124" xr:uid="{00000000-0005-0000-0000-000091000000}"/>
    <cellStyle name="Currency 3 4" xfId="291" xr:uid="{00000000-0005-0000-0000-000092000000}"/>
    <cellStyle name="Currency 4" xfId="15" xr:uid="{00000000-0005-0000-0000-000093000000}"/>
    <cellStyle name="Currency 4 2" xfId="16" xr:uid="{00000000-0005-0000-0000-000094000000}"/>
    <cellStyle name="Currency 5" xfId="121" xr:uid="{00000000-0005-0000-0000-000095000000}"/>
    <cellStyle name="Currency 5 2" xfId="276" xr:uid="{00000000-0005-0000-0000-000096000000}"/>
    <cellStyle name="Currency 5 3" xfId="292" xr:uid="{00000000-0005-0000-0000-000097000000}"/>
    <cellStyle name="Currency 6" xfId="293" xr:uid="{00000000-0005-0000-0000-000098000000}"/>
    <cellStyle name="Currency 7" xfId="294" xr:uid="{00000000-0005-0000-0000-000099000000}"/>
    <cellStyle name="Currency 7 2" xfId="410" xr:uid="{898510EC-5DD1-428F-82C6-564A49ED963E}"/>
    <cellStyle name="Currency 8" xfId="326" xr:uid="{00000000-0005-0000-0000-00009A000000}"/>
    <cellStyle name="Currency 9" xfId="327" xr:uid="{00000000-0005-0000-0000-00009B000000}"/>
    <cellStyle name="Data Enter" xfId="126" xr:uid="{00000000-0005-0000-0000-00009C000000}"/>
    <cellStyle name="date" xfId="328" xr:uid="{00000000-0005-0000-0000-00009D000000}"/>
    <cellStyle name="Explanatory Text 2" xfId="128" xr:uid="{00000000-0005-0000-0000-00009E000000}"/>
    <cellStyle name="Explanatory Text 3" xfId="127" xr:uid="{00000000-0005-0000-0000-00009F000000}"/>
    <cellStyle name="FactSheet" xfId="129" xr:uid="{00000000-0005-0000-0000-0000A0000000}"/>
    <cellStyle name="fish" xfId="329" xr:uid="{00000000-0005-0000-0000-0000A1000000}"/>
    <cellStyle name="Good 2" xfId="131" xr:uid="{00000000-0005-0000-0000-0000A2000000}"/>
    <cellStyle name="Good 3" xfId="130" xr:uid="{00000000-0005-0000-0000-0000A3000000}"/>
    <cellStyle name="Heading 1 2" xfId="133" xr:uid="{00000000-0005-0000-0000-0000A4000000}"/>
    <cellStyle name="Heading 1 2 2" xfId="330" xr:uid="{00000000-0005-0000-0000-0000A5000000}"/>
    <cellStyle name="Heading 1 3" xfId="132" xr:uid="{00000000-0005-0000-0000-0000A6000000}"/>
    <cellStyle name="Heading 1 3 2" xfId="331" xr:uid="{00000000-0005-0000-0000-0000A7000000}"/>
    <cellStyle name="Heading 2 2" xfId="135" xr:uid="{00000000-0005-0000-0000-0000A8000000}"/>
    <cellStyle name="Heading 2 2 2" xfId="332" xr:uid="{00000000-0005-0000-0000-0000A9000000}"/>
    <cellStyle name="Heading 2 3" xfId="134" xr:uid="{00000000-0005-0000-0000-0000AA000000}"/>
    <cellStyle name="Heading 2 3 2" xfId="333" xr:uid="{00000000-0005-0000-0000-0000AB000000}"/>
    <cellStyle name="Heading 3 2" xfId="137" xr:uid="{00000000-0005-0000-0000-0000AC000000}"/>
    <cellStyle name="Heading 3 2 2" xfId="334" xr:uid="{00000000-0005-0000-0000-0000AD000000}"/>
    <cellStyle name="Heading 3 3" xfId="136" xr:uid="{00000000-0005-0000-0000-0000AE000000}"/>
    <cellStyle name="Heading 3 3 2" xfId="335" xr:uid="{00000000-0005-0000-0000-0000AF000000}"/>
    <cellStyle name="Heading 4 2" xfId="139" xr:uid="{00000000-0005-0000-0000-0000B0000000}"/>
    <cellStyle name="Heading 4 3" xfId="138" xr:uid="{00000000-0005-0000-0000-0000B1000000}"/>
    <cellStyle name="Heading 4 4" xfId="398" xr:uid="{00000000-0005-0000-0000-0000B2000000}"/>
    <cellStyle name="Hyperlink 2" xfId="140" xr:uid="{00000000-0005-0000-0000-0000B3000000}"/>
    <cellStyle name="Hyperlink 3" xfId="141" xr:uid="{00000000-0005-0000-0000-0000B4000000}"/>
    <cellStyle name="Hyperlink 3 2" xfId="295" xr:uid="{00000000-0005-0000-0000-0000B5000000}"/>
    <cellStyle name="Input 2" xfId="143" xr:uid="{00000000-0005-0000-0000-0000B6000000}"/>
    <cellStyle name="Input 3" xfId="142" xr:uid="{00000000-0005-0000-0000-0000B7000000}"/>
    <cellStyle name="Input 4" xfId="399" xr:uid="{00000000-0005-0000-0000-0000B8000000}"/>
    <cellStyle name="input(0)" xfId="144" xr:uid="{00000000-0005-0000-0000-0000B9000000}"/>
    <cellStyle name="Input(2)" xfId="145" xr:uid="{00000000-0005-0000-0000-0000BA000000}"/>
    <cellStyle name="Linked Cell 2" xfId="147" xr:uid="{00000000-0005-0000-0000-0000BB000000}"/>
    <cellStyle name="Linked Cell 2 2" xfId="336" xr:uid="{00000000-0005-0000-0000-0000BC000000}"/>
    <cellStyle name="Linked Cell 3" xfId="146" xr:uid="{00000000-0005-0000-0000-0000BD000000}"/>
    <cellStyle name="Neutral 2" xfId="149" xr:uid="{00000000-0005-0000-0000-0000BE000000}"/>
    <cellStyle name="Neutral 2 2" xfId="337" xr:uid="{00000000-0005-0000-0000-0000BF000000}"/>
    <cellStyle name="Neutral 3" xfId="148" xr:uid="{00000000-0005-0000-0000-0000C0000000}"/>
    <cellStyle name="New_normal" xfId="150" xr:uid="{00000000-0005-0000-0000-0000C1000000}"/>
    <cellStyle name="Normal" xfId="0" builtinId="0"/>
    <cellStyle name="Normal - Style1" xfId="151" xr:uid="{00000000-0005-0000-0000-0000C3000000}"/>
    <cellStyle name="Normal - Style2" xfId="152" xr:uid="{00000000-0005-0000-0000-0000C4000000}"/>
    <cellStyle name="Normal - Style3" xfId="153" xr:uid="{00000000-0005-0000-0000-0000C5000000}"/>
    <cellStyle name="Normal - Style4" xfId="154" xr:uid="{00000000-0005-0000-0000-0000C6000000}"/>
    <cellStyle name="Normal - Style5" xfId="155" xr:uid="{00000000-0005-0000-0000-0000C7000000}"/>
    <cellStyle name="Normal 10" xfId="156" xr:uid="{00000000-0005-0000-0000-0000C8000000}"/>
    <cellStyle name="Normal 10 2" xfId="17" xr:uid="{00000000-0005-0000-0000-0000C9000000}"/>
    <cellStyle name="Normal 10 2 2" xfId="339" xr:uid="{00000000-0005-0000-0000-0000CA000000}"/>
    <cellStyle name="Normal 10 2 3" xfId="338" xr:uid="{00000000-0005-0000-0000-0000CB000000}"/>
    <cellStyle name="Normal 10_2112 DF Schedule" xfId="340" xr:uid="{00000000-0005-0000-0000-0000CC000000}"/>
    <cellStyle name="Normal 100" xfId="380" xr:uid="{00000000-0005-0000-0000-0000CD000000}"/>
    <cellStyle name="Normal 101" xfId="382" xr:uid="{00000000-0005-0000-0000-0000CE000000}"/>
    <cellStyle name="Normal 102" xfId="383" xr:uid="{00000000-0005-0000-0000-0000CF000000}"/>
    <cellStyle name="Normal 103" xfId="384" xr:uid="{00000000-0005-0000-0000-0000D0000000}"/>
    <cellStyle name="Normal 104" xfId="385" xr:uid="{00000000-0005-0000-0000-0000D1000000}"/>
    <cellStyle name="Normal 105" xfId="381" xr:uid="{00000000-0005-0000-0000-0000D2000000}"/>
    <cellStyle name="Normal 106" xfId="386" xr:uid="{00000000-0005-0000-0000-0000D3000000}"/>
    <cellStyle name="Normal 107" xfId="387" xr:uid="{00000000-0005-0000-0000-0000D4000000}"/>
    <cellStyle name="Normal 108" xfId="388" xr:uid="{00000000-0005-0000-0000-0000D5000000}"/>
    <cellStyle name="Normal 109" xfId="389" xr:uid="{00000000-0005-0000-0000-0000D6000000}"/>
    <cellStyle name="Normal 11" xfId="157" xr:uid="{00000000-0005-0000-0000-0000D7000000}"/>
    <cellStyle name="Normal 12" xfId="158" xr:uid="{00000000-0005-0000-0000-0000D8000000}"/>
    <cellStyle name="Normal 12 2" xfId="341" xr:uid="{00000000-0005-0000-0000-0000D9000000}"/>
    <cellStyle name="Normal 13" xfId="159" xr:uid="{00000000-0005-0000-0000-0000DA000000}"/>
    <cellStyle name="Normal 13 2" xfId="342" xr:uid="{00000000-0005-0000-0000-0000DB000000}"/>
    <cellStyle name="Normal 14" xfId="160" xr:uid="{00000000-0005-0000-0000-0000DC000000}"/>
    <cellStyle name="Normal 14 2" xfId="343" xr:uid="{00000000-0005-0000-0000-0000DD000000}"/>
    <cellStyle name="Normal 15" xfId="161" xr:uid="{00000000-0005-0000-0000-0000DE000000}"/>
    <cellStyle name="Normal 15 2" xfId="344" xr:uid="{00000000-0005-0000-0000-0000DF000000}"/>
    <cellStyle name="Normal 16" xfId="162" xr:uid="{00000000-0005-0000-0000-0000E0000000}"/>
    <cellStyle name="Normal 16 2" xfId="345" xr:uid="{00000000-0005-0000-0000-0000E1000000}"/>
    <cellStyle name="Normal 163" xfId="406" xr:uid="{27DB31C2-0860-4A82-BA18-914633BFB6E6}"/>
    <cellStyle name="Normal 17" xfId="163" xr:uid="{00000000-0005-0000-0000-0000E2000000}"/>
    <cellStyle name="Normal 17 2" xfId="346" xr:uid="{00000000-0005-0000-0000-0000E3000000}"/>
    <cellStyle name="Normal 18" xfId="164" xr:uid="{00000000-0005-0000-0000-0000E4000000}"/>
    <cellStyle name="Normal 18 2" xfId="347" xr:uid="{00000000-0005-0000-0000-0000E5000000}"/>
    <cellStyle name="Normal 19" xfId="165" xr:uid="{00000000-0005-0000-0000-0000E6000000}"/>
    <cellStyle name="Normal 19 2" xfId="348" xr:uid="{00000000-0005-0000-0000-0000E7000000}"/>
    <cellStyle name="Normal 2" xfId="18" xr:uid="{00000000-0005-0000-0000-0000E8000000}"/>
    <cellStyle name="Normal 2 2" xfId="19" xr:uid="{00000000-0005-0000-0000-0000E9000000}"/>
    <cellStyle name="Normal 2 2 2" xfId="167" xr:uid="{00000000-0005-0000-0000-0000EA000000}"/>
    <cellStyle name="Normal 2 2 3" xfId="166" xr:uid="{00000000-0005-0000-0000-0000EB000000}"/>
    <cellStyle name="Normal 2 2_Actual_Fuel" xfId="168" xr:uid="{00000000-0005-0000-0000-0000EC000000}"/>
    <cellStyle name="Normal 2 3" xfId="169" xr:uid="{00000000-0005-0000-0000-0000ED000000}"/>
    <cellStyle name="Normal 2 3 2" xfId="170" xr:uid="{00000000-0005-0000-0000-0000EE000000}"/>
    <cellStyle name="Normal 2 3 3" xfId="296" xr:uid="{00000000-0005-0000-0000-0000EF000000}"/>
    <cellStyle name="Normal 2 4" xfId="297" xr:uid="{00000000-0005-0000-0000-0000F0000000}"/>
    <cellStyle name="Normal 2 5" xfId="298" xr:uid="{00000000-0005-0000-0000-0000F1000000}"/>
    <cellStyle name="Normal 2_2012-10" xfId="171" xr:uid="{00000000-0005-0000-0000-0000F2000000}"/>
    <cellStyle name="Normal 20" xfId="172" xr:uid="{00000000-0005-0000-0000-0000F3000000}"/>
    <cellStyle name="Normal 21" xfId="173" xr:uid="{00000000-0005-0000-0000-0000F4000000}"/>
    <cellStyle name="Normal 22" xfId="174" xr:uid="{00000000-0005-0000-0000-0000F5000000}"/>
    <cellStyle name="Normal 23" xfId="175" xr:uid="{00000000-0005-0000-0000-0000F6000000}"/>
    <cellStyle name="Normal 24" xfId="176" xr:uid="{00000000-0005-0000-0000-0000F7000000}"/>
    <cellStyle name="Normal 25" xfId="177" xr:uid="{00000000-0005-0000-0000-0000F8000000}"/>
    <cellStyle name="Normal 26" xfId="178" xr:uid="{00000000-0005-0000-0000-0000F9000000}"/>
    <cellStyle name="Normal 27" xfId="179" xr:uid="{00000000-0005-0000-0000-0000FA000000}"/>
    <cellStyle name="Normal 28" xfId="180" xr:uid="{00000000-0005-0000-0000-0000FB000000}"/>
    <cellStyle name="Normal 29" xfId="181" xr:uid="{00000000-0005-0000-0000-0000FC000000}"/>
    <cellStyle name="Normal 3" xfId="20" xr:uid="{00000000-0005-0000-0000-0000FD000000}"/>
    <cellStyle name="Normal 3 2" xfId="183" xr:uid="{00000000-0005-0000-0000-0000FE000000}"/>
    <cellStyle name="Normal 3 3" xfId="182" xr:uid="{00000000-0005-0000-0000-0000FF000000}"/>
    <cellStyle name="Normal 3 4" xfId="281" xr:uid="{00000000-0005-0000-0000-000000010000}"/>
    <cellStyle name="Normal 3_2012 PR" xfId="184" xr:uid="{00000000-0005-0000-0000-000001010000}"/>
    <cellStyle name="Normal 30" xfId="185" xr:uid="{00000000-0005-0000-0000-000002010000}"/>
    <cellStyle name="Normal 31" xfId="186" xr:uid="{00000000-0005-0000-0000-000003010000}"/>
    <cellStyle name="Normal 32" xfId="187" xr:uid="{00000000-0005-0000-0000-000004010000}"/>
    <cellStyle name="Normal 33" xfId="188" xr:uid="{00000000-0005-0000-0000-000005010000}"/>
    <cellStyle name="Normal 34" xfId="189" xr:uid="{00000000-0005-0000-0000-000006010000}"/>
    <cellStyle name="Normal 35" xfId="190" xr:uid="{00000000-0005-0000-0000-000007010000}"/>
    <cellStyle name="Normal 36" xfId="191" xr:uid="{00000000-0005-0000-0000-000008010000}"/>
    <cellStyle name="Normal 37" xfId="192" xr:uid="{00000000-0005-0000-0000-000009010000}"/>
    <cellStyle name="Normal 38" xfId="193" xr:uid="{00000000-0005-0000-0000-00000A010000}"/>
    <cellStyle name="Normal 39" xfId="194" xr:uid="{00000000-0005-0000-0000-00000B010000}"/>
    <cellStyle name="Normal 4" xfId="21" xr:uid="{00000000-0005-0000-0000-00000C010000}"/>
    <cellStyle name="Normal 4 2" xfId="195" xr:uid="{00000000-0005-0000-0000-00000D010000}"/>
    <cellStyle name="Normal 40" xfId="196" xr:uid="{00000000-0005-0000-0000-00000E010000}"/>
    <cellStyle name="Normal 41" xfId="197" xr:uid="{00000000-0005-0000-0000-00000F010000}"/>
    <cellStyle name="Normal 42" xfId="198" xr:uid="{00000000-0005-0000-0000-000010010000}"/>
    <cellStyle name="Normal 43" xfId="199" xr:uid="{00000000-0005-0000-0000-000011010000}"/>
    <cellStyle name="Normal 44" xfId="200" xr:uid="{00000000-0005-0000-0000-000012010000}"/>
    <cellStyle name="Normal 45" xfId="201" xr:uid="{00000000-0005-0000-0000-000013010000}"/>
    <cellStyle name="Normal 46" xfId="202" xr:uid="{00000000-0005-0000-0000-000014010000}"/>
    <cellStyle name="Normal 47" xfId="203" xr:uid="{00000000-0005-0000-0000-000015010000}"/>
    <cellStyle name="Normal 48" xfId="204" xr:uid="{00000000-0005-0000-0000-000016010000}"/>
    <cellStyle name="Normal 49" xfId="205" xr:uid="{00000000-0005-0000-0000-000017010000}"/>
    <cellStyle name="Normal 5" xfId="22" xr:uid="{00000000-0005-0000-0000-000018010000}"/>
    <cellStyle name="Normal 5 2" xfId="206" xr:uid="{00000000-0005-0000-0000-000019010000}"/>
    <cellStyle name="Normal 5_2112 DF Schedule" xfId="349" xr:uid="{00000000-0005-0000-0000-00001A010000}"/>
    <cellStyle name="Normal 50" xfId="207" xr:uid="{00000000-0005-0000-0000-00001B010000}"/>
    <cellStyle name="Normal 51" xfId="208" xr:uid="{00000000-0005-0000-0000-00001C010000}"/>
    <cellStyle name="Normal 52" xfId="209" xr:uid="{00000000-0005-0000-0000-00001D010000}"/>
    <cellStyle name="Normal 53" xfId="210" xr:uid="{00000000-0005-0000-0000-00001E010000}"/>
    <cellStyle name="Normal 54" xfId="211" xr:uid="{00000000-0005-0000-0000-00001F010000}"/>
    <cellStyle name="Normal 55" xfId="212" xr:uid="{00000000-0005-0000-0000-000020010000}"/>
    <cellStyle name="Normal 56" xfId="213" xr:uid="{00000000-0005-0000-0000-000021010000}"/>
    <cellStyle name="Normal 57" xfId="214" xr:uid="{00000000-0005-0000-0000-000022010000}"/>
    <cellStyle name="Normal 58" xfId="215" xr:uid="{00000000-0005-0000-0000-000023010000}"/>
    <cellStyle name="Normal 59" xfId="216" xr:uid="{00000000-0005-0000-0000-000024010000}"/>
    <cellStyle name="Normal 6" xfId="23" xr:uid="{00000000-0005-0000-0000-000025010000}"/>
    <cellStyle name="Normal 6 2" xfId="217" xr:uid="{00000000-0005-0000-0000-000026010000}"/>
    <cellStyle name="Normal 60" xfId="218" xr:uid="{00000000-0005-0000-0000-000027010000}"/>
    <cellStyle name="Normal 61" xfId="219" xr:uid="{00000000-0005-0000-0000-000028010000}"/>
    <cellStyle name="Normal 62" xfId="220" xr:uid="{00000000-0005-0000-0000-000029010000}"/>
    <cellStyle name="Normal 63" xfId="221" xr:uid="{00000000-0005-0000-0000-00002A010000}"/>
    <cellStyle name="Normal 64" xfId="222" xr:uid="{00000000-0005-0000-0000-00002B010000}"/>
    <cellStyle name="Normal 65" xfId="223" xr:uid="{00000000-0005-0000-0000-00002C010000}"/>
    <cellStyle name="Normal 66" xfId="224" xr:uid="{00000000-0005-0000-0000-00002D010000}"/>
    <cellStyle name="Normal 67" xfId="225" xr:uid="{00000000-0005-0000-0000-00002E010000}"/>
    <cellStyle name="Normal 68" xfId="226" xr:uid="{00000000-0005-0000-0000-00002F010000}"/>
    <cellStyle name="Normal 69" xfId="227" xr:uid="{00000000-0005-0000-0000-000030010000}"/>
    <cellStyle name="Normal 7" xfId="228" xr:uid="{00000000-0005-0000-0000-000031010000}"/>
    <cellStyle name="Normal 70" xfId="229" xr:uid="{00000000-0005-0000-0000-000032010000}"/>
    <cellStyle name="Normal 71" xfId="230" xr:uid="{00000000-0005-0000-0000-000033010000}"/>
    <cellStyle name="Normal 72" xfId="231" xr:uid="{00000000-0005-0000-0000-000034010000}"/>
    <cellStyle name="Normal 73" xfId="232" xr:uid="{00000000-0005-0000-0000-000035010000}"/>
    <cellStyle name="Normal 74" xfId="233" xr:uid="{00000000-0005-0000-0000-000036010000}"/>
    <cellStyle name="Normal 75" xfId="234" xr:uid="{00000000-0005-0000-0000-000037010000}"/>
    <cellStyle name="Normal 76" xfId="235" xr:uid="{00000000-0005-0000-0000-000038010000}"/>
    <cellStyle name="Normal 77" xfId="236" xr:uid="{00000000-0005-0000-0000-000039010000}"/>
    <cellStyle name="Normal 78" xfId="237" xr:uid="{00000000-0005-0000-0000-00003A010000}"/>
    <cellStyle name="Normal 79" xfId="238" xr:uid="{00000000-0005-0000-0000-00003B010000}"/>
    <cellStyle name="Normal 8" xfId="239" xr:uid="{00000000-0005-0000-0000-00003C010000}"/>
    <cellStyle name="Normal 80" xfId="240" xr:uid="{00000000-0005-0000-0000-00003D010000}"/>
    <cellStyle name="Normal 81" xfId="241" xr:uid="{00000000-0005-0000-0000-00003E010000}"/>
    <cellStyle name="Normal 82" xfId="242" xr:uid="{00000000-0005-0000-0000-00003F010000}"/>
    <cellStyle name="Normal 83" xfId="243" xr:uid="{00000000-0005-0000-0000-000040010000}"/>
    <cellStyle name="Normal 84" xfId="38" xr:uid="{00000000-0005-0000-0000-000041010000}"/>
    <cellStyle name="Normal 84 2" xfId="278" xr:uid="{00000000-0005-0000-0000-000042010000}"/>
    <cellStyle name="Normal 84 3" xfId="350" xr:uid="{00000000-0005-0000-0000-000043010000}"/>
    <cellStyle name="Normal 85" xfId="252" xr:uid="{00000000-0005-0000-0000-000044010000}"/>
    <cellStyle name="Normal 86" xfId="270" xr:uid="{00000000-0005-0000-0000-000045010000}"/>
    <cellStyle name="Normal 87" xfId="271" xr:uid="{00000000-0005-0000-0000-000046010000}"/>
    <cellStyle name="Normal 88" xfId="272" xr:uid="{00000000-0005-0000-0000-000047010000}"/>
    <cellStyle name="Normal 89" xfId="273" xr:uid="{00000000-0005-0000-0000-000048010000}"/>
    <cellStyle name="Normal 9" xfId="244" xr:uid="{00000000-0005-0000-0000-000049010000}"/>
    <cellStyle name="Normal 90" xfId="274" xr:uid="{00000000-0005-0000-0000-00004A010000}"/>
    <cellStyle name="Normal 91" xfId="279" xr:uid="{00000000-0005-0000-0000-00004B010000}"/>
    <cellStyle name="Normal 92" xfId="369" xr:uid="{00000000-0005-0000-0000-00004C010000}"/>
    <cellStyle name="Normal 93" xfId="373" xr:uid="{00000000-0005-0000-0000-00004D010000}"/>
    <cellStyle name="Normal 94" xfId="374" xr:uid="{00000000-0005-0000-0000-00004E010000}"/>
    <cellStyle name="Normal 95" xfId="375" xr:uid="{00000000-0005-0000-0000-00004F010000}"/>
    <cellStyle name="Normal 96" xfId="376" xr:uid="{00000000-0005-0000-0000-000050010000}"/>
    <cellStyle name="Normal 97" xfId="377" xr:uid="{00000000-0005-0000-0000-000051010000}"/>
    <cellStyle name="Normal 98" xfId="378" xr:uid="{00000000-0005-0000-0000-000052010000}"/>
    <cellStyle name="Normal 99" xfId="379" xr:uid="{00000000-0005-0000-0000-000053010000}"/>
    <cellStyle name="Normal_Book3" xfId="411" xr:uid="{CF235244-5536-4607-BD38-51847A4C31D3}"/>
    <cellStyle name="Normal_Price out" xfId="4" xr:uid="{00000000-0005-0000-0000-000056010000}"/>
    <cellStyle name="Normal_Sheet1" xfId="412" xr:uid="{6BE6EE55-52E1-4DB2-B64C-F09CB44875C9}"/>
    <cellStyle name="Note 2" xfId="246" xr:uid="{00000000-0005-0000-0000-000058010000}"/>
    <cellStyle name="Note 2 2" xfId="351" xr:uid="{00000000-0005-0000-0000-000059010000}"/>
    <cellStyle name="Note 3" xfId="245" xr:uid="{00000000-0005-0000-0000-00005A010000}"/>
    <cellStyle name="Note 3 2" xfId="352" xr:uid="{00000000-0005-0000-0000-00005B010000}"/>
    <cellStyle name="Note 4" xfId="400" xr:uid="{00000000-0005-0000-0000-00005C010000}"/>
    <cellStyle name="Note 5" xfId="408" xr:uid="{056BFE33-85C5-4EC8-B336-1BD3290479EA}"/>
    <cellStyle name="Note 6" xfId="404" xr:uid="{BFB5EAA5-2047-4037-911D-54FA3488D61B}"/>
    <cellStyle name="Notes" xfId="247" xr:uid="{00000000-0005-0000-0000-00005D010000}"/>
    <cellStyle name="Output 2" xfId="249" xr:uid="{00000000-0005-0000-0000-00005E010000}"/>
    <cellStyle name="Output 3" xfId="248" xr:uid="{00000000-0005-0000-0000-00005F010000}"/>
    <cellStyle name="Output 4" xfId="401" xr:uid="{00000000-0005-0000-0000-000060010000}"/>
    <cellStyle name="Percent" xfId="3" builtinId="5"/>
    <cellStyle name="Percent 10" xfId="402" xr:uid="{00000000-0005-0000-0000-000062010000}"/>
    <cellStyle name="Percent 11" xfId="407" xr:uid="{76512B36-3F7B-4D2A-84D8-95157A1109BE}"/>
    <cellStyle name="Percent 2" xfId="24" xr:uid="{00000000-0005-0000-0000-000063010000}"/>
    <cellStyle name="Percent 2 2" xfId="25" xr:uid="{00000000-0005-0000-0000-000064010000}"/>
    <cellStyle name="Percent 2 2 2" xfId="251" xr:uid="{00000000-0005-0000-0000-000065010000}"/>
    <cellStyle name="Percent 2 3" xfId="353" xr:uid="{00000000-0005-0000-0000-000066010000}"/>
    <cellStyle name="Percent 2 6" xfId="26" xr:uid="{00000000-0005-0000-0000-000067010000}"/>
    <cellStyle name="Percent 3" xfId="27" xr:uid="{00000000-0005-0000-0000-000068010000}"/>
    <cellStyle name="Percent 3 2" xfId="28" xr:uid="{00000000-0005-0000-0000-000069010000}"/>
    <cellStyle name="Percent 4" xfId="29" xr:uid="{00000000-0005-0000-0000-00006A010000}"/>
    <cellStyle name="Percent 4 2" xfId="355" xr:uid="{00000000-0005-0000-0000-00006B010000}"/>
    <cellStyle name="Percent 4 3" xfId="354" xr:uid="{00000000-0005-0000-0000-00006C010000}"/>
    <cellStyle name="Percent 5" xfId="253" xr:uid="{00000000-0005-0000-0000-00006D010000}"/>
    <cellStyle name="Percent 5 2" xfId="409" xr:uid="{A0FAB871-4DAE-44C1-AD5A-9FFFFBF298B8}"/>
    <cellStyle name="Percent 6" xfId="254" xr:uid="{00000000-0005-0000-0000-00006E010000}"/>
    <cellStyle name="Percent 7" xfId="250" xr:uid="{00000000-0005-0000-0000-00006F010000}"/>
    <cellStyle name="Percent 7 2" xfId="275" xr:uid="{00000000-0005-0000-0000-000070010000}"/>
    <cellStyle name="Percent 7 3" xfId="356" xr:uid="{00000000-0005-0000-0000-000071010000}"/>
    <cellStyle name="Percent 8" xfId="357" xr:uid="{00000000-0005-0000-0000-000072010000}"/>
    <cellStyle name="Percent 9" xfId="372" xr:uid="{00000000-0005-0000-0000-000073010000}"/>
    <cellStyle name="Percent(1)" xfId="255" xr:uid="{00000000-0005-0000-0000-000074010000}"/>
    <cellStyle name="Percent(2)" xfId="256" xr:uid="{00000000-0005-0000-0000-000075010000}"/>
    <cellStyle name="PRM" xfId="257" xr:uid="{00000000-0005-0000-0000-000076010000}"/>
    <cellStyle name="PRM 2" xfId="258" xr:uid="{00000000-0005-0000-0000-000077010000}"/>
    <cellStyle name="PRM 3" xfId="259" xr:uid="{00000000-0005-0000-0000-000078010000}"/>
    <cellStyle name="PRM_2011-11" xfId="260" xr:uid="{00000000-0005-0000-0000-000079010000}"/>
    <cellStyle name="PS_Comma" xfId="30" xr:uid="{00000000-0005-0000-0000-00007A010000}"/>
    <cellStyle name="PSChar" xfId="31" xr:uid="{00000000-0005-0000-0000-00007B010000}"/>
    <cellStyle name="PSDate" xfId="32" xr:uid="{00000000-0005-0000-0000-00007C010000}"/>
    <cellStyle name="PSDec" xfId="33" xr:uid="{00000000-0005-0000-0000-00007D010000}"/>
    <cellStyle name="PSHeading" xfId="34" xr:uid="{00000000-0005-0000-0000-00007E010000}"/>
    <cellStyle name="PSInt" xfId="35" xr:uid="{00000000-0005-0000-0000-00007F010000}"/>
    <cellStyle name="PSSpacer" xfId="36" xr:uid="{00000000-0005-0000-0000-000080010000}"/>
    <cellStyle name="STYL0 - Style1" xfId="358" xr:uid="{00000000-0005-0000-0000-000081010000}"/>
    <cellStyle name="STYL1 - Style2" xfId="359" xr:uid="{00000000-0005-0000-0000-000082010000}"/>
    <cellStyle name="STYL2 - Style3" xfId="360" xr:uid="{00000000-0005-0000-0000-000083010000}"/>
    <cellStyle name="STYL3 - Style4" xfId="361" xr:uid="{00000000-0005-0000-0000-000084010000}"/>
    <cellStyle name="STYL4 - Style5" xfId="362" xr:uid="{00000000-0005-0000-0000-000085010000}"/>
    <cellStyle name="STYL5 - Style6" xfId="363" xr:uid="{00000000-0005-0000-0000-000086010000}"/>
    <cellStyle name="STYL6 - Style7" xfId="364" xr:uid="{00000000-0005-0000-0000-000087010000}"/>
    <cellStyle name="STYL7 - Style8" xfId="365" xr:uid="{00000000-0005-0000-0000-000088010000}"/>
    <cellStyle name="Style 1" xfId="261" xr:uid="{00000000-0005-0000-0000-000089010000}"/>
    <cellStyle name="Style 1 2" xfId="262" xr:uid="{00000000-0005-0000-0000-00008A010000}"/>
    <cellStyle name="STYLE1" xfId="263" xr:uid="{00000000-0005-0000-0000-00008B010000}"/>
    <cellStyle name="sub heading" xfId="366" xr:uid="{00000000-0005-0000-0000-00008C010000}"/>
    <cellStyle name="Title 2" xfId="265" xr:uid="{00000000-0005-0000-0000-00008D010000}"/>
    <cellStyle name="Title 3" xfId="264" xr:uid="{00000000-0005-0000-0000-00008E010000}"/>
    <cellStyle name="title 4" xfId="403" xr:uid="{00000000-0005-0000-0000-00008F010000}"/>
    <cellStyle name="Total 2" xfId="267" xr:uid="{00000000-0005-0000-0000-000090010000}"/>
    <cellStyle name="Total 2 2" xfId="367" xr:uid="{00000000-0005-0000-0000-000091010000}"/>
    <cellStyle name="Total 3" xfId="266" xr:uid="{00000000-0005-0000-0000-000092010000}"/>
    <cellStyle name="Total 3 2" xfId="368" xr:uid="{00000000-0005-0000-0000-000093010000}"/>
    <cellStyle name="Warning Text 2" xfId="269" xr:uid="{00000000-0005-0000-0000-000094010000}"/>
    <cellStyle name="Warning Text 3" xfId="268" xr:uid="{00000000-0005-0000-0000-000095010000}"/>
    <cellStyle name="WM_STANDARD" xfId="37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UTIL\TRANS\Waste%20Management%20-%20Filings\Ellensburg\Year%202009\TG-091472%20(GRC)\Staff\TG-091472%20WM%20of%20Ellensburg%20(Workpapers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indows/TEMP/AFE19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Infin%20to%20Laws%20Co-AU%20Mapping%201-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Infin%20to%20Laws%20Co-AU%20Mapping%201-5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AW%20P&amp;L%20map%200811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AW%20P&amp;L%20map%200811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IP%20Files\2149%20Mason%20County\2021\General%20Rate%20Filing\2019.12-2020.11%20Mason%20County%20Price%20Out%20Templat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mendobi/AppData/Local/Microsoft/Windows/Temporary%20Internet%20Files/Content.Outlook/R1VAHYB7/4172/2017.10%20_%204172%20Eastside%20Recycle%20Credits-Revised.xlsb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230058-GRC-Rabanco%20Lynnwood-Staff%20Wkbk%203-17-2023.xlsx?4A4E92B0" TargetMode="External"/><Relationship Id="rId1" Type="http://schemas.openxmlformats.org/officeDocument/2006/relationships/externalLinkPath" Target="file:///\\4A4E92B0\230058-GRC-Rabanco%20Lynnwood-Staff%20Wkbk%203-17-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vision\Accounting%20II\WUTC%20Filings\Other%20Rate%20Cases\2022%20Disposal%20Increase\TG-210258%20Staff%20Workbook%205-18%20Fina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ControllerDir\JoeW\My%20Local%20Documents\OPF\Rate%20Reviews\2016\2016%20OPF%20Master%20DCR%20V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dkermode/Documents/+2018/LG%20replacement/SolidWaste-NonPublic%20LG%202018%20V5.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Weldon/AppData/Local/Microsoft/Windows/Temporary%20Internet%20Files/Content.Outlook/2IU5EPBL/BDI_WUTC-GeneralRateCase_2017-Jan_v02%204%20(CB%20new)%20(2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dkermode\Documents\+2018\LG%20replacement\SolidWaste-NonPublic%20LG%202018%20V5.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ermode\Documents\+2018\LG%20replacement\SolidWaste-NonPublic%20LG%202018%20V5.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W_COMP\Rosario\2007%20rate%20case\Worksheets\070944%20Loan%20Recalcula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l\Desktop\Mason_GRC_Pro_forma_11.30.20_-_(C)_Reda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  <sheetName val="OH Analysis (2008)"/>
      <sheetName val="Corp. Office OH 2008"/>
      <sheetName val="Legal"/>
      <sheetName val="Lurito 25 bpi (Rollof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Proforma"/>
      <sheetName val="Staff Calculations"/>
      <sheetName val="Alloc Summary"/>
      <sheetName val="Truck Hrs Sum"/>
      <sheetName val="Container Counts"/>
      <sheetName val="Customer Allocation"/>
      <sheetName val="PF Restate"/>
      <sheetName val="PF Adj"/>
      <sheetName val="Avg Invest Instructions"/>
      <sheetName val="Avg Invest Summary"/>
      <sheetName val="Staff Depn Output Summary"/>
      <sheetName val="Staff Depn Input and Calc"/>
      <sheetName val="Asset Listing"/>
      <sheetName val="Asset Register data"/>
      <sheetName val="Asset Type Tables"/>
      <sheetName val="PR Narrative"/>
      <sheetName val="Summary &amp; PF"/>
      <sheetName val="PR vs GL"/>
      <sheetName val="Summary Calc &amp; Lookup"/>
      <sheetName val="RSA Labor Expense"/>
      <sheetName val="Alloc Impact"/>
      <sheetName val="PA340"/>
      <sheetName val="Walkback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SQL Revenue Analysis"/>
      <sheetName val="FRF Pivot"/>
      <sheetName val="7R Summary"/>
      <sheetName val="OTH Rev Sumry"/>
      <sheetName val="Rev Ref Tables"/>
      <sheetName val="Price Out Summ"/>
      <sheetName val="Resi Price Out"/>
      <sheetName val="Resi Charge Codes"/>
      <sheetName val="Comm (+MF) Price Out"/>
      <sheetName val="Comm Charge Codes"/>
      <sheetName val="IND (+MF) Price Out"/>
      <sheetName val="IR Revenue"/>
      <sheetName val="RO Revenue"/>
      <sheetName val="Route Hrs Instructions"/>
      <sheetName val="Resi Comm Hours Summary"/>
      <sheetName val="Pivot Ops Dec 21 - Nov 22"/>
      <sheetName val="Detail Dec 21 - Nov 22"/>
      <sheetName val="IND Hrs Sum"/>
      <sheetName val="IND Hrs Data"/>
      <sheetName val="IND Sum Confirm"/>
      <sheetName val="Route Analysis"/>
      <sheetName val="Contract Ref Table"/>
      <sheetName val="Fuel Calc"/>
      <sheetName val="Fuel Invoice Data Entry"/>
      <sheetName val="Disposal Instructions"/>
      <sheetName val="Disposal Summary (with IC)"/>
      <sheetName val="Summary Disposal Data"/>
      <sheetName val="Disposal Ref Tables"/>
      <sheetName val="Cont Count Instructions"/>
      <sheetName val="InfoPro Container Count Instr"/>
      <sheetName val="Cont Count Data"/>
      <sheetName val="Cont Ref Tables"/>
      <sheetName val="Tons Master Report &gt;"/>
      <sheetName val="Tons File Summary"/>
      <sheetName val="Resi MSW Tons"/>
      <sheetName val="Resi Recycle Tons"/>
      <sheetName val="Resi Yard Waste Tons"/>
      <sheetName val="2021 Com-MF-Resi Tons"/>
      <sheetName val="2021 Multifamily Yards"/>
      <sheetName val="2021 Commercial Yards"/>
      <sheetName val="2021 Resi Counts"/>
      <sheetName val="2021 Multifamily Counts"/>
      <sheetName val="2021 Commercial Counts"/>
      <sheetName val="2022 Com-MF-Resi Tons"/>
      <sheetName val="2022 Multifamily Yards"/>
      <sheetName val="2022 Commercial Yards"/>
      <sheetName val="2022 Resi Counts"/>
      <sheetName val="2022 Multifamily Counts"/>
      <sheetName val="2022 Commercial Counts"/>
      <sheetName val="CoS"/>
      <sheetName val="Meeks"/>
      <sheetName val="Essbase Instructions"/>
      <sheetName val="Essbase P&amp;L"/>
      <sheetName val="4197 Balance Sheet"/>
      <sheetName val="Essbase Stats"/>
      <sheetName val="4584 P&amp;L - Aff. Co. MRF"/>
      <sheetName val="4584 BS - Aff. Co. MRF"/>
      <sheetName val="G-12 FS (Smartvie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Disposal Summary (with IC)"/>
      <sheetName val="King CO MSW Increase"/>
      <sheetName val="MRF Increase Proforma"/>
      <sheetName val="Permit Fees Recap"/>
      <sheetName val="Permit Fees 2020"/>
      <sheetName val="PR Narrative"/>
      <sheetName val="Summary &amp; PF"/>
      <sheetName val="PR vs GL"/>
      <sheetName val="Summary Calc &amp; Lookup"/>
      <sheetName val="Driver Adds"/>
      <sheetName val="Customer Service"/>
      <sheetName val="RSA Labor Expense"/>
      <sheetName val="2020-2021 Admin Time"/>
      <sheetName val="2019-2020 Admin Time"/>
      <sheetName val="Alloc Impact"/>
      <sheetName val="PA340"/>
      <sheetName val="PR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Sheet1"/>
      <sheetName val="Pivot Tons"/>
      <sheetName val="Detail"/>
      <sheetName val="Operation"/>
      <sheetName val="Resi Update"/>
      <sheetName val="Com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Invoice Data Entry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72 2020 Com-MF-Resi Tons"/>
      <sheetName val="4172 2020 Multi-Family Yards"/>
      <sheetName val="4172 2020 Commercial Yards"/>
      <sheetName val="4172 2020 Resi Counts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Filing Specific Tabs &gt;"/>
      <sheetName val="SeaTac Contract Financials"/>
      <sheetName val="GL for WRRA Dues"/>
      <sheetName val="Reg City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6">
          <cell r="D106">
            <v>13206.09960000002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7">
          <cell r="E7">
            <v>583941.19999999995</v>
          </cell>
        </row>
      </sheetData>
      <sheetData sheetId="56" refreshError="1"/>
      <sheetData sheetId="57" refreshError="1"/>
      <sheetData sheetId="58">
        <row r="16">
          <cell r="C16">
            <v>35682.951500000003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>
        <row r="1">
          <cell r="E1">
            <v>42816.395000000033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A1" t="str">
            <v>Reg'd or Unreg'd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>
        <row r="25">
          <cell r="C25" t="str">
            <v>R</v>
          </cell>
        </row>
      </sheetData>
      <sheetData sheetId="86">
        <row r="43">
          <cell r="C43" t="str">
            <v>Code</v>
          </cell>
        </row>
      </sheetData>
      <sheetData sheetId="87">
        <row r="63">
          <cell r="C63" t="str">
            <v>R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34">
          <cell r="C434">
            <v>-19428.2</v>
          </cell>
        </row>
      </sheetData>
      <sheetData sheetId="97" refreshError="1"/>
      <sheetData sheetId="98" refreshError="1"/>
      <sheetData sheetId="99">
        <row r="26">
          <cell r="D26">
            <v>1609.7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1. BDI Rev &amp; Exp Total Sheet"/>
      <sheetName val="2. 12 Month Income Stmt. 4(c)"/>
      <sheetName val="3. ProForma"/>
      <sheetName val="4. Matrix"/>
      <sheetName val="5. BDI Gen Ledger Table"/>
      <sheetName val="6. V Lookup Tables"/>
      <sheetName val="7. GL Pivot"/>
      <sheetName val="Recon"/>
      <sheetName val="8. BDI_IS_2015-16"/>
      <sheetName val="8.1 BDI_IS_2016"/>
      <sheetName val="8.2 BDI_IS for 2015"/>
      <sheetName val="9. BDI Balance Sheet"/>
      <sheetName val="Consolidated Balance Sheet 4(g)"/>
      <sheetName val="Sheet5"/>
      <sheetName val="Sheet6"/>
      <sheetName val="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 refreshError="1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9 IS (C)"/>
      <sheetName val="Master IS (C)"/>
      <sheetName val="Mason LOB (C)"/>
      <sheetName val="Restating Adj (C)"/>
      <sheetName val="Pro forma Adj (C)"/>
      <sheetName val="Allocators (C)"/>
      <sheetName val="Rate Sheet"/>
      <sheetName val="Payroll Summary (C)"/>
      <sheetName val="Depr Summary (C)"/>
      <sheetName val="Mason Co. Regulated - Price Out"/>
      <sheetName val="Kitsap Regulated - Price Out"/>
      <sheetName val="Shelton Regulated - Price Out"/>
      <sheetName val="Disposal Schedule"/>
      <sheetName val="Recycle Breakout"/>
      <sheetName val="2149_BS 11.2019"/>
      <sheetName val="2149_BS 11.2020"/>
      <sheetName val="Interject_LastPulledValues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43001 JE Query"/>
      <sheetName val="70255 JE Query"/>
      <sheetName val="70195 JE Query"/>
      <sheetName val="91010 JE Query"/>
      <sheetName val="DVP-DivCon Allocs  (C)"/>
      <sheetName val="Region OH (C)"/>
      <sheetName val="Corp-OH (C)"/>
      <sheetName val="Corp IS-B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CD5C-79B3-41E1-AAC3-27C968EC8F9B}">
  <dimension ref="A1:P19"/>
  <sheetViews>
    <sheetView workbookViewId="0"/>
  </sheetViews>
  <sheetFormatPr defaultRowHeight="14.4"/>
  <cols>
    <col min="1" max="1" width="68.5546875" bestFit="1" customWidth="1"/>
    <col min="2" max="2" width="16.33203125" bestFit="1" customWidth="1"/>
    <col min="3" max="3" width="9.33203125" style="200" bestFit="1" customWidth="1"/>
    <col min="4" max="4" width="19.33203125" style="200" bestFit="1" customWidth="1"/>
    <col min="5" max="5" width="10.6640625" style="200" bestFit="1" customWidth="1"/>
    <col min="6" max="6" width="18.88671875" style="200" customWidth="1"/>
    <col min="7" max="7" width="11.109375" bestFit="1" customWidth="1"/>
    <col min="8" max="8" width="26.88671875" customWidth="1"/>
    <col min="257" max="257" width="68.5546875" bestFit="1" customWidth="1"/>
    <col min="258" max="258" width="12.5546875" bestFit="1" customWidth="1"/>
    <col min="259" max="259" width="8.88671875" bestFit="1" customWidth="1"/>
    <col min="260" max="260" width="19.33203125" bestFit="1" customWidth="1"/>
    <col min="261" max="261" width="10.6640625" bestFit="1" customWidth="1"/>
    <col min="262" max="262" width="18.88671875" customWidth="1"/>
    <col min="263" max="263" width="11.109375" bestFit="1" customWidth="1"/>
    <col min="264" max="264" width="26.88671875" customWidth="1"/>
    <col min="513" max="513" width="68.5546875" bestFit="1" customWidth="1"/>
    <col min="514" max="514" width="12.5546875" bestFit="1" customWidth="1"/>
    <col min="515" max="515" width="8.88671875" bestFit="1" customWidth="1"/>
    <col min="516" max="516" width="19.33203125" bestFit="1" customWidth="1"/>
    <col min="517" max="517" width="10.6640625" bestFit="1" customWidth="1"/>
    <col min="518" max="518" width="18.88671875" customWidth="1"/>
    <col min="519" max="519" width="11.109375" bestFit="1" customWidth="1"/>
    <col min="520" max="520" width="26.88671875" customWidth="1"/>
    <col min="769" max="769" width="68.5546875" bestFit="1" customWidth="1"/>
    <col min="770" max="770" width="12.5546875" bestFit="1" customWidth="1"/>
    <col min="771" max="771" width="8.88671875" bestFit="1" customWidth="1"/>
    <col min="772" max="772" width="19.33203125" bestFit="1" customWidth="1"/>
    <col min="773" max="773" width="10.6640625" bestFit="1" customWidth="1"/>
    <col min="774" max="774" width="18.88671875" customWidth="1"/>
    <col min="775" max="775" width="11.109375" bestFit="1" customWidth="1"/>
    <col min="776" max="776" width="26.88671875" customWidth="1"/>
    <col min="1025" max="1025" width="68.5546875" bestFit="1" customWidth="1"/>
    <col min="1026" max="1026" width="12.5546875" bestFit="1" customWidth="1"/>
    <col min="1027" max="1027" width="8.88671875" bestFit="1" customWidth="1"/>
    <col min="1028" max="1028" width="19.33203125" bestFit="1" customWidth="1"/>
    <col min="1029" max="1029" width="10.6640625" bestFit="1" customWidth="1"/>
    <col min="1030" max="1030" width="18.88671875" customWidth="1"/>
    <col min="1031" max="1031" width="11.109375" bestFit="1" customWidth="1"/>
    <col min="1032" max="1032" width="26.88671875" customWidth="1"/>
    <col min="1281" max="1281" width="68.5546875" bestFit="1" customWidth="1"/>
    <col min="1282" max="1282" width="12.5546875" bestFit="1" customWidth="1"/>
    <col min="1283" max="1283" width="8.88671875" bestFit="1" customWidth="1"/>
    <col min="1284" max="1284" width="19.33203125" bestFit="1" customWidth="1"/>
    <col min="1285" max="1285" width="10.6640625" bestFit="1" customWidth="1"/>
    <col min="1286" max="1286" width="18.88671875" customWidth="1"/>
    <col min="1287" max="1287" width="11.109375" bestFit="1" customWidth="1"/>
    <col min="1288" max="1288" width="26.88671875" customWidth="1"/>
    <col min="1537" max="1537" width="68.5546875" bestFit="1" customWidth="1"/>
    <col min="1538" max="1538" width="12.5546875" bestFit="1" customWidth="1"/>
    <col min="1539" max="1539" width="8.88671875" bestFit="1" customWidth="1"/>
    <col min="1540" max="1540" width="19.33203125" bestFit="1" customWidth="1"/>
    <col min="1541" max="1541" width="10.6640625" bestFit="1" customWidth="1"/>
    <col min="1542" max="1542" width="18.88671875" customWidth="1"/>
    <col min="1543" max="1543" width="11.109375" bestFit="1" customWidth="1"/>
    <col min="1544" max="1544" width="26.88671875" customWidth="1"/>
    <col min="1793" max="1793" width="68.5546875" bestFit="1" customWidth="1"/>
    <col min="1794" max="1794" width="12.5546875" bestFit="1" customWidth="1"/>
    <col min="1795" max="1795" width="8.88671875" bestFit="1" customWidth="1"/>
    <col min="1796" max="1796" width="19.33203125" bestFit="1" customWidth="1"/>
    <col min="1797" max="1797" width="10.6640625" bestFit="1" customWidth="1"/>
    <col min="1798" max="1798" width="18.88671875" customWidth="1"/>
    <col min="1799" max="1799" width="11.109375" bestFit="1" customWidth="1"/>
    <col min="1800" max="1800" width="26.88671875" customWidth="1"/>
    <col min="2049" max="2049" width="68.5546875" bestFit="1" customWidth="1"/>
    <col min="2050" max="2050" width="12.5546875" bestFit="1" customWidth="1"/>
    <col min="2051" max="2051" width="8.88671875" bestFit="1" customWidth="1"/>
    <col min="2052" max="2052" width="19.33203125" bestFit="1" customWidth="1"/>
    <col min="2053" max="2053" width="10.6640625" bestFit="1" customWidth="1"/>
    <col min="2054" max="2054" width="18.88671875" customWidth="1"/>
    <col min="2055" max="2055" width="11.109375" bestFit="1" customWidth="1"/>
    <col min="2056" max="2056" width="26.88671875" customWidth="1"/>
    <col min="2305" max="2305" width="68.5546875" bestFit="1" customWidth="1"/>
    <col min="2306" max="2306" width="12.5546875" bestFit="1" customWidth="1"/>
    <col min="2307" max="2307" width="8.88671875" bestFit="1" customWidth="1"/>
    <col min="2308" max="2308" width="19.33203125" bestFit="1" customWidth="1"/>
    <col min="2309" max="2309" width="10.6640625" bestFit="1" customWidth="1"/>
    <col min="2310" max="2310" width="18.88671875" customWidth="1"/>
    <col min="2311" max="2311" width="11.109375" bestFit="1" customWidth="1"/>
    <col min="2312" max="2312" width="26.88671875" customWidth="1"/>
    <col min="2561" max="2561" width="68.5546875" bestFit="1" customWidth="1"/>
    <col min="2562" max="2562" width="12.5546875" bestFit="1" customWidth="1"/>
    <col min="2563" max="2563" width="8.88671875" bestFit="1" customWidth="1"/>
    <col min="2564" max="2564" width="19.33203125" bestFit="1" customWidth="1"/>
    <col min="2565" max="2565" width="10.6640625" bestFit="1" customWidth="1"/>
    <col min="2566" max="2566" width="18.88671875" customWidth="1"/>
    <col min="2567" max="2567" width="11.109375" bestFit="1" customWidth="1"/>
    <col min="2568" max="2568" width="26.88671875" customWidth="1"/>
    <col min="2817" max="2817" width="68.5546875" bestFit="1" customWidth="1"/>
    <col min="2818" max="2818" width="12.5546875" bestFit="1" customWidth="1"/>
    <col min="2819" max="2819" width="8.88671875" bestFit="1" customWidth="1"/>
    <col min="2820" max="2820" width="19.33203125" bestFit="1" customWidth="1"/>
    <col min="2821" max="2821" width="10.6640625" bestFit="1" customWidth="1"/>
    <col min="2822" max="2822" width="18.88671875" customWidth="1"/>
    <col min="2823" max="2823" width="11.109375" bestFit="1" customWidth="1"/>
    <col min="2824" max="2824" width="26.88671875" customWidth="1"/>
    <col min="3073" max="3073" width="68.5546875" bestFit="1" customWidth="1"/>
    <col min="3074" max="3074" width="12.5546875" bestFit="1" customWidth="1"/>
    <col min="3075" max="3075" width="8.88671875" bestFit="1" customWidth="1"/>
    <col min="3076" max="3076" width="19.33203125" bestFit="1" customWidth="1"/>
    <col min="3077" max="3077" width="10.6640625" bestFit="1" customWidth="1"/>
    <col min="3078" max="3078" width="18.88671875" customWidth="1"/>
    <col min="3079" max="3079" width="11.109375" bestFit="1" customWidth="1"/>
    <col min="3080" max="3080" width="26.88671875" customWidth="1"/>
    <col min="3329" max="3329" width="68.5546875" bestFit="1" customWidth="1"/>
    <col min="3330" max="3330" width="12.5546875" bestFit="1" customWidth="1"/>
    <col min="3331" max="3331" width="8.88671875" bestFit="1" customWidth="1"/>
    <col min="3332" max="3332" width="19.33203125" bestFit="1" customWidth="1"/>
    <col min="3333" max="3333" width="10.6640625" bestFit="1" customWidth="1"/>
    <col min="3334" max="3334" width="18.88671875" customWidth="1"/>
    <col min="3335" max="3335" width="11.109375" bestFit="1" customWidth="1"/>
    <col min="3336" max="3336" width="26.88671875" customWidth="1"/>
    <col min="3585" max="3585" width="68.5546875" bestFit="1" customWidth="1"/>
    <col min="3586" max="3586" width="12.5546875" bestFit="1" customWidth="1"/>
    <col min="3587" max="3587" width="8.88671875" bestFit="1" customWidth="1"/>
    <col min="3588" max="3588" width="19.33203125" bestFit="1" customWidth="1"/>
    <col min="3589" max="3589" width="10.6640625" bestFit="1" customWidth="1"/>
    <col min="3590" max="3590" width="18.88671875" customWidth="1"/>
    <col min="3591" max="3591" width="11.109375" bestFit="1" customWidth="1"/>
    <col min="3592" max="3592" width="26.88671875" customWidth="1"/>
    <col min="3841" max="3841" width="68.5546875" bestFit="1" customWidth="1"/>
    <col min="3842" max="3842" width="12.5546875" bestFit="1" customWidth="1"/>
    <col min="3843" max="3843" width="8.88671875" bestFit="1" customWidth="1"/>
    <col min="3844" max="3844" width="19.33203125" bestFit="1" customWidth="1"/>
    <col min="3845" max="3845" width="10.6640625" bestFit="1" customWidth="1"/>
    <col min="3846" max="3846" width="18.88671875" customWidth="1"/>
    <col min="3847" max="3847" width="11.109375" bestFit="1" customWidth="1"/>
    <col min="3848" max="3848" width="26.88671875" customWidth="1"/>
    <col min="4097" max="4097" width="68.5546875" bestFit="1" customWidth="1"/>
    <col min="4098" max="4098" width="12.5546875" bestFit="1" customWidth="1"/>
    <col min="4099" max="4099" width="8.88671875" bestFit="1" customWidth="1"/>
    <col min="4100" max="4100" width="19.33203125" bestFit="1" customWidth="1"/>
    <col min="4101" max="4101" width="10.6640625" bestFit="1" customWidth="1"/>
    <col min="4102" max="4102" width="18.88671875" customWidth="1"/>
    <col min="4103" max="4103" width="11.109375" bestFit="1" customWidth="1"/>
    <col min="4104" max="4104" width="26.88671875" customWidth="1"/>
    <col min="4353" max="4353" width="68.5546875" bestFit="1" customWidth="1"/>
    <col min="4354" max="4354" width="12.5546875" bestFit="1" customWidth="1"/>
    <col min="4355" max="4355" width="8.88671875" bestFit="1" customWidth="1"/>
    <col min="4356" max="4356" width="19.33203125" bestFit="1" customWidth="1"/>
    <col min="4357" max="4357" width="10.6640625" bestFit="1" customWidth="1"/>
    <col min="4358" max="4358" width="18.88671875" customWidth="1"/>
    <col min="4359" max="4359" width="11.109375" bestFit="1" customWidth="1"/>
    <col min="4360" max="4360" width="26.88671875" customWidth="1"/>
    <col min="4609" max="4609" width="68.5546875" bestFit="1" customWidth="1"/>
    <col min="4610" max="4610" width="12.5546875" bestFit="1" customWidth="1"/>
    <col min="4611" max="4611" width="8.88671875" bestFit="1" customWidth="1"/>
    <col min="4612" max="4612" width="19.33203125" bestFit="1" customWidth="1"/>
    <col min="4613" max="4613" width="10.6640625" bestFit="1" customWidth="1"/>
    <col min="4614" max="4614" width="18.88671875" customWidth="1"/>
    <col min="4615" max="4615" width="11.109375" bestFit="1" customWidth="1"/>
    <col min="4616" max="4616" width="26.88671875" customWidth="1"/>
    <col min="4865" max="4865" width="68.5546875" bestFit="1" customWidth="1"/>
    <col min="4866" max="4866" width="12.5546875" bestFit="1" customWidth="1"/>
    <col min="4867" max="4867" width="8.88671875" bestFit="1" customWidth="1"/>
    <col min="4868" max="4868" width="19.33203125" bestFit="1" customWidth="1"/>
    <col min="4869" max="4869" width="10.6640625" bestFit="1" customWidth="1"/>
    <col min="4870" max="4870" width="18.88671875" customWidth="1"/>
    <col min="4871" max="4871" width="11.109375" bestFit="1" customWidth="1"/>
    <col min="4872" max="4872" width="26.88671875" customWidth="1"/>
    <col min="5121" max="5121" width="68.5546875" bestFit="1" customWidth="1"/>
    <col min="5122" max="5122" width="12.5546875" bestFit="1" customWidth="1"/>
    <col min="5123" max="5123" width="8.88671875" bestFit="1" customWidth="1"/>
    <col min="5124" max="5124" width="19.33203125" bestFit="1" customWidth="1"/>
    <col min="5125" max="5125" width="10.6640625" bestFit="1" customWidth="1"/>
    <col min="5126" max="5126" width="18.88671875" customWidth="1"/>
    <col min="5127" max="5127" width="11.109375" bestFit="1" customWidth="1"/>
    <col min="5128" max="5128" width="26.88671875" customWidth="1"/>
    <col min="5377" max="5377" width="68.5546875" bestFit="1" customWidth="1"/>
    <col min="5378" max="5378" width="12.5546875" bestFit="1" customWidth="1"/>
    <col min="5379" max="5379" width="8.88671875" bestFit="1" customWidth="1"/>
    <col min="5380" max="5380" width="19.33203125" bestFit="1" customWidth="1"/>
    <col min="5381" max="5381" width="10.6640625" bestFit="1" customWidth="1"/>
    <col min="5382" max="5382" width="18.88671875" customWidth="1"/>
    <col min="5383" max="5383" width="11.109375" bestFit="1" customWidth="1"/>
    <col min="5384" max="5384" width="26.88671875" customWidth="1"/>
    <col min="5633" max="5633" width="68.5546875" bestFit="1" customWidth="1"/>
    <col min="5634" max="5634" width="12.5546875" bestFit="1" customWidth="1"/>
    <col min="5635" max="5635" width="8.88671875" bestFit="1" customWidth="1"/>
    <col min="5636" max="5636" width="19.33203125" bestFit="1" customWidth="1"/>
    <col min="5637" max="5637" width="10.6640625" bestFit="1" customWidth="1"/>
    <col min="5638" max="5638" width="18.88671875" customWidth="1"/>
    <col min="5639" max="5639" width="11.109375" bestFit="1" customWidth="1"/>
    <col min="5640" max="5640" width="26.88671875" customWidth="1"/>
    <col min="5889" max="5889" width="68.5546875" bestFit="1" customWidth="1"/>
    <col min="5890" max="5890" width="12.5546875" bestFit="1" customWidth="1"/>
    <col min="5891" max="5891" width="8.88671875" bestFit="1" customWidth="1"/>
    <col min="5892" max="5892" width="19.33203125" bestFit="1" customWidth="1"/>
    <col min="5893" max="5893" width="10.6640625" bestFit="1" customWidth="1"/>
    <col min="5894" max="5894" width="18.88671875" customWidth="1"/>
    <col min="5895" max="5895" width="11.109375" bestFit="1" customWidth="1"/>
    <col min="5896" max="5896" width="26.88671875" customWidth="1"/>
    <col min="6145" max="6145" width="68.5546875" bestFit="1" customWidth="1"/>
    <col min="6146" max="6146" width="12.5546875" bestFit="1" customWidth="1"/>
    <col min="6147" max="6147" width="8.88671875" bestFit="1" customWidth="1"/>
    <col min="6148" max="6148" width="19.33203125" bestFit="1" customWidth="1"/>
    <col min="6149" max="6149" width="10.6640625" bestFit="1" customWidth="1"/>
    <col min="6150" max="6150" width="18.88671875" customWidth="1"/>
    <col min="6151" max="6151" width="11.109375" bestFit="1" customWidth="1"/>
    <col min="6152" max="6152" width="26.88671875" customWidth="1"/>
    <col min="6401" max="6401" width="68.5546875" bestFit="1" customWidth="1"/>
    <col min="6402" max="6402" width="12.5546875" bestFit="1" customWidth="1"/>
    <col min="6403" max="6403" width="8.88671875" bestFit="1" customWidth="1"/>
    <col min="6404" max="6404" width="19.33203125" bestFit="1" customWidth="1"/>
    <col min="6405" max="6405" width="10.6640625" bestFit="1" customWidth="1"/>
    <col min="6406" max="6406" width="18.88671875" customWidth="1"/>
    <col min="6407" max="6407" width="11.109375" bestFit="1" customWidth="1"/>
    <col min="6408" max="6408" width="26.88671875" customWidth="1"/>
    <col min="6657" max="6657" width="68.5546875" bestFit="1" customWidth="1"/>
    <col min="6658" max="6658" width="12.5546875" bestFit="1" customWidth="1"/>
    <col min="6659" max="6659" width="8.88671875" bestFit="1" customWidth="1"/>
    <col min="6660" max="6660" width="19.33203125" bestFit="1" customWidth="1"/>
    <col min="6661" max="6661" width="10.6640625" bestFit="1" customWidth="1"/>
    <col min="6662" max="6662" width="18.88671875" customWidth="1"/>
    <col min="6663" max="6663" width="11.109375" bestFit="1" customWidth="1"/>
    <col min="6664" max="6664" width="26.88671875" customWidth="1"/>
    <col min="6913" max="6913" width="68.5546875" bestFit="1" customWidth="1"/>
    <col min="6914" max="6914" width="12.5546875" bestFit="1" customWidth="1"/>
    <col min="6915" max="6915" width="8.88671875" bestFit="1" customWidth="1"/>
    <col min="6916" max="6916" width="19.33203125" bestFit="1" customWidth="1"/>
    <col min="6917" max="6917" width="10.6640625" bestFit="1" customWidth="1"/>
    <col min="6918" max="6918" width="18.88671875" customWidth="1"/>
    <col min="6919" max="6919" width="11.109375" bestFit="1" customWidth="1"/>
    <col min="6920" max="6920" width="26.88671875" customWidth="1"/>
    <col min="7169" max="7169" width="68.5546875" bestFit="1" customWidth="1"/>
    <col min="7170" max="7170" width="12.5546875" bestFit="1" customWidth="1"/>
    <col min="7171" max="7171" width="8.88671875" bestFit="1" customWidth="1"/>
    <col min="7172" max="7172" width="19.33203125" bestFit="1" customWidth="1"/>
    <col min="7173" max="7173" width="10.6640625" bestFit="1" customWidth="1"/>
    <col min="7174" max="7174" width="18.88671875" customWidth="1"/>
    <col min="7175" max="7175" width="11.109375" bestFit="1" customWidth="1"/>
    <col min="7176" max="7176" width="26.88671875" customWidth="1"/>
    <col min="7425" max="7425" width="68.5546875" bestFit="1" customWidth="1"/>
    <col min="7426" max="7426" width="12.5546875" bestFit="1" customWidth="1"/>
    <col min="7427" max="7427" width="8.88671875" bestFit="1" customWidth="1"/>
    <col min="7428" max="7428" width="19.33203125" bestFit="1" customWidth="1"/>
    <col min="7429" max="7429" width="10.6640625" bestFit="1" customWidth="1"/>
    <col min="7430" max="7430" width="18.88671875" customWidth="1"/>
    <col min="7431" max="7431" width="11.109375" bestFit="1" customWidth="1"/>
    <col min="7432" max="7432" width="26.88671875" customWidth="1"/>
    <col min="7681" max="7681" width="68.5546875" bestFit="1" customWidth="1"/>
    <col min="7682" max="7682" width="12.5546875" bestFit="1" customWidth="1"/>
    <col min="7683" max="7683" width="8.88671875" bestFit="1" customWidth="1"/>
    <col min="7684" max="7684" width="19.33203125" bestFit="1" customWidth="1"/>
    <col min="7685" max="7685" width="10.6640625" bestFit="1" customWidth="1"/>
    <col min="7686" max="7686" width="18.88671875" customWidth="1"/>
    <col min="7687" max="7687" width="11.109375" bestFit="1" customWidth="1"/>
    <col min="7688" max="7688" width="26.88671875" customWidth="1"/>
    <col min="7937" max="7937" width="68.5546875" bestFit="1" customWidth="1"/>
    <col min="7938" max="7938" width="12.5546875" bestFit="1" customWidth="1"/>
    <col min="7939" max="7939" width="8.88671875" bestFit="1" customWidth="1"/>
    <col min="7940" max="7940" width="19.33203125" bestFit="1" customWidth="1"/>
    <col min="7941" max="7941" width="10.6640625" bestFit="1" customWidth="1"/>
    <col min="7942" max="7942" width="18.88671875" customWidth="1"/>
    <col min="7943" max="7943" width="11.109375" bestFit="1" customWidth="1"/>
    <col min="7944" max="7944" width="26.88671875" customWidth="1"/>
    <col min="8193" max="8193" width="68.5546875" bestFit="1" customWidth="1"/>
    <col min="8194" max="8194" width="12.5546875" bestFit="1" customWidth="1"/>
    <col min="8195" max="8195" width="8.88671875" bestFit="1" customWidth="1"/>
    <col min="8196" max="8196" width="19.33203125" bestFit="1" customWidth="1"/>
    <col min="8197" max="8197" width="10.6640625" bestFit="1" customWidth="1"/>
    <col min="8198" max="8198" width="18.88671875" customWidth="1"/>
    <col min="8199" max="8199" width="11.109375" bestFit="1" customWidth="1"/>
    <col min="8200" max="8200" width="26.88671875" customWidth="1"/>
    <col min="8449" max="8449" width="68.5546875" bestFit="1" customWidth="1"/>
    <col min="8450" max="8450" width="12.5546875" bestFit="1" customWidth="1"/>
    <col min="8451" max="8451" width="8.88671875" bestFit="1" customWidth="1"/>
    <col min="8452" max="8452" width="19.33203125" bestFit="1" customWidth="1"/>
    <col min="8453" max="8453" width="10.6640625" bestFit="1" customWidth="1"/>
    <col min="8454" max="8454" width="18.88671875" customWidth="1"/>
    <col min="8455" max="8455" width="11.109375" bestFit="1" customWidth="1"/>
    <col min="8456" max="8456" width="26.88671875" customWidth="1"/>
    <col min="8705" max="8705" width="68.5546875" bestFit="1" customWidth="1"/>
    <col min="8706" max="8706" width="12.5546875" bestFit="1" customWidth="1"/>
    <col min="8707" max="8707" width="8.88671875" bestFit="1" customWidth="1"/>
    <col min="8708" max="8708" width="19.33203125" bestFit="1" customWidth="1"/>
    <col min="8709" max="8709" width="10.6640625" bestFit="1" customWidth="1"/>
    <col min="8710" max="8710" width="18.88671875" customWidth="1"/>
    <col min="8711" max="8711" width="11.109375" bestFit="1" customWidth="1"/>
    <col min="8712" max="8712" width="26.88671875" customWidth="1"/>
    <col min="8961" max="8961" width="68.5546875" bestFit="1" customWidth="1"/>
    <col min="8962" max="8962" width="12.5546875" bestFit="1" customWidth="1"/>
    <col min="8963" max="8963" width="8.88671875" bestFit="1" customWidth="1"/>
    <col min="8964" max="8964" width="19.33203125" bestFit="1" customWidth="1"/>
    <col min="8965" max="8965" width="10.6640625" bestFit="1" customWidth="1"/>
    <col min="8966" max="8966" width="18.88671875" customWidth="1"/>
    <col min="8967" max="8967" width="11.109375" bestFit="1" customWidth="1"/>
    <col min="8968" max="8968" width="26.88671875" customWidth="1"/>
    <col min="9217" max="9217" width="68.5546875" bestFit="1" customWidth="1"/>
    <col min="9218" max="9218" width="12.5546875" bestFit="1" customWidth="1"/>
    <col min="9219" max="9219" width="8.88671875" bestFit="1" customWidth="1"/>
    <col min="9220" max="9220" width="19.33203125" bestFit="1" customWidth="1"/>
    <col min="9221" max="9221" width="10.6640625" bestFit="1" customWidth="1"/>
    <col min="9222" max="9222" width="18.88671875" customWidth="1"/>
    <col min="9223" max="9223" width="11.109375" bestFit="1" customWidth="1"/>
    <col min="9224" max="9224" width="26.88671875" customWidth="1"/>
    <col min="9473" max="9473" width="68.5546875" bestFit="1" customWidth="1"/>
    <col min="9474" max="9474" width="12.5546875" bestFit="1" customWidth="1"/>
    <col min="9475" max="9475" width="8.88671875" bestFit="1" customWidth="1"/>
    <col min="9476" max="9476" width="19.33203125" bestFit="1" customWidth="1"/>
    <col min="9477" max="9477" width="10.6640625" bestFit="1" customWidth="1"/>
    <col min="9478" max="9478" width="18.88671875" customWidth="1"/>
    <col min="9479" max="9479" width="11.109375" bestFit="1" customWidth="1"/>
    <col min="9480" max="9480" width="26.88671875" customWidth="1"/>
    <col min="9729" max="9729" width="68.5546875" bestFit="1" customWidth="1"/>
    <col min="9730" max="9730" width="12.5546875" bestFit="1" customWidth="1"/>
    <col min="9731" max="9731" width="8.88671875" bestFit="1" customWidth="1"/>
    <col min="9732" max="9732" width="19.33203125" bestFit="1" customWidth="1"/>
    <col min="9733" max="9733" width="10.6640625" bestFit="1" customWidth="1"/>
    <col min="9734" max="9734" width="18.88671875" customWidth="1"/>
    <col min="9735" max="9735" width="11.109375" bestFit="1" customWidth="1"/>
    <col min="9736" max="9736" width="26.88671875" customWidth="1"/>
    <col min="9985" max="9985" width="68.5546875" bestFit="1" customWidth="1"/>
    <col min="9986" max="9986" width="12.5546875" bestFit="1" customWidth="1"/>
    <col min="9987" max="9987" width="8.88671875" bestFit="1" customWidth="1"/>
    <col min="9988" max="9988" width="19.33203125" bestFit="1" customWidth="1"/>
    <col min="9989" max="9989" width="10.6640625" bestFit="1" customWidth="1"/>
    <col min="9990" max="9990" width="18.88671875" customWidth="1"/>
    <col min="9991" max="9991" width="11.109375" bestFit="1" customWidth="1"/>
    <col min="9992" max="9992" width="26.88671875" customWidth="1"/>
    <col min="10241" max="10241" width="68.5546875" bestFit="1" customWidth="1"/>
    <col min="10242" max="10242" width="12.5546875" bestFit="1" customWidth="1"/>
    <col min="10243" max="10243" width="8.88671875" bestFit="1" customWidth="1"/>
    <col min="10244" max="10244" width="19.33203125" bestFit="1" customWidth="1"/>
    <col min="10245" max="10245" width="10.6640625" bestFit="1" customWidth="1"/>
    <col min="10246" max="10246" width="18.88671875" customWidth="1"/>
    <col min="10247" max="10247" width="11.109375" bestFit="1" customWidth="1"/>
    <col min="10248" max="10248" width="26.88671875" customWidth="1"/>
    <col min="10497" max="10497" width="68.5546875" bestFit="1" customWidth="1"/>
    <col min="10498" max="10498" width="12.5546875" bestFit="1" customWidth="1"/>
    <col min="10499" max="10499" width="8.88671875" bestFit="1" customWidth="1"/>
    <col min="10500" max="10500" width="19.33203125" bestFit="1" customWidth="1"/>
    <col min="10501" max="10501" width="10.6640625" bestFit="1" customWidth="1"/>
    <col min="10502" max="10502" width="18.88671875" customWidth="1"/>
    <col min="10503" max="10503" width="11.109375" bestFit="1" customWidth="1"/>
    <col min="10504" max="10504" width="26.88671875" customWidth="1"/>
    <col min="10753" max="10753" width="68.5546875" bestFit="1" customWidth="1"/>
    <col min="10754" max="10754" width="12.5546875" bestFit="1" customWidth="1"/>
    <col min="10755" max="10755" width="8.88671875" bestFit="1" customWidth="1"/>
    <col min="10756" max="10756" width="19.33203125" bestFit="1" customWidth="1"/>
    <col min="10757" max="10757" width="10.6640625" bestFit="1" customWidth="1"/>
    <col min="10758" max="10758" width="18.88671875" customWidth="1"/>
    <col min="10759" max="10759" width="11.109375" bestFit="1" customWidth="1"/>
    <col min="10760" max="10760" width="26.88671875" customWidth="1"/>
    <col min="11009" max="11009" width="68.5546875" bestFit="1" customWidth="1"/>
    <col min="11010" max="11010" width="12.5546875" bestFit="1" customWidth="1"/>
    <col min="11011" max="11011" width="8.88671875" bestFit="1" customWidth="1"/>
    <col min="11012" max="11012" width="19.33203125" bestFit="1" customWidth="1"/>
    <col min="11013" max="11013" width="10.6640625" bestFit="1" customWidth="1"/>
    <col min="11014" max="11014" width="18.88671875" customWidth="1"/>
    <col min="11015" max="11015" width="11.109375" bestFit="1" customWidth="1"/>
    <col min="11016" max="11016" width="26.88671875" customWidth="1"/>
    <col min="11265" max="11265" width="68.5546875" bestFit="1" customWidth="1"/>
    <col min="11266" max="11266" width="12.5546875" bestFit="1" customWidth="1"/>
    <col min="11267" max="11267" width="8.88671875" bestFit="1" customWidth="1"/>
    <col min="11268" max="11268" width="19.33203125" bestFit="1" customWidth="1"/>
    <col min="11269" max="11269" width="10.6640625" bestFit="1" customWidth="1"/>
    <col min="11270" max="11270" width="18.88671875" customWidth="1"/>
    <col min="11271" max="11271" width="11.109375" bestFit="1" customWidth="1"/>
    <col min="11272" max="11272" width="26.88671875" customWidth="1"/>
    <col min="11521" max="11521" width="68.5546875" bestFit="1" customWidth="1"/>
    <col min="11522" max="11522" width="12.5546875" bestFit="1" customWidth="1"/>
    <col min="11523" max="11523" width="8.88671875" bestFit="1" customWidth="1"/>
    <col min="11524" max="11524" width="19.33203125" bestFit="1" customWidth="1"/>
    <col min="11525" max="11525" width="10.6640625" bestFit="1" customWidth="1"/>
    <col min="11526" max="11526" width="18.88671875" customWidth="1"/>
    <col min="11527" max="11527" width="11.109375" bestFit="1" customWidth="1"/>
    <col min="11528" max="11528" width="26.88671875" customWidth="1"/>
    <col min="11777" max="11777" width="68.5546875" bestFit="1" customWidth="1"/>
    <col min="11778" max="11778" width="12.5546875" bestFit="1" customWidth="1"/>
    <col min="11779" max="11779" width="8.88671875" bestFit="1" customWidth="1"/>
    <col min="11780" max="11780" width="19.33203125" bestFit="1" customWidth="1"/>
    <col min="11781" max="11781" width="10.6640625" bestFit="1" customWidth="1"/>
    <col min="11782" max="11782" width="18.88671875" customWidth="1"/>
    <col min="11783" max="11783" width="11.109375" bestFit="1" customWidth="1"/>
    <col min="11784" max="11784" width="26.88671875" customWidth="1"/>
    <col min="12033" max="12033" width="68.5546875" bestFit="1" customWidth="1"/>
    <col min="12034" max="12034" width="12.5546875" bestFit="1" customWidth="1"/>
    <col min="12035" max="12035" width="8.88671875" bestFit="1" customWidth="1"/>
    <col min="12036" max="12036" width="19.33203125" bestFit="1" customWidth="1"/>
    <col min="12037" max="12037" width="10.6640625" bestFit="1" customWidth="1"/>
    <col min="12038" max="12038" width="18.88671875" customWidth="1"/>
    <col min="12039" max="12039" width="11.109375" bestFit="1" customWidth="1"/>
    <col min="12040" max="12040" width="26.88671875" customWidth="1"/>
    <col min="12289" max="12289" width="68.5546875" bestFit="1" customWidth="1"/>
    <col min="12290" max="12290" width="12.5546875" bestFit="1" customWidth="1"/>
    <col min="12291" max="12291" width="8.88671875" bestFit="1" customWidth="1"/>
    <col min="12292" max="12292" width="19.33203125" bestFit="1" customWidth="1"/>
    <col min="12293" max="12293" width="10.6640625" bestFit="1" customWidth="1"/>
    <col min="12294" max="12294" width="18.88671875" customWidth="1"/>
    <col min="12295" max="12295" width="11.109375" bestFit="1" customWidth="1"/>
    <col min="12296" max="12296" width="26.88671875" customWidth="1"/>
    <col min="12545" max="12545" width="68.5546875" bestFit="1" customWidth="1"/>
    <col min="12546" max="12546" width="12.5546875" bestFit="1" customWidth="1"/>
    <col min="12547" max="12547" width="8.88671875" bestFit="1" customWidth="1"/>
    <col min="12548" max="12548" width="19.33203125" bestFit="1" customWidth="1"/>
    <col min="12549" max="12549" width="10.6640625" bestFit="1" customWidth="1"/>
    <col min="12550" max="12550" width="18.88671875" customWidth="1"/>
    <col min="12551" max="12551" width="11.109375" bestFit="1" customWidth="1"/>
    <col min="12552" max="12552" width="26.88671875" customWidth="1"/>
    <col min="12801" max="12801" width="68.5546875" bestFit="1" customWidth="1"/>
    <col min="12802" max="12802" width="12.5546875" bestFit="1" customWidth="1"/>
    <col min="12803" max="12803" width="8.88671875" bestFit="1" customWidth="1"/>
    <col min="12804" max="12804" width="19.33203125" bestFit="1" customWidth="1"/>
    <col min="12805" max="12805" width="10.6640625" bestFit="1" customWidth="1"/>
    <col min="12806" max="12806" width="18.88671875" customWidth="1"/>
    <col min="12807" max="12807" width="11.109375" bestFit="1" customWidth="1"/>
    <col min="12808" max="12808" width="26.88671875" customWidth="1"/>
    <col min="13057" max="13057" width="68.5546875" bestFit="1" customWidth="1"/>
    <col min="13058" max="13058" width="12.5546875" bestFit="1" customWidth="1"/>
    <col min="13059" max="13059" width="8.88671875" bestFit="1" customWidth="1"/>
    <col min="13060" max="13060" width="19.33203125" bestFit="1" customWidth="1"/>
    <col min="13061" max="13061" width="10.6640625" bestFit="1" customWidth="1"/>
    <col min="13062" max="13062" width="18.88671875" customWidth="1"/>
    <col min="13063" max="13063" width="11.109375" bestFit="1" customWidth="1"/>
    <col min="13064" max="13064" width="26.88671875" customWidth="1"/>
    <col min="13313" max="13313" width="68.5546875" bestFit="1" customWidth="1"/>
    <col min="13314" max="13314" width="12.5546875" bestFit="1" customWidth="1"/>
    <col min="13315" max="13315" width="8.88671875" bestFit="1" customWidth="1"/>
    <col min="13316" max="13316" width="19.33203125" bestFit="1" customWidth="1"/>
    <col min="13317" max="13317" width="10.6640625" bestFit="1" customWidth="1"/>
    <col min="13318" max="13318" width="18.88671875" customWidth="1"/>
    <col min="13319" max="13319" width="11.109375" bestFit="1" customWidth="1"/>
    <col min="13320" max="13320" width="26.88671875" customWidth="1"/>
    <col min="13569" max="13569" width="68.5546875" bestFit="1" customWidth="1"/>
    <col min="13570" max="13570" width="12.5546875" bestFit="1" customWidth="1"/>
    <col min="13571" max="13571" width="8.88671875" bestFit="1" customWidth="1"/>
    <col min="13572" max="13572" width="19.33203125" bestFit="1" customWidth="1"/>
    <col min="13573" max="13573" width="10.6640625" bestFit="1" customWidth="1"/>
    <col min="13574" max="13574" width="18.88671875" customWidth="1"/>
    <col min="13575" max="13575" width="11.109375" bestFit="1" customWidth="1"/>
    <col min="13576" max="13576" width="26.88671875" customWidth="1"/>
    <col min="13825" max="13825" width="68.5546875" bestFit="1" customWidth="1"/>
    <col min="13826" max="13826" width="12.5546875" bestFit="1" customWidth="1"/>
    <col min="13827" max="13827" width="8.88671875" bestFit="1" customWidth="1"/>
    <col min="13828" max="13828" width="19.33203125" bestFit="1" customWidth="1"/>
    <col min="13829" max="13829" width="10.6640625" bestFit="1" customWidth="1"/>
    <col min="13830" max="13830" width="18.88671875" customWidth="1"/>
    <col min="13831" max="13831" width="11.109375" bestFit="1" customWidth="1"/>
    <col min="13832" max="13832" width="26.88671875" customWidth="1"/>
    <col min="14081" max="14081" width="68.5546875" bestFit="1" customWidth="1"/>
    <col min="14082" max="14082" width="12.5546875" bestFit="1" customWidth="1"/>
    <col min="14083" max="14083" width="8.88671875" bestFit="1" customWidth="1"/>
    <col min="14084" max="14084" width="19.33203125" bestFit="1" customWidth="1"/>
    <col min="14085" max="14085" width="10.6640625" bestFit="1" customWidth="1"/>
    <col min="14086" max="14086" width="18.88671875" customWidth="1"/>
    <col min="14087" max="14087" width="11.109375" bestFit="1" customWidth="1"/>
    <col min="14088" max="14088" width="26.88671875" customWidth="1"/>
    <col min="14337" max="14337" width="68.5546875" bestFit="1" customWidth="1"/>
    <col min="14338" max="14338" width="12.5546875" bestFit="1" customWidth="1"/>
    <col min="14339" max="14339" width="8.88671875" bestFit="1" customWidth="1"/>
    <col min="14340" max="14340" width="19.33203125" bestFit="1" customWidth="1"/>
    <col min="14341" max="14341" width="10.6640625" bestFit="1" customWidth="1"/>
    <col min="14342" max="14342" width="18.88671875" customWidth="1"/>
    <col min="14343" max="14343" width="11.109375" bestFit="1" customWidth="1"/>
    <col min="14344" max="14344" width="26.88671875" customWidth="1"/>
    <col min="14593" max="14593" width="68.5546875" bestFit="1" customWidth="1"/>
    <col min="14594" max="14594" width="12.5546875" bestFit="1" customWidth="1"/>
    <col min="14595" max="14595" width="8.88671875" bestFit="1" customWidth="1"/>
    <col min="14596" max="14596" width="19.33203125" bestFit="1" customWidth="1"/>
    <col min="14597" max="14597" width="10.6640625" bestFit="1" customWidth="1"/>
    <col min="14598" max="14598" width="18.88671875" customWidth="1"/>
    <col min="14599" max="14599" width="11.109375" bestFit="1" customWidth="1"/>
    <col min="14600" max="14600" width="26.88671875" customWidth="1"/>
    <col min="14849" max="14849" width="68.5546875" bestFit="1" customWidth="1"/>
    <col min="14850" max="14850" width="12.5546875" bestFit="1" customWidth="1"/>
    <col min="14851" max="14851" width="8.88671875" bestFit="1" customWidth="1"/>
    <col min="14852" max="14852" width="19.33203125" bestFit="1" customWidth="1"/>
    <col min="14853" max="14853" width="10.6640625" bestFit="1" customWidth="1"/>
    <col min="14854" max="14854" width="18.88671875" customWidth="1"/>
    <col min="14855" max="14855" width="11.109375" bestFit="1" customWidth="1"/>
    <col min="14856" max="14856" width="26.88671875" customWidth="1"/>
    <col min="15105" max="15105" width="68.5546875" bestFit="1" customWidth="1"/>
    <col min="15106" max="15106" width="12.5546875" bestFit="1" customWidth="1"/>
    <col min="15107" max="15107" width="8.88671875" bestFit="1" customWidth="1"/>
    <col min="15108" max="15108" width="19.33203125" bestFit="1" customWidth="1"/>
    <col min="15109" max="15109" width="10.6640625" bestFit="1" customWidth="1"/>
    <col min="15110" max="15110" width="18.88671875" customWidth="1"/>
    <col min="15111" max="15111" width="11.109375" bestFit="1" customWidth="1"/>
    <col min="15112" max="15112" width="26.88671875" customWidth="1"/>
    <col min="15361" max="15361" width="68.5546875" bestFit="1" customWidth="1"/>
    <col min="15362" max="15362" width="12.5546875" bestFit="1" customWidth="1"/>
    <col min="15363" max="15363" width="8.88671875" bestFit="1" customWidth="1"/>
    <col min="15364" max="15364" width="19.33203125" bestFit="1" customWidth="1"/>
    <col min="15365" max="15365" width="10.6640625" bestFit="1" customWidth="1"/>
    <col min="15366" max="15366" width="18.88671875" customWidth="1"/>
    <col min="15367" max="15367" width="11.109375" bestFit="1" customWidth="1"/>
    <col min="15368" max="15368" width="26.88671875" customWidth="1"/>
    <col min="15617" max="15617" width="68.5546875" bestFit="1" customWidth="1"/>
    <col min="15618" max="15618" width="12.5546875" bestFit="1" customWidth="1"/>
    <col min="15619" max="15619" width="8.88671875" bestFit="1" customWidth="1"/>
    <col min="15620" max="15620" width="19.33203125" bestFit="1" customWidth="1"/>
    <col min="15621" max="15621" width="10.6640625" bestFit="1" customWidth="1"/>
    <col min="15622" max="15622" width="18.88671875" customWidth="1"/>
    <col min="15623" max="15623" width="11.109375" bestFit="1" customWidth="1"/>
    <col min="15624" max="15624" width="26.88671875" customWidth="1"/>
    <col min="15873" max="15873" width="68.5546875" bestFit="1" customWidth="1"/>
    <col min="15874" max="15874" width="12.5546875" bestFit="1" customWidth="1"/>
    <col min="15875" max="15875" width="8.88671875" bestFit="1" customWidth="1"/>
    <col min="15876" max="15876" width="19.33203125" bestFit="1" customWidth="1"/>
    <col min="15877" max="15877" width="10.6640625" bestFit="1" customWidth="1"/>
    <col min="15878" max="15878" width="18.88671875" customWidth="1"/>
    <col min="15879" max="15879" width="11.109375" bestFit="1" customWidth="1"/>
    <col min="15880" max="15880" width="26.88671875" customWidth="1"/>
    <col min="16129" max="16129" width="68.5546875" bestFit="1" customWidth="1"/>
    <col min="16130" max="16130" width="12.5546875" bestFit="1" customWidth="1"/>
    <col min="16131" max="16131" width="8.88671875" bestFit="1" customWidth="1"/>
    <col min="16132" max="16132" width="19.33203125" bestFit="1" customWidth="1"/>
    <col min="16133" max="16133" width="10.6640625" bestFit="1" customWidth="1"/>
    <col min="16134" max="16134" width="18.88671875" customWidth="1"/>
    <col min="16135" max="16135" width="11.109375" bestFit="1" customWidth="1"/>
    <col min="16136" max="16136" width="26.88671875" customWidth="1"/>
  </cols>
  <sheetData>
    <row r="1" spans="1:16">
      <c r="A1" s="201" t="s">
        <v>163</v>
      </c>
      <c r="B1" s="202"/>
      <c r="C1" s="203"/>
      <c r="D1" s="204"/>
      <c r="E1" s="204"/>
      <c r="F1" s="204"/>
      <c r="G1" s="205"/>
      <c r="H1" s="205"/>
      <c r="I1" s="205"/>
      <c r="J1" s="205"/>
      <c r="K1" s="205"/>
      <c r="L1" s="205"/>
    </row>
    <row r="2" spans="1:16">
      <c r="A2" s="206" t="s">
        <v>152</v>
      </c>
      <c r="B2" s="205"/>
      <c r="C2" s="207"/>
      <c r="D2" s="208"/>
      <c r="E2" s="208" t="s">
        <v>153</v>
      </c>
      <c r="F2" s="204"/>
      <c r="G2" s="205"/>
      <c r="H2" s="205"/>
      <c r="I2" s="205"/>
      <c r="J2" s="209"/>
      <c r="K2" s="205"/>
      <c r="L2" s="205"/>
    </row>
    <row r="3" spans="1:16">
      <c r="A3" s="205"/>
      <c r="B3" s="205"/>
      <c r="C3" s="207" t="s">
        <v>154</v>
      </c>
      <c r="D3" s="208" t="s">
        <v>155</v>
      </c>
      <c r="E3" s="208" t="s">
        <v>156</v>
      </c>
      <c r="F3" s="208"/>
      <c r="G3" s="205"/>
      <c r="H3" s="210"/>
      <c r="I3" s="209"/>
      <c r="J3" s="211"/>
      <c r="K3" s="205"/>
      <c r="L3" s="205"/>
    </row>
    <row r="4" spans="1:16">
      <c r="A4" s="205"/>
      <c r="B4" s="205"/>
      <c r="C4" s="207" t="s">
        <v>157</v>
      </c>
      <c r="D4" s="208" t="s">
        <v>10</v>
      </c>
      <c r="E4" s="212">
        <v>45323</v>
      </c>
      <c r="F4" s="213"/>
      <c r="G4" s="205"/>
      <c r="H4" s="214"/>
      <c r="I4" s="209"/>
      <c r="J4" s="209"/>
      <c r="K4" s="205"/>
      <c r="L4" s="205"/>
    </row>
    <row r="5" spans="1:16">
      <c r="A5" s="201"/>
      <c r="B5" s="201"/>
      <c r="C5" s="215"/>
      <c r="D5" s="204"/>
      <c r="E5" s="204"/>
      <c r="F5" s="204"/>
      <c r="G5" s="205"/>
      <c r="H5" s="205"/>
      <c r="I5" s="209"/>
      <c r="J5" s="205"/>
      <c r="K5" s="205"/>
      <c r="L5" s="205"/>
    </row>
    <row r="6" spans="1:16">
      <c r="A6" s="201" t="s">
        <v>100</v>
      </c>
      <c r="B6" s="201"/>
      <c r="C6" s="215"/>
      <c r="D6" s="204"/>
      <c r="E6" s="204"/>
      <c r="F6" s="204"/>
      <c r="G6" s="205"/>
      <c r="H6" s="205"/>
      <c r="I6" s="216"/>
      <c r="J6" s="205"/>
      <c r="K6" s="205"/>
      <c r="L6" s="205"/>
    </row>
    <row r="7" spans="1:16">
      <c r="A7" s="205" t="str">
        <f>'Price Out Rates'!$C$2</f>
        <v>Yardwaste/Organics 96G, EOW</v>
      </c>
      <c r="B7" s="205"/>
      <c r="C7" s="204">
        <f>'Price Out Rates'!M2</f>
        <v>12.1</v>
      </c>
      <c r="D7" s="204">
        <f>'Price Out Rates'!L2</f>
        <v>0.92314177759801364</v>
      </c>
      <c r="E7" s="204">
        <f>C7+D7</f>
        <v>13.023141777598013</v>
      </c>
      <c r="F7" s="204"/>
      <c r="G7" s="215"/>
      <c r="H7" s="215"/>
      <c r="I7" s="215"/>
      <c r="J7" s="215"/>
      <c r="K7" s="215"/>
      <c r="L7" s="215"/>
      <c r="M7" s="215"/>
      <c r="N7" s="215"/>
      <c r="O7" s="215"/>
      <c r="P7" s="215"/>
    </row>
    <row r="8" spans="1:16">
      <c r="A8" s="217" t="str">
        <f>'Price Out Rates'!C11</f>
        <v>Yardwaste only, EOW</v>
      </c>
      <c r="B8" s="217"/>
      <c r="C8" s="218">
        <f>'Price Out Rates'!M11</f>
        <v>13.51</v>
      </c>
      <c r="D8" s="218">
        <f>'Price Out Rates'!L11</f>
        <v>0.92314177759801364</v>
      </c>
      <c r="E8" s="218">
        <f t="shared" ref="E8:E12" si="0">C8+D8</f>
        <v>14.433141777598014</v>
      </c>
      <c r="F8" s="204"/>
      <c r="G8" s="215"/>
      <c r="H8" s="215"/>
      <c r="I8" s="215"/>
      <c r="J8" s="215"/>
      <c r="K8" s="215"/>
      <c r="L8" s="215"/>
      <c r="M8" s="215"/>
      <c r="N8" s="215"/>
      <c r="O8" s="215"/>
      <c r="P8" s="215"/>
    </row>
    <row r="9" spans="1:16">
      <c r="A9" s="205"/>
      <c r="B9" s="205"/>
      <c r="C9" s="204"/>
      <c r="D9" s="204"/>
      <c r="E9" s="204"/>
      <c r="F9" s="204"/>
      <c r="G9" s="215"/>
      <c r="H9" s="215"/>
      <c r="I9" s="215"/>
      <c r="J9" s="215"/>
      <c r="K9" s="215"/>
      <c r="L9" s="215"/>
      <c r="M9" s="215"/>
      <c r="N9" s="215"/>
      <c r="O9" s="215"/>
      <c r="P9" s="215"/>
    </row>
    <row r="10" spans="1:16">
      <c r="A10" s="201" t="s">
        <v>101</v>
      </c>
      <c r="B10" s="205"/>
      <c r="C10" s="204"/>
      <c r="D10" s="204"/>
      <c r="E10" s="204"/>
      <c r="F10" s="204"/>
      <c r="G10" s="215"/>
      <c r="H10" s="215"/>
      <c r="I10" s="215"/>
      <c r="J10" s="215"/>
      <c r="K10" s="215"/>
      <c r="L10" s="215"/>
      <c r="M10" s="215"/>
      <c r="N10" s="215"/>
      <c r="O10" s="215"/>
      <c r="P10" s="215"/>
    </row>
    <row r="11" spans="1:16">
      <c r="A11" s="219" t="str">
        <f>'Price Out Rates'!C3</f>
        <v>Yardwaste/Organics 96G, EOW</v>
      </c>
      <c r="B11" s="219"/>
      <c r="C11" s="215">
        <f>'Price Out Rates'!M3</f>
        <v>12.1</v>
      </c>
      <c r="D11" s="215">
        <f>'Price Out Rates'!L3</f>
        <v>0.92314177759801375</v>
      </c>
      <c r="E11" s="215">
        <f t="shared" si="0"/>
        <v>13.023141777598013</v>
      </c>
      <c r="F11" s="204"/>
      <c r="G11" s="215"/>
      <c r="H11" s="215"/>
      <c r="I11" s="215"/>
      <c r="J11" s="215"/>
      <c r="K11" s="215"/>
      <c r="L11" s="215"/>
      <c r="M11" s="215"/>
      <c r="N11" s="215"/>
      <c r="O11" s="215"/>
      <c r="P11" s="215"/>
    </row>
    <row r="12" spans="1:16">
      <c r="A12" s="217" t="str">
        <f>'Price Out Rates'!C12</f>
        <v>Yardwaste only 96G, EOW</v>
      </c>
      <c r="B12" s="217"/>
      <c r="C12" s="218">
        <f>'Price Out Rates'!M12</f>
        <v>13.51</v>
      </c>
      <c r="D12" s="218">
        <f>'Price Out Rates'!L12</f>
        <v>0.92314177759801364</v>
      </c>
      <c r="E12" s="218">
        <f t="shared" si="0"/>
        <v>14.433141777598014</v>
      </c>
      <c r="F12" s="204"/>
      <c r="G12" s="215"/>
      <c r="H12" s="215"/>
      <c r="I12" s="215"/>
      <c r="J12" s="215"/>
      <c r="K12" s="215"/>
      <c r="L12" s="215"/>
      <c r="M12" s="215"/>
      <c r="N12" s="215"/>
      <c r="O12" s="215"/>
      <c r="P12" s="215"/>
    </row>
    <row r="13" spans="1:16">
      <c r="A13" s="219"/>
      <c r="B13" s="219"/>
      <c r="C13" s="215"/>
      <c r="D13" s="215"/>
      <c r="E13" s="215"/>
      <c r="F13" s="204"/>
      <c r="G13" s="215"/>
      <c r="H13" s="215"/>
      <c r="I13" s="215"/>
      <c r="J13" s="215"/>
      <c r="K13" s="215"/>
      <c r="L13" s="215"/>
      <c r="M13" s="215"/>
      <c r="N13" s="215"/>
      <c r="O13" s="215"/>
      <c r="P13" s="215"/>
    </row>
    <row r="14" spans="1:16">
      <c r="A14" s="205"/>
      <c r="B14" s="205"/>
      <c r="C14" s="204"/>
      <c r="D14" s="204"/>
      <c r="E14" s="204"/>
      <c r="F14" s="204"/>
      <c r="G14" s="205"/>
      <c r="H14" s="205"/>
      <c r="I14" s="205"/>
      <c r="J14" s="205"/>
      <c r="K14" s="205"/>
      <c r="L14" s="205"/>
      <c r="M14" s="205"/>
      <c r="N14" s="205"/>
      <c r="O14" s="205"/>
      <c r="P14" s="205"/>
    </row>
    <row r="15" spans="1:16">
      <c r="A15" s="205"/>
      <c r="B15" s="205"/>
      <c r="C15" s="204"/>
      <c r="D15" s="204"/>
      <c r="E15" s="215"/>
      <c r="F15" s="215"/>
      <c r="G15" s="205"/>
      <c r="H15" s="205"/>
      <c r="I15" s="205"/>
      <c r="J15" s="205"/>
      <c r="K15" s="205"/>
      <c r="L15" s="205"/>
    </row>
    <row r="16" spans="1:16">
      <c r="A16" s="205"/>
      <c r="B16" s="205" t="s">
        <v>158</v>
      </c>
      <c r="C16" s="204">
        <f>SUM(C7:C14)-SUM('Price Out Rates'!M:M)</f>
        <v>0</v>
      </c>
      <c r="D16" s="204">
        <f>SUM(D7:D14)-SUM('Price Out Rates'!L:L)</f>
        <v>0</v>
      </c>
      <c r="E16" s="204">
        <f>SUM(E7:E14)-SUM('Price Out Rates'!N:N)</f>
        <v>0</v>
      </c>
      <c r="F16" s="215"/>
      <c r="G16" s="205"/>
      <c r="H16" s="205"/>
      <c r="I16" s="205"/>
      <c r="J16" s="205"/>
      <c r="K16" s="205"/>
      <c r="L16" s="205"/>
    </row>
    <row r="17" spans="1:12">
      <c r="A17" s="205"/>
      <c r="B17" s="205"/>
      <c r="C17" s="204"/>
      <c r="D17" s="204"/>
      <c r="E17" s="215"/>
      <c r="F17" s="215"/>
      <c r="G17" s="205"/>
      <c r="H17" s="205"/>
      <c r="I17" s="205"/>
      <c r="J17" s="205"/>
      <c r="K17" s="205"/>
      <c r="L17" s="205"/>
    </row>
    <row r="18" spans="1:12">
      <c r="A18" s="201"/>
      <c r="B18" s="205"/>
      <c r="C18" s="204"/>
      <c r="D18" s="204"/>
      <c r="E18" s="215"/>
      <c r="F18" s="215"/>
      <c r="G18" s="205"/>
      <c r="H18" s="205"/>
      <c r="I18" s="205"/>
      <c r="J18" s="205"/>
      <c r="K18" s="205"/>
      <c r="L18" s="205"/>
    </row>
    <row r="19" spans="1:12">
      <c r="A19" s="201"/>
      <c r="B19" s="205"/>
      <c r="C19" s="204"/>
      <c r="D19" s="204"/>
      <c r="E19" s="215"/>
      <c r="F19" s="215"/>
      <c r="G19" s="205"/>
      <c r="H19" s="205"/>
      <c r="I19" s="205"/>
      <c r="J19" s="205"/>
      <c r="K19" s="205"/>
      <c r="L19" s="205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9"/>
  <sheetViews>
    <sheetView zoomScale="70" zoomScaleNormal="70" workbookViewId="0">
      <selection activeCell="Q16" sqref="Q16"/>
    </sheetView>
  </sheetViews>
  <sheetFormatPr defaultColWidth="8.88671875" defaultRowHeight="14.4"/>
  <cols>
    <col min="1" max="1" width="5.44140625" style="56" bestFit="1" customWidth="1"/>
    <col min="2" max="2" width="33.109375" style="60" customWidth="1"/>
    <col min="3" max="3" width="44" style="56" customWidth="1"/>
    <col min="4" max="4" width="23.6640625" style="57" customWidth="1"/>
    <col min="5" max="5" width="13.6640625" style="56" customWidth="1"/>
    <col min="6" max="6" width="16" style="56" customWidth="1"/>
    <col min="7" max="7" width="19.33203125" style="96" customWidth="1"/>
    <col min="8" max="8" width="25.6640625" style="56" customWidth="1"/>
    <col min="9" max="9" width="21.6640625" style="55" customWidth="1"/>
    <col min="10" max="11" width="13.33203125" style="56" bestFit="1" customWidth="1"/>
    <col min="12" max="12" width="13.6640625" style="56" customWidth="1"/>
    <col min="13" max="13" width="21.6640625" style="56" customWidth="1"/>
    <col min="14" max="14" width="26.33203125" style="56" customWidth="1"/>
    <col min="15" max="15" width="32.6640625" style="56" customWidth="1"/>
    <col min="16" max="16" width="31.33203125" style="56" bestFit="1" customWidth="1"/>
    <col min="17" max="17" width="29" style="56" bestFit="1" customWidth="1"/>
    <col min="18" max="18" width="18.109375" style="56" bestFit="1" customWidth="1"/>
    <col min="19" max="20" width="21.5546875" style="56" bestFit="1" customWidth="1"/>
    <col min="21" max="21" width="4" style="58" customWidth="1"/>
    <col min="22" max="16384" width="8.88671875" style="56"/>
  </cols>
  <sheetData>
    <row r="1" spans="1:23" ht="43.2">
      <c r="A1" s="48"/>
      <c r="B1" s="89" t="s">
        <v>16</v>
      </c>
      <c r="C1" s="252" t="s">
        <v>18</v>
      </c>
      <c r="D1" s="73" t="s">
        <v>41</v>
      </c>
      <c r="E1" s="89" t="s">
        <v>0</v>
      </c>
      <c r="F1" s="127" t="s">
        <v>1</v>
      </c>
      <c r="G1" s="93" t="s">
        <v>11</v>
      </c>
      <c r="H1" s="89" t="s">
        <v>35</v>
      </c>
      <c r="I1" s="90" t="s">
        <v>36</v>
      </c>
      <c r="J1" s="86" t="s">
        <v>10</v>
      </c>
      <c r="K1" s="73" t="s">
        <v>2</v>
      </c>
      <c r="L1" s="89" t="s">
        <v>43</v>
      </c>
      <c r="M1" s="73" t="s">
        <v>39</v>
      </c>
      <c r="N1" s="89" t="s">
        <v>37</v>
      </c>
      <c r="O1" s="89" t="s">
        <v>40</v>
      </c>
      <c r="P1" s="73" t="s">
        <v>38</v>
      </c>
      <c r="Q1" s="89" t="s">
        <v>42</v>
      </c>
      <c r="R1" s="89" t="s">
        <v>44</v>
      </c>
      <c r="S1" s="89" t="s">
        <v>46</v>
      </c>
      <c r="T1" s="89" t="s">
        <v>45</v>
      </c>
      <c r="U1" s="247"/>
      <c r="V1" s="245" t="s">
        <v>160</v>
      </c>
      <c r="W1" s="245" t="s">
        <v>161</v>
      </c>
    </row>
    <row r="2" spans="1:23" s="58" customFormat="1" ht="14.4" customHeight="1">
      <c r="A2" s="258" t="s">
        <v>14</v>
      </c>
      <c r="B2" s="109" t="s">
        <v>100</v>
      </c>
      <c r="C2" s="251" t="s">
        <v>165</v>
      </c>
      <c r="D2" s="240">
        <v>12131</v>
      </c>
      <c r="E2" s="68">
        <f>References!B8</f>
        <v>2.1666666666666665</v>
      </c>
      <c r="F2" s="102">
        <f>D2*E2*12</f>
        <v>315406</v>
      </c>
      <c r="G2" s="223">
        <f>References!B22</f>
        <v>68</v>
      </c>
      <c r="H2" s="66">
        <f>G2*F2</f>
        <v>21447608</v>
      </c>
      <c r="I2" s="47">
        <f>$D$21*H2</f>
        <v>17833708.627921782</v>
      </c>
      <c r="J2" s="70">
        <f>(References!$C$49*I2)</f>
        <v>131077.75841522502</v>
      </c>
      <c r="K2" s="70">
        <f>J2/References!$G$52</f>
        <v>134383.59484849806</v>
      </c>
      <c r="L2" s="65">
        <f>IFERROR(K2/F2*E2,0)</f>
        <v>0.92314177759801364</v>
      </c>
      <c r="M2" s="241">
        <v>12.1</v>
      </c>
      <c r="N2" s="65">
        <f>L2+M2</f>
        <v>13.023141777598013</v>
      </c>
      <c r="O2" s="65">
        <f t="shared" ref="O2:O3" si="0">M2*D2*12</f>
        <v>1761421.2000000002</v>
      </c>
      <c r="P2" s="65">
        <f t="shared" ref="P2:P3" si="1">N2*D2*12</f>
        <v>1895804.794848498</v>
      </c>
      <c r="Q2" s="65">
        <f>O2-P2</f>
        <v>-134383.59484849777</v>
      </c>
      <c r="R2" s="69">
        <f t="shared" ref="R2:R3" si="2">N2</f>
        <v>13.023141777598013</v>
      </c>
      <c r="S2" s="69">
        <f t="shared" ref="S2:S3" si="3">R2*D2*12</f>
        <v>1895804.794848498</v>
      </c>
      <c r="T2" s="69">
        <f t="shared" ref="T2:T3" si="4">S2-O2</f>
        <v>134383.59484849777</v>
      </c>
      <c r="U2" s="65"/>
      <c r="V2" s="243">
        <f>L2/M2</f>
        <v>7.6292708892397823E-2</v>
      </c>
      <c r="W2" s="107">
        <f t="shared" ref="W2:W3" si="5">N2-M2-L2</f>
        <v>0</v>
      </c>
    </row>
    <row r="3" spans="1:23" s="58" customFormat="1">
      <c r="A3" s="259"/>
      <c r="B3" s="110" t="s">
        <v>170</v>
      </c>
      <c r="C3" s="251" t="s">
        <v>165</v>
      </c>
      <c r="D3" s="240">
        <v>927</v>
      </c>
      <c r="E3" s="67">
        <f>References!B8</f>
        <v>2.1666666666666665</v>
      </c>
      <c r="F3" s="102">
        <f t="shared" ref="F3" si="6">D3*E3*12</f>
        <v>24101.999999999996</v>
      </c>
      <c r="G3" s="223">
        <f>References!B22</f>
        <v>68</v>
      </c>
      <c r="H3" s="66">
        <f t="shared" ref="H3" si="7">G3*F3</f>
        <v>1638935.9999999998</v>
      </c>
      <c r="I3" s="47">
        <f>$D$21*H3</f>
        <v>1362777.0091569936</v>
      </c>
      <c r="J3" s="65">
        <f>(References!$C$49*I3)</f>
        <v>10016.411017303897</v>
      </c>
      <c r="K3" s="65">
        <f>J3/References!$G$52</f>
        <v>10269.029134000304</v>
      </c>
      <c r="L3" s="65">
        <f t="shared" ref="L3" si="8">IFERROR(K3/F3*E3,0)</f>
        <v>0.92314177759801375</v>
      </c>
      <c r="M3" s="241">
        <v>12.1</v>
      </c>
      <c r="N3" s="65">
        <f t="shared" ref="N3" si="9">L3+M3</f>
        <v>13.023141777598013</v>
      </c>
      <c r="O3" s="65">
        <f t="shared" si="0"/>
        <v>134600.4</v>
      </c>
      <c r="P3" s="65">
        <f t="shared" si="1"/>
        <v>144869.42913400033</v>
      </c>
      <c r="Q3" s="65">
        <f t="shared" ref="Q3" si="10">O3-P3</f>
        <v>-10269.029134000331</v>
      </c>
      <c r="R3" s="69">
        <f t="shared" si="2"/>
        <v>13.023141777598013</v>
      </c>
      <c r="S3" s="69">
        <f t="shared" si="3"/>
        <v>144869.42913400033</v>
      </c>
      <c r="T3" s="69">
        <f t="shared" si="4"/>
        <v>10269.029134000331</v>
      </c>
      <c r="U3" s="65"/>
      <c r="V3" s="243">
        <f t="shared" ref="V3" si="11">L3/M3</f>
        <v>7.6292708892397837E-2</v>
      </c>
      <c r="W3" s="107">
        <f t="shared" si="5"/>
        <v>0</v>
      </c>
    </row>
    <row r="4" spans="1:23" s="58" customFormat="1">
      <c r="A4" s="259"/>
      <c r="B4" s="91"/>
      <c r="C4" s="99"/>
      <c r="D4" s="101"/>
      <c r="E4" s="67"/>
      <c r="F4" s="66"/>
      <c r="G4" s="103"/>
      <c r="H4" s="66"/>
      <c r="I4" s="47"/>
      <c r="J4" s="65"/>
      <c r="K4" s="65"/>
      <c r="L4" s="65"/>
      <c r="M4" s="104"/>
      <c r="N4" s="65"/>
      <c r="O4" s="65"/>
      <c r="P4" s="65"/>
      <c r="Q4" s="65"/>
      <c r="R4" s="69"/>
      <c r="S4" s="69"/>
      <c r="T4" s="69"/>
      <c r="U4" s="65"/>
    </row>
    <row r="5" spans="1:23" s="58" customFormat="1">
      <c r="A5" s="49"/>
      <c r="B5" s="74"/>
      <c r="C5" s="50" t="s">
        <v>17</v>
      </c>
      <c r="D5" s="51">
        <f>SUM(D2:D4)</f>
        <v>13058</v>
      </c>
      <c r="E5" s="52"/>
      <c r="F5" s="51">
        <f>SUM(F2:F4)</f>
        <v>339508</v>
      </c>
      <c r="G5" s="94"/>
      <c r="H5" s="51">
        <f>SUM(H2:H4)</f>
        <v>23086544</v>
      </c>
      <c r="I5" s="51">
        <f>SUM(I2:I4)</f>
        <v>19196485.637078777</v>
      </c>
      <c r="J5" s="71"/>
      <c r="K5" s="71"/>
      <c r="L5" s="71"/>
      <c r="M5" s="71"/>
      <c r="N5" s="71"/>
      <c r="O5" s="51">
        <f>SUM(O2:O4)</f>
        <v>1896021.6</v>
      </c>
      <c r="P5" s="108">
        <f>SUM(P2:P4)</f>
        <v>2040674.2239824983</v>
      </c>
      <c r="Q5" s="108">
        <f>SUM(Q2:Q4)</f>
        <v>-144652.6239824981</v>
      </c>
      <c r="R5" s="108"/>
      <c r="S5" s="108">
        <f>SUM(S2:S4)</f>
        <v>2040674.2239824983</v>
      </c>
      <c r="T5" s="108">
        <f>SUM(T2:T4)</f>
        <v>144652.6239824981</v>
      </c>
      <c r="U5" s="248"/>
    </row>
    <row r="6" spans="1:23" s="58" customFormat="1">
      <c r="A6" s="250"/>
      <c r="B6" s="100"/>
      <c r="C6" s="105"/>
      <c r="D6" s="55"/>
      <c r="E6" s="67"/>
      <c r="F6" s="106"/>
      <c r="G6" s="103"/>
      <c r="H6" s="66"/>
      <c r="I6" s="47"/>
      <c r="J6" s="65"/>
      <c r="K6" s="65"/>
      <c r="L6" s="65"/>
      <c r="M6" s="65"/>
      <c r="N6" s="65"/>
      <c r="O6" s="65"/>
      <c r="P6" s="65"/>
      <c r="Q6" s="65"/>
      <c r="R6" s="69"/>
      <c r="S6" s="69"/>
      <c r="T6" s="69"/>
      <c r="U6" s="65"/>
    </row>
    <row r="7" spans="1:23">
      <c r="C7" s="62" t="s">
        <v>3</v>
      </c>
      <c r="D7" s="63">
        <f>D5</f>
        <v>13058</v>
      </c>
      <c r="E7" s="63"/>
      <c r="F7" s="63">
        <f>F5</f>
        <v>339508</v>
      </c>
      <c r="G7" s="95"/>
      <c r="H7" s="63">
        <f>H5</f>
        <v>23086544</v>
      </c>
      <c r="I7" s="63">
        <f>I5</f>
        <v>19196485.637078777</v>
      </c>
      <c r="J7" s="65"/>
      <c r="K7" s="72"/>
      <c r="L7" s="72"/>
      <c r="M7" s="72"/>
      <c r="N7" s="72"/>
      <c r="O7" s="63">
        <f>O5</f>
        <v>1896021.6</v>
      </c>
      <c r="P7" s="63">
        <f>P5</f>
        <v>2040674.2239824983</v>
      </c>
      <c r="Q7" s="63">
        <f>Q5</f>
        <v>-144652.6239824981</v>
      </c>
      <c r="R7" s="63"/>
      <c r="S7" s="63">
        <f>S5</f>
        <v>2040674.2239824983</v>
      </c>
      <c r="T7" s="63">
        <f>T5</f>
        <v>144652.6239824981</v>
      </c>
      <c r="U7" s="249"/>
    </row>
    <row r="8" spans="1:23">
      <c r="J8" s="54"/>
      <c r="P8" s="59"/>
      <c r="T8" s="30">
        <f>T7/O7</f>
        <v>7.6292708892397684E-2</v>
      </c>
      <c r="U8" s="244"/>
    </row>
    <row r="9" spans="1:23">
      <c r="J9" s="54"/>
      <c r="P9" s="59"/>
    </row>
    <row r="10" spans="1:23">
      <c r="A10" s="111"/>
      <c r="B10" s="112"/>
      <c r="C10" s="113" t="s">
        <v>102</v>
      </c>
      <c r="D10" s="114"/>
      <c r="E10" s="115"/>
      <c r="F10" s="115"/>
      <c r="G10" s="116"/>
      <c r="H10" s="115"/>
      <c r="I10" s="117"/>
      <c r="J10" s="118"/>
      <c r="K10" s="115"/>
      <c r="L10" s="115"/>
      <c r="M10" s="115"/>
      <c r="N10" s="245"/>
      <c r="R10" s="58"/>
      <c r="S10" s="58"/>
      <c r="T10" s="58"/>
      <c r="V10" s="246"/>
      <c r="W10" s="246"/>
    </row>
    <row r="11" spans="1:23" s="58" customFormat="1" ht="14.4" customHeight="1">
      <c r="A11" s="119"/>
      <c r="B11" s="110" t="s">
        <v>100</v>
      </c>
      <c r="C11" s="99" t="s">
        <v>166</v>
      </c>
      <c r="D11" s="120">
        <v>1</v>
      </c>
      <c r="E11" s="67">
        <f>References!B8</f>
        <v>2.1666666666666665</v>
      </c>
      <c r="F11" s="121">
        <f>D11*E11*12</f>
        <v>26</v>
      </c>
      <c r="G11" s="224">
        <f>References!B22</f>
        <v>68</v>
      </c>
      <c r="H11" s="66">
        <f>G11*F11</f>
        <v>1768</v>
      </c>
      <c r="I11" s="47">
        <f>$D$21*H11</f>
        <v>1470.0938610107808</v>
      </c>
      <c r="J11" s="65">
        <f>(References!$C$49*I11)</f>
        <v>10.805189878429232</v>
      </c>
      <c r="K11" s="65">
        <f>J11/References!$G$52</f>
        <v>11.077701331176165</v>
      </c>
      <c r="L11" s="65">
        <f t="shared" ref="L11:L12" si="12">IFERROR(K11/F11*E11,0)</f>
        <v>0.92314177759801364</v>
      </c>
      <c r="M11" s="225">
        <v>13.51</v>
      </c>
      <c r="N11" s="65">
        <f>L11+M11</f>
        <v>14.433141777598014</v>
      </c>
      <c r="O11" s="58" t="s">
        <v>162</v>
      </c>
      <c r="R11" s="65"/>
      <c r="S11" s="65"/>
      <c r="T11" s="65"/>
      <c r="U11" s="65"/>
      <c r="V11" s="244">
        <f t="shared" ref="V11:V12" si="13">L11/M11</f>
        <v>6.833025740917939E-2</v>
      </c>
      <c r="W11" s="65">
        <f t="shared" ref="W11:W12" si="14">N11-M11-L11</f>
        <v>0</v>
      </c>
    </row>
    <row r="12" spans="1:23" s="58" customFormat="1">
      <c r="A12" s="226"/>
      <c r="B12" s="110" t="s">
        <v>170</v>
      </c>
      <c r="C12" s="99" t="s">
        <v>167</v>
      </c>
      <c r="D12" s="126">
        <v>1</v>
      </c>
      <c r="E12" s="67">
        <f>References!B8</f>
        <v>2.1666666666666665</v>
      </c>
      <c r="F12" s="227">
        <f>D12*E12*12</f>
        <v>26</v>
      </c>
      <c r="G12" s="224">
        <f>References!B22</f>
        <v>68</v>
      </c>
      <c r="H12" s="66">
        <f t="shared" ref="H12" si="15">G12*F12</f>
        <v>1768</v>
      </c>
      <c r="I12" s="47">
        <f>$D$21*H12</f>
        <v>1470.0938610107808</v>
      </c>
      <c r="J12" s="65">
        <f>(References!$C$49*I12)</f>
        <v>10.805189878429232</v>
      </c>
      <c r="K12" s="65">
        <f>J12/References!$G$52</f>
        <v>11.077701331176165</v>
      </c>
      <c r="L12" s="65">
        <f t="shared" si="12"/>
        <v>0.92314177759801364</v>
      </c>
      <c r="M12" s="225">
        <v>13.51</v>
      </c>
      <c r="N12" s="65">
        <f t="shared" ref="N12" si="16">L12+M12</f>
        <v>14.433141777598014</v>
      </c>
      <c r="O12" s="58" t="s">
        <v>162</v>
      </c>
      <c r="R12" s="65"/>
      <c r="S12" s="65"/>
      <c r="T12" s="65"/>
      <c r="U12" s="65"/>
      <c r="V12" s="244">
        <f t="shared" si="13"/>
        <v>6.833025740917939E-2</v>
      </c>
      <c r="W12" s="65">
        <f t="shared" si="14"/>
        <v>0</v>
      </c>
    </row>
    <row r="13" spans="1:23">
      <c r="A13" s="61"/>
      <c r="C13" s="76"/>
      <c r="D13" s="39"/>
      <c r="E13" s="31"/>
      <c r="F13" s="55"/>
      <c r="G13" s="97"/>
      <c r="H13" s="55"/>
      <c r="J13" s="65"/>
      <c r="K13" s="78"/>
      <c r="L13" s="78"/>
      <c r="M13" s="78"/>
      <c r="N13" s="78"/>
      <c r="O13" s="58"/>
      <c r="P13" s="85"/>
      <c r="Q13" s="58"/>
      <c r="R13" s="58"/>
      <c r="S13" s="58"/>
      <c r="T13" s="107"/>
      <c r="U13" s="107"/>
    </row>
    <row r="14" spans="1:23">
      <c r="A14" s="61"/>
      <c r="C14" s="76"/>
      <c r="D14" s="39"/>
      <c r="E14" s="31"/>
      <c r="F14" s="55"/>
      <c r="G14" s="97"/>
      <c r="H14" s="55"/>
      <c r="J14" s="65"/>
      <c r="K14" s="78"/>
      <c r="L14" s="78"/>
      <c r="M14" s="78"/>
      <c r="N14" s="78"/>
      <c r="O14" s="58"/>
      <c r="P14" s="85"/>
      <c r="Q14" s="58"/>
      <c r="R14" s="58"/>
      <c r="S14" s="58"/>
      <c r="T14" s="107"/>
      <c r="U14" s="107"/>
    </row>
    <row r="15" spans="1:23">
      <c r="A15" s="61"/>
      <c r="C15" s="64"/>
      <c r="P15" s="59"/>
    </row>
    <row r="16" spans="1:23">
      <c r="A16" s="61"/>
      <c r="C16" s="257" t="s">
        <v>91</v>
      </c>
      <c r="D16" s="257"/>
      <c r="E16" s="75"/>
      <c r="F16" s="75"/>
    </row>
    <row r="17" spans="1:15">
      <c r="A17" s="61"/>
      <c r="D17" s="53" t="s">
        <v>17</v>
      </c>
      <c r="E17" s="38"/>
      <c r="F17" s="38"/>
      <c r="H17" s="239"/>
      <c r="J17" s="42"/>
      <c r="O17" s="57"/>
    </row>
    <row r="18" spans="1:15">
      <c r="A18" s="61"/>
      <c r="C18" s="56" t="s">
        <v>33</v>
      </c>
      <c r="D18" s="131">
        <f>'Disposal Summary (with IC)'!S47</f>
        <v>9598.2428185393874</v>
      </c>
      <c r="E18" s="55"/>
      <c r="F18" s="55"/>
      <c r="G18" s="98"/>
      <c r="H18" s="77"/>
      <c r="J18" s="42"/>
      <c r="O18" s="57"/>
    </row>
    <row r="19" spans="1:15">
      <c r="A19" s="61"/>
      <c r="C19" s="56" t="s">
        <v>34</v>
      </c>
      <c r="D19" s="36">
        <f>D18*2000</f>
        <v>19196485.637078773</v>
      </c>
      <c r="E19" s="36"/>
      <c r="F19" s="36"/>
      <c r="H19" s="87"/>
      <c r="J19" s="42"/>
    </row>
    <row r="20" spans="1:15">
      <c r="A20" s="61"/>
      <c r="C20" s="56" t="s">
        <v>5</v>
      </c>
      <c r="D20" s="36">
        <f>F7</f>
        <v>339508</v>
      </c>
      <c r="E20" s="55"/>
      <c r="F20" s="55"/>
      <c r="H20" s="88"/>
      <c r="J20" s="42"/>
      <c r="O20" s="57"/>
    </row>
    <row r="21" spans="1:15">
      <c r="C21" s="43" t="s">
        <v>12</v>
      </c>
      <c r="D21" s="35">
        <f>D19/$H$7</f>
        <v>0.83150105260790763</v>
      </c>
      <c r="E21" s="35"/>
      <c r="F21" s="35"/>
      <c r="H21" s="30"/>
      <c r="J21" s="42"/>
      <c r="M21" s="41"/>
      <c r="N21" s="41"/>
      <c r="O21" s="40"/>
    </row>
    <row r="22" spans="1:15">
      <c r="G22" s="98"/>
      <c r="H22" s="32"/>
      <c r="J22" s="42"/>
      <c r="M22" s="44"/>
      <c r="N22" s="29"/>
      <c r="O22" s="59"/>
    </row>
    <row r="23" spans="1:15">
      <c r="D23" s="34"/>
      <c r="E23" s="33"/>
      <c r="G23" s="98"/>
      <c r="H23" s="32"/>
      <c r="J23" s="42"/>
      <c r="M23" s="44"/>
      <c r="N23" s="29"/>
      <c r="O23" s="59"/>
    </row>
    <row r="24" spans="1:15">
      <c r="D24" s="34"/>
      <c r="E24" s="33"/>
      <c r="G24" s="98"/>
      <c r="H24" s="32"/>
      <c r="J24" s="42"/>
      <c r="M24" s="44"/>
      <c r="N24" s="29"/>
      <c r="O24" s="59"/>
    </row>
    <row r="25" spans="1:15">
      <c r="D25" s="56"/>
      <c r="I25" s="56"/>
    </row>
    <row r="26" spans="1:15">
      <c r="D26" s="56"/>
      <c r="E26" s="42"/>
      <c r="I26" s="56"/>
    </row>
    <row r="27" spans="1:15">
      <c r="D27" s="56"/>
      <c r="I27" s="56"/>
    </row>
    <row r="28" spans="1:15">
      <c r="D28" s="56"/>
      <c r="I28" s="56"/>
    </row>
    <row r="29" spans="1:15">
      <c r="D29" s="56"/>
    </row>
  </sheetData>
  <mergeCells count="2">
    <mergeCell ref="C16:D16"/>
    <mergeCell ref="A2:A4"/>
  </mergeCells>
  <phoneticPr fontId="73" type="noConversion"/>
  <pageMargins left="0.2" right="0.22" top="0.63" bottom="0.34" header="0.19" footer="0.17"/>
  <pageSetup scale="26" fitToHeight="0" orientation="landscape" r:id="rId1"/>
  <headerFooter>
    <oddHeader>&amp;F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52" workbookViewId="0">
      <selection activeCell="B60" sqref="B60"/>
    </sheetView>
  </sheetViews>
  <sheetFormatPr defaultColWidth="9.109375" defaultRowHeight="14.4"/>
  <cols>
    <col min="1" max="1" width="36.33203125" style="3" bestFit="1" customWidth="1"/>
    <col min="2" max="2" width="22.109375" style="3" bestFit="1" customWidth="1"/>
    <col min="3" max="3" width="19.5546875" style="3" customWidth="1"/>
    <col min="4" max="4" width="13.109375" style="3" bestFit="1" customWidth="1"/>
    <col min="5" max="5" width="8.88671875" style="3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2" style="3" bestFit="1" customWidth="1"/>
    <col min="11" max="16384" width="9.109375" style="3"/>
  </cols>
  <sheetData>
    <row r="1" spans="1:8">
      <c r="A1" s="260" t="s">
        <v>19</v>
      </c>
      <c r="B1" s="260"/>
      <c r="C1" s="260"/>
      <c r="D1" s="260"/>
      <c r="E1" s="260"/>
      <c r="F1" s="260"/>
      <c r="G1" s="260"/>
      <c r="H1" s="260"/>
    </row>
    <row r="2" spans="1:8">
      <c r="A2" s="3" t="s">
        <v>61</v>
      </c>
      <c r="B2" s="9" t="s">
        <v>47</v>
      </c>
      <c r="C2" s="9" t="s">
        <v>48</v>
      </c>
      <c r="D2" s="9" t="s">
        <v>49</v>
      </c>
      <c r="E2" s="10" t="s">
        <v>52</v>
      </c>
      <c r="F2" s="10" t="s">
        <v>53</v>
      </c>
      <c r="G2" s="10" t="s">
        <v>54</v>
      </c>
      <c r="H2" s="9" t="s">
        <v>57</v>
      </c>
    </row>
    <row r="3" spans="1:8">
      <c r="A3" s="3" t="s">
        <v>58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92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59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60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60" t="s">
        <v>11</v>
      </c>
      <c r="B11" s="260"/>
      <c r="C11" s="26"/>
      <c r="D11" s="12"/>
      <c r="E11" s="12"/>
      <c r="F11" s="12"/>
      <c r="G11" s="12"/>
      <c r="H11" s="12"/>
    </row>
    <row r="12" spans="1:8">
      <c r="A12" s="24" t="s">
        <v>56</v>
      </c>
      <c r="B12" s="28" t="s">
        <v>86</v>
      </c>
      <c r="C12" s="26"/>
      <c r="D12" s="12"/>
      <c r="E12" s="12"/>
      <c r="F12" s="12"/>
      <c r="G12" s="12"/>
      <c r="H12" s="12"/>
    </row>
    <row r="13" spans="1:8">
      <c r="A13" s="27" t="s">
        <v>87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62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63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64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65</v>
      </c>
      <c r="B17" s="25">
        <v>97</v>
      </c>
      <c r="C17" s="26"/>
      <c r="D17" s="12"/>
      <c r="E17" s="12"/>
      <c r="F17" s="3" t="s">
        <v>21</v>
      </c>
      <c r="G17" s="14" t="s">
        <v>50</v>
      </c>
      <c r="H17" s="12"/>
    </row>
    <row r="18" spans="1:8">
      <c r="A18" s="27" t="s">
        <v>66</v>
      </c>
      <c r="B18" s="25">
        <v>117</v>
      </c>
      <c r="C18" s="26"/>
      <c r="D18" s="12"/>
      <c r="E18" s="12"/>
      <c r="H18" s="12"/>
    </row>
    <row r="19" spans="1:8">
      <c r="A19" s="27" t="s">
        <v>67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96</v>
      </c>
      <c r="B20" s="37">
        <v>37</v>
      </c>
      <c r="C20" s="45" t="s">
        <v>88</v>
      </c>
      <c r="D20" s="26"/>
      <c r="E20" s="26"/>
      <c r="F20" s="7"/>
      <c r="G20" s="8"/>
      <c r="H20" s="26"/>
    </row>
    <row r="21" spans="1:8">
      <c r="A21" s="27" t="s">
        <v>68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69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70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71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72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73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74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75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76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77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78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79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93</v>
      </c>
      <c r="B34" s="25">
        <v>482</v>
      </c>
      <c r="C34" s="26" t="s">
        <v>88</v>
      </c>
      <c r="D34" s="12"/>
      <c r="E34" s="12"/>
      <c r="F34" s="12"/>
      <c r="G34" s="12"/>
      <c r="H34" s="12"/>
    </row>
    <row r="35" spans="1:8">
      <c r="A35" s="27" t="s">
        <v>94</v>
      </c>
      <c r="B35" s="25">
        <v>689</v>
      </c>
      <c r="C35" s="26" t="s">
        <v>88</v>
      </c>
      <c r="D35" s="12"/>
      <c r="E35" s="12"/>
      <c r="F35" s="12"/>
      <c r="G35" s="12"/>
      <c r="H35" s="12"/>
    </row>
    <row r="36" spans="1:8" s="22" customFormat="1">
      <c r="A36" s="27" t="s">
        <v>81</v>
      </c>
      <c r="B36" s="25">
        <v>892</v>
      </c>
      <c r="C36" s="26" t="s">
        <v>88</v>
      </c>
      <c r="D36" s="23"/>
      <c r="E36" s="23"/>
      <c r="F36" s="23"/>
      <c r="G36" s="23"/>
      <c r="H36" s="23"/>
    </row>
    <row r="37" spans="1:8" s="22" customFormat="1">
      <c r="A37" s="27" t="s">
        <v>80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82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83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84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95</v>
      </c>
      <c r="B41" s="25">
        <v>2800</v>
      </c>
      <c r="C41" s="26" t="s">
        <v>88</v>
      </c>
      <c r="D41" s="23"/>
      <c r="E41" s="23"/>
      <c r="F41" s="23"/>
      <c r="G41" s="23"/>
      <c r="H41" s="23"/>
    </row>
    <row r="42" spans="1:8" s="22" customFormat="1">
      <c r="A42" s="27" t="s">
        <v>85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2" t="s">
        <v>97</v>
      </c>
      <c r="C43" s="92"/>
      <c r="D43" s="92"/>
    </row>
    <row r="46" spans="1:8">
      <c r="A46" s="21" t="s">
        <v>98</v>
      </c>
      <c r="B46" s="19" t="s">
        <v>6</v>
      </c>
      <c r="C46" s="19" t="s">
        <v>7</v>
      </c>
      <c r="F46" s="261" t="s">
        <v>27</v>
      </c>
      <c r="G46" s="261"/>
    </row>
    <row r="47" spans="1:8">
      <c r="A47" s="15" t="s">
        <v>8</v>
      </c>
      <c r="B47" s="220">
        <v>64.73</v>
      </c>
      <c r="C47" s="124">
        <f>B47/2000</f>
        <v>3.2365000000000005E-2</v>
      </c>
      <c r="D47" s="123"/>
      <c r="F47" s="3" t="s">
        <v>28</v>
      </c>
      <c r="G47" s="128">
        <f>0.0175</f>
        <v>1.7500000000000002E-2</v>
      </c>
    </row>
    <row r="48" spans="1:8">
      <c r="A48" s="15" t="s">
        <v>9</v>
      </c>
      <c r="B48" s="221">
        <v>79.430000000000007</v>
      </c>
      <c r="C48" s="122">
        <f>B48/2000</f>
        <v>3.9715E-2</v>
      </c>
      <c r="D48" s="123"/>
      <c r="F48" s="3" t="s">
        <v>29</v>
      </c>
      <c r="G48" s="129">
        <v>5.1000000000000004E-3</v>
      </c>
    </row>
    <row r="49" spans="1:7">
      <c r="A49" s="13" t="s">
        <v>10</v>
      </c>
      <c r="B49" s="125">
        <f>B48-B47</f>
        <v>14.700000000000003</v>
      </c>
      <c r="C49" s="238">
        <f>C48-C47</f>
        <v>7.3499999999999954E-3</v>
      </c>
      <c r="D49" s="222">
        <f>B49/2000</f>
        <v>7.3500000000000015E-3</v>
      </c>
      <c r="F49" s="3" t="s">
        <v>55</v>
      </c>
      <c r="G49" s="130">
        <v>2E-3</v>
      </c>
    </row>
    <row r="50" spans="1:7">
      <c r="B50" s="242">
        <f>B49/B47</f>
        <v>0.22709717287192957</v>
      </c>
      <c r="C50" s="123"/>
      <c r="D50" s="123"/>
      <c r="F50" s="3" t="s">
        <v>17</v>
      </c>
      <c r="G50" s="16">
        <f>SUM(G47:G49)</f>
        <v>2.4600000000000004E-2</v>
      </c>
    </row>
    <row r="51" spans="1:7">
      <c r="B51" s="20" t="s">
        <v>164</v>
      </c>
    </row>
    <row r="52" spans="1:7">
      <c r="A52" s="3" t="s">
        <v>4</v>
      </c>
      <c r="B52" s="17">
        <f>B49</f>
        <v>14.700000000000003</v>
      </c>
      <c r="F52" s="3" t="s">
        <v>30</v>
      </c>
      <c r="G52" s="18">
        <f>1-G50</f>
        <v>0.97540000000000004</v>
      </c>
    </row>
    <row r="53" spans="1:7">
      <c r="A53" s="3" t="s">
        <v>26</v>
      </c>
      <c r="B53" s="17">
        <f>B52/$G$52</f>
        <v>15.070740209144969</v>
      </c>
    </row>
    <row r="54" spans="1:7">
      <c r="A54" s="3" t="s">
        <v>25</v>
      </c>
      <c r="B54" s="6">
        <f>'Price Out Rates'!D18</f>
        <v>9598.2428185393874</v>
      </c>
    </row>
    <row r="55" spans="1:7">
      <c r="A55" s="2" t="s">
        <v>31</v>
      </c>
      <c r="B55" s="4">
        <f>B53*B54</f>
        <v>144652.62398249848</v>
      </c>
    </row>
    <row r="58" spans="1:7" ht="15" thickBot="1"/>
    <row r="59" spans="1:7">
      <c r="A59" s="79" t="s">
        <v>90</v>
      </c>
      <c r="B59" s="80" t="s">
        <v>89</v>
      </c>
    </row>
    <row r="60" spans="1:7">
      <c r="A60" s="81" t="s">
        <v>51</v>
      </c>
      <c r="B60" s="82">
        <f>'Price Out Rates'!T7</f>
        <v>144652.6239824981</v>
      </c>
    </row>
    <row r="61" spans="1:7" ht="15" thickBot="1">
      <c r="A61" s="83" t="s">
        <v>13</v>
      </c>
      <c r="B61" s="84">
        <f>B60-B55</f>
        <v>-3.7834979593753815E-10</v>
      </c>
      <c r="C61" s="17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0063-0416-4A49-8401-EE74F68F0D20}">
  <sheetPr>
    <pageSetUpPr fitToPage="1"/>
  </sheetPr>
  <dimension ref="A1:Y464"/>
  <sheetViews>
    <sheetView workbookViewId="0">
      <selection activeCell="A2" sqref="A2"/>
    </sheetView>
  </sheetViews>
  <sheetFormatPr defaultColWidth="10.77734375" defaultRowHeight="14.4" outlineLevelRow="1" outlineLevelCol="1"/>
  <cols>
    <col min="1" max="1" width="8.88671875" style="139" customWidth="1" outlineLevel="1"/>
    <col min="2" max="2" width="7" style="139" customWidth="1" outlineLevel="1"/>
    <col min="3" max="4" width="6.77734375" style="132" customWidth="1" outlineLevel="1"/>
    <col min="5" max="5" width="35.109375" style="132" bestFit="1" customWidth="1"/>
    <col min="6" max="17" width="13.44140625" style="132" customWidth="1"/>
    <col min="18" max="18" width="1.21875" style="132" customWidth="1"/>
    <col min="19" max="19" width="13.109375" style="133" bestFit="1" customWidth="1"/>
    <col min="20" max="20" width="2.21875" style="132" customWidth="1"/>
    <col min="21" max="22" width="16.44140625" style="132" customWidth="1"/>
    <col min="23" max="16384" width="10.77734375" style="132"/>
  </cols>
  <sheetData>
    <row r="1" spans="1:19">
      <c r="A1" s="262" t="s">
        <v>159</v>
      </c>
      <c r="B1" s="262"/>
      <c r="C1" s="262"/>
      <c r="D1" s="262"/>
      <c r="E1" s="262"/>
    </row>
    <row r="2" spans="1:19">
      <c r="A2" s="254" t="s">
        <v>169</v>
      </c>
      <c r="B2" s="255"/>
      <c r="C2" s="256"/>
      <c r="D2" s="256"/>
      <c r="E2" s="256"/>
    </row>
    <row r="3" spans="1:19" s="133" customFormat="1">
      <c r="A3" s="253" t="s">
        <v>103</v>
      </c>
      <c r="B3" s="253" t="s">
        <v>104</v>
      </c>
      <c r="C3" s="263" t="s">
        <v>105</v>
      </c>
      <c r="D3" s="263"/>
      <c r="F3" s="134">
        <v>44531</v>
      </c>
      <c r="G3" s="135">
        <f>EOMONTH(F3,1)</f>
        <v>44592</v>
      </c>
      <c r="H3" s="135">
        <f t="shared" ref="H3:Q3" si="0">EOMONTH(G3,1)</f>
        <v>44620</v>
      </c>
      <c r="I3" s="135">
        <f t="shared" si="0"/>
        <v>44651</v>
      </c>
      <c r="J3" s="135">
        <f t="shared" si="0"/>
        <v>44681</v>
      </c>
      <c r="K3" s="135">
        <f t="shared" si="0"/>
        <v>44712</v>
      </c>
      <c r="L3" s="135">
        <f t="shared" si="0"/>
        <v>44742</v>
      </c>
      <c r="M3" s="135">
        <f t="shared" si="0"/>
        <v>44773</v>
      </c>
      <c r="N3" s="135">
        <f t="shared" si="0"/>
        <v>44804</v>
      </c>
      <c r="O3" s="135">
        <f t="shared" si="0"/>
        <v>44834</v>
      </c>
      <c r="P3" s="135">
        <f t="shared" si="0"/>
        <v>44865</v>
      </c>
      <c r="Q3" s="135">
        <f t="shared" si="0"/>
        <v>44895</v>
      </c>
      <c r="S3" s="133" t="s">
        <v>99</v>
      </c>
    </row>
    <row r="4" spans="1:19" s="137" customFormat="1">
      <c r="A4" s="136"/>
      <c r="B4" s="136"/>
      <c r="C4" s="136"/>
      <c r="D4" s="136"/>
      <c r="F4" s="137">
        <f>MONTH(F3)</f>
        <v>12</v>
      </c>
      <c r="G4" s="137">
        <f t="shared" ref="G4:Q4" si="1">MONTH(G3)</f>
        <v>1</v>
      </c>
      <c r="H4" s="137">
        <f t="shared" si="1"/>
        <v>2</v>
      </c>
      <c r="I4" s="137">
        <f t="shared" si="1"/>
        <v>3</v>
      </c>
      <c r="J4" s="137">
        <f t="shared" si="1"/>
        <v>4</v>
      </c>
      <c r="K4" s="137">
        <f t="shared" si="1"/>
        <v>5</v>
      </c>
      <c r="L4" s="137">
        <f t="shared" si="1"/>
        <v>6</v>
      </c>
      <c r="M4" s="137">
        <f t="shared" si="1"/>
        <v>7</v>
      </c>
      <c r="N4" s="137">
        <f t="shared" si="1"/>
        <v>8</v>
      </c>
      <c r="O4" s="137">
        <f t="shared" si="1"/>
        <v>9</v>
      </c>
      <c r="P4" s="137">
        <f t="shared" si="1"/>
        <v>10</v>
      </c>
      <c r="Q4" s="137">
        <f t="shared" si="1"/>
        <v>11</v>
      </c>
      <c r="S4" s="138"/>
    </row>
    <row r="5" spans="1:19" ht="15" thickBot="1">
      <c r="C5" s="139"/>
      <c r="D5" s="139"/>
      <c r="E5" s="140" t="s">
        <v>106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0"/>
    </row>
    <row r="6" spans="1:19">
      <c r="C6" s="139"/>
      <c r="D6" s="139"/>
    </row>
    <row r="7" spans="1:19">
      <c r="C7" s="139"/>
      <c r="D7" s="139"/>
      <c r="E7" s="133" t="s">
        <v>107</v>
      </c>
    </row>
    <row r="8" spans="1:19">
      <c r="C8" s="139"/>
      <c r="D8" s="139"/>
      <c r="E8" s="132" t="s">
        <v>108</v>
      </c>
      <c r="F8" s="228">
        <v>725.38</v>
      </c>
      <c r="G8" s="228">
        <v>700.04</v>
      </c>
      <c r="H8" s="228">
        <v>674.16</v>
      </c>
      <c r="I8" s="228">
        <v>828.66</v>
      </c>
      <c r="J8" s="228">
        <v>772.43</v>
      </c>
      <c r="K8" s="228">
        <v>787.4</v>
      </c>
      <c r="L8" s="228">
        <v>812.38</v>
      </c>
      <c r="M8" s="228">
        <v>766.2</v>
      </c>
      <c r="N8" s="228">
        <v>885.57</v>
      </c>
      <c r="O8" s="228">
        <v>778.61</v>
      </c>
      <c r="P8" s="228">
        <v>691</v>
      </c>
      <c r="Q8" s="228">
        <v>684.39</v>
      </c>
      <c r="S8" s="143">
        <f>SUM(F8:R8)</f>
        <v>9106.2199999999975</v>
      </c>
    </row>
    <row r="9" spans="1:19">
      <c r="C9" s="139"/>
      <c r="D9" s="139"/>
      <c r="E9" s="132" t="s">
        <v>109</v>
      </c>
      <c r="F9" s="228">
        <v>427.61999999999995</v>
      </c>
      <c r="G9" s="228">
        <v>473.75999999999993</v>
      </c>
      <c r="H9" s="228">
        <v>425.90999999999991</v>
      </c>
      <c r="I9" s="228">
        <v>504.39000000000004</v>
      </c>
      <c r="J9" s="228">
        <v>390.76</v>
      </c>
      <c r="K9" s="228">
        <v>365.23000000000008</v>
      </c>
      <c r="L9" s="228">
        <v>423.74</v>
      </c>
      <c r="M9" s="228">
        <v>386.97000000000014</v>
      </c>
      <c r="N9" s="228">
        <v>435.46000000000004</v>
      </c>
      <c r="O9" s="228">
        <v>333.72999999999996</v>
      </c>
      <c r="P9" s="228">
        <v>306.38</v>
      </c>
      <c r="Q9" s="228">
        <v>482.28</v>
      </c>
      <c r="S9" s="143">
        <f t="shared" ref="S9:S15" si="2">SUM(F9:R9)</f>
        <v>4956.2299999999996</v>
      </c>
    </row>
    <row r="10" spans="1:19">
      <c r="C10" s="139"/>
      <c r="D10" s="139"/>
      <c r="E10" s="132" t="s">
        <v>110</v>
      </c>
      <c r="F10" s="228">
        <v>1674.24</v>
      </c>
      <c r="G10" s="228">
        <v>2129.87</v>
      </c>
      <c r="H10" s="228">
        <v>1694.03</v>
      </c>
      <c r="I10" s="228">
        <v>2004.13</v>
      </c>
      <c r="J10" s="228">
        <v>1756.01</v>
      </c>
      <c r="K10" s="228">
        <v>1963.03</v>
      </c>
      <c r="L10" s="228">
        <v>2013.88</v>
      </c>
      <c r="M10" s="228">
        <v>1762.99</v>
      </c>
      <c r="N10" s="228">
        <v>1993.78</v>
      </c>
      <c r="O10" s="228">
        <v>1884.04</v>
      </c>
      <c r="P10" s="228">
        <v>1860.21</v>
      </c>
      <c r="Q10" s="228">
        <v>1886.75</v>
      </c>
      <c r="S10" s="143">
        <f t="shared" si="2"/>
        <v>22622.959999999999</v>
      </c>
    </row>
    <row r="11" spans="1:19">
      <c r="C11" s="139"/>
      <c r="D11" s="139"/>
      <c r="E11" s="132" t="s">
        <v>111</v>
      </c>
      <c r="F11" s="228">
        <v>205.74</v>
      </c>
      <c r="G11" s="228">
        <v>264.12</v>
      </c>
      <c r="H11" s="228">
        <v>253.81</v>
      </c>
      <c r="I11" s="228">
        <v>311</v>
      </c>
      <c r="J11" s="228">
        <v>205.46</v>
      </c>
      <c r="K11" s="228">
        <v>198.6</v>
      </c>
      <c r="L11" s="228">
        <v>188.83</v>
      </c>
      <c r="M11" s="228">
        <v>221</v>
      </c>
      <c r="N11" s="228">
        <v>184.69</v>
      </c>
      <c r="O11" s="228">
        <v>324.42</v>
      </c>
      <c r="P11" s="228">
        <v>306.16999999999996</v>
      </c>
      <c r="Q11" s="228">
        <v>312.8</v>
      </c>
      <c r="S11" s="143">
        <f t="shared" si="2"/>
        <v>2976.6400000000003</v>
      </c>
    </row>
    <row r="12" spans="1:19">
      <c r="C12" s="139"/>
      <c r="D12" s="139"/>
      <c r="E12" s="132" t="s">
        <v>112</v>
      </c>
      <c r="F12" s="228">
        <v>1423.53</v>
      </c>
      <c r="G12" s="228">
        <v>2298.5700000000002</v>
      </c>
      <c r="H12" s="228">
        <v>1582.13</v>
      </c>
      <c r="I12" s="228">
        <v>1829.78</v>
      </c>
      <c r="J12" s="228">
        <v>1634.75</v>
      </c>
      <c r="K12" s="228">
        <v>1804.67</v>
      </c>
      <c r="L12" s="228">
        <v>1977.68</v>
      </c>
      <c r="M12" s="228">
        <v>1781.04</v>
      </c>
      <c r="N12" s="228">
        <v>1877.08</v>
      </c>
      <c r="O12" s="228">
        <v>1873.04</v>
      </c>
      <c r="P12" s="228">
        <v>1684.65</v>
      </c>
      <c r="Q12" s="228">
        <v>1781.12</v>
      </c>
      <c r="S12" s="143">
        <f>SUM(F12:R12)</f>
        <v>21548.04</v>
      </c>
    </row>
    <row r="13" spans="1:19">
      <c r="C13" s="139"/>
      <c r="D13" s="139"/>
      <c r="E13" s="132" t="s">
        <v>113</v>
      </c>
      <c r="F13" s="228">
        <v>719.48</v>
      </c>
      <c r="G13" s="228">
        <v>799.39</v>
      </c>
      <c r="H13" s="228">
        <v>676.82</v>
      </c>
      <c r="I13" s="228">
        <v>731.56</v>
      </c>
      <c r="J13" s="228">
        <v>695.57</v>
      </c>
      <c r="K13" s="228">
        <v>748.19</v>
      </c>
      <c r="L13" s="228">
        <v>673.81</v>
      </c>
      <c r="M13" s="228">
        <v>678.69</v>
      </c>
      <c r="N13" s="228">
        <v>816.9</v>
      </c>
      <c r="O13" s="228">
        <v>693.97</v>
      </c>
      <c r="P13" s="228">
        <v>678.09</v>
      </c>
      <c r="Q13" s="228">
        <v>746.13</v>
      </c>
      <c r="S13" s="143">
        <f>SUM(F13:R13)</f>
        <v>8658.6</v>
      </c>
    </row>
    <row r="14" spans="1:19">
      <c r="C14" s="139"/>
      <c r="D14" s="139"/>
      <c r="E14" s="144" t="s">
        <v>114</v>
      </c>
      <c r="F14" s="229">
        <v>782.76</v>
      </c>
      <c r="G14" s="229">
        <v>544.55999999999995</v>
      </c>
      <c r="H14" s="229">
        <v>673.56</v>
      </c>
      <c r="I14" s="229">
        <v>1029.3599999999999</v>
      </c>
      <c r="J14" s="229">
        <v>1400.32</v>
      </c>
      <c r="K14" s="229">
        <v>1899.8</v>
      </c>
      <c r="L14" s="229">
        <v>1982.79</v>
      </c>
      <c r="M14" s="229">
        <v>1531.3600000000001</v>
      </c>
      <c r="N14" s="229">
        <v>906.98</v>
      </c>
      <c r="O14" s="229">
        <v>957.98</v>
      </c>
      <c r="P14" s="229">
        <v>803.27</v>
      </c>
      <c r="Q14" s="229">
        <v>1319.54</v>
      </c>
      <c r="R14" s="144"/>
      <c r="S14" s="146">
        <f t="shared" si="2"/>
        <v>13832.279999999999</v>
      </c>
    </row>
    <row r="15" spans="1:19">
      <c r="C15" s="139"/>
      <c r="D15" s="139"/>
      <c r="E15" s="132" t="s">
        <v>99</v>
      </c>
      <c r="F15" s="147">
        <f t="shared" ref="F15:P15" si="3">SUM(F8:F14)</f>
        <v>5958.75</v>
      </c>
      <c r="G15" s="147">
        <f t="shared" si="3"/>
        <v>7210.3100000000013</v>
      </c>
      <c r="H15" s="147">
        <f t="shared" si="3"/>
        <v>5980.42</v>
      </c>
      <c r="I15" s="147">
        <f t="shared" si="3"/>
        <v>7238.88</v>
      </c>
      <c r="J15" s="147">
        <f t="shared" si="3"/>
        <v>6855.2999999999993</v>
      </c>
      <c r="K15" s="147">
        <f t="shared" si="3"/>
        <v>7766.920000000001</v>
      </c>
      <c r="L15" s="147">
        <f t="shared" si="3"/>
        <v>8073.11</v>
      </c>
      <c r="M15" s="147">
        <f t="shared" si="3"/>
        <v>7128.25</v>
      </c>
      <c r="N15" s="147">
        <f t="shared" si="3"/>
        <v>7100.4599999999991</v>
      </c>
      <c r="O15" s="147">
        <f t="shared" si="3"/>
        <v>6845.7900000000009</v>
      </c>
      <c r="P15" s="147">
        <f t="shared" si="3"/>
        <v>6329.77</v>
      </c>
      <c r="Q15" s="147">
        <f>SUM(Q8:Q14)</f>
        <v>7213.01</v>
      </c>
      <c r="S15" s="143">
        <f t="shared" si="2"/>
        <v>83700.97</v>
      </c>
    </row>
    <row r="16" spans="1:19">
      <c r="C16" s="139"/>
      <c r="D16" s="139"/>
    </row>
    <row r="17" spans="1:25">
      <c r="C17" s="139"/>
      <c r="D17" s="139"/>
      <c r="E17" s="133" t="s">
        <v>115</v>
      </c>
      <c r="F17" s="142"/>
      <c r="G17" s="142"/>
      <c r="T17" s="148"/>
      <c r="U17" s="148"/>
      <c r="V17" s="148"/>
      <c r="W17" s="148"/>
      <c r="X17" s="148"/>
      <c r="Y17" s="148"/>
    </row>
    <row r="18" spans="1:25">
      <c r="A18" s="149" t="s">
        <v>116</v>
      </c>
      <c r="B18" s="149" t="s">
        <v>117</v>
      </c>
      <c r="C18" s="149">
        <v>20</v>
      </c>
      <c r="D18" s="149" t="s">
        <v>168</v>
      </c>
      <c r="E18" s="132" t="s">
        <v>118</v>
      </c>
      <c r="F18" s="142">
        <v>401.67999999999995</v>
      </c>
      <c r="G18" s="142">
        <v>409.25000000000011</v>
      </c>
      <c r="H18" s="142">
        <v>364.86999999999995</v>
      </c>
      <c r="I18" s="142">
        <v>477.91999999999996</v>
      </c>
      <c r="J18" s="142">
        <v>421.82999999999987</v>
      </c>
      <c r="K18" s="142">
        <v>477.07</v>
      </c>
      <c r="L18" s="142">
        <v>449.46000000000009</v>
      </c>
      <c r="M18" s="142">
        <v>392.95000000000005</v>
      </c>
      <c r="N18" s="142">
        <v>531.44000000000028</v>
      </c>
      <c r="O18" s="142">
        <v>536.98</v>
      </c>
      <c r="P18" s="142">
        <v>437.27</v>
      </c>
      <c r="Q18" s="142">
        <v>408.79999999999978</v>
      </c>
      <c r="R18" s="142"/>
      <c r="S18" s="143">
        <f>SUM(F18:R18)</f>
        <v>5309.5200000000013</v>
      </c>
      <c r="T18" s="142"/>
      <c r="U18" s="142"/>
      <c r="V18" s="142"/>
      <c r="W18" s="142"/>
      <c r="X18" s="142"/>
      <c r="Y18" s="142"/>
    </row>
    <row r="19" spans="1:25">
      <c r="C19" s="132" t="s">
        <v>122</v>
      </c>
      <c r="E19" s="132" t="s">
        <v>119</v>
      </c>
      <c r="F19" s="142">
        <f t="shared" ref="F19:Q19" si="4">+F20-F18</f>
        <v>299.46000000000004</v>
      </c>
      <c r="G19" s="142">
        <f t="shared" si="4"/>
        <v>282.66999999999985</v>
      </c>
      <c r="H19" s="142">
        <f t="shared" si="4"/>
        <v>303.20999999999998</v>
      </c>
      <c r="I19" s="142">
        <f t="shared" si="4"/>
        <v>332.4899999999999</v>
      </c>
      <c r="J19" s="142">
        <f t="shared" si="4"/>
        <v>265.12000000000018</v>
      </c>
      <c r="K19" s="142">
        <f t="shared" si="4"/>
        <v>218.05</v>
      </c>
      <c r="L19" s="142">
        <f t="shared" si="4"/>
        <v>340.54</v>
      </c>
      <c r="M19" s="142">
        <f t="shared" si="4"/>
        <v>368.13</v>
      </c>
      <c r="N19" s="142">
        <f t="shared" si="4"/>
        <v>350.28999999999974</v>
      </c>
      <c r="O19" s="142">
        <f t="shared" si="4"/>
        <v>225.36</v>
      </c>
      <c r="P19" s="142">
        <f t="shared" si="4"/>
        <v>248.05999999999995</v>
      </c>
      <c r="Q19" s="142">
        <f t="shared" si="4"/>
        <v>275.3600000000003</v>
      </c>
      <c r="R19" s="142"/>
      <c r="S19" s="143">
        <f>SUM(F19:R19)</f>
        <v>3508.7400000000002</v>
      </c>
      <c r="T19" s="142"/>
      <c r="U19" s="142"/>
      <c r="V19" s="142"/>
      <c r="W19" s="142"/>
      <c r="X19" s="142"/>
      <c r="Y19" s="142"/>
    </row>
    <row r="20" spans="1:25" s="155" customFormat="1" outlineLevel="1">
      <c r="A20" s="150" t="str">
        <f>+A18</f>
        <v>I</v>
      </c>
      <c r="B20" s="150" t="str">
        <f>+B18</f>
        <v>MSW</v>
      </c>
      <c r="C20" s="151"/>
      <c r="D20" s="151"/>
      <c r="E20" s="151" t="str">
        <f>"Total "&amp;E17&amp;" "&amp;B20</f>
        <v>Total Roll-off / Industrial MSW</v>
      </c>
      <c r="F20" s="152">
        <v>701.14</v>
      </c>
      <c r="G20" s="152">
        <v>691.92</v>
      </c>
      <c r="H20" s="152">
        <v>668.07999999999993</v>
      </c>
      <c r="I20" s="152">
        <v>810.40999999999985</v>
      </c>
      <c r="J20" s="152">
        <v>686.95</v>
      </c>
      <c r="K20" s="152">
        <v>695.12</v>
      </c>
      <c r="L20" s="152">
        <v>790.00000000000011</v>
      </c>
      <c r="M20" s="152">
        <v>761.08</v>
      </c>
      <c r="N20" s="152">
        <v>881.73</v>
      </c>
      <c r="O20" s="152">
        <v>762.34</v>
      </c>
      <c r="P20" s="152">
        <v>685.32999999999993</v>
      </c>
      <c r="Q20" s="152">
        <v>684.16000000000008</v>
      </c>
      <c r="R20" s="152"/>
      <c r="S20" s="153">
        <f>SUM(F20:R20)</f>
        <v>8818.26</v>
      </c>
      <c r="T20" s="154"/>
      <c r="U20" s="154"/>
      <c r="V20" s="154"/>
      <c r="W20" s="154"/>
      <c r="X20" s="154"/>
      <c r="Y20" s="154"/>
    </row>
    <row r="21" spans="1:25">
      <c r="A21" s="139" t="str">
        <f>+A20</f>
        <v>I</v>
      </c>
      <c r="B21" s="149" t="s">
        <v>120</v>
      </c>
      <c r="C21" s="139">
        <f>+C18</f>
        <v>20</v>
      </c>
      <c r="D21" s="139" t="str">
        <f>+D18</f>
        <v>2E</v>
      </c>
      <c r="E21" s="132" t="s">
        <v>121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/>
      <c r="S21" s="143">
        <f>SUM(F21:R21)</f>
        <v>0</v>
      </c>
      <c r="T21" s="142"/>
      <c r="U21" s="156"/>
      <c r="V21" s="142"/>
      <c r="W21" s="142"/>
      <c r="X21" s="142"/>
      <c r="Y21" s="142"/>
    </row>
    <row r="22" spans="1:25">
      <c r="C22" s="132" t="s">
        <v>122</v>
      </c>
      <c r="E22" s="132" t="s">
        <v>123</v>
      </c>
      <c r="F22" s="142">
        <f t="shared" ref="F22:Q22" si="5">+F23-F21</f>
        <v>457.66</v>
      </c>
      <c r="G22" s="142">
        <f t="shared" si="5"/>
        <v>518.54999999999995</v>
      </c>
      <c r="H22" s="142">
        <f t="shared" si="5"/>
        <v>417.8</v>
      </c>
      <c r="I22" s="142">
        <f t="shared" si="5"/>
        <v>519.06999999999994</v>
      </c>
      <c r="J22" s="142">
        <f t="shared" si="5"/>
        <v>406.94500000000005</v>
      </c>
      <c r="K22" s="142">
        <f t="shared" si="5"/>
        <v>461.28000000000003</v>
      </c>
      <c r="L22" s="142">
        <f t="shared" si="5"/>
        <v>442.21000000000004</v>
      </c>
      <c r="M22" s="142">
        <f t="shared" si="5"/>
        <v>392.24999999999994</v>
      </c>
      <c r="N22" s="142">
        <f t="shared" si="5"/>
        <v>441.09999999999997</v>
      </c>
      <c r="O22" s="142">
        <f t="shared" si="5"/>
        <v>347.94</v>
      </c>
      <c r="P22" s="142">
        <f t="shared" si="5"/>
        <v>311.72999999999996</v>
      </c>
      <c r="Q22" s="142">
        <f t="shared" si="5"/>
        <v>459.66</v>
      </c>
      <c r="R22" s="142"/>
      <c r="S22" s="143">
        <f>SUM(F22:R22)</f>
        <v>5176.1949999999997</v>
      </c>
      <c r="T22" s="142"/>
      <c r="U22" s="142"/>
      <c r="V22" s="142"/>
      <c r="W22" s="142"/>
      <c r="X22" s="142"/>
      <c r="Y22" s="142"/>
    </row>
    <row r="23" spans="1:25" s="155" customFormat="1" outlineLevel="1">
      <c r="A23" s="150" t="str">
        <f>+A21</f>
        <v>I</v>
      </c>
      <c r="B23" s="157" t="str">
        <f>+B21</f>
        <v>RCY</v>
      </c>
      <c r="C23" s="158" t="s">
        <v>124</v>
      </c>
      <c r="D23" s="151"/>
      <c r="E23" s="151" t="str">
        <f>"Total "&amp;E17&amp;" "&amp;B23</f>
        <v>Total Roll-off / Industrial RCY</v>
      </c>
      <c r="F23" s="152">
        <v>457.66</v>
      </c>
      <c r="G23" s="152">
        <v>518.54999999999995</v>
      </c>
      <c r="H23" s="152">
        <v>417.8</v>
      </c>
      <c r="I23" s="152">
        <v>519.06999999999994</v>
      </c>
      <c r="J23" s="152">
        <v>406.94500000000005</v>
      </c>
      <c r="K23" s="152">
        <v>461.28000000000003</v>
      </c>
      <c r="L23" s="152">
        <v>442.21000000000004</v>
      </c>
      <c r="M23" s="152">
        <v>392.24999999999994</v>
      </c>
      <c r="N23" s="152">
        <v>441.09999999999997</v>
      </c>
      <c r="O23" s="152">
        <v>347.94</v>
      </c>
      <c r="P23" s="152">
        <v>311.72999999999996</v>
      </c>
      <c r="Q23" s="152">
        <v>459.66</v>
      </c>
      <c r="R23" s="152"/>
      <c r="S23" s="153"/>
      <c r="T23" s="154"/>
      <c r="U23" s="154"/>
      <c r="V23" s="154"/>
      <c r="W23" s="154"/>
      <c r="X23" s="154"/>
      <c r="Y23" s="154"/>
    </row>
    <row r="24" spans="1:25" s="160" customFormat="1">
      <c r="A24" s="159">
        <v>6666666</v>
      </c>
      <c r="B24" s="230" t="s">
        <v>125</v>
      </c>
      <c r="E24" s="160" t="s">
        <v>126</v>
      </c>
      <c r="F24" s="161">
        <f t="array" ref="F24:Q24">+S24/12</f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/>
      <c r="S24" s="162">
        <v>0</v>
      </c>
      <c r="T24" s="161"/>
      <c r="U24" s="161"/>
      <c r="V24" s="161"/>
      <c r="W24" s="161"/>
      <c r="X24" s="161"/>
      <c r="Y24" s="161"/>
    </row>
    <row r="25" spans="1:25">
      <c r="A25" s="163"/>
      <c r="B25" s="163"/>
      <c r="C25" s="163"/>
      <c r="D25" s="163"/>
      <c r="E25" s="164" t="str">
        <f>"Total "&amp;E17</f>
        <v>Total Roll-off / Industrial</v>
      </c>
      <c r="F25" s="165">
        <v>1158.8000000000002</v>
      </c>
      <c r="G25" s="165">
        <v>1210.4699999999996</v>
      </c>
      <c r="H25" s="165">
        <v>1085.8800000000001</v>
      </c>
      <c r="I25" s="165">
        <v>1329.4800000000002</v>
      </c>
      <c r="J25" s="165">
        <v>1093.895</v>
      </c>
      <c r="K25" s="165">
        <v>1156.3999999999996</v>
      </c>
      <c r="L25" s="165">
        <v>1232.2099999999998</v>
      </c>
      <c r="M25" s="165">
        <v>1153.3300000000002</v>
      </c>
      <c r="N25" s="165">
        <v>1322.83</v>
      </c>
      <c r="O25" s="165">
        <v>1110.2800000000004</v>
      </c>
      <c r="P25" s="165">
        <v>997.06000000000006</v>
      </c>
      <c r="Q25" s="165">
        <v>1143.82</v>
      </c>
      <c r="R25" s="165"/>
      <c r="S25" s="166">
        <f>SUM(F25:R25)</f>
        <v>13994.454999999998</v>
      </c>
      <c r="T25" s="142"/>
      <c r="U25" s="142"/>
      <c r="V25" s="142"/>
      <c r="W25" s="142"/>
      <c r="X25" s="142"/>
      <c r="Y25" s="142"/>
    </row>
    <row r="26" spans="1:25">
      <c r="C26" s="139"/>
      <c r="D26" s="139"/>
      <c r="E26" s="167" t="s">
        <v>127</v>
      </c>
      <c r="F26" s="168">
        <f>+F25/SUM(F8:F9)-1</f>
        <v>5.0303555941024758E-3</v>
      </c>
      <c r="G26" s="168">
        <f t="shared" ref="G26:Q26" si="6">+G25/SUM(G8:G9)-1</f>
        <v>3.1240415743738037E-2</v>
      </c>
      <c r="H26" s="168">
        <f t="shared" si="6"/>
        <v>-1.2899179143145312E-2</v>
      </c>
      <c r="I26" s="168">
        <f t="shared" si="6"/>
        <v>-2.6780690896813786E-3</v>
      </c>
      <c r="J26" s="168">
        <f t="shared" si="6"/>
        <v>-5.9573242548508931E-2</v>
      </c>
      <c r="K26" s="168">
        <f t="shared" si="6"/>
        <v>3.2707807362288843E-3</v>
      </c>
      <c r="L26" s="168">
        <f t="shared" si="6"/>
        <v>-3.1631233213604837E-3</v>
      </c>
      <c r="M26" s="168">
        <f t="shared" si="6"/>
        <v>1.3874797297885877E-4</v>
      </c>
      <c r="N26" s="168">
        <f t="shared" si="6"/>
        <v>1.3625731436830435E-3</v>
      </c>
      <c r="O26" s="168">
        <f t="shared" si="6"/>
        <v>-1.8519517413735365E-3</v>
      </c>
      <c r="P26" s="168">
        <f t="shared" si="6"/>
        <v>-3.2084060237813627E-4</v>
      </c>
      <c r="Q26" s="168">
        <f t="shared" si="6"/>
        <v>-1.9585658326690569E-2</v>
      </c>
      <c r="R26" s="168"/>
      <c r="S26" s="169">
        <f>+S25/SUM(S8:S9)-1</f>
        <v>-4.8352171918832898E-3</v>
      </c>
      <c r="T26" s="142"/>
      <c r="U26" s="142"/>
      <c r="V26" s="142"/>
      <c r="W26" s="142"/>
      <c r="X26" s="142"/>
      <c r="Y26" s="142"/>
    </row>
    <row r="27" spans="1:25">
      <c r="C27" s="139"/>
      <c r="D27" s="139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42"/>
      <c r="U27" s="142"/>
      <c r="V27" s="142"/>
      <c r="W27" s="142"/>
      <c r="X27" s="142"/>
      <c r="Y27" s="142"/>
    </row>
    <row r="28" spans="1:25">
      <c r="C28" s="139"/>
      <c r="D28" s="139"/>
      <c r="E28" s="132" t="s">
        <v>128</v>
      </c>
      <c r="F28" s="142">
        <f t="shared" ref="F28:Q28" si="7">+F18</f>
        <v>401.67999999999995</v>
      </c>
      <c r="G28" s="142">
        <f t="shared" si="7"/>
        <v>409.25000000000011</v>
      </c>
      <c r="H28" s="142">
        <f t="shared" si="7"/>
        <v>364.86999999999995</v>
      </c>
      <c r="I28" s="142">
        <f t="shared" si="7"/>
        <v>477.91999999999996</v>
      </c>
      <c r="J28" s="142">
        <f t="shared" si="7"/>
        <v>421.82999999999987</v>
      </c>
      <c r="K28" s="142">
        <f t="shared" si="7"/>
        <v>477.07</v>
      </c>
      <c r="L28" s="142">
        <f t="shared" si="7"/>
        <v>449.46000000000009</v>
      </c>
      <c r="M28" s="142">
        <f t="shared" si="7"/>
        <v>392.95000000000005</v>
      </c>
      <c r="N28" s="142">
        <f t="shared" si="7"/>
        <v>531.44000000000028</v>
      </c>
      <c r="O28" s="142">
        <f t="shared" si="7"/>
        <v>536.98</v>
      </c>
      <c r="P28" s="142">
        <f t="shared" si="7"/>
        <v>437.27</v>
      </c>
      <c r="Q28" s="142">
        <f t="shared" si="7"/>
        <v>408.79999999999978</v>
      </c>
      <c r="R28" s="142"/>
      <c r="S28" s="143">
        <f>SUM(F28:R28)</f>
        <v>5309.5200000000013</v>
      </c>
      <c r="T28" s="142"/>
      <c r="U28" s="142"/>
      <c r="V28" s="142"/>
      <c r="W28" s="142"/>
      <c r="X28" s="142"/>
      <c r="Y28" s="142"/>
    </row>
    <row r="29" spans="1:25">
      <c r="C29" s="139"/>
      <c r="D29" s="139"/>
      <c r="E29" s="132" t="s">
        <v>129</v>
      </c>
      <c r="F29" s="142">
        <f>+F30-F28</f>
        <v>744.2700000000001</v>
      </c>
      <c r="G29" s="142">
        <f t="shared" ref="G29:Q29" si="8">+G30-G28</f>
        <v>766.20999999999947</v>
      </c>
      <c r="H29" s="142">
        <f t="shared" si="8"/>
        <v>713.45000000000027</v>
      </c>
      <c r="I29" s="142">
        <f t="shared" si="8"/>
        <v>848.12000000000023</v>
      </c>
      <c r="J29" s="142">
        <f t="shared" si="8"/>
        <v>664.64499999999998</v>
      </c>
      <c r="K29" s="142">
        <f t="shared" si="8"/>
        <v>659.66999999999985</v>
      </c>
      <c r="L29" s="142">
        <f t="shared" si="8"/>
        <v>774.51</v>
      </c>
      <c r="M29" s="142">
        <f t="shared" si="8"/>
        <v>746.78000000000043</v>
      </c>
      <c r="N29" s="142">
        <f t="shared" si="8"/>
        <v>779.33999999999969</v>
      </c>
      <c r="O29" s="142">
        <f t="shared" si="8"/>
        <v>561.15000000000032</v>
      </c>
      <c r="P29" s="142">
        <f t="shared" si="8"/>
        <v>547.81000000000006</v>
      </c>
      <c r="Q29" s="142">
        <f t="shared" si="8"/>
        <v>711.0300000000002</v>
      </c>
      <c r="R29" s="142"/>
      <c r="S29" s="143">
        <f>SUM(F29:R29)</f>
        <v>8516.9850000000024</v>
      </c>
      <c r="T29" s="142"/>
      <c r="U29" s="142"/>
      <c r="V29" s="142"/>
      <c r="W29" s="142"/>
      <c r="X29" s="142"/>
      <c r="Y29" s="142"/>
    </row>
    <row r="30" spans="1:25">
      <c r="A30" s="171" t="str">
        <f>+A18</f>
        <v>I</v>
      </c>
      <c r="C30" s="139"/>
      <c r="D30" s="139"/>
      <c r="E30" s="151" t="str">
        <f>"Total "&amp;E17&amp;" Pass Thru Disp."</f>
        <v>Total Roll-off / Industrial Pass Thru Disp.</v>
      </c>
      <c r="F30" s="152">
        <v>1145.95</v>
      </c>
      <c r="G30" s="152">
        <v>1175.4599999999996</v>
      </c>
      <c r="H30" s="152">
        <v>1078.3200000000002</v>
      </c>
      <c r="I30" s="152">
        <v>1326.0400000000002</v>
      </c>
      <c r="J30" s="152">
        <v>1086.4749999999999</v>
      </c>
      <c r="K30" s="152">
        <v>1136.7399999999998</v>
      </c>
      <c r="L30" s="152">
        <v>1223.97</v>
      </c>
      <c r="M30" s="152">
        <v>1139.7300000000005</v>
      </c>
      <c r="N30" s="152">
        <v>1310.78</v>
      </c>
      <c r="O30" s="152">
        <v>1098.1300000000003</v>
      </c>
      <c r="P30" s="152">
        <v>985.08</v>
      </c>
      <c r="Q30" s="152">
        <v>1119.83</v>
      </c>
      <c r="R30" s="152"/>
      <c r="S30" s="153">
        <f>SUM(F30:R30)</f>
        <v>13826.505000000003</v>
      </c>
      <c r="T30" s="142"/>
      <c r="U30" s="142"/>
      <c r="V30" s="142"/>
      <c r="W30" s="142"/>
      <c r="X30" s="142"/>
      <c r="Y30" s="142"/>
    </row>
    <row r="31" spans="1:25">
      <c r="C31" s="139"/>
      <c r="D31" s="139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3"/>
      <c r="T31" s="142"/>
      <c r="U31" s="142"/>
      <c r="V31" s="142"/>
      <c r="W31" s="142"/>
      <c r="X31" s="142"/>
      <c r="Y31" s="142"/>
    </row>
    <row r="32" spans="1:25">
      <c r="C32" s="139"/>
      <c r="D32" s="139"/>
      <c r="E32" s="133" t="s">
        <v>15</v>
      </c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3"/>
      <c r="T32" s="142"/>
      <c r="U32" s="172"/>
      <c r="V32" s="142"/>
      <c r="W32" s="142"/>
      <c r="X32" s="142"/>
      <c r="Y32" s="142"/>
    </row>
    <row r="33" spans="1:25">
      <c r="C33" s="139"/>
      <c r="D33" s="173" t="s">
        <v>130</v>
      </c>
      <c r="E33" s="132" t="s">
        <v>118</v>
      </c>
      <c r="F33" s="142">
        <v>942.83388817099171</v>
      </c>
      <c r="G33" s="142">
        <v>1165.7722766676848</v>
      </c>
      <c r="H33" s="142">
        <v>944.95203741774094</v>
      </c>
      <c r="I33" s="142">
        <v>1106.7556523841229</v>
      </c>
      <c r="J33" s="142">
        <v>985.36801126794819</v>
      </c>
      <c r="K33" s="142">
        <v>1100.9811032795674</v>
      </c>
      <c r="L33" s="142">
        <v>1121.1456762517182</v>
      </c>
      <c r="M33" s="142">
        <v>975.85302129121987</v>
      </c>
      <c r="N33" s="142">
        <v>1082.704293604605</v>
      </c>
      <c r="O33" s="142">
        <v>1047.5160893408045</v>
      </c>
      <c r="P33" s="142">
        <v>1018.4737782209575</v>
      </c>
      <c r="Q33" s="142">
        <v>1032.1401089918349</v>
      </c>
      <c r="R33" s="142"/>
      <c r="S33" s="143">
        <f>SUM(F33:R33)</f>
        <v>12524.495936889198</v>
      </c>
      <c r="T33" s="142"/>
      <c r="U33" s="174"/>
      <c r="V33" s="142"/>
      <c r="W33" s="142"/>
      <c r="X33" s="142"/>
      <c r="Y33" s="142"/>
    </row>
    <row r="34" spans="1:25">
      <c r="D34" s="173" t="s">
        <v>131</v>
      </c>
      <c r="E34" s="132" t="s">
        <v>119</v>
      </c>
      <c r="F34" s="142">
        <v>758.53005459046074</v>
      </c>
      <c r="G34" s="142">
        <v>912.47331697109394</v>
      </c>
      <c r="H34" s="142">
        <v>775.54695785219178</v>
      </c>
      <c r="I34" s="142">
        <v>924.11737850229918</v>
      </c>
      <c r="J34" s="142">
        <v>820.42222986824504</v>
      </c>
      <c r="K34" s="142">
        <v>900.5194466997857</v>
      </c>
      <c r="L34" s="142">
        <v>944.08078050365623</v>
      </c>
      <c r="M34" s="142">
        <v>822.41877840998256</v>
      </c>
      <c r="N34" s="142">
        <v>927.78835564505448</v>
      </c>
      <c r="O34" s="142">
        <v>862.56610330267779</v>
      </c>
      <c r="P34" s="142">
        <v>868.02940269297835</v>
      </c>
      <c r="Q34" s="142">
        <v>878.25221323889082</v>
      </c>
      <c r="R34" s="142"/>
      <c r="S34" s="143">
        <f>SUM(F34:R34)</f>
        <v>10394.745018277317</v>
      </c>
      <c r="T34" s="142"/>
      <c r="U34" s="175"/>
      <c r="V34" s="142"/>
      <c r="W34" s="142"/>
      <c r="X34" s="142"/>
      <c r="Y34" s="142"/>
    </row>
    <row r="35" spans="1:25" s="155" customFormat="1" outlineLevel="1">
      <c r="A35" s="176" t="s">
        <v>132</v>
      </c>
      <c r="B35" s="176" t="s">
        <v>117</v>
      </c>
      <c r="C35" s="151"/>
      <c r="D35" s="151"/>
      <c r="E35" s="177" t="str">
        <f>"Total "&amp;E32&amp;" "&amp;B35</f>
        <v>Total Commercial MSW</v>
      </c>
      <c r="F35" s="178">
        <v>1674.24</v>
      </c>
      <c r="G35" s="178">
        <v>2129.87</v>
      </c>
      <c r="H35" s="178">
        <v>1694.0300000000002</v>
      </c>
      <c r="I35" s="178">
        <v>2003.6</v>
      </c>
      <c r="J35" s="178">
        <v>1767.7200000000003</v>
      </c>
      <c r="K35" s="178">
        <v>1902.56</v>
      </c>
      <c r="L35" s="178">
        <v>2013.88</v>
      </c>
      <c r="M35" s="178">
        <v>1762.99</v>
      </c>
      <c r="N35" s="178">
        <v>1986.1499999999999</v>
      </c>
      <c r="O35" s="178">
        <v>1876.9499999999998</v>
      </c>
      <c r="P35" s="178">
        <v>1860.2099999999998</v>
      </c>
      <c r="Q35" s="178">
        <v>1880.35</v>
      </c>
      <c r="R35" s="178"/>
      <c r="S35" s="179">
        <f>SUM(F35:Q35)-SUM(S33:S34)</f>
        <v>-366.69095516651942</v>
      </c>
      <c r="T35" s="154"/>
      <c r="U35" s="180"/>
      <c r="V35" s="142"/>
      <c r="W35" s="154"/>
      <c r="X35" s="154"/>
      <c r="Y35" s="154"/>
    </row>
    <row r="36" spans="1:25">
      <c r="C36" s="139"/>
      <c r="D36" s="173" t="s">
        <v>130</v>
      </c>
      <c r="E36" s="132" t="s">
        <v>121</v>
      </c>
      <c r="F36" s="142">
        <v>212.88435943295056</v>
      </c>
      <c r="G36" s="142">
        <v>283.54678416491106</v>
      </c>
      <c r="H36" s="142">
        <v>219.75874983312775</v>
      </c>
      <c r="I36" s="142">
        <v>255.84501476873083</v>
      </c>
      <c r="J36" s="142">
        <v>233.3605237872153</v>
      </c>
      <c r="K36" s="142">
        <v>244.95493724620678</v>
      </c>
      <c r="L36" s="142">
        <v>239.08611828018346</v>
      </c>
      <c r="M36" s="142">
        <v>204.59282656992133</v>
      </c>
      <c r="N36" s="142">
        <v>231.48969187111749</v>
      </c>
      <c r="O36" s="142">
        <v>225.29882793727643</v>
      </c>
      <c r="P36" s="142">
        <v>217.07292042066425</v>
      </c>
      <c r="Q36" s="142">
        <v>237.47920757609214</v>
      </c>
      <c r="R36" s="142"/>
      <c r="S36" s="143">
        <f>SUM(F36:R36)</f>
        <v>2805.3699618883966</v>
      </c>
      <c r="T36" s="142"/>
      <c r="U36" s="174"/>
      <c r="V36" s="142"/>
      <c r="W36" s="142"/>
      <c r="X36" s="142"/>
      <c r="Y36" s="142"/>
    </row>
    <row r="37" spans="1:25">
      <c r="D37" s="173" t="s">
        <v>131</v>
      </c>
      <c r="E37" s="132" t="s">
        <v>123</v>
      </c>
      <c r="F37" s="142">
        <v>108.14980676708878</v>
      </c>
      <c r="G37" s="142">
        <v>115.70445658723688</v>
      </c>
      <c r="H37" s="142">
        <v>122.83570373671097</v>
      </c>
      <c r="I37" s="142">
        <v>166.06640895542881</v>
      </c>
      <c r="J37" s="142">
        <v>103.38418912166389</v>
      </c>
      <c r="K37" s="142">
        <v>136.12916888264328</v>
      </c>
      <c r="L37" s="142">
        <v>130.11127566341716</v>
      </c>
      <c r="M37" s="142">
        <v>107.21783539292655</v>
      </c>
      <c r="N37" s="142">
        <v>120.35094501123443</v>
      </c>
      <c r="O37" s="142">
        <v>131.01550173259906</v>
      </c>
      <c r="P37" s="142">
        <v>109.53881633435638</v>
      </c>
      <c r="Q37" s="142">
        <v>117.62123589169848</v>
      </c>
      <c r="R37" s="142"/>
      <c r="S37" s="143">
        <f>SUM(F37:R37)</f>
        <v>1468.1253440770045</v>
      </c>
      <c r="T37" s="142"/>
      <c r="U37" s="175"/>
      <c r="V37" s="142"/>
      <c r="W37" s="142"/>
      <c r="X37" s="142"/>
      <c r="Y37" s="142"/>
    </row>
    <row r="38" spans="1:25" s="155" customFormat="1" outlineLevel="1">
      <c r="A38" s="150" t="str">
        <f>+A35</f>
        <v>C</v>
      </c>
      <c r="B38" s="157" t="s">
        <v>120</v>
      </c>
      <c r="C38" s="158" t="s">
        <v>124</v>
      </c>
      <c r="D38" s="181"/>
      <c r="E38" s="177" t="str">
        <f>"Total "&amp;E32&amp;" Recycling"</f>
        <v>Total Commercial Recycling</v>
      </c>
      <c r="F38" s="178">
        <v>298.82</v>
      </c>
      <c r="G38" s="178">
        <v>356.32999999999993</v>
      </c>
      <c r="H38" s="178">
        <v>339.98</v>
      </c>
      <c r="I38" s="178">
        <v>469.03</v>
      </c>
      <c r="J38" s="178">
        <v>349.15</v>
      </c>
      <c r="K38" s="178">
        <v>430.11</v>
      </c>
      <c r="L38" s="178">
        <v>370.54</v>
      </c>
      <c r="M38" s="178">
        <v>293.39</v>
      </c>
      <c r="N38" s="178">
        <v>328.08500000000004</v>
      </c>
      <c r="O38" s="178">
        <v>324.44</v>
      </c>
      <c r="P38" s="178">
        <v>310.04999999999995</v>
      </c>
      <c r="Q38" s="178">
        <v>362.55999999999995</v>
      </c>
      <c r="R38" s="178"/>
      <c r="S38" s="179">
        <f>SUM(F38:Q38)-SUM(S36:S37)</f>
        <v>-41.010305965400221</v>
      </c>
      <c r="T38" s="154"/>
      <c r="U38" s="182"/>
      <c r="V38" s="142"/>
      <c r="W38" s="154"/>
      <c r="X38" s="154"/>
      <c r="Y38" s="154"/>
    </row>
    <row r="39" spans="1:25" outlineLevel="1">
      <c r="A39" s="163"/>
      <c r="B39" s="163"/>
      <c r="C39" s="163"/>
      <c r="D39" s="163"/>
      <c r="E39" s="183" t="str">
        <f>"Total "&amp;E32&amp;" per Disposal Report"</f>
        <v>Total Commercial per Disposal Report</v>
      </c>
      <c r="F39" s="184">
        <v>1973.0599999999997</v>
      </c>
      <c r="G39" s="184">
        <v>2486.1999999999994</v>
      </c>
      <c r="H39" s="184">
        <v>2034.0100000000002</v>
      </c>
      <c r="I39" s="184">
        <v>2472.6299999999997</v>
      </c>
      <c r="J39" s="184">
        <v>2116.87</v>
      </c>
      <c r="K39" s="184">
        <v>2332.67</v>
      </c>
      <c r="L39" s="184">
        <v>2384.4199999999996</v>
      </c>
      <c r="M39" s="184">
        <v>2056.3800000000006</v>
      </c>
      <c r="N39" s="184">
        <v>2314.2350000000006</v>
      </c>
      <c r="O39" s="184">
        <v>2201.3900000000003</v>
      </c>
      <c r="P39" s="184">
        <v>2170.2599999999998</v>
      </c>
      <c r="Q39" s="184">
        <v>2242.9100000000003</v>
      </c>
      <c r="R39" s="184"/>
      <c r="S39" s="185">
        <f>SUM(F39:R39)</f>
        <v>26785.035</v>
      </c>
      <c r="T39" s="142"/>
      <c r="U39" s="186"/>
      <c r="V39" s="142"/>
      <c r="W39" s="142"/>
      <c r="X39" s="142"/>
      <c r="Y39" s="142"/>
    </row>
    <row r="40" spans="1:25">
      <c r="C40" s="139"/>
      <c r="D40" s="139"/>
      <c r="E40" s="132" t="str">
        <f>"Total "&amp;E32</f>
        <v>Total Commercial</v>
      </c>
      <c r="F40" s="148">
        <f>SUM(F33:F34,F36:F37)</f>
        <v>2022.398108961492</v>
      </c>
      <c r="G40" s="148">
        <f t="shared" ref="G40:Q40" si="9">SUM(G33:G34,G36:G37)</f>
        <v>2477.4968343909268</v>
      </c>
      <c r="H40" s="148">
        <f t="shared" si="9"/>
        <v>2063.0934488397716</v>
      </c>
      <c r="I40" s="148">
        <f t="shared" si="9"/>
        <v>2452.7844546105816</v>
      </c>
      <c r="J40" s="148">
        <f t="shared" si="9"/>
        <v>2142.5349540450725</v>
      </c>
      <c r="K40" s="148">
        <f t="shared" si="9"/>
        <v>2382.584656108203</v>
      </c>
      <c r="L40" s="148">
        <f t="shared" si="9"/>
        <v>2434.423850698975</v>
      </c>
      <c r="M40" s="148">
        <f t="shared" si="9"/>
        <v>2110.0824616640502</v>
      </c>
      <c r="N40" s="148">
        <f t="shared" si="9"/>
        <v>2362.3332861320114</v>
      </c>
      <c r="O40" s="148">
        <f t="shared" si="9"/>
        <v>2266.3965223133578</v>
      </c>
      <c r="P40" s="148">
        <f t="shared" si="9"/>
        <v>2213.1149176689564</v>
      </c>
      <c r="Q40" s="148">
        <f t="shared" si="9"/>
        <v>2265.4927656985165</v>
      </c>
      <c r="R40" s="148"/>
      <c r="S40" s="143">
        <f>SUM(S33:S34,S36:S37)</f>
        <v>27192.736261131915</v>
      </c>
      <c r="T40" s="142"/>
      <c r="U40" s="188"/>
      <c r="V40" s="142"/>
      <c r="W40" s="142"/>
      <c r="X40" s="142"/>
      <c r="Y40" s="142"/>
    </row>
    <row r="41" spans="1:25">
      <c r="C41" s="139"/>
      <c r="D41" s="139"/>
      <c r="E41" s="167" t="s">
        <v>127</v>
      </c>
      <c r="F41" s="168">
        <f t="shared" ref="F41:Q41" si="10">+F40/SUM(F10:F11)-1</f>
        <v>7.5755119182912667E-2</v>
      </c>
      <c r="G41" s="168">
        <f t="shared" si="10"/>
        <v>3.4881864331482992E-2</v>
      </c>
      <c r="H41" s="168">
        <f t="shared" si="10"/>
        <v>5.916987475345592E-2</v>
      </c>
      <c r="I41" s="168">
        <f t="shared" si="10"/>
        <v>5.9458628504913902E-2</v>
      </c>
      <c r="J41" s="168">
        <f t="shared" si="10"/>
        <v>9.2310845460329416E-2</v>
      </c>
      <c r="K41" s="168">
        <f t="shared" si="10"/>
        <v>0.10221668653201643</v>
      </c>
      <c r="L41" s="168">
        <f t="shared" si="10"/>
        <v>0.10519489660417158</v>
      </c>
      <c r="M41" s="168">
        <f t="shared" si="10"/>
        <v>6.355498851508834E-2</v>
      </c>
      <c r="N41" s="168">
        <f t="shared" si="10"/>
        <v>8.4400191938384106E-2</v>
      </c>
      <c r="O41" s="168">
        <f t="shared" si="10"/>
        <v>2.6233901593579967E-2</v>
      </c>
      <c r="P41" s="168">
        <f t="shared" si="10"/>
        <v>2.1572816250591487E-2</v>
      </c>
      <c r="Q41" s="168">
        <f t="shared" si="10"/>
        <v>2.9980116705015325E-2</v>
      </c>
      <c r="R41" s="142"/>
      <c r="S41" s="169">
        <f>+S40/SUM(S10:S11)-1</f>
        <v>6.223285758886532E-2</v>
      </c>
      <c r="T41" s="142"/>
      <c r="U41" s="142"/>
      <c r="V41" s="142"/>
      <c r="W41" s="142"/>
      <c r="X41" s="142"/>
      <c r="Y41" s="142"/>
    </row>
    <row r="42" spans="1:25">
      <c r="C42" s="139"/>
      <c r="D42" s="139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70"/>
      <c r="T42" s="142"/>
      <c r="U42" s="142"/>
      <c r="V42" s="142"/>
      <c r="W42" s="142"/>
      <c r="X42" s="142"/>
      <c r="Y42" s="142"/>
    </row>
    <row r="43" spans="1:25">
      <c r="C43" s="139"/>
      <c r="D43" s="139"/>
      <c r="E43" s="133" t="s">
        <v>14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3"/>
      <c r="T43" s="142"/>
      <c r="U43" s="172"/>
      <c r="V43" s="142"/>
      <c r="W43" s="142"/>
      <c r="X43" s="142"/>
      <c r="Y43" s="142"/>
    </row>
    <row r="44" spans="1:25">
      <c r="C44" s="139"/>
      <c r="D44" s="173" t="s">
        <v>130</v>
      </c>
      <c r="E44" s="132" t="s">
        <v>118</v>
      </c>
      <c r="F44" s="142">
        <v>940.42522531953682</v>
      </c>
      <c r="G44" s="142">
        <v>1466.8107699246473</v>
      </c>
      <c r="H44" s="142">
        <v>1033.195183134676</v>
      </c>
      <c r="I44" s="142">
        <v>1160.8836250096217</v>
      </c>
      <c r="J44" s="142">
        <v>1093.3969139179328</v>
      </c>
      <c r="K44" s="142">
        <v>1189.5508119471294</v>
      </c>
      <c r="L44" s="142">
        <v>1331.2319771456491</v>
      </c>
      <c r="M44" s="142">
        <v>1154.7681154065967</v>
      </c>
      <c r="N44" s="142">
        <v>1236.303369507772</v>
      </c>
      <c r="O44" s="142">
        <v>1192.1136914665424</v>
      </c>
      <c r="P44" s="142">
        <v>1084.4719749113549</v>
      </c>
      <c r="Q44" s="142">
        <v>1168.4013994346051</v>
      </c>
      <c r="R44" s="142"/>
      <c r="S44" s="143">
        <f>SUM(F44:R44)</f>
        <v>14051.553057126064</v>
      </c>
      <c r="T44" s="142"/>
      <c r="U44" s="187"/>
      <c r="V44" s="142"/>
      <c r="W44" s="142"/>
      <c r="X44" s="142"/>
      <c r="Y44" s="142"/>
    </row>
    <row r="45" spans="1:25">
      <c r="D45" s="173" t="s">
        <v>131</v>
      </c>
      <c r="E45" s="132" t="s">
        <v>119</v>
      </c>
      <c r="F45" s="142">
        <v>446.07943278086537</v>
      </c>
      <c r="G45" s="142">
        <v>623.16783620008027</v>
      </c>
      <c r="H45" s="142">
        <v>491.5177729809871</v>
      </c>
      <c r="I45" s="142">
        <v>610.4864595632132</v>
      </c>
      <c r="J45" s="142">
        <v>494.57270578625946</v>
      </c>
      <c r="K45" s="142">
        <v>574.10002761901308</v>
      </c>
      <c r="L45" s="142">
        <v>591.36286246786301</v>
      </c>
      <c r="M45" s="142">
        <v>589.76279853337621</v>
      </c>
      <c r="N45" s="142">
        <v>582.7032914036597</v>
      </c>
      <c r="O45" s="142">
        <v>599.35414548166807</v>
      </c>
      <c r="P45" s="142">
        <v>551.76148735009895</v>
      </c>
      <c r="Q45" s="142">
        <v>547.02472923863149</v>
      </c>
      <c r="R45" s="142"/>
      <c r="S45" s="143">
        <f>SUM(F45:R45)</f>
        <v>6701.893549405715</v>
      </c>
      <c r="T45" s="142"/>
      <c r="U45" s="175"/>
      <c r="V45" s="142"/>
      <c r="W45" s="142"/>
      <c r="X45" s="142"/>
      <c r="Y45" s="142"/>
    </row>
    <row r="46" spans="1:25" s="155" customFormat="1" outlineLevel="1">
      <c r="A46" s="149" t="s">
        <v>130</v>
      </c>
      <c r="B46" s="149" t="s">
        <v>117</v>
      </c>
      <c r="C46" s="151"/>
      <c r="D46" s="181"/>
      <c r="E46" s="177" t="str">
        <f>"Total "&amp;E43&amp;" "&amp;B46</f>
        <v>Total Residential MSW</v>
      </c>
      <c r="F46" s="178">
        <v>1423.53</v>
      </c>
      <c r="G46" s="178">
        <v>2302.58</v>
      </c>
      <c r="H46" s="178">
        <v>1582.14</v>
      </c>
      <c r="I46" s="178">
        <v>1829.7800000000002</v>
      </c>
      <c r="J46" s="178">
        <v>1634.5400000000002</v>
      </c>
      <c r="K46" s="178">
        <v>1812.4799999999998</v>
      </c>
      <c r="L46" s="178">
        <v>1977.68</v>
      </c>
      <c r="M46" s="178">
        <v>1783.4300000000003</v>
      </c>
      <c r="N46" s="178">
        <v>1879.0800000000002</v>
      </c>
      <c r="O46" s="178">
        <v>1873.5</v>
      </c>
      <c r="P46" s="178">
        <v>1684.6799999999998</v>
      </c>
      <c r="Q46" s="178">
        <v>1781.28</v>
      </c>
      <c r="R46" s="178"/>
      <c r="S46" s="179">
        <f>SUM(F46:Q46)-SUM(S44:S45)</f>
        <v>811.25339346822147</v>
      </c>
      <c r="T46" s="154"/>
      <c r="U46" s="180"/>
      <c r="V46" s="154"/>
      <c r="W46" s="154"/>
      <c r="X46" s="154"/>
      <c r="Y46" s="154"/>
    </row>
    <row r="47" spans="1:25">
      <c r="C47" s="139"/>
      <c r="D47" s="173" t="s">
        <v>130</v>
      </c>
      <c r="E47" s="132" t="s">
        <v>133</v>
      </c>
      <c r="F47" s="142">
        <v>600.41094832346789</v>
      </c>
      <c r="G47" s="142">
        <v>454.66381569451102</v>
      </c>
      <c r="H47" s="142">
        <v>515.65849008330861</v>
      </c>
      <c r="I47" s="142">
        <v>735.16778128058559</v>
      </c>
      <c r="J47" s="142">
        <v>953.66105746370329</v>
      </c>
      <c r="K47" s="142">
        <v>1222.6011000098988</v>
      </c>
      <c r="L47" s="142">
        <v>1272.5178260976361</v>
      </c>
      <c r="M47" s="142">
        <v>1039.9173158201411</v>
      </c>
      <c r="N47" s="142">
        <v>638.59519873545992</v>
      </c>
      <c r="O47" s="142">
        <v>656.41437387018425</v>
      </c>
      <c r="P47" s="142">
        <v>557.71967357013739</v>
      </c>
      <c r="Q47" s="142">
        <v>950.91523759035238</v>
      </c>
      <c r="R47" s="142"/>
      <c r="S47" s="143">
        <f>SUM(F47:R47)</f>
        <v>9598.2428185393874</v>
      </c>
      <c r="T47" s="142"/>
      <c r="U47" s="174"/>
      <c r="V47" s="142"/>
      <c r="W47" s="142"/>
      <c r="X47" s="142"/>
      <c r="Y47" s="142"/>
    </row>
    <row r="48" spans="1:25">
      <c r="D48" s="173" t="s">
        <v>131</v>
      </c>
      <c r="E48" s="132" t="s">
        <v>134</v>
      </c>
      <c r="F48" s="142">
        <v>184.13988021902901</v>
      </c>
      <c r="G48" s="142">
        <v>143.92764383470075</v>
      </c>
      <c r="H48" s="142">
        <v>154.14195027355106</v>
      </c>
      <c r="I48" s="142">
        <v>304.07306671063316</v>
      </c>
      <c r="J48" s="142">
        <v>435.53619544311181</v>
      </c>
      <c r="K48" s="142">
        <v>667.34072759947333</v>
      </c>
      <c r="L48" s="142">
        <v>708.78697303063836</v>
      </c>
      <c r="M48" s="142">
        <v>448.22758035461129</v>
      </c>
      <c r="N48" s="142">
        <v>282.3009049453774</v>
      </c>
      <c r="O48" s="142">
        <v>289.15954435886374</v>
      </c>
      <c r="P48" s="142">
        <v>243.51627186991476</v>
      </c>
      <c r="Q48" s="142">
        <v>362.11327145808679</v>
      </c>
      <c r="R48" s="142"/>
      <c r="S48" s="143">
        <f>SUM(F48:R48)</f>
        <v>4223.2640100979925</v>
      </c>
      <c r="T48" s="142"/>
      <c r="U48" s="175"/>
      <c r="V48" s="142"/>
      <c r="W48" s="142"/>
      <c r="X48" s="142"/>
      <c r="Y48" s="142"/>
    </row>
    <row r="49" spans="1:25" s="155" customFormat="1" outlineLevel="1">
      <c r="A49" s="150" t="str">
        <f>+A46</f>
        <v>R</v>
      </c>
      <c r="B49" s="150" t="s">
        <v>124</v>
      </c>
      <c r="C49" s="151"/>
      <c r="D49" s="181"/>
      <c r="E49" s="177" t="str">
        <f>"Total "&amp;E43&amp;" "&amp;B49</f>
        <v>Total Residential YW</v>
      </c>
      <c r="F49" s="178">
        <v>782.77</v>
      </c>
      <c r="G49" s="178">
        <v>544.55999999999995</v>
      </c>
      <c r="H49" s="178">
        <v>672.64999999999986</v>
      </c>
      <c r="I49" s="178">
        <v>1042.6199999999999</v>
      </c>
      <c r="J49" s="178">
        <v>1400.32</v>
      </c>
      <c r="K49" s="178">
        <v>1899.8</v>
      </c>
      <c r="L49" s="178">
        <v>2016.27</v>
      </c>
      <c r="M49" s="178">
        <v>1469.78</v>
      </c>
      <c r="N49" s="178">
        <v>918.7299999999999</v>
      </c>
      <c r="O49" s="178">
        <v>957.98</v>
      </c>
      <c r="P49" s="178">
        <v>804.31999999999994</v>
      </c>
      <c r="Q49" s="178">
        <v>1293.67</v>
      </c>
      <c r="R49" s="178"/>
      <c r="S49" s="179">
        <f>SUM(F49:Q49)-SUM(S47:S48)</f>
        <v>-18.036828637379585</v>
      </c>
      <c r="T49" s="154"/>
      <c r="U49" s="180"/>
      <c r="V49" s="154"/>
      <c r="W49" s="154"/>
      <c r="X49" s="154"/>
      <c r="Y49" s="154"/>
    </row>
    <row r="50" spans="1:25">
      <c r="C50" s="139"/>
      <c r="D50" s="173" t="s">
        <v>130</v>
      </c>
      <c r="E50" s="132" t="s">
        <v>135</v>
      </c>
      <c r="F50" s="142">
        <v>436.54613990545192</v>
      </c>
      <c r="G50" s="142">
        <v>681.47200176776892</v>
      </c>
      <c r="H50" s="142">
        <v>504.67936948044184</v>
      </c>
      <c r="I50" s="142">
        <v>539.57079043564545</v>
      </c>
      <c r="J50" s="142">
        <v>481.08269466465026</v>
      </c>
      <c r="K50" s="142">
        <v>479.96626244769413</v>
      </c>
      <c r="L50" s="142">
        <v>508.65286789254407</v>
      </c>
      <c r="M50" s="142">
        <v>498.97079893911143</v>
      </c>
      <c r="N50" s="142">
        <v>556.90529529448952</v>
      </c>
      <c r="O50" s="142">
        <v>486.15966468777276</v>
      </c>
      <c r="P50" s="142">
        <v>454.27242218931769</v>
      </c>
      <c r="Q50" s="142">
        <v>515.78841782418385</v>
      </c>
      <c r="R50" s="142"/>
      <c r="S50" s="143">
        <f>SUM(F50:R50)</f>
        <v>6144.0667255290718</v>
      </c>
      <c r="T50" s="142"/>
      <c r="U50" s="174"/>
      <c r="V50" s="142"/>
      <c r="W50" s="142"/>
      <c r="X50" s="142"/>
      <c r="Y50" s="142"/>
    </row>
    <row r="51" spans="1:25">
      <c r="D51" s="173" t="s">
        <v>131</v>
      </c>
      <c r="E51" s="132" t="s">
        <v>136</v>
      </c>
      <c r="F51" s="142">
        <v>220.55072431535189</v>
      </c>
      <c r="G51" s="142">
        <v>320.75145039904203</v>
      </c>
      <c r="H51" s="142">
        <v>231.88550458901068</v>
      </c>
      <c r="I51" s="142">
        <v>278.44262548365606</v>
      </c>
      <c r="J51" s="142">
        <v>222.91096292697304</v>
      </c>
      <c r="K51" s="142">
        <v>277.36475499144541</v>
      </c>
      <c r="L51" s="142">
        <v>269.72496504780463</v>
      </c>
      <c r="M51" s="142">
        <v>247.55313223244428</v>
      </c>
      <c r="N51" s="142">
        <v>263.88316893398087</v>
      </c>
      <c r="O51" s="142">
        <v>287.31626446725625</v>
      </c>
      <c r="P51" s="142">
        <v>242.40133486388038</v>
      </c>
      <c r="Q51" s="142">
        <v>241.56959637300088</v>
      </c>
      <c r="R51" s="142"/>
      <c r="S51" s="143">
        <f>SUM(F51:R51)</f>
        <v>3104.354484623846</v>
      </c>
      <c r="T51" s="142"/>
      <c r="U51" s="175"/>
      <c r="V51" s="142"/>
      <c r="W51" s="142"/>
      <c r="X51" s="142"/>
      <c r="Y51" s="142"/>
    </row>
    <row r="52" spans="1:25" s="155" customFormat="1" outlineLevel="1">
      <c r="A52" s="150" t="str">
        <f>+A49</f>
        <v>R</v>
      </c>
      <c r="B52" s="150" t="s">
        <v>120</v>
      </c>
      <c r="C52" s="151"/>
      <c r="D52" s="181"/>
      <c r="E52" s="177" t="str">
        <f>"Total "&amp;E43&amp;" "&amp;B50</f>
        <v xml:space="preserve">Total Residential </v>
      </c>
      <c r="F52" s="178">
        <v>674.6</v>
      </c>
      <c r="G52" s="178">
        <v>921.09000000000015</v>
      </c>
      <c r="H52" s="178">
        <v>723.72000000000014</v>
      </c>
      <c r="I52" s="178">
        <v>827.92000000000019</v>
      </c>
      <c r="J52" s="178">
        <v>709.95999999999981</v>
      </c>
      <c r="K52" s="178">
        <v>764.90999999999985</v>
      </c>
      <c r="L52" s="178">
        <v>790.12</v>
      </c>
      <c r="M52" s="178">
        <v>736.46</v>
      </c>
      <c r="N52" s="178">
        <v>816.5200000000001</v>
      </c>
      <c r="O52" s="178">
        <v>739.65</v>
      </c>
      <c r="P52" s="178">
        <v>694.81</v>
      </c>
      <c r="Q52" s="178">
        <v>747.32000000000016</v>
      </c>
      <c r="R52" s="178"/>
      <c r="S52" s="179">
        <f>SUM(F52:Q52)-SUM(S50:S51)</f>
        <v>-101.34121015291748</v>
      </c>
      <c r="T52" s="154"/>
      <c r="U52" s="182"/>
      <c r="V52" s="154"/>
      <c r="W52" s="154"/>
      <c r="X52" s="154"/>
      <c r="Y52" s="154"/>
    </row>
    <row r="53" spans="1:25" outlineLevel="1">
      <c r="A53" s="163"/>
      <c r="B53" s="163"/>
      <c r="C53" s="163"/>
      <c r="D53" s="163"/>
      <c r="E53" s="183" t="str">
        <f>"Total "&amp;E43&amp;" per Disposal Report"</f>
        <v>Total Residential per Disposal Report</v>
      </c>
      <c r="F53" s="184">
        <v>2880.900000000001</v>
      </c>
      <c r="G53" s="184">
        <v>3768.2300000000014</v>
      </c>
      <c r="H53" s="184">
        <v>2978.51</v>
      </c>
      <c r="I53" s="184">
        <v>3700.32</v>
      </c>
      <c r="J53" s="184">
        <v>3744.8199999999988</v>
      </c>
      <c r="K53" s="184">
        <v>4477.1900000000014</v>
      </c>
      <c r="L53" s="184">
        <v>4784.0699999999988</v>
      </c>
      <c r="M53" s="184">
        <v>3989.6699999999992</v>
      </c>
      <c r="N53" s="184">
        <v>3614.3299999999995</v>
      </c>
      <c r="O53" s="184">
        <v>3571.130000000001</v>
      </c>
      <c r="P53" s="184">
        <v>3183.81</v>
      </c>
      <c r="Q53" s="184">
        <v>3822.2699999999995</v>
      </c>
      <c r="R53" s="184"/>
      <c r="S53" s="185">
        <f>SUM(F53:R53)</f>
        <v>44515.249999999993</v>
      </c>
      <c r="T53" s="142"/>
      <c r="U53" s="186"/>
      <c r="V53" s="142"/>
      <c r="W53" s="142"/>
      <c r="X53" s="142"/>
      <c r="Y53" s="142"/>
    </row>
    <row r="54" spans="1:25">
      <c r="C54" s="139"/>
      <c r="D54" s="139"/>
      <c r="E54" s="132" t="str">
        <f>"Total "&amp;E43</f>
        <v>Total Residential</v>
      </c>
      <c r="F54" s="148">
        <f>SUM(F44:F45,F47:F48,F50:F51)</f>
        <v>2828.1523508637033</v>
      </c>
      <c r="G54" s="148">
        <f t="shared" ref="G54:Q54" si="11">SUM(G44:G45,G47:G48,G50:G51)</f>
        <v>3690.7935178207504</v>
      </c>
      <c r="H54" s="148">
        <f t="shared" si="11"/>
        <v>2931.0782705419751</v>
      </c>
      <c r="I54" s="148">
        <f t="shared" si="11"/>
        <v>3628.6243484833553</v>
      </c>
      <c r="J54" s="148">
        <f t="shared" si="11"/>
        <v>3681.1605302026305</v>
      </c>
      <c r="K54" s="148">
        <f t="shared" si="11"/>
        <v>4410.9236846146541</v>
      </c>
      <c r="L54" s="148">
        <f t="shared" si="11"/>
        <v>4682.277471682135</v>
      </c>
      <c r="M54" s="148">
        <f t="shared" si="11"/>
        <v>3979.1997412862806</v>
      </c>
      <c r="N54" s="148">
        <f t="shared" si="11"/>
        <v>3560.6912288207391</v>
      </c>
      <c r="O54" s="148">
        <f t="shared" si="11"/>
        <v>3510.517684332287</v>
      </c>
      <c r="P54" s="148">
        <f t="shared" si="11"/>
        <v>3134.1431647547042</v>
      </c>
      <c r="Q54" s="148">
        <f t="shared" si="11"/>
        <v>3785.8126519188604</v>
      </c>
      <c r="R54" s="148"/>
      <c r="S54" s="143">
        <f>SUM(S44:S45,S47:S48,S50:S51)</f>
        <v>43823.374645322074</v>
      </c>
      <c r="T54" s="142"/>
      <c r="U54" s="188"/>
      <c r="V54" s="142"/>
      <c r="W54" s="142"/>
      <c r="X54" s="142"/>
      <c r="Y54" s="142"/>
    </row>
    <row r="55" spans="1:25">
      <c r="C55" s="139"/>
      <c r="D55" s="139"/>
      <c r="E55" s="167" t="s">
        <v>127</v>
      </c>
      <c r="F55" s="168">
        <f>+F54/SUM(F12:F14)-1</f>
        <v>-3.3364772055321179E-2</v>
      </c>
      <c r="G55" s="168">
        <f t="shared" ref="G55:S55" si="12">+G54/SUM(G12:G14)-1</f>
        <v>1.3252780443415713E-2</v>
      </c>
      <c r="H55" s="168">
        <f t="shared" si="12"/>
        <v>-4.8822662429970354E-4</v>
      </c>
      <c r="I55" s="168">
        <f t="shared" si="12"/>
        <v>1.0561825962446258E-2</v>
      </c>
      <c r="J55" s="168">
        <f t="shared" si="12"/>
        <v>-1.3262997715504543E-2</v>
      </c>
      <c r="K55" s="168">
        <f t="shared" si="12"/>
        <v>-9.3733443347000511E-3</v>
      </c>
      <c r="L55" s="168">
        <f t="shared" si="12"/>
        <v>1.0357050433321913E-2</v>
      </c>
      <c r="M55" s="168">
        <f t="shared" si="12"/>
        <v>-2.9792008483194854E-3</v>
      </c>
      <c r="N55" s="168">
        <f t="shared" si="12"/>
        <v>-1.1182787695298235E-2</v>
      </c>
      <c r="O55" s="168">
        <f t="shared" si="12"/>
        <v>-4.1056331132041102E-3</v>
      </c>
      <c r="P55" s="168">
        <f t="shared" si="12"/>
        <v>-1.0065298355120822E-2</v>
      </c>
      <c r="Q55" s="168">
        <f t="shared" si="12"/>
        <v>-1.5851488664871072E-2</v>
      </c>
      <c r="R55" s="142"/>
      <c r="S55" s="168">
        <f t="shared" si="12"/>
        <v>-4.8944287161883926E-3</v>
      </c>
      <c r="T55" s="142"/>
      <c r="U55" s="142"/>
      <c r="V55" s="142"/>
      <c r="W55" s="142"/>
      <c r="X55" s="142"/>
      <c r="Y55" s="142"/>
    </row>
    <row r="56" spans="1:25">
      <c r="C56" s="139"/>
      <c r="D56" s="1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3"/>
      <c r="T56" s="142"/>
      <c r="U56" s="142"/>
      <c r="V56" s="142"/>
      <c r="W56" s="142"/>
      <c r="X56" s="142"/>
      <c r="Y56" s="142"/>
    </row>
    <row r="57" spans="1:25">
      <c r="C57" s="139"/>
      <c r="D57" s="139"/>
      <c r="E57" s="189" t="s">
        <v>137</v>
      </c>
      <c r="F57" s="142">
        <f t="shared" ref="F57:Q57" si="13">SUM(F18:F19,F33:F34,F44:F45)</f>
        <v>3789.0086008618546</v>
      </c>
      <c r="G57" s="142">
        <f t="shared" si="13"/>
        <v>4860.1441997635065</v>
      </c>
      <c r="H57" s="142">
        <f t="shared" si="13"/>
        <v>3913.2919513855954</v>
      </c>
      <c r="I57" s="142">
        <f t="shared" si="13"/>
        <v>4612.6531154592567</v>
      </c>
      <c r="J57" s="142">
        <f t="shared" si="13"/>
        <v>4080.7098608403858</v>
      </c>
      <c r="K57" s="142">
        <f t="shared" si="13"/>
        <v>4460.2713895454963</v>
      </c>
      <c r="L57" s="142">
        <f t="shared" si="13"/>
        <v>4777.8212963688866</v>
      </c>
      <c r="M57" s="142">
        <f t="shared" si="13"/>
        <v>4303.8827136411755</v>
      </c>
      <c r="N57" s="142">
        <f t="shared" si="13"/>
        <v>4711.2293101610912</v>
      </c>
      <c r="O57" s="142">
        <f t="shared" si="13"/>
        <v>4463.8900295916919</v>
      </c>
      <c r="P57" s="142">
        <f t="shared" si="13"/>
        <v>4208.0666431753898</v>
      </c>
      <c r="Q57" s="142">
        <f t="shared" si="13"/>
        <v>4309.9784509039619</v>
      </c>
      <c r="R57" s="142"/>
      <c r="S57" s="143">
        <f>SUM(F57:R57)</f>
        <v>52490.947561698296</v>
      </c>
      <c r="T57" s="142"/>
      <c r="U57" s="142"/>
      <c r="V57" s="142"/>
      <c r="W57" s="142"/>
      <c r="X57" s="142"/>
      <c r="Y57" s="142"/>
    </row>
    <row r="58" spans="1:25" outlineLevel="1">
      <c r="C58" s="139"/>
      <c r="D58" s="139"/>
      <c r="E58" s="190" t="s">
        <v>127</v>
      </c>
      <c r="F58" s="168">
        <f t="shared" ref="F58:Q58" si="14">+F57/SUM(F8,F10,F12)-1</f>
        <v>-8.9301751535109108E-3</v>
      </c>
      <c r="G58" s="168">
        <f t="shared" si="14"/>
        <v>-5.2322676550653036E-2</v>
      </c>
      <c r="H58" s="168">
        <f t="shared" si="14"/>
        <v>-9.3734301561404498E-3</v>
      </c>
      <c r="I58" s="168">
        <f t="shared" si="14"/>
        <v>-1.070587348624108E-2</v>
      </c>
      <c r="J58" s="168">
        <f t="shared" si="14"/>
        <v>-1.9811764334468185E-2</v>
      </c>
      <c r="K58" s="168">
        <f t="shared" si="14"/>
        <v>-2.0818118253057905E-2</v>
      </c>
      <c r="L58" s="168">
        <f t="shared" si="14"/>
        <v>-5.4369337733430889E-3</v>
      </c>
      <c r="M58" s="168">
        <f t="shared" si="14"/>
        <v>-1.4726096655686138E-3</v>
      </c>
      <c r="N58" s="168">
        <f t="shared" si="14"/>
        <v>-9.5030705463781118E-3</v>
      </c>
      <c r="O58" s="168">
        <f t="shared" si="14"/>
        <v>-1.5829999494742508E-2</v>
      </c>
      <c r="P58" s="168">
        <f t="shared" si="14"/>
        <v>-6.5614436795858877E-3</v>
      </c>
      <c r="Q58" s="168">
        <f t="shared" si="14"/>
        <v>-9.714849088987898E-3</v>
      </c>
      <c r="R58" s="168"/>
      <c r="S58" s="168">
        <f>+S57/SUM(S8,S10,S12)-1</f>
        <v>-1.475813562159789E-2</v>
      </c>
      <c r="T58" s="142"/>
      <c r="U58" s="142"/>
      <c r="V58" s="142"/>
      <c r="W58" s="142"/>
      <c r="X58" s="142"/>
      <c r="Y58" s="142"/>
    </row>
    <row r="59" spans="1:25">
      <c r="C59" s="139"/>
      <c r="D59" s="139"/>
      <c r="E59" s="189" t="s">
        <v>138</v>
      </c>
      <c r="F59" s="142">
        <f t="shared" ref="F59:Q59" si="15">SUM(F21:F22,F36:F37,F50:F51)</f>
        <v>1435.7910304208431</v>
      </c>
      <c r="G59" s="142">
        <f t="shared" si="15"/>
        <v>1920.0246929189589</v>
      </c>
      <c r="H59" s="142">
        <f t="shared" si="15"/>
        <v>1496.9593276392914</v>
      </c>
      <c r="I59" s="142">
        <f t="shared" si="15"/>
        <v>1758.9948396434611</v>
      </c>
      <c r="J59" s="142">
        <f t="shared" si="15"/>
        <v>1447.6833705005026</v>
      </c>
      <c r="K59" s="142">
        <f t="shared" si="15"/>
        <v>1599.6951235679894</v>
      </c>
      <c r="L59" s="142">
        <f t="shared" si="15"/>
        <v>1589.7852268839492</v>
      </c>
      <c r="M59" s="142">
        <f t="shared" si="15"/>
        <v>1450.5845931344036</v>
      </c>
      <c r="N59" s="142">
        <f t="shared" si="15"/>
        <v>1613.7291011108223</v>
      </c>
      <c r="O59" s="142">
        <f t="shared" si="15"/>
        <v>1477.7302588249045</v>
      </c>
      <c r="P59" s="142">
        <f t="shared" si="15"/>
        <v>1335.0154938082187</v>
      </c>
      <c r="Q59" s="142">
        <f t="shared" si="15"/>
        <v>1572.1184576649753</v>
      </c>
      <c r="R59" s="142"/>
      <c r="S59" s="143">
        <f>SUM(F59:R59)</f>
        <v>18698.111516118319</v>
      </c>
      <c r="T59" s="142"/>
      <c r="U59" s="142"/>
      <c r="V59" s="142"/>
      <c r="W59" s="142"/>
      <c r="X59" s="142"/>
      <c r="Y59" s="142"/>
    </row>
    <row r="60" spans="1:25">
      <c r="C60" s="139"/>
      <c r="D60" s="139"/>
      <c r="E60" s="189" t="s">
        <v>139</v>
      </c>
      <c r="F60" s="142">
        <f>SUM(F47:F48)</f>
        <v>784.5508285424969</v>
      </c>
      <c r="G60" s="142">
        <f t="shared" ref="G60:Q60" si="16">SUM(G47:G48)</f>
        <v>598.59145952921176</v>
      </c>
      <c r="H60" s="142">
        <f t="shared" si="16"/>
        <v>669.80044035685967</v>
      </c>
      <c r="I60" s="142">
        <f t="shared" si="16"/>
        <v>1039.2408479912187</v>
      </c>
      <c r="J60" s="142">
        <f t="shared" si="16"/>
        <v>1389.197252906815</v>
      </c>
      <c r="K60" s="142">
        <f t="shared" si="16"/>
        <v>1889.941827609372</v>
      </c>
      <c r="L60" s="142">
        <f t="shared" si="16"/>
        <v>1981.3047991282745</v>
      </c>
      <c r="M60" s="142">
        <f t="shared" si="16"/>
        <v>1488.1448961747524</v>
      </c>
      <c r="N60" s="142">
        <f t="shared" si="16"/>
        <v>920.89610368083731</v>
      </c>
      <c r="O60" s="142">
        <f t="shared" si="16"/>
        <v>945.57391822904799</v>
      </c>
      <c r="P60" s="142">
        <f t="shared" si="16"/>
        <v>801.23594544005209</v>
      </c>
      <c r="Q60" s="142">
        <f t="shared" si="16"/>
        <v>1313.0285090484392</v>
      </c>
      <c r="R60" s="142"/>
      <c r="S60" s="143">
        <f>SUM(F60:R60)</f>
        <v>13821.506828637377</v>
      </c>
      <c r="T60" s="142"/>
      <c r="U60" s="191"/>
      <c r="V60" s="142"/>
      <c r="W60" s="142"/>
      <c r="X60" s="142"/>
      <c r="Y60" s="142"/>
    </row>
    <row r="61" spans="1:25" outlineLevel="1">
      <c r="C61" s="139"/>
      <c r="D61" s="139"/>
      <c r="E61" s="190" t="s">
        <v>127</v>
      </c>
      <c r="F61" s="168">
        <f>SUM(F59:F60)/SUM(F9,F11,F13:F14)-1</f>
        <v>3.9680585766688647E-2</v>
      </c>
      <c r="G61" s="168">
        <f t="shared" ref="G61:Q61" si="17">SUM(G59:G60)/SUM(G9,G11,G13:G14)-1</f>
        <v>0.209808751169966</v>
      </c>
      <c r="H61" s="168">
        <f t="shared" si="17"/>
        <v>6.7316766659844873E-2</v>
      </c>
      <c r="I61" s="168">
        <f t="shared" si="17"/>
        <v>8.6140909919489417E-2</v>
      </c>
      <c r="J61" s="168">
        <f t="shared" si="17"/>
        <v>5.3775894524116019E-2</v>
      </c>
      <c r="K61" s="168">
        <f t="shared" si="17"/>
        <v>8.6498294168839474E-2</v>
      </c>
      <c r="L61" s="168">
        <f t="shared" si="17"/>
        <v>9.2353724649444136E-2</v>
      </c>
      <c r="M61" s="168">
        <f t="shared" si="17"/>
        <v>4.2834858982248258E-2</v>
      </c>
      <c r="N61" s="168">
        <f t="shared" si="17"/>
        <v>8.1310906768112812E-2</v>
      </c>
      <c r="O61" s="168">
        <f t="shared" si="17"/>
        <v>4.9004015866825013E-2</v>
      </c>
      <c r="P61" s="168">
        <f t="shared" si="17"/>
        <v>2.0221231690125574E-2</v>
      </c>
      <c r="Q61" s="168">
        <f t="shared" si="17"/>
        <v>8.5281715331344543E-3</v>
      </c>
      <c r="R61" s="168"/>
      <c r="S61" s="168">
        <f>SUM(S59:S60)/SUM(S9,S11,S13:S14)-1</f>
        <v>6.8889217954910098E-2</v>
      </c>
      <c r="T61" s="142"/>
      <c r="U61" s="142"/>
      <c r="V61" s="142"/>
      <c r="W61" s="142"/>
      <c r="X61" s="142"/>
      <c r="Y61" s="142"/>
    </row>
    <row r="62" spans="1:25">
      <c r="C62" s="139"/>
      <c r="D62" s="139"/>
      <c r="E62" s="192" t="s">
        <v>140</v>
      </c>
      <c r="F62" s="165">
        <f>+F57+F59+F60</f>
        <v>6009.3504598251948</v>
      </c>
      <c r="G62" s="165">
        <f t="shared" ref="G62:Q62" si="18">+G57+G59+G60</f>
        <v>7378.7603522116769</v>
      </c>
      <c r="H62" s="165">
        <f t="shared" si="18"/>
        <v>6080.0517193817459</v>
      </c>
      <c r="I62" s="165">
        <f t="shared" si="18"/>
        <v>7410.8888030939361</v>
      </c>
      <c r="J62" s="165">
        <f t="shared" si="18"/>
        <v>6917.5904842477039</v>
      </c>
      <c r="K62" s="165">
        <f t="shared" si="18"/>
        <v>7949.9083407228582</v>
      </c>
      <c r="L62" s="165">
        <f t="shared" si="18"/>
        <v>8348.9113223811109</v>
      </c>
      <c r="M62" s="165">
        <f t="shared" si="18"/>
        <v>7242.6122029503313</v>
      </c>
      <c r="N62" s="165">
        <f t="shared" si="18"/>
        <v>7245.8545149527508</v>
      </c>
      <c r="O62" s="165">
        <f t="shared" si="18"/>
        <v>6887.194206645644</v>
      </c>
      <c r="P62" s="165">
        <f t="shared" si="18"/>
        <v>6344.3180824236606</v>
      </c>
      <c r="Q62" s="165">
        <f t="shared" si="18"/>
        <v>7195.125417617377</v>
      </c>
      <c r="R62" s="165"/>
      <c r="S62" s="166">
        <f>SUM(F62:R62)</f>
        <v>85010.565906453994</v>
      </c>
      <c r="T62" s="142"/>
      <c r="U62" s="142"/>
      <c r="V62" s="142"/>
      <c r="W62" s="142"/>
      <c r="X62" s="142"/>
      <c r="Y62" s="142"/>
    </row>
    <row r="63" spans="1:25">
      <c r="C63" s="139"/>
      <c r="D63" s="139"/>
      <c r="E63" s="190" t="s">
        <v>127</v>
      </c>
      <c r="F63" s="168">
        <f t="shared" ref="F63:Q63" si="19">+F62/F15-1</f>
        <v>8.4917910342261482E-3</v>
      </c>
      <c r="G63" s="168">
        <f t="shared" si="19"/>
        <v>2.3362428551848113E-2</v>
      </c>
      <c r="H63" s="168">
        <f t="shared" si="19"/>
        <v>1.6659652563155491E-2</v>
      </c>
      <c r="I63" s="168">
        <f t="shared" si="19"/>
        <v>2.3761797832528853E-2</v>
      </c>
      <c r="J63" s="168">
        <f t="shared" si="19"/>
        <v>9.0864709418558842E-3</v>
      </c>
      <c r="K63" s="168">
        <f t="shared" si="19"/>
        <v>2.355996208572475E-2</v>
      </c>
      <c r="L63" s="168">
        <f t="shared" si="19"/>
        <v>3.4162958560097767E-2</v>
      </c>
      <c r="M63" s="168">
        <f t="shared" si="19"/>
        <v>1.6043517406141961E-2</v>
      </c>
      <c r="N63" s="168">
        <f t="shared" si="19"/>
        <v>2.0476774033337586E-2</v>
      </c>
      <c r="O63" s="168">
        <f t="shared" si="19"/>
        <v>6.0481268992538251E-3</v>
      </c>
      <c r="P63" s="168">
        <f t="shared" si="19"/>
        <v>2.2983587750677881E-3</v>
      </c>
      <c r="Q63" s="168">
        <f t="shared" si="19"/>
        <v>-2.479489475631258E-3</v>
      </c>
      <c r="R63" s="142"/>
      <c r="S63" s="168">
        <f>+S62/S15-1</f>
        <v>1.564612580301028E-2</v>
      </c>
      <c r="T63" s="142"/>
      <c r="U63" s="142"/>
      <c r="V63" s="142"/>
      <c r="W63" s="142"/>
      <c r="X63" s="142"/>
      <c r="Y63" s="142"/>
    </row>
    <row r="64" spans="1:25">
      <c r="C64" s="139"/>
      <c r="D64" s="139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70"/>
      <c r="T64" s="142"/>
      <c r="U64" s="142"/>
      <c r="V64" s="142"/>
      <c r="W64" s="142"/>
      <c r="X64" s="142"/>
      <c r="Y64" s="142"/>
    </row>
    <row r="65" spans="3:25" ht="15" thickBot="1">
      <c r="C65" s="139"/>
      <c r="D65" s="139"/>
      <c r="E65" s="140" t="s">
        <v>141</v>
      </c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0"/>
    </row>
    <row r="66" spans="3:25">
      <c r="C66" s="139"/>
      <c r="D66" s="139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70"/>
      <c r="T66" s="142"/>
      <c r="U66" s="142"/>
      <c r="V66" s="142"/>
      <c r="W66" s="142"/>
      <c r="X66" s="142"/>
      <c r="Y66" s="142"/>
    </row>
    <row r="67" spans="3:25">
      <c r="C67" s="139"/>
      <c r="D67" s="139"/>
      <c r="E67" s="133" t="str">
        <f>+E17</f>
        <v>Roll-off / Industrial</v>
      </c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70"/>
      <c r="T67" s="142"/>
      <c r="U67" s="142"/>
      <c r="V67" s="142"/>
      <c r="W67" s="142"/>
      <c r="X67" s="142"/>
      <c r="Y67" s="142"/>
    </row>
    <row r="68" spans="3:25">
      <c r="C68" s="139"/>
      <c r="D68" s="139"/>
      <c r="E68" s="132" t="str">
        <f>+E18</f>
        <v>Regulated Garbage</v>
      </c>
      <c r="F68" s="193">
        <v>105</v>
      </c>
      <c r="G68" s="194">
        <f>+F68</f>
        <v>105</v>
      </c>
      <c r="H68" s="194">
        <f t="shared" ref="H68:Q70" si="20">+G68</f>
        <v>105</v>
      </c>
      <c r="I68" s="194">
        <f t="shared" si="20"/>
        <v>105</v>
      </c>
      <c r="J68" s="194">
        <f t="shared" si="20"/>
        <v>105</v>
      </c>
      <c r="K68" s="194">
        <f t="shared" si="20"/>
        <v>105</v>
      </c>
      <c r="L68" s="194">
        <f t="shared" si="20"/>
        <v>105</v>
      </c>
      <c r="M68" s="194">
        <f t="shared" si="20"/>
        <v>105</v>
      </c>
      <c r="N68" s="194">
        <f t="shared" si="20"/>
        <v>105</v>
      </c>
      <c r="O68" s="194">
        <f t="shared" si="20"/>
        <v>105</v>
      </c>
      <c r="P68" s="194">
        <f t="shared" si="20"/>
        <v>105</v>
      </c>
      <c r="Q68" s="194">
        <f t="shared" si="20"/>
        <v>105</v>
      </c>
      <c r="R68" s="194"/>
      <c r="S68" s="195"/>
      <c r="T68" s="142"/>
      <c r="U68" s="142"/>
      <c r="V68" s="142"/>
      <c r="W68" s="142"/>
      <c r="X68" s="142"/>
      <c r="Y68" s="142"/>
    </row>
    <row r="69" spans="3:25">
      <c r="C69" s="139"/>
      <c r="D69" s="139"/>
      <c r="E69" s="132" t="str">
        <f>+E19</f>
        <v>Unregulated Garbage</v>
      </c>
      <c r="F69" s="194">
        <f>+F68</f>
        <v>105</v>
      </c>
      <c r="G69" s="194">
        <f>+F69</f>
        <v>105</v>
      </c>
      <c r="H69" s="194">
        <f t="shared" si="20"/>
        <v>105</v>
      </c>
      <c r="I69" s="194">
        <f t="shared" si="20"/>
        <v>105</v>
      </c>
      <c r="J69" s="194">
        <f t="shared" si="20"/>
        <v>105</v>
      </c>
      <c r="K69" s="194">
        <f t="shared" si="20"/>
        <v>105</v>
      </c>
      <c r="L69" s="194">
        <f t="shared" si="20"/>
        <v>105</v>
      </c>
      <c r="M69" s="194">
        <f t="shared" si="20"/>
        <v>105</v>
      </c>
      <c r="N69" s="194">
        <f t="shared" si="20"/>
        <v>105</v>
      </c>
      <c r="O69" s="194">
        <f t="shared" si="20"/>
        <v>105</v>
      </c>
      <c r="P69" s="194">
        <f t="shared" si="20"/>
        <v>105</v>
      </c>
      <c r="Q69" s="194">
        <f t="shared" si="20"/>
        <v>105</v>
      </c>
      <c r="R69" s="194"/>
      <c r="S69" s="195"/>
      <c r="T69" s="142"/>
      <c r="U69" s="142"/>
      <c r="V69" s="142"/>
      <c r="W69" s="142"/>
      <c r="X69" s="142"/>
      <c r="Y69" s="142"/>
    </row>
    <row r="70" spans="3:25">
      <c r="C70" s="139"/>
      <c r="D70" s="139"/>
      <c r="E70" s="132" t="str">
        <f>+E21</f>
        <v>Regulated RCY (MF)</v>
      </c>
      <c r="F70" s="193">
        <v>116.77</v>
      </c>
      <c r="G70" s="194">
        <f>+F70</f>
        <v>116.77</v>
      </c>
      <c r="H70" s="194">
        <f t="shared" si="20"/>
        <v>116.77</v>
      </c>
      <c r="I70" s="194">
        <f t="shared" si="20"/>
        <v>116.77</v>
      </c>
      <c r="J70" s="194">
        <f t="shared" si="20"/>
        <v>116.77</v>
      </c>
      <c r="K70" s="194">
        <f t="shared" si="20"/>
        <v>116.77</v>
      </c>
      <c r="L70" s="194">
        <f t="shared" si="20"/>
        <v>116.77</v>
      </c>
      <c r="M70" s="194">
        <f t="shared" si="20"/>
        <v>116.77</v>
      </c>
      <c r="N70" s="194">
        <f t="shared" si="20"/>
        <v>116.77</v>
      </c>
      <c r="O70" s="194">
        <f t="shared" si="20"/>
        <v>116.77</v>
      </c>
      <c r="P70" s="194">
        <f t="shared" si="20"/>
        <v>116.77</v>
      </c>
      <c r="Q70" s="194">
        <f t="shared" si="20"/>
        <v>116.77</v>
      </c>
      <c r="R70" s="194"/>
      <c r="S70" s="195"/>
      <c r="T70" s="142"/>
      <c r="U70" s="142"/>
      <c r="V70" s="142"/>
      <c r="W70" s="142"/>
      <c r="X70" s="142"/>
      <c r="Y70" s="142"/>
    </row>
    <row r="71" spans="3:25">
      <c r="C71" s="139"/>
      <c r="D71" s="139"/>
      <c r="E71" s="132" t="str">
        <f>+E22</f>
        <v>Unregulated RCY / COGS</v>
      </c>
      <c r="F71" s="194">
        <f t="shared" ref="F71:P71" si="21">+F102/F22</f>
        <v>82.897784381418532</v>
      </c>
      <c r="G71" s="194">
        <f t="shared" si="21"/>
        <v>80.792826149840906</v>
      </c>
      <c r="H71" s="194">
        <f t="shared" si="21"/>
        <v>90.359238870272875</v>
      </c>
      <c r="I71" s="194">
        <f t="shared" si="21"/>
        <v>91.269192979752276</v>
      </c>
      <c r="J71" s="194">
        <f t="shared" si="21"/>
        <v>92.463551585595084</v>
      </c>
      <c r="K71" s="194">
        <f t="shared" si="21"/>
        <v>94.025971210544569</v>
      </c>
      <c r="L71" s="194">
        <f t="shared" si="21"/>
        <v>91.989823839352326</v>
      </c>
      <c r="M71" s="194">
        <f t="shared" si="21"/>
        <v>78.662205226258777</v>
      </c>
      <c r="N71" s="194">
        <f t="shared" si="21"/>
        <v>87.662910904556796</v>
      </c>
      <c r="O71" s="194">
        <f t="shared" si="21"/>
        <v>92.811979076852325</v>
      </c>
      <c r="P71" s="194">
        <f t="shared" si="21"/>
        <v>85.433708658133639</v>
      </c>
      <c r="Q71" s="194">
        <f>+Q102/Q22</f>
        <v>67.425466649262503</v>
      </c>
      <c r="R71" s="194"/>
      <c r="S71" s="195"/>
      <c r="T71" s="142"/>
      <c r="U71" s="142"/>
      <c r="V71" s="142"/>
      <c r="W71" s="142"/>
      <c r="X71" s="142"/>
      <c r="Y71" s="142"/>
    </row>
    <row r="72" spans="3:25">
      <c r="C72" s="139"/>
      <c r="D72" s="139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70"/>
      <c r="T72" s="142"/>
      <c r="U72" s="142"/>
      <c r="V72" s="142"/>
      <c r="W72" s="142"/>
      <c r="X72" s="142"/>
      <c r="Y72" s="142"/>
    </row>
    <row r="73" spans="3:25">
      <c r="C73" s="139"/>
      <c r="D73" s="139"/>
      <c r="E73" s="132" t="s">
        <v>142</v>
      </c>
      <c r="F73" s="194">
        <f t="shared" ref="F73:Q74" si="22">+F105/F28</f>
        <v>175.22936168094009</v>
      </c>
      <c r="G73" s="194">
        <f t="shared" si="22"/>
        <v>158.70919975565053</v>
      </c>
      <c r="H73" s="194">
        <f t="shared" si="22"/>
        <v>175.18370926631405</v>
      </c>
      <c r="I73" s="194">
        <f t="shared" si="22"/>
        <v>170.85834449280219</v>
      </c>
      <c r="J73" s="194">
        <f t="shared" si="22"/>
        <v>154.67147903183752</v>
      </c>
      <c r="K73" s="194">
        <f t="shared" si="22"/>
        <v>141.13448760140022</v>
      </c>
      <c r="L73" s="194">
        <f t="shared" si="22"/>
        <v>167.6042139456236</v>
      </c>
      <c r="M73" s="194">
        <f t="shared" si="22"/>
        <v>185.61241888280949</v>
      </c>
      <c r="N73" s="194">
        <f t="shared" si="22"/>
        <v>161.41472226403727</v>
      </c>
      <c r="O73" s="194">
        <f t="shared" si="22"/>
        <v>143.65721255912698</v>
      </c>
      <c r="P73" s="194">
        <f t="shared" si="22"/>
        <v>149.75932490223434</v>
      </c>
      <c r="Q73" s="194">
        <f t="shared" si="22"/>
        <v>170.05750978473588</v>
      </c>
      <c r="R73" s="142"/>
      <c r="S73" s="170"/>
      <c r="T73" s="142"/>
      <c r="U73" s="142"/>
      <c r="V73" s="142"/>
      <c r="W73" s="142"/>
      <c r="X73" s="142"/>
      <c r="Y73" s="142"/>
    </row>
    <row r="74" spans="3:25">
      <c r="C74" s="139"/>
      <c r="D74" s="139"/>
      <c r="E74" s="132" t="s">
        <v>143</v>
      </c>
      <c r="F74" s="194">
        <f t="shared" si="22"/>
        <v>63.678759052494364</v>
      </c>
      <c r="G74" s="194">
        <f t="shared" si="22"/>
        <v>73.701413450620606</v>
      </c>
      <c r="H74" s="194">
        <f t="shared" si="22"/>
        <v>69.799733688415429</v>
      </c>
      <c r="I74" s="194">
        <f t="shared" si="22"/>
        <v>66.275880771588916</v>
      </c>
      <c r="J74" s="194">
        <f t="shared" si="22"/>
        <v>76.014097751431208</v>
      </c>
      <c r="K74" s="194">
        <f t="shared" si="22"/>
        <v>84.781663559052276</v>
      </c>
      <c r="L74" s="194">
        <f t="shared" si="22"/>
        <v>70.613975287601193</v>
      </c>
      <c r="M74" s="194">
        <f t="shared" si="22"/>
        <v>57.508208575484076</v>
      </c>
      <c r="N74" s="194">
        <f t="shared" si="22"/>
        <v>69.843341802037614</v>
      </c>
      <c r="O74" s="194">
        <f t="shared" si="22"/>
        <v>78.880905283792202</v>
      </c>
      <c r="P74" s="194">
        <f t="shared" si="22"/>
        <v>79.178255234479124</v>
      </c>
      <c r="Q74" s="194">
        <f t="shared" si="22"/>
        <v>67.077197867881793</v>
      </c>
      <c r="R74" s="142"/>
      <c r="S74" s="170"/>
      <c r="T74" s="142"/>
      <c r="U74" s="142"/>
      <c r="V74" s="142"/>
      <c r="W74" s="142"/>
      <c r="X74" s="142"/>
      <c r="Y74" s="142"/>
    </row>
    <row r="75" spans="3:25">
      <c r="C75" s="139"/>
      <c r="D75" s="139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70"/>
      <c r="T75" s="142"/>
      <c r="U75" s="142"/>
      <c r="V75" s="142"/>
      <c r="W75" s="142"/>
      <c r="X75" s="142"/>
      <c r="Y75" s="142"/>
    </row>
    <row r="76" spans="3:25">
      <c r="C76" s="139"/>
      <c r="D76" s="139"/>
      <c r="E76" s="133" t="str">
        <f>+E32</f>
        <v>Commercial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70"/>
      <c r="T76" s="142"/>
      <c r="U76" s="142"/>
      <c r="V76" s="142"/>
      <c r="W76" s="142"/>
      <c r="X76" s="142"/>
      <c r="Y76" s="142"/>
    </row>
    <row r="77" spans="3:25">
      <c r="C77" s="139"/>
      <c r="D77" s="139"/>
      <c r="E77" s="132" t="str">
        <f>+E33</f>
        <v>Regulated Garbage</v>
      </c>
      <c r="F77" s="194">
        <f>+F68</f>
        <v>105</v>
      </c>
      <c r="G77" s="194">
        <f>+F77</f>
        <v>105</v>
      </c>
      <c r="H77" s="194">
        <f t="shared" ref="H77:Q78" si="23">+G77</f>
        <v>105</v>
      </c>
      <c r="I77" s="194">
        <f t="shared" si="23"/>
        <v>105</v>
      </c>
      <c r="J77" s="194">
        <f t="shared" si="23"/>
        <v>105</v>
      </c>
      <c r="K77" s="194">
        <f t="shared" si="23"/>
        <v>105</v>
      </c>
      <c r="L77" s="194">
        <f t="shared" si="23"/>
        <v>105</v>
      </c>
      <c r="M77" s="194">
        <f t="shared" si="23"/>
        <v>105</v>
      </c>
      <c r="N77" s="194">
        <f t="shared" si="23"/>
        <v>105</v>
      </c>
      <c r="O77" s="194">
        <f t="shared" si="23"/>
        <v>105</v>
      </c>
      <c r="P77" s="194">
        <f t="shared" si="23"/>
        <v>105</v>
      </c>
      <c r="Q77" s="194">
        <f t="shared" si="23"/>
        <v>105</v>
      </c>
      <c r="R77" s="142"/>
      <c r="S77" s="170"/>
      <c r="T77" s="142"/>
      <c r="U77" s="142"/>
      <c r="V77" s="142"/>
      <c r="W77" s="142"/>
      <c r="X77" s="142"/>
      <c r="Y77" s="142"/>
    </row>
    <row r="78" spans="3:25">
      <c r="C78" s="139"/>
      <c r="D78" s="139"/>
      <c r="E78" s="132" t="str">
        <f>+E34</f>
        <v>Unregulated Garbage</v>
      </c>
      <c r="F78" s="194">
        <f>+F69</f>
        <v>105</v>
      </c>
      <c r="G78" s="194">
        <f>+F78</f>
        <v>105</v>
      </c>
      <c r="H78" s="194">
        <f t="shared" si="23"/>
        <v>105</v>
      </c>
      <c r="I78" s="194">
        <f t="shared" si="23"/>
        <v>105</v>
      </c>
      <c r="J78" s="194">
        <f t="shared" si="23"/>
        <v>105</v>
      </c>
      <c r="K78" s="194">
        <f t="shared" si="23"/>
        <v>105</v>
      </c>
      <c r="L78" s="194">
        <f t="shared" si="23"/>
        <v>105</v>
      </c>
      <c r="M78" s="194">
        <f t="shared" si="23"/>
        <v>105</v>
      </c>
      <c r="N78" s="194">
        <f t="shared" si="23"/>
        <v>105</v>
      </c>
      <c r="O78" s="194">
        <f t="shared" si="23"/>
        <v>105</v>
      </c>
      <c r="P78" s="194">
        <f t="shared" si="23"/>
        <v>105</v>
      </c>
      <c r="Q78" s="194">
        <f t="shared" si="23"/>
        <v>105</v>
      </c>
      <c r="R78" s="142"/>
      <c r="S78" s="170"/>
      <c r="T78" s="142"/>
      <c r="U78" s="142"/>
      <c r="V78" s="142"/>
      <c r="W78" s="142"/>
      <c r="X78" s="142"/>
      <c r="Y78" s="142"/>
    </row>
    <row r="79" spans="3:25">
      <c r="C79" s="139"/>
      <c r="D79" s="139"/>
      <c r="E79" s="132" t="str">
        <f>+E36</f>
        <v>Regulated RCY (MF)</v>
      </c>
      <c r="F79" s="231">
        <f>+F70</f>
        <v>116.77</v>
      </c>
      <c r="G79" s="194">
        <f t="shared" ref="G79:P79" si="24">+G70</f>
        <v>116.77</v>
      </c>
      <c r="H79" s="194">
        <f t="shared" si="24"/>
        <v>116.77</v>
      </c>
      <c r="I79" s="194">
        <f t="shared" si="24"/>
        <v>116.77</v>
      </c>
      <c r="J79" s="194">
        <f t="shared" si="24"/>
        <v>116.77</v>
      </c>
      <c r="K79" s="194">
        <f t="shared" si="24"/>
        <v>116.77</v>
      </c>
      <c r="L79" s="194">
        <f t="shared" si="24"/>
        <v>116.77</v>
      </c>
      <c r="M79" s="194">
        <f t="shared" si="24"/>
        <v>116.77</v>
      </c>
      <c r="N79" s="194">
        <f t="shared" si="24"/>
        <v>116.77</v>
      </c>
      <c r="O79" s="194">
        <f t="shared" si="24"/>
        <v>116.77</v>
      </c>
      <c r="P79" s="194">
        <f t="shared" si="24"/>
        <v>116.77</v>
      </c>
      <c r="Q79" s="194">
        <f>+Q70</f>
        <v>116.77</v>
      </c>
      <c r="R79" s="142"/>
      <c r="S79" s="170"/>
      <c r="T79" s="142"/>
      <c r="U79" s="142"/>
      <c r="V79" s="142"/>
      <c r="W79" s="142"/>
      <c r="X79" s="142"/>
      <c r="Y79" s="142"/>
    </row>
    <row r="80" spans="3:25">
      <c r="C80" s="139"/>
      <c r="D80" s="139"/>
      <c r="E80" s="132" t="str">
        <f>+E37</f>
        <v>Unregulated RCY / COGS</v>
      </c>
      <c r="F80" s="231">
        <v>116.77</v>
      </c>
      <c r="G80" s="194">
        <f t="shared" ref="G80:Q80" si="25">+F80</f>
        <v>116.77</v>
      </c>
      <c r="H80" s="194">
        <f t="shared" si="25"/>
        <v>116.77</v>
      </c>
      <c r="I80" s="194">
        <f t="shared" si="25"/>
        <v>116.77</v>
      </c>
      <c r="J80" s="194">
        <f t="shared" si="25"/>
        <v>116.77</v>
      </c>
      <c r="K80" s="194">
        <f t="shared" si="25"/>
        <v>116.77</v>
      </c>
      <c r="L80" s="194">
        <f t="shared" si="25"/>
        <v>116.77</v>
      </c>
      <c r="M80" s="194">
        <f t="shared" si="25"/>
        <v>116.77</v>
      </c>
      <c r="N80" s="194">
        <f t="shared" si="25"/>
        <v>116.77</v>
      </c>
      <c r="O80" s="194">
        <f t="shared" si="25"/>
        <v>116.77</v>
      </c>
      <c r="P80" s="194">
        <f t="shared" si="25"/>
        <v>116.77</v>
      </c>
      <c r="Q80" s="194">
        <f t="shared" si="25"/>
        <v>116.77</v>
      </c>
      <c r="R80" s="194"/>
      <c r="S80" s="170"/>
      <c r="T80" s="142"/>
      <c r="U80" s="142"/>
      <c r="V80" s="142"/>
      <c r="W80" s="142"/>
      <c r="X80" s="142"/>
      <c r="Y80" s="142"/>
    </row>
    <row r="81" spans="3:25">
      <c r="C81" s="139"/>
      <c r="D81" s="139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70"/>
      <c r="T81" s="142"/>
      <c r="U81" s="142"/>
      <c r="V81" s="142"/>
      <c r="W81" s="142"/>
      <c r="X81" s="142"/>
      <c r="Y81" s="142"/>
    </row>
    <row r="82" spans="3:25">
      <c r="C82" s="139"/>
      <c r="D82" s="139"/>
      <c r="E82" s="133" t="str">
        <f>+E43</f>
        <v>Residential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70"/>
      <c r="T82" s="142"/>
      <c r="U82" s="142"/>
      <c r="V82" s="142"/>
      <c r="W82" s="142"/>
      <c r="X82" s="142"/>
      <c r="Y82" s="142"/>
    </row>
    <row r="83" spans="3:25">
      <c r="C83" s="139"/>
      <c r="D83" s="139"/>
      <c r="E83" s="132" t="str">
        <f>+E44</f>
        <v>Regulated Garbage</v>
      </c>
      <c r="F83" s="194">
        <f>+F68</f>
        <v>105</v>
      </c>
      <c r="G83" s="194">
        <f t="shared" ref="G83:Q88" si="26">+F83</f>
        <v>105</v>
      </c>
      <c r="H83" s="194">
        <f t="shared" si="26"/>
        <v>105</v>
      </c>
      <c r="I83" s="194">
        <f t="shared" si="26"/>
        <v>105</v>
      </c>
      <c r="J83" s="194">
        <f t="shared" si="26"/>
        <v>105</v>
      </c>
      <c r="K83" s="194">
        <f t="shared" si="26"/>
        <v>105</v>
      </c>
      <c r="L83" s="194">
        <f t="shared" si="26"/>
        <v>105</v>
      </c>
      <c r="M83" s="194">
        <f t="shared" si="26"/>
        <v>105</v>
      </c>
      <c r="N83" s="194">
        <f t="shared" si="26"/>
        <v>105</v>
      </c>
      <c r="O83" s="194">
        <f t="shared" si="26"/>
        <v>105</v>
      </c>
      <c r="P83" s="194">
        <f t="shared" si="26"/>
        <v>105</v>
      </c>
      <c r="Q83" s="194">
        <f t="shared" si="26"/>
        <v>105</v>
      </c>
      <c r="R83" s="142"/>
      <c r="S83" s="170"/>
      <c r="T83" s="142"/>
      <c r="U83" s="142"/>
      <c r="V83" s="142"/>
      <c r="W83" s="142"/>
      <c r="X83" s="142"/>
      <c r="Y83" s="142"/>
    </row>
    <row r="84" spans="3:25">
      <c r="C84" s="139"/>
      <c r="D84" s="139"/>
      <c r="E84" s="132" t="str">
        <f>+E45</f>
        <v>Unregulated Garbage</v>
      </c>
      <c r="F84" s="194">
        <f>+F69</f>
        <v>105</v>
      </c>
      <c r="G84" s="194">
        <f t="shared" si="26"/>
        <v>105</v>
      </c>
      <c r="H84" s="194">
        <f t="shared" si="26"/>
        <v>105</v>
      </c>
      <c r="I84" s="194">
        <f t="shared" si="26"/>
        <v>105</v>
      </c>
      <c r="J84" s="194">
        <f t="shared" si="26"/>
        <v>105</v>
      </c>
      <c r="K84" s="194">
        <f t="shared" si="26"/>
        <v>105</v>
      </c>
      <c r="L84" s="194">
        <f t="shared" si="26"/>
        <v>105</v>
      </c>
      <c r="M84" s="194">
        <f t="shared" si="26"/>
        <v>105</v>
      </c>
      <c r="N84" s="194">
        <f t="shared" si="26"/>
        <v>105</v>
      </c>
      <c r="O84" s="194">
        <f t="shared" si="26"/>
        <v>105</v>
      </c>
      <c r="P84" s="194">
        <f t="shared" si="26"/>
        <v>105</v>
      </c>
      <c r="Q84" s="194">
        <f>+P84</f>
        <v>105</v>
      </c>
      <c r="R84" s="142"/>
      <c r="S84" s="170"/>
      <c r="T84" s="142"/>
      <c r="U84" s="142"/>
      <c r="V84" s="142"/>
      <c r="W84" s="142"/>
      <c r="X84" s="142"/>
      <c r="Y84" s="142"/>
    </row>
    <row r="85" spans="3:25">
      <c r="C85" s="139"/>
      <c r="D85" s="139"/>
      <c r="E85" s="132" t="str">
        <f>+E47</f>
        <v>Regulated Yardwaste</v>
      </c>
      <c r="F85" s="231">
        <v>63</v>
      </c>
      <c r="G85" s="231">
        <v>64.73</v>
      </c>
      <c r="H85" s="194">
        <f t="shared" si="26"/>
        <v>64.73</v>
      </c>
      <c r="I85" s="194">
        <f t="shared" si="26"/>
        <v>64.73</v>
      </c>
      <c r="J85" s="194">
        <f t="shared" si="26"/>
        <v>64.73</v>
      </c>
      <c r="K85" s="194">
        <f>J85</f>
        <v>64.73</v>
      </c>
      <c r="L85" s="194">
        <f t="shared" si="26"/>
        <v>64.73</v>
      </c>
      <c r="M85" s="232">
        <f>L85</f>
        <v>64.73</v>
      </c>
      <c r="N85" s="232">
        <f t="shared" si="26"/>
        <v>64.73</v>
      </c>
      <c r="O85" s="194">
        <f t="shared" si="26"/>
        <v>64.73</v>
      </c>
      <c r="P85" s="194">
        <f t="shared" si="26"/>
        <v>64.73</v>
      </c>
      <c r="Q85" s="194">
        <f>+P85</f>
        <v>64.73</v>
      </c>
      <c r="R85" s="142"/>
      <c r="S85" s="170"/>
      <c r="T85" s="142"/>
      <c r="U85" s="142"/>
      <c r="V85" s="142"/>
      <c r="W85" s="142"/>
      <c r="X85" s="142"/>
      <c r="Y85" s="142"/>
    </row>
    <row r="86" spans="3:25">
      <c r="C86" s="139"/>
      <c r="D86" s="139"/>
      <c r="E86" s="132" t="str">
        <f>+E48</f>
        <v>Unregulated Yardwaste</v>
      </c>
      <c r="F86" s="231">
        <v>63</v>
      </c>
      <c r="G86" s="231">
        <v>64.73</v>
      </c>
      <c r="H86" s="194">
        <f t="shared" si="26"/>
        <v>64.73</v>
      </c>
      <c r="I86" s="194">
        <f t="shared" si="26"/>
        <v>64.73</v>
      </c>
      <c r="J86" s="194">
        <f t="shared" si="26"/>
        <v>64.73</v>
      </c>
      <c r="K86" s="194">
        <f>J86</f>
        <v>64.73</v>
      </c>
      <c r="L86" s="194">
        <f t="shared" si="26"/>
        <v>64.73</v>
      </c>
      <c r="M86" s="232">
        <f>L86</f>
        <v>64.73</v>
      </c>
      <c r="N86" s="232">
        <f t="shared" si="26"/>
        <v>64.73</v>
      </c>
      <c r="O86" s="194">
        <f t="shared" si="26"/>
        <v>64.73</v>
      </c>
      <c r="P86" s="194">
        <f t="shared" si="26"/>
        <v>64.73</v>
      </c>
      <c r="Q86" s="194">
        <f>+P86</f>
        <v>64.73</v>
      </c>
      <c r="R86" s="142"/>
      <c r="S86" s="170"/>
      <c r="T86" s="142"/>
      <c r="U86" s="142"/>
      <c r="V86" s="142"/>
      <c r="W86" s="142"/>
      <c r="X86" s="142"/>
      <c r="Y86" s="142"/>
    </row>
    <row r="87" spans="3:25">
      <c r="C87" s="139"/>
      <c r="D87" s="139"/>
      <c r="E87" s="132" t="str">
        <f>+E50</f>
        <v>Regulated RCY</v>
      </c>
      <c r="F87" s="231">
        <v>114.46</v>
      </c>
      <c r="G87" s="194">
        <f t="shared" si="26"/>
        <v>114.46</v>
      </c>
      <c r="H87" s="194">
        <f t="shared" si="26"/>
        <v>114.46</v>
      </c>
      <c r="I87" s="194">
        <f t="shared" si="26"/>
        <v>114.46</v>
      </c>
      <c r="J87" s="194">
        <f t="shared" si="26"/>
        <v>114.46</v>
      </c>
      <c r="K87" s="194">
        <f t="shared" si="26"/>
        <v>114.46</v>
      </c>
      <c r="L87" s="194">
        <f t="shared" si="26"/>
        <v>114.46</v>
      </c>
      <c r="M87" s="194">
        <f t="shared" si="26"/>
        <v>114.46</v>
      </c>
      <c r="N87" s="194">
        <f t="shared" si="26"/>
        <v>114.46</v>
      </c>
      <c r="O87" s="194">
        <f t="shared" si="26"/>
        <v>114.46</v>
      </c>
      <c r="P87" s="194">
        <f t="shared" si="26"/>
        <v>114.46</v>
      </c>
      <c r="Q87" s="194">
        <f>+P87</f>
        <v>114.46</v>
      </c>
      <c r="R87" s="142"/>
      <c r="S87" s="170"/>
      <c r="T87" s="142"/>
      <c r="U87" s="142"/>
      <c r="V87" s="142"/>
      <c r="W87" s="142"/>
      <c r="X87" s="142"/>
      <c r="Y87" s="142"/>
    </row>
    <row r="88" spans="3:25">
      <c r="C88" s="139"/>
      <c r="D88" s="139"/>
      <c r="E88" s="132" t="str">
        <f>+E51</f>
        <v>Unregulated RCY</v>
      </c>
      <c r="F88" s="231">
        <f>+F87</f>
        <v>114.46</v>
      </c>
      <c r="G88" s="194">
        <f t="shared" si="26"/>
        <v>114.46</v>
      </c>
      <c r="H88" s="194">
        <f t="shared" si="26"/>
        <v>114.46</v>
      </c>
      <c r="I88" s="194">
        <f t="shared" si="26"/>
        <v>114.46</v>
      </c>
      <c r="J88" s="194">
        <f t="shared" si="26"/>
        <v>114.46</v>
      </c>
      <c r="K88" s="194">
        <f t="shared" si="26"/>
        <v>114.46</v>
      </c>
      <c r="L88" s="194">
        <f t="shared" si="26"/>
        <v>114.46</v>
      </c>
      <c r="M88" s="194">
        <f t="shared" si="26"/>
        <v>114.46</v>
      </c>
      <c r="N88" s="194">
        <f t="shared" si="26"/>
        <v>114.46</v>
      </c>
      <c r="O88" s="194">
        <f t="shared" si="26"/>
        <v>114.46</v>
      </c>
      <c r="P88" s="194">
        <f t="shared" si="26"/>
        <v>114.46</v>
      </c>
      <c r="Q88" s="194">
        <f>+P88</f>
        <v>114.46</v>
      </c>
      <c r="R88" s="142"/>
      <c r="S88" s="170"/>
      <c r="T88" s="142"/>
      <c r="U88" s="142"/>
      <c r="V88" s="142"/>
      <c r="W88" s="142"/>
      <c r="X88" s="142"/>
      <c r="Y88" s="142"/>
    </row>
    <row r="89" spans="3:25">
      <c r="C89" s="139"/>
      <c r="D89" s="139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70"/>
      <c r="T89" s="142"/>
      <c r="U89" s="142"/>
      <c r="V89" s="142"/>
      <c r="W89" s="142"/>
      <c r="X89" s="142"/>
      <c r="Y89" s="142"/>
    </row>
    <row r="90" spans="3:25" ht="15" thickBot="1">
      <c r="C90" s="139"/>
      <c r="D90" s="139"/>
      <c r="E90" s="140" t="s">
        <v>144</v>
      </c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0"/>
    </row>
    <row r="91" spans="3:25">
      <c r="C91" s="139"/>
      <c r="D91" s="139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70"/>
      <c r="T91" s="142"/>
      <c r="U91" s="142" t="s">
        <v>158</v>
      </c>
      <c r="V91" s="142"/>
      <c r="W91" s="142"/>
      <c r="X91" s="142"/>
      <c r="Y91" s="142"/>
    </row>
    <row r="92" spans="3:25">
      <c r="C92" s="139"/>
      <c r="D92" s="139"/>
      <c r="E92" s="132" t="s">
        <v>145</v>
      </c>
      <c r="F92" s="142">
        <v>520218.34000000008</v>
      </c>
      <c r="G92" s="142">
        <v>628728.0199999999</v>
      </c>
      <c r="H92" s="142">
        <v>496461.23000000021</v>
      </c>
      <c r="I92" s="142">
        <v>608872.18000000005</v>
      </c>
      <c r="J92" s="142">
        <v>556713.49</v>
      </c>
      <c r="K92" s="142">
        <v>662067.28</v>
      </c>
      <c r="L92" s="142">
        <v>691332.87999999989</v>
      </c>
      <c r="M92" s="142">
        <v>592025.09000000008</v>
      </c>
      <c r="N92" s="142">
        <v>599973.8600000001</v>
      </c>
      <c r="O92" s="142">
        <v>573187.30000000005</v>
      </c>
      <c r="P92" s="142">
        <v>523180.70000000007</v>
      </c>
      <c r="Q92" s="142">
        <v>585580.76</v>
      </c>
      <c r="R92" s="142"/>
      <c r="S92" s="143">
        <f>SUM(F92:R92)</f>
        <v>7038341.1299999999</v>
      </c>
      <c r="T92" s="142"/>
      <c r="U92" s="142">
        <v>0</v>
      </c>
      <c r="V92" s="142"/>
      <c r="W92" s="142"/>
      <c r="X92" s="142"/>
      <c r="Y92" s="142"/>
    </row>
    <row r="93" spans="3:25">
      <c r="C93" s="139"/>
      <c r="D93" s="139"/>
      <c r="E93" s="144" t="s">
        <v>146</v>
      </c>
      <c r="F93" s="233">
        <v>109288.28999999998</v>
      </c>
      <c r="G93" s="233">
        <v>114429.14</v>
      </c>
      <c r="H93" s="233">
        <v>102638.84000000001</v>
      </c>
      <c r="I93" s="233">
        <v>111153.13</v>
      </c>
      <c r="J93" s="233">
        <v>105107.40000000001</v>
      </c>
      <c r="K93" s="233">
        <v>111024.43</v>
      </c>
      <c r="L93" s="233">
        <v>101148.84</v>
      </c>
      <c r="M93" s="233">
        <v>99809.45</v>
      </c>
      <c r="N93" s="233">
        <v>117821.12</v>
      </c>
      <c r="O93" s="233">
        <v>106241.95</v>
      </c>
      <c r="P93" s="233">
        <v>99982.3</v>
      </c>
      <c r="Q93" s="233">
        <v>106621.44</v>
      </c>
      <c r="R93" s="229"/>
      <c r="S93" s="146">
        <f>SUM(F93:R93)</f>
        <v>1285266.3299999998</v>
      </c>
      <c r="T93" s="228"/>
      <c r="U93" s="228">
        <v>2.3283064365386963E-10</v>
      </c>
      <c r="V93" s="228"/>
      <c r="W93" s="228"/>
      <c r="X93" s="228"/>
      <c r="Y93" s="228"/>
    </row>
    <row r="94" spans="3:25">
      <c r="C94" s="139"/>
      <c r="D94" s="139"/>
      <c r="E94" s="132" t="s">
        <v>17</v>
      </c>
      <c r="F94" s="142">
        <f t="shared" ref="F94:P94" si="27">SUM(F92:F93)</f>
        <v>629506.63000000012</v>
      </c>
      <c r="G94" s="142">
        <f t="shared" si="27"/>
        <v>743157.15999999992</v>
      </c>
      <c r="H94" s="142">
        <f t="shared" si="27"/>
        <v>599100.07000000018</v>
      </c>
      <c r="I94" s="142">
        <f t="shared" si="27"/>
        <v>720025.31</v>
      </c>
      <c r="J94" s="142">
        <f t="shared" si="27"/>
        <v>661820.89</v>
      </c>
      <c r="K94" s="142">
        <f t="shared" si="27"/>
        <v>773091.71</v>
      </c>
      <c r="L94" s="142">
        <f t="shared" si="27"/>
        <v>792481.71999999986</v>
      </c>
      <c r="M94" s="142">
        <f t="shared" si="27"/>
        <v>691834.54</v>
      </c>
      <c r="N94" s="142">
        <f t="shared" si="27"/>
        <v>717794.9800000001</v>
      </c>
      <c r="O94" s="142">
        <f t="shared" si="27"/>
        <v>679429.25</v>
      </c>
      <c r="P94" s="142">
        <f t="shared" si="27"/>
        <v>623163.00000000012</v>
      </c>
      <c r="Q94" s="142">
        <f>SUM(Q92:Q93)</f>
        <v>692202.2</v>
      </c>
      <c r="R94" s="142"/>
      <c r="S94" s="143">
        <f>SUM(F94:R94)</f>
        <v>8323607.4600000009</v>
      </c>
      <c r="T94" s="142"/>
      <c r="U94" s="142"/>
      <c r="V94" s="142"/>
      <c r="W94" s="142"/>
      <c r="X94" s="142"/>
      <c r="Y94" s="142"/>
    </row>
    <row r="95" spans="3:25">
      <c r="C95" s="139"/>
      <c r="D95" s="139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70"/>
      <c r="T95" s="142"/>
      <c r="U95" s="142"/>
      <c r="V95" s="142"/>
      <c r="W95" s="142"/>
      <c r="X95" s="142"/>
      <c r="Y95" s="142"/>
    </row>
    <row r="96" spans="3:25">
      <c r="C96" s="139"/>
      <c r="D96" s="139"/>
      <c r="E96" s="132" t="s">
        <v>147</v>
      </c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70"/>
      <c r="T96" s="142"/>
      <c r="U96" s="142"/>
      <c r="V96" s="142"/>
      <c r="W96" s="142"/>
      <c r="X96" s="142"/>
      <c r="Y96" s="142"/>
    </row>
    <row r="97" spans="1:25">
      <c r="C97" s="139"/>
      <c r="D97" s="139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70"/>
      <c r="T97" s="142"/>
      <c r="U97" s="142"/>
      <c r="V97" s="142"/>
      <c r="W97" s="142"/>
      <c r="X97" s="142"/>
      <c r="Y97" s="142"/>
    </row>
    <row r="98" spans="1:25">
      <c r="C98" s="139"/>
      <c r="D98" s="139"/>
      <c r="E98" s="133" t="str">
        <f>+E67</f>
        <v>Roll-off / Industrial</v>
      </c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3"/>
      <c r="T98" s="142"/>
      <c r="U98" s="142"/>
      <c r="V98" s="142"/>
      <c r="W98" s="142"/>
      <c r="X98" s="142"/>
      <c r="Y98" s="142"/>
    </row>
    <row r="99" spans="1:25" s="235" customFormat="1">
      <c r="A99" s="234"/>
      <c r="B99" s="234"/>
      <c r="C99" s="234"/>
      <c r="D99" s="234"/>
      <c r="E99" s="235" t="str">
        <f>+E68</f>
        <v>Regulated Garbage</v>
      </c>
      <c r="F99" s="236">
        <f t="shared" ref="F99:Q100" si="28">+F18*F68</f>
        <v>42176.399999999994</v>
      </c>
      <c r="G99" s="236">
        <f t="shared" si="28"/>
        <v>42971.250000000015</v>
      </c>
      <c r="H99" s="236">
        <f t="shared" si="28"/>
        <v>38311.349999999991</v>
      </c>
      <c r="I99" s="236">
        <f t="shared" si="28"/>
        <v>50181.599999999999</v>
      </c>
      <c r="J99" s="236">
        <f t="shared" si="28"/>
        <v>44292.149999999987</v>
      </c>
      <c r="K99" s="236">
        <f t="shared" si="28"/>
        <v>50092.35</v>
      </c>
      <c r="L99" s="236">
        <f t="shared" si="28"/>
        <v>47193.30000000001</v>
      </c>
      <c r="M99" s="236">
        <f t="shared" si="28"/>
        <v>41259.750000000007</v>
      </c>
      <c r="N99" s="236">
        <f t="shared" si="28"/>
        <v>55801.200000000026</v>
      </c>
      <c r="O99" s="236">
        <f t="shared" si="28"/>
        <v>56382.9</v>
      </c>
      <c r="P99" s="236">
        <f t="shared" si="28"/>
        <v>45913.35</v>
      </c>
      <c r="Q99" s="236">
        <f t="shared" si="28"/>
        <v>42923.999999999978</v>
      </c>
      <c r="R99" s="236"/>
      <c r="S99" s="237">
        <f>SUM(F99:R99)</f>
        <v>557499.6</v>
      </c>
      <c r="T99" s="236"/>
      <c r="U99" s="236"/>
      <c r="V99" s="236"/>
      <c r="W99" s="236"/>
      <c r="X99" s="236"/>
      <c r="Y99" s="236"/>
    </row>
    <row r="100" spans="1:25">
      <c r="C100" s="139"/>
      <c r="D100" s="139"/>
      <c r="E100" s="132" t="str">
        <f>+E69</f>
        <v>Unregulated Garbage</v>
      </c>
      <c r="F100" s="142">
        <f>+F19*F69</f>
        <v>31443.300000000003</v>
      </c>
      <c r="G100" s="142">
        <f t="shared" si="28"/>
        <v>29680.349999999984</v>
      </c>
      <c r="H100" s="142">
        <f t="shared" si="28"/>
        <v>31837.05</v>
      </c>
      <c r="I100" s="142">
        <f t="shared" si="28"/>
        <v>34911.44999999999</v>
      </c>
      <c r="J100" s="142">
        <f t="shared" si="28"/>
        <v>27837.600000000017</v>
      </c>
      <c r="K100" s="142">
        <f t="shared" si="28"/>
        <v>22895.25</v>
      </c>
      <c r="L100" s="142">
        <f t="shared" si="28"/>
        <v>35756.700000000004</v>
      </c>
      <c r="M100" s="142">
        <f t="shared" si="28"/>
        <v>38653.65</v>
      </c>
      <c r="N100" s="142">
        <f t="shared" si="28"/>
        <v>36780.449999999975</v>
      </c>
      <c r="O100" s="142">
        <f t="shared" si="28"/>
        <v>23662.800000000003</v>
      </c>
      <c r="P100" s="142">
        <f t="shared" si="28"/>
        <v>26046.299999999996</v>
      </c>
      <c r="Q100" s="142">
        <f t="shared" si="28"/>
        <v>28912.800000000032</v>
      </c>
      <c r="R100" s="142"/>
      <c r="S100" s="143">
        <f>SUM(F100:R100)</f>
        <v>368417.69999999995</v>
      </c>
      <c r="T100" s="142"/>
      <c r="U100" s="142"/>
      <c r="V100" s="142"/>
      <c r="W100" s="142"/>
      <c r="X100" s="142"/>
      <c r="Y100" s="142"/>
    </row>
    <row r="101" spans="1:25" s="235" customFormat="1">
      <c r="A101" s="234"/>
      <c r="B101" s="234"/>
      <c r="C101" s="234"/>
      <c r="D101" s="234"/>
      <c r="E101" s="235" t="str">
        <f>+E70</f>
        <v>Regulated RCY (MF)</v>
      </c>
      <c r="F101" s="236">
        <f>+F21*F70</f>
        <v>0</v>
      </c>
      <c r="G101" s="236">
        <f t="shared" ref="G101:Q101" si="29">+G21*G70</f>
        <v>0</v>
      </c>
      <c r="H101" s="236">
        <f t="shared" si="29"/>
        <v>0</v>
      </c>
      <c r="I101" s="236">
        <f t="shared" si="29"/>
        <v>0</v>
      </c>
      <c r="J101" s="236">
        <f t="shared" si="29"/>
        <v>0</v>
      </c>
      <c r="K101" s="236">
        <f t="shared" si="29"/>
        <v>0</v>
      </c>
      <c r="L101" s="236">
        <f t="shared" si="29"/>
        <v>0</v>
      </c>
      <c r="M101" s="236">
        <f t="shared" si="29"/>
        <v>0</v>
      </c>
      <c r="N101" s="236">
        <f t="shared" si="29"/>
        <v>0</v>
      </c>
      <c r="O101" s="236">
        <f t="shared" si="29"/>
        <v>0</v>
      </c>
      <c r="P101" s="236">
        <f t="shared" si="29"/>
        <v>0</v>
      </c>
      <c r="Q101" s="236">
        <f t="shared" si="29"/>
        <v>0</v>
      </c>
      <c r="R101" s="236"/>
      <c r="S101" s="237">
        <f>SUM(F101:R101)</f>
        <v>0</v>
      </c>
      <c r="T101" s="236"/>
      <c r="U101" s="236"/>
      <c r="V101" s="236"/>
      <c r="W101" s="236"/>
      <c r="X101" s="236"/>
      <c r="Y101" s="236"/>
    </row>
    <row r="102" spans="1:25">
      <c r="A102" s="139" t="str">
        <f>A23</f>
        <v>I</v>
      </c>
      <c r="B102" s="139" t="str">
        <f>B23</f>
        <v>RCY</v>
      </c>
      <c r="C102" s="139" t="str">
        <f>C23</f>
        <v>YW</v>
      </c>
      <c r="D102" s="139"/>
      <c r="E102" s="144" t="str">
        <f>+E71</f>
        <v>Unregulated RCY / COGS</v>
      </c>
      <c r="F102" s="145">
        <v>37939.000000000007</v>
      </c>
      <c r="G102" s="145">
        <v>41895.119999999995</v>
      </c>
      <c r="H102" s="145">
        <v>37752.090000000011</v>
      </c>
      <c r="I102" s="145">
        <v>47375.100000000006</v>
      </c>
      <c r="J102" s="145">
        <v>37627.579999999994</v>
      </c>
      <c r="K102" s="145">
        <v>43372.3</v>
      </c>
      <c r="L102" s="145">
        <v>40678.819999999992</v>
      </c>
      <c r="M102" s="145">
        <v>30855.25</v>
      </c>
      <c r="N102" s="145">
        <v>38668.11</v>
      </c>
      <c r="O102" s="145">
        <v>32292.999999999996</v>
      </c>
      <c r="P102" s="145">
        <v>26632.249999999996</v>
      </c>
      <c r="Q102" s="145">
        <v>30992.79</v>
      </c>
      <c r="R102" s="145"/>
      <c r="S102" s="146">
        <f>SUM(F102:R102)</f>
        <v>446081.41</v>
      </c>
      <c r="T102" s="142"/>
      <c r="U102" s="142"/>
      <c r="V102" s="142"/>
      <c r="W102" s="142"/>
      <c r="X102" s="142"/>
      <c r="Y102" s="142"/>
    </row>
    <row r="103" spans="1:25">
      <c r="C103" s="139"/>
      <c r="D103" s="139"/>
      <c r="E103" s="132" t="str">
        <f>+E25</f>
        <v>Total Roll-off / Industrial</v>
      </c>
      <c r="F103" s="142">
        <f>SUM(F99:F102)</f>
        <v>111558.70000000001</v>
      </c>
      <c r="G103" s="142">
        <f t="shared" ref="G103:Q103" si="30">SUM(G98:G102)</f>
        <v>114546.72</v>
      </c>
      <c r="H103" s="142">
        <f t="shared" si="30"/>
        <v>107900.49</v>
      </c>
      <c r="I103" s="142">
        <f t="shared" si="30"/>
        <v>132468.15</v>
      </c>
      <c r="J103" s="142">
        <f t="shared" si="30"/>
        <v>109757.32999999999</v>
      </c>
      <c r="K103" s="142">
        <f t="shared" si="30"/>
        <v>116359.90000000001</v>
      </c>
      <c r="L103" s="142">
        <f t="shared" si="30"/>
        <v>123628.82</v>
      </c>
      <c r="M103" s="142">
        <f t="shared" si="30"/>
        <v>110768.65000000001</v>
      </c>
      <c r="N103" s="142">
        <f t="shared" si="30"/>
        <v>131249.76</v>
      </c>
      <c r="O103" s="142">
        <f t="shared" si="30"/>
        <v>112338.70000000001</v>
      </c>
      <c r="P103" s="142">
        <f t="shared" si="30"/>
        <v>98591.9</v>
      </c>
      <c r="Q103" s="142">
        <f t="shared" si="30"/>
        <v>102829.59000000003</v>
      </c>
      <c r="R103" s="142"/>
      <c r="S103" s="143">
        <f>SUM(F103:R103)</f>
        <v>1371998.71</v>
      </c>
      <c r="T103" s="142"/>
      <c r="U103" s="142"/>
      <c r="V103" s="142"/>
      <c r="W103" s="142"/>
      <c r="X103" s="142"/>
      <c r="Y103" s="142"/>
    </row>
    <row r="104" spans="1:25">
      <c r="C104" s="139"/>
      <c r="D104" s="139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70"/>
      <c r="T104" s="142"/>
      <c r="U104" s="142"/>
      <c r="V104" s="142"/>
      <c r="W104" s="142"/>
      <c r="X104" s="142"/>
      <c r="Y104" s="142"/>
    </row>
    <row r="105" spans="1:25">
      <c r="A105" s="139" t="str">
        <f>A18</f>
        <v>I</v>
      </c>
      <c r="B105" s="139" t="str">
        <f>+B18</f>
        <v>MSW</v>
      </c>
      <c r="C105" s="139">
        <f>C18</f>
        <v>20</v>
      </c>
      <c r="D105" s="139" t="str">
        <f>D18</f>
        <v>2E</v>
      </c>
      <c r="E105" s="132" t="s">
        <v>148</v>
      </c>
      <c r="F105" s="142">
        <v>70386.13</v>
      </c>
      <c r="G105" s="142">
        <v>64951.74</v>
      </c>
      <c r="H105" s="142">
        <v>63919.28</v>
      </c>
      <c r="I105" s="142">
        <v>81656.62000000001</v>
      </c>
      <c r="J105" s="142">
        <v>65245.07</v>
      </c>
      <c r="K105" s="142">
        <v>67331.03</v>
      </c>
      <c r="L105" s="142">
        <v>75331.39</v>
      </c>
      <c r="M105" s="142">
        <v>72936.399999999994</v>
      </c>
      <c r="N105" s="142">
        <v>85782.24</v>
      </c>
      <c r="O105" s="142">
        <v>77141.05</v>
      </c>
      <c r="P105" s="142">
        <v>65485.260000000009</v>
      </c>
      <c r="Q105" s="142">
        <v>69519.509999999995</v>
      </c>
      <c r="R105" s="142"/>
      <c r="S105" s="143">
        <f>SUM(F105:R105)</f>
        <v>859685.72000000009</v>
      </c>
      <c r="T105" s="142"/>
      <c r="U105" s="142"/>
      <c r="V105" s="142"/>
      <c r="W105" s="142"/>
      <c r="X105" s="142"/>
      <c r="Y105" s="142"/>
    </row>
    <row r="106" spans="1:25">
      <c r="C106" s="139"/>
      <c r="D106" s="139"/>
      <c r="E106" s="132" t="s">
        <v>149</v>
      </c>
      <c r="F106" s="142">
        <f>+F107-F105</f>
        <v>47394.189999999988</v>
      </c>
      <c r="G106" s="142">
        <f t="shared" ref="G106:Q106" si="31">+G107-G105</f>
        <v>56470.759999999973</v>
      </c>
      <c r="H106" s="142">
        <f t="shared" si="31"/>
        <v>49798.62000000001</v>
      </c>
      <c r="I106" s="142">
        <f t="shared" si="31"/>
        <v>56209.900000000009</v>
      </c>
      <c r="J106" s="142">
        <f t="shared" si="31"/>
        <v>50522.389999999992</v>
      </c>
      <c r="K106" s="142">
        <f t="shared" si="31"/>
        <v>55927.92</v>
      </c>
      <c r="L106" s="142">
        <f t="shared" si="31"/>
        <v>54691.229999999996</v>
      </c>
      <c r="M106" s="142">
        <f t="shared" si="31"/>
        <v>42945.980000000025</v>
      </c>
      <c r="N106" s="142">
        <f t="shared" si="31"/>
        <v>54431.709999999977</v>
      </c>
      <c r="O106" s="142">
        <f t="shared" si="31"/>
        <v>44264.020000000019</v>
      </c>
      <c r="P106" s="142">
        <f t="shared" si="31"/>
        <v>43374.640000000014</v>
      </c>
      <c r="Q106" s="142">
        <f t="shared" si="31"/>
        <v>47693.900000000009</v>
      </c>
      <c r="R106" s="142"/>
      <c r="S106" s="143">
        <f>SUM(F106:R106)</f>
        <v>603725.26</v>
      </c>
      <c r="T106" s="142"/>
      <c r="U106" s="142"/>
      <c r="V106" s="142"/>
      <c r="W106" s="142"/>
      <c r="X106" s="142"/>
      <c r="Y106" s="142"/>
    </row>
    <row r="107" spans="1:25">
      <c r="A107" s="139" t="str">
        <f>A105</f>
        <v>I</v>
      </c>
      <c r="C107" s="139"/>
      <c r="D107" s="139"/>
      <c r="E107" s="196" t="str">
        <f>+E30</f>
        <v>Total Roll-off / Industrial Pass Thru Disp.</v>
      </c>
      <c r="F107" s="197">
        <v>117780.31999999999</v>
      </c>
      <c r="G107" s="197">
        <v>121422.49999999997</v>
      </c>
      <c r="H107" s="197">
        <v>113717.90000000001</v>
      </c>
      <c r="I107" s="197">
        <v>137866.52000000002</v>
      </c>
      <c r="J107" s="197">
        <v>115767.45999999999</v>
      </c>
      <c r="K107" s="197">
        <v>123258.95</v>
      </c>
      <c r="L107" s="197">
        <v>130022.62</v>
      </c>
      <c r="M107" s="197">
        <v>115882.38000000002</v>
      </c>
      <c r="N107" s="197">
        <v>140213.94999999998</v>
      </c>
      <c r="O107" s="197">
        <v>121405.07000000002</v>
      </c>
      <c r="P107" s="197">
        <v>108859.90000000002</v>
      </c>
      <c r="Q107" s="197">
        <v>117213.41</v>
      </c>
      <c r="R107" s="197"/>
      <c r="S107" s="198">
        <f>SUM(F107:R107)</f>
        <v>1463410.9799999997</v>
      </c>
      <c r="T107" s="142"/>
      <c r="U107" s="142"/>
      <c r="V107" s="142"/>
      <c r="W107" s="142"/>
      <c r="X107" s="142"/>
      <c r="Y107" s="142"/>
    </row>
    <row r="108" spans="1:25">
      <c r="C108" s="139"/>
      <c r="D108" s="139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99"/>
      <c r="T108" s="142"/>
      <c r="U108" s="142"/>
      <c r="V108" s="142"/>
      <c r="W108" s="142"/>
      <c r="X108" s="142"/>
      <c r="Y108" s="142"/>
    </row>
    <row r="109" spans="1:25">
      <c r="C109" s="139"/>
      <c r="D109" s="139"/>
      <c r="E109" s="133" t="str">
        <f>+E76</f>
        <v>Commercial</v>
      </c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70"/>
      <c r="T109" s="142"/>
      <c r="U109" s="142"/>
      <c r="V109" s="142"/>
      <c r="W109" s="142"/>
      <c r="X109" s="142"/>
      <c r="Y109" s="142"/>
    </row>
    <row r="110" spans="1:25" s="235" customFormat="1">
      <c r="A110" s="234"/>
      <c r="B110" s="234"/>
      <c r="C110" s="234"/>
      <c r="D110" s="234"/>
      <c r="E110" s="235" t="str">
        <f>+E77</f>
        <v>Regulated Garbage</v>
      </c>
      <c r="F110" s="236">
        <f>+F33*F77</f>
        <v>98997.558257954137</v>
      </c>
      <c r="G110" s="236">
        <f t="shared" ref="G110:Q111" si="32">+G33*G77</f>
        <v>122406.08905010689</v>
      </c>
      <c r="H110" s="236">
        <f t="shared" si="32"/>
        <v>99219.963928862795</v>
      </c>
      <c r="I110" s="236">
        <f t="shared" si="32"/>
        <v>116209.34350033291</v>
      </c>
      <c r="J110" s="236">
        <f t="shared" si="32"/>
        <v>103463.64118313456</v>
      </c>
      <c r="K110" s="236">
        <f t="shared" si="32"/>
        <v>115603.01584435458</v>
      </c>
      <c r="L110" s="236">
        <f t="shared" si="32"/>
        <v>117720.29600643041</v>
      </c>
      <c r="M110" s="236">
        <f t="shared" si="32"/>
        <v>102464.56723557808</v>
      </c>
      <c r="N110" s="236">
        <f t="shared" si="32"/>
        <v>113683.95082848353</v>
      </c>
      <c r="O110" s="236">
        <f t="shared" si="32"/>
        <v>109989.18938078446</v>
      </c>
      <c r="P110" s="236">
        <f t="shared" si="32"/>
        <v>106939.74671320053</v>
      </c>
      <c r="Q110" s="236">
        <f t="shared" si="32"/>
        <v>108374.71144414267</v>
      </c>
      <c r="R110" s="236"/>
      <c r="S110" s="237">
        <f>SUM(F110:R110)</f>
        <v>1315072.0733733657</v>
      </c>
      <c r="T110" s="236"/>
      <c r="U110" s="236"/>
      <c r="V110" s="236"/>
      <c r="W110" s="236"/>
      <c r="X110" s="236"/>
      <c r="Y110" s="236"/>
    </row>
    <row r="111" spans="1:25">
      <c r="C111" s="139"/>
      <c r="D111" s="139"/>
      <c r="E111" s="132" t="str">
        <f>+E78</f>
        <v>Unregulated Garbage</v>
      </c>
      <c r="F111" s="142">
        <f>+F34*F78</f>
        <v>79645.655731998384</v>
      </c>
      <c r="G111" s="142">
        <f t="shared" si="32"/>
        <v>95809.698281964869</v>
      </c>
      <c r="H111" s="142">
        <f t="shared" si="32"/>
        <v>81432.430574480139</v>
      </c>
      <c r="I111" s="142">
        <f t="shared" si="32"/>
        <v>97032.324742741417</v>
      </c>
      <c r="J111" s="142">
        <f t="shared" si="32"/>
        <v>86144.334136165722</v>
      </c>
      <c r="K111" s="142">
        <f t="shared" si="32"/>
        <v>94554.541903477497</v>
      </c>
      <c r="L111" s="142">
        <f t="shared" si="32"/>
        <v>99128.4819528839</v>
      </c>
      <c r="M111" s="142">
        <f t="shared" si="32"/>
        <v>86353.971733048165</v>
      </c>
      <c r="N111" s="142">
        <f t="shared" si="32"/>
        <v>97417.777342730726</v>
      </c>
      <c r="O111" s="142">
        <f t="shared" si="32"/>
        <v>90569.440846781174</v>
      </c>
      <c r="P111" s="142">
        <f t="shared" si="32"/>
        <v>91143.087282762732</v>
      </c>
      <c r="Q111" s="142">
        <f t="shared" si="32"/>
        <v>92216.482390083533</v>
      </c>
      <c r="R111" s="142"/>
      <c r="S111" s="143">
        <f>SUM(F111:R111)</f>
        <v>1091448.2269191183</v>
      </c>
      <c r="T111" s="142"/>
      <c r="U111" s="142"/>
      <c r="V111" s="142"/>
      <c r="W111" s="142"/>
      <c r="X111" s="142"/>
      <c r="Y111" s="142"/>
    </row>
    <row r="112" spans="1:25" s="235" customFormat="1">
      <c r="A112" s="234"/>
      <c r="B112" s="234"/>
      <c r="C112" s="234"/>
      <c r="D112" s="234"/>
      <c r="E112" s="235" t="str">
        <f>+E79</f>
        <v>Regulated RCY (MF)</v>
      </c>
      <c r="F112" s="236">
        <f t="shared" ref="F112:Q113" si="33">+F36*F79</f>
        <v>24858.506650985637</v>
      </c>
      <c r="G112" s="236">
        <f t="shared" si="33"/>
        <v>33109.75798693666</v>
      </c>
      <c r="H112" s="236">
        <f t="shared" si="33"/>
        <v>25661.229218014327</v>
      </c>
      <c r="I112" s="236">
        <f t="shared" si="33"/>
        <v>29875.0223745447</v>
      </c>
      <c r="J112" s="236">
        <f t="shared" si="33"/>
        <v>27249.508362633129</v>
      </c>
      <c r="K112" s="236">
        <f t="shared" si="33"/>
        <v>28603.388022239564</v>
      </c>
      <c r="L112" s="236">
        <f t="shared" si="33"/>
        <v>27918.086031577022</v>
      </c>
      <c r="M112" s="236">
        <f t="shared" si="33"/>
        <v>23890.304358569712</v>
      </c>
      <c r="N112" s="236">
        <f t="shared" si="33"/>
        <v>27031.051319790389</v>
      </c>
      <c r="O112" s="236">
        <f t="shared" si="33"/>
        <v>26308.144138235766</v>
      </c>
      <c r="P112" s="236">
        <f t="shared" si="33"/>
        <v>25347.604917520963</v>
      </c>
      <c r="Q112" s="236">
        <f t="shared" si="33"/>
        <v>27730.447068660276</v>
      </c>
      <c r="R112" s="236"/>
      <c r="S112" s="237">
        <f>SUM(F112:R112)</f>
        <v>327583.05044970813</v>
      </c>
      <c r="T112" s="236"/>
      <c r="U112" s="236"/>
      <c r="V112" s="236"/>
      <c r="W112" s="236"/>
      <c r="X112" s="236"/>
      <c r="Y112" s="236"/>
    </row>
    <row r="113" spans="1:25">
      <c r="C113" s="139"/>
      <c r="D113" s="139"/>
      <c r="E113" s="144" t="str">
        <f>+E80</f>
        <v>Unregulated RCY / COGS</v>
      </c>
      <c r="F113" s="145">
        <f t="shared" si="33"/>
        <v>12628.652936192955</v>
      </c>
      <c r="G113" s="145">
        <f t="shared" si="33"/>
        <v>13510.809395691649</v>
      </c>
      <c r="H113" s="145">
        <f t="shared" si="33"/>
        <v>14343.52512533574</v>
      </c>
      <c r="I113" s="145">
        <f t="shared" si="33"/>
        <v>19391.574573725422</v>
      </c>
      <c r="J113" s="145">
        <f t="shared" si="33"/>
        <v>12072.171763736693</v>
      </c>
      <c r="K113" s="145">
        <f t="shared" si="33"/>
        <v>15895.803050426255</v>
      </c>
      <c r="L113" s="145">
        <f t="shared" si="33"/>
        <v>15193.093659217222</v>
      </c>
      <c r="M113" s="145">
        <f t="shared" si="33"/>
        <v>12519.826638832032</v>
      </c>
      <c r="N113" s="145">
        <f t="shared" si="33"/>
        <v>14053.379848961844</v>
      </c>
      <c r="O113" s="145">
        <f t="shared" si="33"/>
        <v>15298.680137315592</v>
      </c>
      <c r="P113" s="145">
        <f t="shared" si="33"/>
        <v>12790.847583362794</v>
      </c>
      <c r="Q113" s="145">
        <f t="shared" si="33"/>
        <v>13734.63171507363</v>
      </c>
      <c r="R113" s="145"/>
      <c r="S113" s="146">
        <f>SUM(F113:R113)</f>
        <v>171432.99642787187</v>
      </c>
      <c r="T113" s="142"/>
      <c r="U113" s="142"/>
      <c r="V113" s="142"/>
      <c r="W113" s="142"/>
      <c r="X113" s="142"/>
      <c r="Y113" s="142"/>
    </row>
    <row r="114" spans="1:25">
      <c r="C114" s="139"/>
      <c r="D114" s="139"/>
      <c r="E114" s="132" t="str">
        <f>+E39</f>
        <v>Total Commercial per Disposal Report</v>
      </c>
      <c r="F114" s="142">
        <f>SUM(F110:F113)</f>
        <v>216130.3735771311</v>
      </c>
      <c r="G114" s="142">
        <f t="shared" ref="G114:Q114" si="34">SUM(G109:G113)</f>
        <v>264836.35471470008</v>
      </c>
      <c r="H114" s="142">
        <f t="shared" si="34"/>
        <v>220657.14884669299</v>
      </c>
      <c r="I114" s="142">
        <f t="shared" si="34"/>
        <v>262508.26519134443</v>
      </c>
      <c r="J114" s="142">
        <f t="shared" si="34"/>
        <v>228929.6554456701</v>
      </c>
      <c r="K114" s="142">
        <f t="shared" si="34"/>
        <v>254656.74882049789</v>
      </c>
      <c r="L114" s="142">
        <f t="shared" si="34"/>
        <v>259959.95765010855</v>
      </c>
      <c r="M114" s="142">
        <f t="shared" si="34"/>
        <v>225228.66996602796</v>
      </c>
      <c r="N114" s="142">
        <f t="shared" si="34"/>
        <v>252186.15933996649</v>
      </c>
      <c r="O114" s="142">
        <f t="shared" si="34"/>
        <v>242165.45450311701</v>
      </c>
      <c r="P114" s="142">
        <f t="shared" si="34"/>
        <v>236221.28649684702</v>
      </c>
      <c r="Q114" s="142">
        <f t="shared" si="34"/>
        <v>242056.27261796012</v>
      </c>
      <c r="R114" s="142"/>
      <c r="S114" s="143">
        <f>SUM(F114:R114)</f>
        <v>2905536.3471700642</v>
      </c>
      <c r="T114" s="142"/>
      <c r="U114" s="142"/>
      <c r="V114" s="142"/>
      <c r="W114" s="142"/>
      <c r="X114" s="142"/>
      <c r="Y114" s="142"/>
    </row>
    <row r="115" spans="1:25">
      <c r="C115" s="139"/>
      <c r="D115" s="139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70"/>
      <c r="T115" s="142"/>
      <c r="U115" s="142"/>
      <c r="V115" s="142"/>
      <c r="W115" s="142"/>
      <c r="X115" s="142"/>
      <c r="Y115" s="142"/>
    </row>
    <row r="116" spans="1:25">
      <c r="C116" s="139"/>
      <c r="D116" s="139"/>
      <c r="E116" s="133" t="str">
        <f t="shared" ref="E116:E122" si="35">+E82</f>
        <v>Residential</v>
      </c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70"/>
      <c r="T116" s="142"/>
      <c r="W116" s="142"/>
      <c r="X116" s="142"/>
      <c r="Y116" s="142"/>
    </row>
    <row r="117" spans="1:25" s="235" customFormat="1">
      <c r="A117" s="234"/>
      <c r="B117" s="234"/>
      <c r="C117" s="234"/>
      <c r="D117" s="234"/>
      <c r="E117" s="235" t="str">
        <f t="shared" si="35"/>
        <v>Regulated Garbage</v>
      </c>
      <c r="F117" s="236">
        <f t="shared" ref="F117:Q118" si="36">+F44*F83</f>
        <v>98744.648658551363</v>
      </c>
      <c r="G117" s="236">
        <f t="shared" si="36"/>
        <v>154015.13084208796</v>
      </c>
      <c r="H117" s="236">
        <f t="shared" si="36"/>
        <v>108485.49422914098</v>
      </c>
      <c r="I117" s="236">
        <f t="shared" si="36"/>
        <v>121892.78062601028</v>
      </c>
      <c r="J117" s="236">
        <f t="shared" si="36"/>
        <v>114806.67596138295</v>
      </c>
      <c r="K117" s="236">
        <f t="shared" si="36"/>
        <v>124902.8352544486</v>
      </c>
      <c r="L117" s="236">
        <f t="shared" si="36"/>
        <v>139779.35760029315</v>
      </c>
      <c r="M117" s="236">
        <f t="shared" si="36"/>
        <v>121250.65211769266</v>
      </c>
      <c r="N117" s="236">
        <f t="shared" si="36"/>
        <v>129811.85379831606</v>
      </c>
      <c r="O117" s="236">
        <f t="shared" si="36"/>
        <v>125171.93760398695</v>
      </c>
      <c r="P117" s="236">
        <f t="shared" si="36"/>
        <v>113869.55736569226</v>
      </c>
      <c r="Q117" s="236">
        <f t="shared" si="36"/>
        <v>122682.14694063354</v>
      </c>
      <c r="R117" s="236"/>
      <c r="S117" s="237">
        <f t="shared" ref="S117:S123" si="37">SUM(F117:R117)</f>
        <v>1475413.0709982365</v>
      </c>
      <c r="T117" s="236"/>
      <c r="U117" s="236"/>
      <c r="V117" s="236"/>
      <c r="W117" s="236"/>
      <c r="X117" s="236"/>
      <c r="Y117" s="236"/>
    </row>
    <row r="118" spans="1:25">
      <c r="C118" s="139"/>
      <c r="D118" s="139"/>
      <c r="E118" s="132" t="str">
        <f t="shared" si="35"/>
        <v>Unregulated Garbage</v>
      </c>
      <c r="F118" s="142">
        <f t="shared" si="36"/>
        <v>46838.340441990862</v>
      </c>
      <c r="G118" s="142">
        <f t="shared" si="36"/>
        <v>65432.622801008431</v>
      </c>
      <c r="H118" s="142">
        <f t="shared" si="36"/>
        <v>51609.366163003644</v>
      </c>
      <c r="I118" s="142">
        <f t="shared" si="36"/>
        <v>64101.078254137385</v>
      </c>
      <c r="J118" s="142">
        <f t="shared" si="36"/>
        <v>51930.134107557242</v>
      </c>
      <c r="K118" s="142">
        <f t="shared" si="36"/>
        <v>60280.502899996376</v>
      </c>
      <c r="L118" s="142">
        <f t="shared" si="36"/>
        <v>62093.100559125618</v>
      </c>
      <c r="M118" s="142">
        <f t="shared" si="36"/>
        <v>61925.0938460045</v>
      </c>
      <c r="N118" s="142">
        <f t="shared" si="36"/>
        <v>61183.845597384272</v>
      </c>
      <c r="O118" s="142">
        <f t="shared" si="36"/>
        <v>62932.185275575146</v>
      </c>
      <c r="P118" s="142">
        <f t="shared" si="36"/>
        <v>57934.956171760386</v>
      </c>
      <c r="Q118" s="142">
        <f t="shared" si="36"/>
        <v>57437.59657005631</v>
      </c>
      <c r="R118" s="142"/>
      <c r="S118" s="143">
        <f t="shared" si="37"/>
        <v>703698.82268760004</v>
      </c>
      <c r="T118" s="142"/>
      <c r="U118" s="142"/>
      <c r="V118" s="142"/>
      <c r="W118" s="142"/>
      <c r="X118" s="142"/>
      <c r="Y118" s="142"/>
    </row>
    <row r="119" spans="1:25" s="235" customFormat="1">
      <c r="A119" s="234"/>
      <c r="B119" s="234"/>
      <c r="C119" s="234"/>
      <c r="D119" s="234"/>
      <c r="E119" s="235" t="str">
        <f t="shared" si="35"/>
        <v>Regulated Yardwaste</v>
      </c>
      <c r="F119" s="236">
        <f t="shared" ref="F119:Q120" si="38">+F47*F85</f>
        <v>37825.889744378481</v>
      </c>
      <c r="G119" s="236">
        <f t="shared" si="38"/>
        <v>29430.388789905701</v>
      </c>
      <c r="H119" s="236">
        <f t="shared" si="38"/>
        <v>33378.574063092565</v>
      </c>
      <c r="I119" s="236">
        <f t="shared" si="38"/>
        <v>47587.410482292311</v>
      </c>
      <c r="J119" s="236">
        <f t="shared" si="38"/>
        <v>61730.480249625514</v>
      </c>
      <c r="K119" s="236">
        <f t="shared" si="38"/>
        <v>79138.96920364075</v>
      </c>
      <c r="L119" s="236">
        <f t="shared" si="38"/>
        <v>82370.078883299982</v>
      </c>
      <c r="M119" s="236">
        <f t="shared" si="38"/>
        <v>67313.847853037732</v>
      </c>
      <c r="N119" s="236">
        <f t="shared" si="38"/>
        <v>41336.267214146326</v>
      </c>
      <c r="O119" s="236">
        <f t="shared" si="38"/>
        <v>42489.702420617032</v>
      </c>
      <c r="P119" s="236">
        <f t="shared" si="38"/>
        <v>36101.194470194998</v>
      </c>
      <c r="Q119" s="236">
        <f t="shared" si="38"/>
        <v>61552.743329223515</v>
      </c>
      <c r="R119" s="236"/>
      <c r="S119" s="237">
        <f t="shared" si="37"/>
        <v>620255.54670345492</v>
      </c>
      <c r="T119" s="236"/>
      <c r="U119" s="236"/>
      <c r="V119" s="236"/>
      <c r="W119" s="236"/>
      <c r="X119" s="236"/>
      <c r="Y119" s="236"/>
    </row>
    <row r="120" spans="1:25">
      <c r="C120" s="139"/>
      <c r="D120" s="139"/>
      <c r="E120" s="132" t="str">
        <f t="shared" si="35"/>
        <v>Unregulated Yardwaste</v>
      </c>
      <c r="F120" s="142">
        <f t="shared" si="38"/>
        <v>11600.812453798828</v>
      </c>
      <c r="G120" s="142">
        <f t="shared" si="38"/>
        <v>9316.4363854201802</v>
      </c>
      <c r="H120" s="142">
        <f t="shared" si="38"/>
        <v>9977.6084412069613</v>
      </c>
      <c r="I120" s="142">
        <f t="shared" si="38"/>
        <v>19682.649608179287</v>
      </c>
      <c r="J120" s="142">
        <f t="shared" si="38"/>
        <v>28192.257931032629</v>
      </c>
      <c r="K120" s="142">
        <f t="shared" si="38"/>
        <v>43196.965297513911</v>
      </c>
      <c r="L120" s="142">
        <f t="shared" si="38"/>
        <v>45879.780764273222</v>
      </c>
      <c r="M120" s="142">
        <f t="shared" si="38"/>
        <v>29013.771276353989</v>
      </c>
      <c r="N120" s="142">
        <f t="shared" si="38"/>
        <v>18273.337577114278</v>
      </c>
      <c r="O120" s="142">
        <f t="shared" si="38"/>
        <v>18717.29730634925</v>
      </c>
      <c r="P120" s="142">
        <f t="shared" si="38"/>
        <v>15762.808278139584</v>
      </c>
      <c r="Q120" s="142">
        <f t="shared" si="38"/>
        <v>23439.592061481959</v>
      </c>
      <c r="R120" s="142"/>
      <c r="S120" s="143">
        <f t="shared" si="37"/>
        <v>273053.31738086411</v>
      </c>
      <c r="T120" s="142"/>
      <c r="U120" s="142"/>
      <c r="V120" s="142"/>
      <c r="W120" s="142"/>
      <c r="X120" s="142"/>
      <c r="Y120" s="142"/>
    </row>
    <row r="121" spans="1:25" s="235" customFormat="1">
      <c r="A121" s="234"/>
      <c r="B121" s="234"/>
      <c r="C121" s="234"/>
      <c r="D121" s="234"/>
      <c r="E121" s="235" t="str">
        <f t="shared" si="35"/>
        <v>Regulated RCY</v>
      </c>
      <c r="F121" s="236">
        <f>+F50*F87</f>
        <v>49967.071173578028</v>
      </c>
      <c r="G121" s="236">
        <f t="shared" ref="G121:P121" si="39">+G50*G87</f>
        <v>78001.285322338823</v>
      </c>
      <c r="H121" s="236">
        <f t="shared" si="39"/>
        <v>57765.600630731373</v>
      </c>
      <c r="I121" s="236">
        <f t="shared" si="39"/>
        <v>61759.272673263971</v>
      </c>
      <c r="J121" s="236">
        <f t="shared" si="39"/>
        <v>55064.725231315868</v>
      </c>
      <c r="K121" s="236">
        <f t="shared" si="39"/>
        <v>54936.938399763065</v>
      </c>
      <c r="L121" s="236">
        <f t="shared" si="39"/>
        <v>58220.407258980587</v>
      </c>
      <c r="M121" s="236">
        <f t="shared" si="39"/>
        <v>57112.19764657069</v>
      </c>
      <c r="N121" s="236">
        <f t="shared" si="39"/>
        <v>63743.380099407266</v>
      </c>
      <c r="O121" s="236">
        <f t="shared" si="39"/>
        <v>55645.835220162466</v>
      </c>
      <c r="P121" s="236">
        <f t="shared" si="39"/>
        <v>51996.021443789301</v>
      </c>
      <c r="Q121" s="236">
        <f>+Q50*Q87</f>
        <v>59037.142304156077</v>
      </c>
      <c r="R121" s="236"/>
      <c r="S121" s="237">
        <f t="shared" si="37"/>
        <v>703249.87740405754</v>
      </c>
      <c r="T121" s="236"/>
      <c r="U121" s="236"/>
      <c r="V121" s="236"/>
      <c r="W121" s="236"/>
      <c r="X121" s="236"/>
      <c r="Y121" s="236"/>
    </row>
    <row r="122" spans="1:25">
      <c r="C122" s="139"/>
      <c r="D122" s="139"/>
      <c r="E122" s="144" t="str">
        <f t="shared" si="35"/>
        <v>Unregulated RCY</v>
      </c>
      <c r="F122" s="145">
        <f t="shared" ref="F122:Q122" si="40">+F51*F88</f>
        <v>25244.235905135174</v>
      </c>
      <c r="G122" s="145">
        <f t="shared" si="40"/>
        <v>36713.21101267435</v>
      </c>
      <c r="H122" s="145">
        <f t="shared" si="40"/>
        <v>26541.614855258162</v>
      </c>
      <c r="I122" s="145">
        <f t="shared" si="40"/>
        <v>31870.54291285927</v>
      </c>
      <c r="J122" s="145">
        <f t="shared" si="40"/>
        <v>25514.388816621333</v>
      </c>
      <c r="K122" s="145">
        <f t="shared" si="40"/>
        <v>31747.169856320841</v>
      </c>
      <c r="L122" s="145">
        <f t="shared" si="40"/>
        <v>30872.719499371717</v>
      </c>
      <c r="M122" s="145">
        <f t="shared" si="40"/>
        <v>28334.93151532557</v>
      </c>
      <c r="N122" s="145">
        <f t="shared" si="40"/>
        <v>30204.067516183448</v>
      </c>
      <c r="O122" s="145">
        <f t="shared" si="40"/>
        <v>32886.219630922147</v>
      </c>
      <c r="P122" s="145">
        <f t="shared" si="40"/>
        <v>27745.256788519746</v>
      </c>
      <c r="Q122" s="145">
        <f t="shared" si="40"/>
        <v>27650.056000853678</v>
      </c>
      <c r="R122" s="145"/>
      <c r="S122" s="146">
        <f t="shared" si="37"/>
        <v>355324.41431004537</v>
      </c>
      <c r="T122" s="142"/>
      <c r="U122" s="142"/>
      <c r="V122" s="142"/>
      <c r="W122" s="142"/>
      <c r="X122" s="142"/>
      <c r="Y122" s="142"/>
    </row>
    <row r="123" spans="1:25">
      <c r="C123" s="139"/>
      <c r="D123" s="139"/>
      <c r="E123" s="132" t="str">
        <f>+E53</f>
        <v>Total Residential per Disposal Report</v>
      </c>
      <c r="F123" s="142">
        <f>SUM(F117:F122)</f>
        <v>270220.99837743276</v>
      </c>
      <c r="G123" s="142">
        <f t="shared" ref="G123:Q123" si="41">SUM(G117:G122)</f>
        <v>372909.07515343546</v>
      </c>
      <c r="H123" s="142">
        <f t="shared" si="41"/>
        <v>287758.25838243368</v>
      </c>
      <c r="I123" s="142">
        <f t="shared" si="41"/>
        <v>346893.73455674254</v>
      </c>
      <c r="J123" s="142">
        <f t="shared" si="41"/>
        <v>337238.66229753551</v>
      </c>
      <c r="K123" s="142">
        <f t="shared" si="41"/>
        <v>394203.38091168355</v>
      </c>
      <c r="L123" s="142">
        <f t="shared" si="41"/>
        <v>419215.44456534425</v>
      </c>
      <c r="M123" s="142">
        <f t="shared" si="41"/>
        <v>364950.49425498513</v>
      </c>
      <c r="N123" s="142">
        <f t="shared" si="41"/>
        <v>344552.75180255162</v>
      </c>
      <c r="O123" s="142">
        <f t="shared" si="41"/>
        <v>337843.177457613</v>
      </c>
      <c r="P123" s="142">
        <f t="shared" si="41"/>
        <v>303409.79451809631</v>
      </c>
      <c r="Q123" s="142">
        <f t="shared" si="41"/>
        <v>351799.27720640507</v>
      </c>
      <c r="R123" s="142"/>
      <c r="S123" s="143">
        <f t="shared" si="37"/>
        <v>4130995.0494842585</v>
      </c>
      <c r="T123" s="142"/>
      <c r="U123" s="142"/>
      <c r="V123" s="142"/>
      <c r="W123" s="142"/>
      <c r="X123" s="142"/>
      <c r="Y123" s="142"/>
    </row>
    <row r="124" spans="1:25">
      <c r="C124" s="139"/>
      <c r="D124" s="139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70"/>
      <c r="T124" s="142"/>
      <c r="U124" s="142"/>
      <c r="V124" s="142"/>
      <c r="W124" s="142"/>
      <c r="X124" s="142"/>
      <c r="Y124" s="142"/>
    </row>
    <row r="125" spans="1:25">
      <c r="C125" s="139"/>
      <c r="D125" s="139"/>
      <c r="E125" s="132" t="s">
        <v>150</v>
      </c>
      <c r="F125" s="142">
        <f>SUM(F99,F101,F110,F112,F117,F119,F121)</f>
        <v>352570.07448544761</v>
      </c>
      <c r="G125" s="142">
        <f t="shared" ref="G125:P125" si="42">SUM(G99,G101,G110,G112,G117,G119,G121)</f>
        <v>459933.90199137607</v>
      </c>
      <c r="H125" s="142">
        <f t="shared" si="42"/>
        <v>362822.21206984209</v>
      </c>
      <c r="I125" s="142">
        <f t="shared" si="42"/>
        <v>427505.42965644418</v>
      </c>
      <c r="J125" s="142">
        <f t="shared" si="42"/>
        <v>406607.18098809203</v>
      </c>
      <c r="K125" s="142">
        <f t="shared" si="42"/>
        <v>453277.4967244466</v>
      </c>
      <c r="L125" s="142">
        <f t="shared" si="42"/>
        <v>473201.52578058117</v>
      </c>
      <c r="M125" s="142">
        <f t="shared" si="42"/>
        <v>413291.31921144883</v>
      </c>
      <c r="N125" s="142">
        <f t="shared" si="42"/>
        <v>431407.70326014364</v>
      </c>
      <c r="O125" s="142">
        <f t="shared" si="42"/>
        <v>415987.70876378671</v>
      </c>
      <c r="P125" s="142">
        <f t="shared" si="42"/>
        <v>380167.47491039807</v>
      </c>
      <c r="Q125" s="142">
        <f>SUM(Q99,Q101,Q110,Q112,Q117,Q119,Q121)</f>
        <v>422301.19108681608</v>
      </c>
      <c r="R125" s="142"/>
      <c r="S125" s="143">
        <f>SUM(F125:R125)</f>
        <v>4999073.2189288223</v>
      </c>
      <c r="T125" s="142"/>
      <c r="U125" s="142"/>
      <c r="V125" s="142"/>
      <c r="W125" s="142"/>
      <c r="X125" s="142"/>
      <c r="Y125" s="142"/>
    </row>
    <row r="126" spans="1:25">
      <c r="C126" s="139"/>
      <c r="D126" s="139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70"/>
      <c r="T126" s="142"/>
      <c r="U126" s="142"/>
      <c r="V126" s="142"/>
      <c r="W126" s="142"/>
      <c r="X126" s="142"/>
      <c r="Y126" s="142"/>
    </row>
    <row r="127" spans="1:25">
      <c r="C127" s="139"/>
      <c r="D127" s="139"/>
      <c r="E127" s="132" t="s">
        <v>151</v>
      </c>
      <c r="F127" s="142">
        <f>+F103+F114+F123</f>
        <v>597910.07195456396</v>
      </c>
      <c r="G127" s="142">
        <f t="shared" ref="G127:Q127" si="43">+G103+G114+G123</f>
        <v>752292.14986813557</v>
      </c>
      <c r="H127" s="142">
        <f t="shared" si="43"/>
        <v>616315.89722912665</v>
      </c>
      <c r="I127" s="142">
        <f t="shared" si="43"/>
        <v>741870.14974808693</v>
      </c>
      <c r="J127" s="142">
        <f t="shared" si="43"/>
        <v>675925.64774320554</v>
      </c>
      <c r="K127" s="142">
        <f t="shared" si="43"/>
        <v>765220.02973218146</v>
      </c>
      <c r="L127" s="142">
        <f t="shared" si="43"/>
        <v>802804.22221545281</v>
      </c>
      <c r="M127" s="142">
        <f t="shared" si="43"/>
        <v>700947.8142210131</v>
      </c>
      <c r="N127" s="142">
        <f t="shared" si="43"/>
        <v>727988.67114251805</v>
      </c>
      <c r="O127" s="142">
        <f t="shared" si="43"/>
        <v>692347.33196073002</v>
      </c>
      <c r="P127" s="142">
        <f t="shared" si="43"/>
        <v>638222.98101494333</v>
      </c>
      <c r="Q127" s="142">
        <f t="shared" si="43"/>
        <v>696685.13982436527</v>
      </c>
      <c r="R127" s="142"/>
      <c r="S127" s="142">
        <f>+S103+S114+S123</f>
        <v>8408530.1066543236</v>
      </c>
      <c r="T127" s="142"/>
      <c r="U127" s="142"/>
      <c r="V127" s="142"/>
      <c r="W127" s="142"/>
      <c r="X127" s="142"/>
      <c r="Y127" s="142"/>
    </row>
    <row r="128" spans="1:25">
      <c r="C128" s="139"/>
      <c r="D128" s="139"/>
      <c r="E128" s="167" t="s">
        <v>127</v>
      </c>
      <c r="F128" s="168">
        <f>+F127/F94-1</f>
        <v>-5.0192573897809734E-2</v>
      </c>
      <c r="G128" s="168">
        <f t="shared" ref="G128:Q128" si="44">+G127/G94-1</f>
        <v>1.2292137329519504E-2</v>
      </c>
      <c r="H128" s="168">
        <f t="shared" si="44"/>
        <v>2.8736146248700134E-2</v>
      </c>
      <c r="I128" s="168">
        <f t="shared" si="44"/>
        <v>3.03389887059482E-2</v>
      </c>
      <c r="J128" s="168">
        <f t="shared" si="44"/>
        <v>2.1312046743047874E-2</v>
      </c>
      <c r="K128" s="168">
        <f t="shared" si="44"/>
        <v>-1.0182078226939617E-2</v>
      </c>
      <c r="L128" s="168">
        <f t="shared" si="44"/>
        <v>1.3025539838891209E-2</v>
      </c>
      <c r="M128" s="168">
        <f t="shared" si="44"/>
        <v>1.3172621044640342E-2</v>
      </c>
      <c r="N128" s="168">
        <f t="shared" si="44"/>
        <v>1.4201396535982846E-2</v>
      </c>
      <c r="O128" s="168">
        <f t="shared" si="44"/>
        <v>1.9013137807549541E-2</v>
      </c>
      <c r="P128" s="168">
        <f t="shared" si="44"/>
        <v>2.4167001274053801E-2</v>
      </c>
      <c r="Q128" s="168">
        <f t="shared" si="44"/>
        <v>6.4763443750472938E-3</v>
      </c>
      <c r="R128" s="168"/>
      <c r="S128" s="168">
        <f>+S127/S94-1</f>
        <v>1.0202625131282117E-2</v>
      </c>
      <c r="T128" s="142"/>
      <c r="U128" s="142"/>
      <c r="V128" s="142"/>
      <c r="W128" s="142"/>
      <c r="X128" s="142"/>
      <c r="Y128" s="142"/>
    </row>
    <row r="129" spans="3:25">
      <c r="C129" s="139"/>
      <c r="D129" s="139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70"/>
      <c r="T129" s="142"/>
      <c r="U129" s="142"/>
      <c r="V129" s="142"/>
      <c r="W129" s="142"/>
      <c r="X129" s="142"/>
      <c r="Y129" s="142"/>
    </row>
    <row r="130" spans="3:25">
      <c r="C130" s="139"/>
      <c r="D130" s="139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70"/>
      <c r="T130" s="142"/>
      <c r="U130" s="142"/>
      <c r="V130" s="142"/>
      <c r="W130" s="142"/>
      <c r="X130" s="142"/>
      <c r="Y130" s="142"/>
    </row>
    <row r="131" spans="3:25"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70"/>
      <c r="T131" s="142"/>
      <c r="U131" s="142"/>
      <c r="V131" s="142"/>
      <c r="W131" s="142"/>
      <c r="X131" s="142"/>
      <c r="Y131" s="142"/>
    </row>
    <row r="132" spans="3:25"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70"/>
      <c r="T132" s="142"/>
      <c r="U132" s="142"/>
      <c r="V132" s="142"/>
      <c r="W132" s="142"/>
      <c r="X132" s="142"/>
      <c r="Y132" s="142"/>
    </row>
    <row r="133" spans="3:25"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70"/>
      <c r="T133" s="142"/>
      <c r="U133" s="142"/>
      <c r="V133" s="142"/>
      <c r="W133" s="142"/>
      <c r="X133" s="142"/>
      <c r="Y133" s="142"/>
    </row>
    <row r="134" spans="3:25"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70"/>
      <c r="T134" s="142"/>
      <c r="U134" s="142"/>
      <c r="V134" s="142"/>
      <c r="W134" s="142"/>
      <c r="X134" s="142"/>
      <c r="Y134" s="142"/>
    </row>
    <row r="135" spans="3:25"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70"/>
      <c r="T135" s="142"/>
      <c r="U135" s="142"/>
      <c r="V135" s="142"/>
      <c r="W135" s="142"/>
      <c r="X135" s="142"/>
      <c r="Y135" s="142"/>
    </row>
    <row r="136" spans="3:25"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70"/>
      <c r="T136" s="142"/>
      <c r="U136" s="142"/>
      <c r="V136" s="142"/>
      <c r="W136" s="142"/>
      <c r="X136" s="142"/>
      <c r="Y136" s="142"/>
    </row>
    <row r="137" spans="3:25"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70"/>
      <c r="T137" s="142"/>
      <c r="U137" s="142"/>
      <c r="V137" s="142"/>
      <c r="W137" s="142"/>
      <c r="X137" s="142"/>
      <c r="Y137" s="142"/>
    </row>
    <row r="138" spans="3:25"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70"/>
      <c r="T138" s="142"/>
      <c r="U138" s="142"/>
      <c r="V138" s="142"/>
      <c r="W138" s="142"/>
      <c r="X138" s="142"/>
      <c r="Y138" s="142"/>
    </row>
    <row r="139" spans="3:25"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70"/>
      <c r="T139" s="142"/>
      <c r="U139" s="142"/>
      <c r="V139" s="142"/>
      <c r="W139" s="142"/>
      <c r="X139" s="142"/>
      <c r="Y139" s="142"/>
    </row>
    <row r="140" spans="3:25"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70"/>
      <c r="T140" s="142"/>
      <c r="U140" s="142"/>
      <c r="V140" s="142"/>
      <c r="W140" s="142"/>
      <c r="X140" s="142"/>
      <c r="Y140" s="142"/>
    </row>
    <row r="141" spans="3:25"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70"/>
      <c r="T141" s="142"/>
      <c r="U141" s="142"/>
      <c r="V141" s="142"/>
      <c r="W141" s="142"/>
      <c r="X141" s="142"/>
      <c r="Y141" s="142"/>
    </row>
    <row r="142" spans="3:25"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70"/>
      <c r="T142" s="142"/>
      <c r="U142" s="142"/>
      <c r="V142" s="142"/>
      <c r="W142" s="142"/>
      <c r="X142" s="142"/>
      <c r="Y142" s="142"/>
    </row>
    <row r="143" spans="3:25"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70"/>
      <c r="T143" s="142"/>
      <c r="U143" s="142"/>
      <c r="V143" s="142"/>
      <c r="W143" s="142"/>
      <c r="X143" s="142"/>
      <c r="Y143" s="142"/>
    </row>
    <row r="144" spans="3:25"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70"/>
      <c r="T144" s="142"/>
      <c r="U144" s="142"/>
      <c r="V144" s="142"/>
      <c r="W144" s="142"/>
      <c r="X144" s="142"/>
      <c r="Y144" s="142"/>
    </row>
    <row r="145" spans="6:25"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70"/>
      <c r="T145" s="142"/>
      <c r="U145" s="142"/>
      <c r="V145" s="142"/>
      <c r="W145" s="142"/>
      <c r="X145" s="142"/>
      <c r="Y145" s="142"/>
    </row>
    <row r="146" spans="6:25"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70"/>
      <c r="T146" s="142"/>
      <c r="U146" s="142"/>
      <c r="V146" s="142"/>
      <c r="W146" s="142"/>
      <c r="X146" s="142"/>
      <c r="Y146" s="142"/>
    </row>
    <row r="147" spans="6:25"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70"/>
      <c r="T147" s="142"/>
      <c r="U147" s="142"/>
      <c r="V147" s="142"/>
      <c r="W147" s="142"/>
      <c r="X147" s="142"/>
      <c r="Y147" s="142"/>
    </row>
    <row r="148" spans="6:25"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70"/>
      <c r="T148" s="142"/>
      <c r="U148" s="142"/>
      <c r="V148" s="142"/>
      <c r="W148" s="142"/>
      <c r="X148" s="142"/>
      <c r="Y148" s="142"/>
    </row>
    <row r="149" spans="6:25"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70"/>
      <c r="T149" s="142"/>
      <c r="U149" s="142"/>
      <c r="V149" s="142"/>
      <c r="W149" s="142"/>
      <c r="X149" s="142"/>
      <c r="Y149" s="142"/>
    </row>
    <row r="150" spans="6:25"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70"/>
      <c r="T150" s="142"/>
      <c r="U150" s="142"/>
      <c r="V150" s="142"/>
      <c r="W150" s="142"/>
      <c r="X150" s="142"/>
      <c r="Y150" s="142"/>
    </row>
    <row r="151" spans="6:25"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70"/>
      <c r="T151" s="142"/>
      <c r="U151" s="142"/>
      <c r="V151" s="142"/>
      <c r="W151" s="142"/>
      <c r="X151" s="142"/>
      <c r="Y151" s="142"/>
    </row>
    <row r="152" spans="6:25"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70"/>
      <c r="T152" s="142"/>
      <c r="U152" s="142"/>
      <c r="V152" s="142"/>
      <c r="W152" s="142"/>
      <c r="X152" s="142"/>
      <c r="Y152" s="142"/>
    </row>
    <row r="153" spans="6:25"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70"/>
      <c r="T153" s="142"/>
      <c r="U153" s="142"/>
      <c r="V153" s="142"/>
      <c r="W153" s="142"/>
      <c r="X153" s="142"/>
      <c r="Y153" s="142"/>
    </row>
    <row r="154" spans="6:25"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70"/>
      <c r="T154" s="142"/>
      <c r="U154" s="142"/>
      <c r="V154" s="142"/>
      <c r="W154" s="142"/>
      <c r="X154" s="142"/>
      <c r="Y154" s="142"/>
    </row>
    <row r="155" spans="6:25"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70"/>
      <c r="T155" s="142"/>
      <c r="U155" s="142"/>
      <c r="V155" s="142"/>
      <c r="W155" s="142"/>
      <c r="X155" s="142"/>
      <c r="Y155" s="142"/>
    </row>
    <row r="156" spans="6:25"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70"/>
      <c r="T156" s="142"/>
      <c r="U156" s="142"/>
      <c r="V156" s="142"/>
      <c r="W156" s="142"/>
      <c r="X156" s="142"/>
      <c r="Y156" s="142"/>
    </row>
    <row r="157" spans="6:25"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70"/>
      <c r="T157" s="142"/>
      <c r="U157" s="142"/>
      <c r="V157" s="142"/>
      <c r="W157" s="142"/>
      <c r="X157" s="142"/>
      <c r="Y157" s="142"/>
    </row>
    <row r="158" spans="6:25"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70"/>
      <c r="T158" s="142"/>
      <c r="U158" s="142"/>
      <c r="V158" s="142"/>
      <c r="W158" s="142"/>
      <c r="X158" s="142"/>
      <c r="Y158" s="142"/>
    </row>
    <row r="159" spans="6:25"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70"/>
      <c r="T159" s="142"/>
      <c r="U159" s="142"/>
      <c r="V159" s="142"/>
      <c r="W159" s="142"/>
      <c r="X159" s="142"/>
      <c r="Y159" s="142"/>
    </row>
    <row r="160" spans="6:25"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70"/>
      <c r="T160" s="142"/>
      <c r="U160" s="142"/>
      <c r="V160" s="142"/>
      <c r="W160" s="142"/>
      <c r="X160" s="142"/>
      <c r="Y160" s="142"/>
    </row>
    <row r="161" spans="6:25"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70"/>
      <c r="T161" s="142"/>
      <c r="U161" s="142"/>
      <c r="V161" s="142"/>
      <c r="W161" s="142"/>
      <c r="X161" s="142"/>
      <c r="Y161" s="142"/>
    </row>
    <row r="162" spans="6:25"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70"/>
      <c r="T162" s="142"/>
      <c r="U162" s="142"/>
      <c r="V162" s="142"/>
      <c r="W162" s="142"/>
      <c r="X162" s="142"/>
      <c r="Y162" s="142"/>
    </row>
    <row r="163" spans="6:25"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70"/>
      <c r="T163" s="142"/>
      <c r="U163" s="142"/>
      <c r="V163" s="142"/>
      <c r="W163" s="142"/>
      <c r="X163" s="142"/>
      <c r="Y163" s="142"/>
    </row>
    <row r="164" spans="6:25"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70"/>
      <c r="T164" s="142"/>
      <c r="U164" s="142"/>
      <c r="V164" s="142"/>
      <c r="W164" s="142"/>
      <c r="X164" s="142"/>
      <c r="Y164" s="142"/>
    </row>
    <row r="165" spans="6:25"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70"/>
      <c r="T165" s="142"/>
      <c r="U165" s="142"/>
      <c r="V165" s="142"/>
      <c r="W165" s="142"/>
      <c r="X165" s="142"/>
      <c r="Y165" s="142"/>
    </row>
    <row r="166" spans="6:25"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70"/>
      <c r="T166" s="142"/>
      <c r="U166" s="142"/>
      <c r="V166" s="142"/>
      <c r="W166" s="142"/>
      <c r="X166" s="142"/>
      <c r="Y166" s="142"/>
    </row>
    <row r="167" spans="6:25"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70"/>
      <c r="T167" s="142"/>
      <c r="U167" s="142"/>
      <c r="V167" s="142"/>
      <c r="W167" s="142"/>
      <c r="X167" s="142"/>
      <c r="Y167" s="142"/>
    </row>
    <row r="168" spans="6:25"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70"/>
      <c r="T168" s="142"/>
      <c r="U168" s="142"/>
      <c r="V168" s="142"/>
      <c r="W168" s="142"/>
      <c r="X168" s="142"/>
      <c r="Y168" s="142"/>
    </row>
    <row r="169" spans="6:25"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70"/>
      <c r="T169" s="142"/>
      <c r="U169" s="142"/>
      <c r="V169" s="142"/>
      <c r="W169" s="142"/>
      <c r="X169" s="142"/>
      <c r="Y169" s="142"/>
    </row>
    <row r="170" spans="6:25"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70"/>
      <c r="T170" s="142"/>
      <c r="U170" s="142"/>
      <c r="V170" s="142"/>
      <c r="W170" s="142"/>
      <c r="X170" s="142"/>
      <c r="Y170" s="142"/>
    </row>
    <row r="171" spans="6:25"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70"/>
      <c r="T171" s="142"/>
      <c r="U171" s="142"/>
      <c r="V171" s="142"/>
      <c r="W171" s="142"/>
      <c r="X171" s="142"/>
      <c r="Y171" s="142"/>
    </row>
    <row r="172" spans="6:25"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70"/>
      <c r="T172" s="142"/>
      <c r="U172" s="142"/>
      <c r="V172" s="142"/>
      <c r="W172" s="142"/>
      <c r="X172" s="142"/>
      <c r="Y172" s="142"/>
    </row>
    <row r="173" spans="6:25"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70"/>
      <c r="T173" s="142"/>
      <c r="U173" s="142"/>
      <c r="V173" s="142"/>
      <c r="W173" s="142"/>
      <c r="X173" s="142"/>
      <c r="Y173" s="142"/>
    </row>
    <row r="174" spans="6:25"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70"/>
      <c r="T174" s="142"/>
      <c r="U174" s="142"/>
      <c r="V174" s="142"/>
      <c r="W174" s="142"/>
      <c r="X174" s="142"/>
      <c r="Y174" s="142"/>
    </row>
    <row r="175" spans="6:25"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70"/>
      <c r="T175" s="142"/>
      <c r="U175" s="142"/>
      <c r="V175" s="142"/>
      <c r="W175" s="142"/>
      <c r="X175" s="142"/>
      <c r="Y175" s="142"/>
    </row>
    <row r="176" spans="6:25"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70"/>
      <c r="T176" s="142"/>
      <c r="U176" s="142"/>
      <c r="V176" s="142"/>
      <c r="W176" s="142"/>
      <c r="X176" s="142"/>
      <c r="Y176" s="142"/>
    </row>
    <row r="177" spans="6:25"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70"/>
      <c r="T177" s="142"/>
      <c r="U177" s="142"/>
      <c r="V177" s="142"/>
      <c r="W177" s="142"/>
      <c r="X177" s="142"/>
      <c r="Y177" s="142"/>
    </row>
    <row r="178" spans="6:25"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70"/>
      <c r="T178" s="142"/>
      <c r="U178" s="142"/>
      <c r="V178" s="142"/>
      <c r="W178" s="142"/>
      <c r="X178" s="142"/>
      <c r="Y178" s="142"/>
    </row>
    <row r="179" spans="6:25"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70"/>
      <c r="T179" s="142"/>
      <c r="U179" s="142"/>
      <c r="V179" s="142"/>
      <c r="W179" s="142"/>
      <c r="X179" s="142"/>
      <c r="Y179" s="142"/>
    </row>
    <row r="180" spans="6:25"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70"/>
      <c r="T180" s="142"/>
      <c r="U180" s="142"/>
      <c r="V180" s="142"/>
      <c r="W180" s="142"/>
      <c r="X180" s="142"/>
      <c r="Y180" s="142"/>
    </row>
    <row r="181" spans="6:25"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70"/>
      <c r="T181" s="142"/>
      <c r="U181" s="142"/>
      <c r="V181" s="142"/>
      <c r="W181" s="142"/>
      <c r="X181" s="142"/>
      <c r="Y181" s="142"/>
    </row>
    <row r="182" spans="6:25"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70"/>
      <c r="T182" s="142"/>
      <c r="U182" s="142"/>
      <c r="V182" s="142"/>
      <c r="W182" s="142"/>
      <c r="X182" s="142"/>
      <c r="Y182" s="142"/>
    </row>
    <row r="183" spans="6:25"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70"/>
      <c r="T183" s="142"/>
      <c r="U183" s="142"/>
      <c r="V183" s="142"/>
      <c r="W183" s="142"/>
      <c r="X183" s="142"/>
      <c r="Y183" s="142"/>
    </row>
    <row r="184" spans="6:25"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70"/>
      <c r="T184" s="142"/>
      <c r="U184" s="142"/>
      <c r="V184" s="142"/>
      <c r="W184" s="142"/>
      <c r="X184" s="142"/>
      <c r="Y184" s="142"/>
    </row>
    <row r="185" spans="6:25"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70"/>
      <c r="T185" s="142"/>
      <c r="U185" s="142"/>
      <c r="V185" s="142"/>
      <c r="W185" s="142"/>
      <c r="X185" s="142"/>
      <c r="Y185" s="142"/>
    </row>
    <row r="186" spans="6:25"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70"/>
      <c r="T186" s="142"/>
      <c r="U186" s="142"/>
      <c r="V186" s="142"/>
      <c r="W186" s="142"/>
      <c r="X186" s="142"/>
      <c r="Y186" s="142"/>
    </row>
    <row r="187" spans="6:25"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70"/>
      <c r="T187" s="142"/>
      <c r="U187" s="142"/>
      <c r="V187" s="142"/>
      <c r="W187" s="142"/>
      <c r="X187" s="142"/>
      <c r="Y187" s="142"/>
    </row>
    <row r="188" spans="6:25"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70"/>
      <c r="T188" s="142"/>
      <c r="U188" s="142"/>
      <c r="V188" s="142"/>
      <c r="W188" s="142"/>
      <c r="X188" s="142"/>
      <c r="Y188" s="142"/>
    </row>
    <row r="189" spans="6:25"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70"/>
      <c r="T189" s="142"/>
      <c r="U189" s="142"/>
      <c r="V189" s="142"/>
      <c r="W189" s="142"/>
      <c r="X189" s="142"/>
      <c r="Y189" s="142"/>
    </row>
    <row r="190" spans="6:25"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70"/>
      <c r="T190" s="142"/>
      <c r="U190" s="142"/>
      <c r="V190" s="142"/>
      <c r="W190" s="142"/>
      <c r="X190" s="142"/>
      <c r="Y190" s="142"/>
    </row>
    <row r="191" spans="6:25"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70"/>
      <c r="T191" s="142"/>
      <c r="U191" s="142"/>
      <c r="V191" s="142"/>
      <c r="W191" s="142"/>
      <c r="X191" s="142"/>
      <c r="Y191" s="142"/>
    </row>
    <row r="192" spans="6:25"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70"/>
      <c r="T192" s="142"/>
      <c r="U192" s="142"/>
      <c r="V192" s="142"/>
      <c r="W192" s="142"/>
      <c r="X192" s="142"/>
      <c r="Y192" s="142"/>
    </row>
    <row r="193" spans="6:25"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70"/>
      <c r="T193" s="142"/>
      <c r="U193" s="142"/>
      <c r="V193" s="142"/>
      <c r="W193" s="142"/>
      <c r="X193" s="142"/>
      <c r="Y193" s="142"/>
    </row>
    <row r="194" spans="6:25"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70"/>
      <c r="T194" s="142"/>
      <c r="U194" s="142"/>
      <c r="V194" s="142"/>
      <c r="W194" s="142"/>
      <c r="X194" s="142"/>
      <c r="Y194" s="142"/>
    </row>
    <row r="195" spans="6:25"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70"/>
      <c r="T195" s="142"/>
      <c r="U195" s="142"/>
      <c r="V195" s="142"/>
      <c r="W195" s="142"/>
      <c r="X195" s="142"/>
      <c r="Y195" s="142"/>
    </row>
    <row r="196" spans="6:25"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70"/>
      <c r="T196" s="142"/>
      <c r="U196" s="142"/>
      <c r="V196" s="142"/>
      <c r="W196" s="142"/>
      <c r="X196" s="142"/>
      <c r="Y196" s="142"/>
    </row>
    <row r="197" spans="6:25"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70"/>
      <c r="T197" s="142"/>
      <c r="U197" s="142"/>
      <c r="V197" s="142"/>
      <c r="W197" s="142"/>
      <c r="X197" s="142"/>
      <c r="Y197" s="142"/>
    </row>
    <row r="198" spans="6:25"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70"/>
      <c r="T198" s="142"/>
      <c r="U198" s="142"/>
      <c r="V198" s="142"/>
      <c r="W198" s="142"/>
      <c r="X198" s="142"/>
      <c r="Y198" s="142"/>
    </row>
    <row r="199" spans="6:25"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70"/>
      <c r="T199" s="142"/>
      <c r="U199" s="142"/>
      <c r="V199" s="142"/>
      <c r="W199" s="142"/>
      <c r="X199" s="142"/>
      <c r="Y199" s="142"/>
    </row>
    <row r="200" spans="6:25"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70"/>
      <c r="T200" s="142"/>
      <c r="U200" s="142"/>
      <c r="V200" s="142"/>
      <c r="W200" s="142"/>
      <c r="X200" s="142"/>
      <c r="Y200" s="142"/>
    </row>
    <row r="201" spans="6:25"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70"/>
      <c r="T201" s="142"/>
      <c r="U201" s="142"/>
      <c r="V201" s="142"/>
      <c r="W201" s="142"/>
      <c r="X201" s="142"/>
      <c r="Y201" s="142"/>
    </row>
    <row r="202" spans="6:25"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70"/>
      <c r="T202" s="142"/>
      <c r="U202" s="142"/>
      <c r="V202" s="142"/>
      <c r="W202" s="142"/>
      <c r="X202" s="142"/>
      <c r="Y202" s="142"/>
    </row>
    <row r="203" spans="6:25"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70"/>
      <c r="T203" s="142"/>
      <c r="U203" s="142"/>
      <c r="V203" s="142"/>
      <c r="W203" s="142"/>
      <c r="X203" s="142"/>
      <c r="Y203" s="142"/>
    </row>
    <row r="204" spans="6:25"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70"/>
      <c r="T204" s="142"/>
      <c r="U204" s="142"/>
      <c r="V204" s="142"/>
      <c r="W204" s="142"/>
      <c r="X204" s="142"/>
      <c r="Y204" s="142"/>
    </row>
    <row r="205" spans="6:25"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70"/>
      <c r="T205" s="142"/>
      <c r="U205" s="142"/>
      <c r="V205" s="142"/>
      <c r="W205" s="142"/>
      <c r="X205" s="142"/>
      <c r="Y205" s="142"/>
    </row>
    <row r="206" spans="6:25"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70"/>
      <c r="T206" s="142"/>
      <c r="U206" s="142"/>
      <c r="V206" s="142"/>
      <c r="W206" s="142"/>
      <c r="X206" s="142"/>
      <c r="Y206" s="142"/>
    </row>
    <row r="207" spans="6:25"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70"/>
      <c r="T207" s="142"/>
      <c r="U207" s="142"/>
      <c r="V207" s="142"/>
      <c r="W207" s="142"/>
      <c r="X207" s="142"/>
      <c r="Y207" s="142"/>
    </row>
    <row r="208" spans="6:25"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70"/>
      <c r="T208" s="142"/>
      <c r="U208" s="142"/>
      <c r="V208" s="142"/>
      <c r="W208" s="142"/>
      <c r="X208" s="142"/>
      <c r="Y208" s="142"/>
    </row>
    <row r="209" spans="6:25"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70"/>
      <c r="T209" s="142"/>
      <c r="U209" s="142"/>
      <c r="V209" s="142"/>
      <c r="W209" s="142"/>
      <c r="X209" s="142"/>
      <c r="Y209" s="142"/>
    </row>
    <row r="210" spans="6:25"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70"/>
      <c r="T210" s="142"/>
      <c r="U210" s="142"/>
      <c r="V210" s="142"/>
      <c r="W210" s="142"/>
      <c r="X210" s="142"/>
      <c r="Y210" s="142"/>
    </row>
    <row r="211" spans="6:25"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70"/>
      <c r="T211" s="142"/>
      <c r="U211" s="142"/>
      <c r="V211" s="142"/>
      <c r="W211" s="142"/>
      <c r="X211" s="142"/>
      <c r="Y211" s="142"/>
    </row>
    <row r="212" spans="6:25"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70"/>
      <c r="T212" s="142"/>
      <c r="U212" s="142"/>
      <c r="V212" s="142"/>
      <c r="W212" s="142"/>
      <c r="X212" s="142"/>
      <c r="Y212" s="142"/>
    </row>
    <row r="213" spans="6:25"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70"/>
      <c r="T213" s="142"/>
      <c r="U213" s="142"/>
      <c r="V213" s="142"/>
      <c r="W213" s="142"/>
      <c r="X213" s="142"/>
      <c r="Y213" s="142"/>
    </row>
    <row r="214" spans="6:25"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70"/>
      <c r="T214" s="142"/>
      <c r="U214" s="142"/>
      <c r="V214" s="142"/>
      <c r="W214" s="142"/>
      <c r="X214" s="142"/>
      <c r="Y214" s="142"/>
    </row>
    <row r="215" spans="6:25"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70"/>
      <c r="T215" s="142"/>
      <c r="U215" s="142"/>
      <c r="V215" s="142"/>
      <c r="W215" s="142"/>
      <c r="X215" s="142"/>
      <c r="Y215" s="142"/>
    </row>
    <row r="216" spans="6:25"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70"/>
      <c r="T216" s="142"/>
      <c r="U216" s="142"/>
      <c r="V216" s="142"/>
      <c r="W216" s="142"/>
      <c r="X216" s="142"/>
      <c r="Y216" s="142"/>
    </row>
    <row r="217" spans="6:25"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70"/>
      <c r="T217" s="142"/>
      <c r="U217" s="142"/>
      <c r="V217" s="142"/>
      <c r="W217" s="142"/>
      <c r="X217" s="142"/>
      <c r="Y217" s="142"/>
    </row>
    <row r="218" spans="6:25"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70"/>
      <c r="T218" s="142"/>
      <c r="U218" s="142"/>
      <c r="V218" s="142"/>
      <c r="W218" s="142"/>
      <c r="X218" s="142"/>
      <c r="Y218" s="142"/>
    </row>
    <row r="219" spans="6:25"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70"/>
      <c r="T219" s="142"/>
      <c r="U219" s="142"/>
      <c r="V219" s="142"/>
      <c r="W219" s="142"/>
      <c r="X219" s="142"/>
      <c r="Y219" s="142"/>
    </row>
    <row r="220" spans="6:25"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70"/>
      <c r="T220" s="142"/>
      <c r="U220" s="142"/>
      <c r="V220" s="142"/>
      <c r="W220" s="142"/>
      <c r="X220" s="142"/>
      <c r="Y220" s="142"/>
    </row>
    <row r="221" spans="6:25"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70"/>
      <c r="T221" s="142"/>
      <c r="U221" s="142"/>
      <c r="V221" s="142"/>
      <c r="W221" s="142"/>
      <c r="X221" s="142"/>
      <c r="Y221" s="142"/>
    </row>
    <row r="222" spans="6:25"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70"/>
      <c r="T222" s="142"/>
      <c r="U222" s="142"/>
      <c r="V222" s="142"/>
      <c r="W222" s="142"/>
      <c r="X222" s="142"/>
      <c r="Y222" s="142"/>
    </row>
    <row r="223" spans="6:25"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70"/>
      <c r="T223" s="142"/>
      <c r="U223" s="142"/>
      <c r="V223" s="142"/>
      <c r="W223" s="142"/>
      <c r="X223" s="142"/>
      <c r="Y223" s="142"/>
    </row>
    <row r="224" spans="6:25"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70"/>
      <c r="T224" s="142"/>
      <c r="U224" s="142"/>
      <c r="V224" s="142"/>
      <c r="W224" s="142"/>
      <c r="X224" s="142"/>
      <c r="Y224" s="142"/>
    </row>
    <row r="225" spans="6:25"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70"/>
      <c r="T225" s="142"/>
      <c r="U225" s="142"/>
      <c r="V225" s="142"/>
      <c r="W225" s="142"/>
      <c r="X225" s="142"/>
      <c r="Y225" s="142"/>
    </row>
    <row r="226" spans="6:25"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70"/>
      <c r="T226" s="142"/>
      <c r="U226" s="142"/>
      <c r="V226" s="142"/>
      <c r="W226" s="142"/>
      <c r="X226" s="142"/>
      <c r="Y226" s="142"/>
    </row>
    <row r="227" spans="6:25"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70"/>
      <c r="T227" s="142"/>
      <c r="U227" s="142"/>
      <c r="V227" s="142"/>
      <c r="W227" s="142"/>
      <c r="X227" s="142"/>
      <c r="Y227" s="142"/>
    </row>
    <row r="228" spans="6:25"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70"/>
      <c r="T228" s="142"/>
      <c r="U228" s="142"/>
      <c r="V228" s="142"/>
      <c r="W228" s="142"/>
      <c r="X228" s="142"/>
      <c r="Y228" s="142"/>
    </row>
    <row r="229" spans="6:25"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70"/>
      <c r="T229" s="142"/>
      <c r="U229" s="142"/>
      <c r="V229" s="142"/>
      <c r="W229" s="142"/>
      <c r="X229" s="142"/>
      <c r="Y229" s="142"/>
    </row>
    <row r="230" spans="6:25"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70"/>
      <c r="T230" s="142"/>
      <c r="U230" s="142"/>
      <c r="V230" s="142"/>
      <c r="W230" s="142"/>
      <c r="X230" s="142"/>
      <c r="Y230" s="142"/>
    </row>
    <row r="231" spans="6:25"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70"/>
      <c r="T231" s="142"/>
      <c r="U231" s="142"/>
      <c r="V231" s="142"/>
      <c r="W231" s="142"/>
      <c r="X231" s="142"/>
      <c r="Y231" s="142"/>
    </row>
    <row r="232" spans="6:25"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70"/>
      <c r="T232" s="142"/>
      <c r="U232" s="142"/>
      <c r="V232" s="142"/>
      <c r="W232" s="142"/>
      <c r="X232" s="142"/>
      <c r="Y232" s="142"/>
    </row>
    <row r="233" spans="6:25"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70"/>
      <c r="T233" s="142"/>
      <c r="U233" s="142"/>
      <c r="V233" s="142"/>
      <c r="W233" s="142"/>
      <c r="X233" s="142"/>
      <c r="Y233" s="142"/>
    </row>
    <row r="234" spans="6:25"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70"/>
      <c r="T234" s="142"/>
      <c r="U234" s="142"/>
      <c r="V234" s="142"/>
      <c r="W234" s="142"/>
      <c r="X234" s="142"/>
      <c r="Y234" s="142"/>
    </row>
    <row r="235" spans="6:25"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70"/>
      <c r="T235" s="142"/>
      <c r="U235" s="142"/>
      <c r="V235" s="142"/>
      <c r="W235" s="142"/>
      <c r="X235" s="142"/>
      <c r="Y235" s="142"/>
    </row>
    <row r="236" spans="6:25"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70"/>
      <c r="T236" s="142"/>
      <c r="U236" s="142"/>
      <c r="V236" s="142"/>
      <c r="W236" s="142"/>
      <c r="X236" s="142"/>
      <c r="Y236" s="142"/>
    </row>
    <row r="237" spans="6:25"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70"/>
      <c r="T237" s="142"/>
      <c r="U237" s="142"/>
      <c r="V237" s="142"/>
      <c r="W237" s="142"/>
      <c r="X237" s="142"/>
      <c r="Y237" s="142"/>
    </row>
    <row r="238" spans="6:25"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70"/>
      <c r="T238" s="142"/>
      <c r="U238" s="142"/>
      <c r="V238" s="142"/>
      <c r="W238" s="142"/>
      <c r="X238" s="142"/>
      <c r="Y238" s="142"/>
    </row>
    <row r="239" spans="6:25"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70"/>
      <c r="T239" s="142"/>
      <c r="U239" s="142"/>
      <c r="V239" s="142"/>
      <c r="W239" s="142"/>
      <c r="X239" s="142"/>
      <c r="Y239" s="142"/>
    </row>
    <row r="240" spans="6:25"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70"/>
      <c r="T240" s="142"/>
      <c r="U240" s="142"/>
      <c r="V240" s="142"/>
      <c r="W240" s="142"/>
      <c r="X240" s="142"/>
      <c r="Y240" s="142"/>
    </row>
    <row r="241" spans="6:25"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70"/>
      <c r="T241" s="142"/>
      <c r="U241" s="142"/>
      <c r="V241" s="142"/>
      <c r="W241" s="142"/>
      <c r="X241" s="142"/>
      <c r="Y241" s="142"/>
    </row>
    <row r="242" spans="6:25"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70"/>
      <c r="T242" s="142"/>
      <c r="U242" s="142"/>
      <c r="V242" s="142"/>
      <c r="W242" s="142"/>
      <c r="X242" s="142"/>
      <c r="Y242" s="142"/>
    </row>
    <row r="243" spans="6:25"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70"/>
      <c r="T243" s="142"/>
      <c r="U243" s="142"/>
      <c r="V243" s="142"/>
      <c r="W243" s="142"/>
      <c r="X243" s="142"/>
      <c r="Y243" s="142"/>
    </row>
    <row r="244" spans="6:25"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70"/>
      <c r="T244" s="142"/>
      <c r="U244" s="142"/>
      <c r="V244" s="142"/>
      <c r="W244" s="142"/>
      <c r="X244" s="142"/>
      <c r="Y244" s="142"/>
    </row>
    <row r="245" spans="6:25"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70"/>
      <c r="T245" s="142"/>
      <c r="U245" s="142"/>
      <c r="V245" s="142"/>
      <c r="W245" s="142"/>
      <c r="X245" s="142"/>
      <c r="Y245" s="142"/>
    </row>
    <row r="246" spans="6:25"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70"/>
      <c r="T246" s="142"/>
      <c r="U246" s="142"/>
      <c r="V246" s="142"/>
      <c r="W246" s="142"/>
      <c r="X246" s="142"/>
      <c r="Y246" s="142"/>
    </row>
    <row r="247" spans="6:25"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70"/>
      <c r="T247" s="142"/>
      <c r="U247" s="142"/>
      <c r="V247" s="142"/>
      <c r="W247" s="142"/>
      <c r="X247" s="142"/>
      <c r="Y247" s="142"/>
    </row>
    <row r="248" spans="6:25"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70"/>
      <c r="T248" s="142"/>
      <c r="U248" s="142"/>
      <c r="V248" s="142"/>
      <c r="W248" s="142"/>
      <c r="X248" s="142"/>
      <c r="Y248" s="142"/>
    </row>
    <row r="249" spans="6:25"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70"/>
      <c r="T249" s="142"/>
      <c r="U249" s="142"/>
      <c r="V249" s="142"/>
      <c r="W249" s="142"/>
      <c r="X249" s="142"/>
      <c r="Y249" s="142"/>
    </row>
    <row r="250" spans="6:25"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70"/>
      <c r="T250" s="142"/>
      <c r="U250" s="142"/>
      <c r="V250" s="142"/>
      <c r="W250" s="142"/>
      <c r="X250" s="142"/>
      <c r="Y250" s="142"/>
    </row>
    <row r="251" spans="6:25"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70"/>
      <c r="T251" s="142"/>
      <c r="U251" s="142"/>
      <c r="V251" s="142"/>
      <c r="W251" s="142"/>
      <c r="X251" s="142"/>
      <c r="Y251" s="142"/>
    </row>
    <row r="252" spans="6:25"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70"/>
      <c r="T252" s="142"/>
      <c r="U252" s="142"/>
      <c r="V252" s="142"/>
      <c r="W252" s="142"/>
      <c r="X252" s="142"/>
      <c r="Y252" s="142"/>
    </row>
    <row r="253" spans="6:25"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70"/>
      <c r="T253" s="142"/>
      <c r="U253" s="142"/>
      <c r="V253" s="142"/>
      <c r="W253" s="142"/>
      <c r="X253" s="142"/>
      <c r="Y253" s="142"/>
    </row>
    <row r="254" spans="6:25"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70"/>
      <c r="T254" s="142"/>
      <c r="U254" s="142"/>
      <c r="V254" s="142"/>
      <c r="W254" s="142"/>
      <c r="X254" s="142"/>
      <c r="Y254" s="142"/>
    </row>
    <row r="255" spans="6:25"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70"/>
      <c r="T255" s="142"/>
      <c r="U255" s="142"/>
      <c r="V255" s="142"/>
      <c r="W255" s="142"/>
      <c r="X255" s="142"/>
      <c r="Y255" s="142"/>
    </row>
    <row r="256" spans="6:25"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70"/>
      <c r="T256" s="142"/>
      <c r="U256" s="142"/>
      <c r="V256" s="142"/>
      <c r="W256" s="142"/>
      <c r="X256" s="142"/>
      <c r="Y256" s="142"/>
    </row>
    <row r="257" spans="6:25"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70"/>
      <c r="T257" s="142"/>
      <c r="U257" s="142"/>
      <c r="V257" s="142"/>
      <c r="W257" s="142"/>
      <c r="X257" s="142"/>
      <c r="Y257" s="142"/>
    </row>
    <row r="258" spans="6:25"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70"/>
      <c r="T258" s="142"/>
      <c r="U258" s="142"/>
      <c r="V258" s="142"/>
      <c r="W258" s="142"/>
      <c r="X258" s="142"/>
      <c r="Y258" s="142"/>
    </row>
    <row r="259" spans="6:25"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70"/>
      <c r="T259" s="142"/>
      <c r="U259" s="142"/>
      <c r="V259" s="142"/>
      <c r="W259" s="142"/>
      <c r="X259" s="142"/>
      <c r="Y259" s="142"/>
    </row>
    <row r="260" spans="6:25"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70"/>
      <c r="T260" s="142"/>
      <c r="U260" s="142"/>
      <c r="V260" s="142"/>
      <c r="W260" s="142"/>
      <c r="X260" s="142"/>
      <c r="Y260" s="142"/>
    </row>
    <row r="261" spans="6:25"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70"/>
      <c r="T261" s="142"/>
      <c r="U261" s="142"/>
      <c r="V261" s="142"/>
      <c r="W261" s="142"/>
      <c r="X261" s="142"/>
      <c r="Y261" s="142"/>
    </row>
    <row r="262" spans="6:25"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70"/>
      <c r="T262" s="142"/>
      <c r="U262" s="142"/>
      <c r="V262" s="142"/>
      <c r="W262" s="142"/>
      <c r="X262" s="142"/>
      <c r="Y262" s="142"/>
    </row>
    <row r="263" spans="6:25"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70"/>
      <c r="T263" s="142"/>
      <c r="U263" s="142"/>
      <c r="V263" s="142"/>
      <c r="W263" s="142"/>
      <c r="X263" s="142"/>
      <c r="Y263" s="142"/>
    </row>
    <row r="264" spans="6:25"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70"/>
      <c r="T264" s="142"/>
      <c r="U264" s="142"/>
      <c r="V264" s="142"/>
      <c r="W264" s="142"/>
      <c r="X264" s="142"/>
      <c r="Y264" s="142"/>
    </row>
    <row r="265" spans="6:25"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70"/>
      <c r="T265" s="142"/>
      <c r="U265" s="142"/>
      <c r="V265" s="142"/>
      <c r="W265" s="142"/>
      <c r="X265" s="142"/>
      <c r="Y265" s="142"/>
    </row>
    <row r="266" spans="6:25"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70"/>
      <c r="T266" s="142"/>
      <c r="U266" s="142"/>
      <c r="V266" s="142"/>
      <c r="W266" s="142"/>
      <c r="X266" s="142"/>
      <c r="Y266" s="142"/>
    </row>
    <row r="267" spans="6:25"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70"/>
      <c r="T267" s="142"/>
      <c r="U267" s="142"/>
      <c r="V267" s="142"/>
      <c r="W267" s="142"/>
      <c r="X267" s="142"/>
      <c r="Y267" s="142"/>
    </row>
    <row r="268" spans="6:25"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70"/>
      <c r="T268" s="142"/>
      <c r="U268" s="142"/>
      <c r="V268" s="142"/>
      <c r="W268" s="142"/>
      <c r="X268" s="142"/>
      <c r="Y268" s="142"/>
    </row>
    <row r="269" spans="6:25"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70"/>
      <c r="T269" s="142"/>
      <c r="U269" s="142"/>
      <c r="V269" s="142"/>
      <c r="W269" s="142"/>
      <c r="X269" s="142"/>
      <c r="Y269" s="142"/>
    </row>
    <row r="270" spans="6:25"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70"/>
      <c r="T270" s="142"/>
      <c r="U270" s="142"/>
      <c r="V270" s="142"/>
      <c r="W270" s="142"/>
      <c r="X270" s="142"/>
      <c r="Y270" s="142"/>
    </row>
    <row r="271" spans="6:25"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70"/>
      <c r="T271" s="142"/>
      <c r="U271" s="142"/>
      <c r="V271" s="142"/>
      <c r="W271" s="142"/>
      <c r="X271" s="142"/>
      <c r="Y271" s="142"/>
    </row>
    <row r="272" spans="6:25"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70"/>
      <c r="T272" s="142"/>
      <c r="U272" s="142"/>
      <c r="V272" s="142"/>
      <c r="W272" s="142"/>
      <c r="X272" s="142"/>
      <c r="Y272" s="142"/>
    </row>
    <row r="273" spans="6:25"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70"/>
      <c r="T273" s="142"/>
      <c r="U273" s="142"/>
      <c r="V273" s="142"/>
      <c r="W273" s="142"/>
      <c r="X273" s="142"/>
      <c r="Y273" s="142"/>
    </row>
    <row r="274" spans="6:25"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70"/>
      <c r="T274" s="142"/>
      <c r="U274" s="142"/>
      <c r="V274" s="142"/>
      <c r="W274" s="142"/>
      <c r="X274" s="142"/>
      <c r="Y274" s="142"/>
    </row>
    <row r="275" spans="6:25"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70"/>
      <c r="T275" s="142"/>
      <c r="U275" s="142"/>
      <c r="V275" s="142"/>
      <c r="W275" s="142"/>
      <c r="X275" s="142"/>
      <c r="Y275" s="142"/>
    </row>
    <row r="276" spans="6:25"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70"/>
      <c r="T276" s="142"/>
      <c r="U276" s="142"/>
      <c r="V276" s="142"/>
      <c r="W276" s="142"/>
      <c r="X276" s="142"/>
      <c r="Y276" s="142"/>
    </row>
    <row r="277" spans="6:25"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70"/>
      <c r="T277" s="142"/>
      <c r="U277" s="142"/>
      <c r="V277" s="142"/>
      <c r="W277" s="142"/>
      <c r="X277" s="142"/>
      <c r="Y277" s="142"/>
    </row>
    <row r="278" spans="6:25"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70"/>
      <c r="T278" s="142"/>
      <c r="U278" s="142"/>
      <c r="V278" s="142"/>
      <c r="W278" s="142"/>
      <c r="X278" s="142"/>
      <c r="Y278" s="142"/>
    </row>
    <row r="279" spans="6:25"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70"/>
      <c r="T279" s="142"/>
      <c r="U279" s="142"/>
      <c r="V279" s="142"/>
      <c r="W279" s="142"/>
      <c r="X279" s="142"/>
      <c r="Y279" s="142"/>
    </row>
    <row r="280" spans="6:25"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70"/>
      <c r="T280" s="142"/>
      <c r="U280" s="142"/>
      <c r="V280" s="142"/>
      <c r="W280" s="142"/>
      <c r="X280" s="142"/>
      <c r="Y280" s="142"/>
    </row>
    <row r="281" spans="6:25"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70"/>
      <c r="T281" s="142"/>
      <c r="U281" s="142"/>
      <c r="V281" s="142"/>
      <c r="W281" s="142"/>
      <c r="X281" s="142"/>
      <c r="Y281" s="142"/>
    </row>
    <row r="282" spans="6:25"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70"/>
      <c r="T282" s="142"/>
      <c r="U282" s="142"/>
      <c r="V282" s="142"/>
      <c r="W282" s="142"/>
      <c r="X282" s="142"/>
      <c r="Y282" s="142"/>
    </row>
    <row r="283" spans="6:25"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70"/>
      <c r="T283" s="142"/>
      <c r="U283" s="142"/>
      <c r="V283" s="142"/>
      <c r="W283" s="142"/>
      <c r="X283" s="142"/>
      <c r="Y283" s="142"/>
    </row>
    <row r="284" spans="6:25"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70"/>
      <c r="T284" s="142"/>
      <c r="U284" s="142"/>
      <c r="V284" s="142"/>
      <c r="W284" s="142"/>
      <c r="X284" s="142"/>
      <c r="Y284" s="142"/>
    </row>
    <row r="285" spans="6:25"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70"/>
      <c r="T285" s="142"/>
      <c r="U285" s="142"/>
      <c r="V285" s="142"/>
      <c r="W285" s="142"/>
      <c r="X285" s="142"/>
      <c r="Y285" s="142"/>
    </row>
    <row r="286" spans="6:25"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70"/>
      <c r="T286" s="142"/>
      <c r="U286" s="142"/>
      <c r="V286" s="142"/>
      <c r="W286" s="142"/>
      <c r="X286" s="142"/>
      <c r="Y286" s="142"/>
    </row>
    <row r="287" spans="6:25"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70"/>
      <c r="T287" s="142"/>
      <c r="U287" s="142"/>
      <c r="V287" s="142"/>
      <c r="W287" s="142"/>
      <c r="X287" s="142"/>
      <c r="Y287" s="142"/>
    </row>
    <row r="288" spans="6:25"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70"/>
      <c r="T288" s="142"/>
      <c r="U288" s="142"/>
      <c r="V288" s="142"/>
      <c r="W288" s="142"/>
      <c r="X288" s="142"/>
      <c r="Y288" s="142"/>
    </row>
    <row r="289" spans="6:25"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70"/>
      <c r="T289" s="142"/>
      <c r="U289" s="142"/>
      <c r="V289" s="142"/>
      <c r="W289" s="142"/>
      <c r="X289" s="142"/>
      <c r="Y289" s="142"/>
    </row>
    <row r="290" spans="6:25"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70"/>
      <c r="T290" s="142"/>
      <c r="U290" s="142"/>
      <c r="V290" s="142"/>
      <c r="W290" s="142"/>
      <c r="X290" s="142"/>
      <c r="Y290" s="142"/>
    </row>
    <row r="291" spans="6:25"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70"/>
      <c r="T291" s="142"/>
      <c r="U291" s="142"/>
      <c r="V291" s="142"/>
      <c r="W291" s="142"/>
      <c r="X291" s="142"/>
      <c r="Y291" s="142"/>
    </row>
    <row r="292" spans="6:25"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70"/>
      <c r="T292" s="142"/>
      <c r="U292" s="142"/>
      <c r="V292" s="142"/>
      <c r="W292" s="142"/>
      <c r="X292" s="142"/>
      <c r="Y292" s="142"/>
    </row>
    <row r="293" spans="6:25"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70"/>
      <c r="T293" s="142"/>
      <c r="U293" s="142"/>
      <c r="V293" s="142"/>
      <c r="W293" s="142"/>
      <c r="X293" s="142"/>
      <c r="Y293" s="142"/>
    </row>
    <row r="294" spans="6:25"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70"/>
      <c r="T294" s="142"/>
      <c r="U294" s="142"/>
      <c r="V294" s="142"/>
      <c r="W294" s="142"/>
      <c r="X294" s="142"/>
      <c r="Y294" s="142"/>
    </row>
    <row r="295" spans="6:25"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70"/>
      <c r="T295" s="142"/>
      <c r="U295" s="142"/>
      <c r="V295" s="142"/>
      <c r="W295" s="142"/>
      <c r="X295" s="142"/>
      <c r="Y295" s="142"/>
    </row>
    <row r="296" spans="6:25"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70"/>
      <c r="T296" s="142"/>
      <c r="U296" s="142"/>
      <c r="V296" s="142"/>
      <c r="W296" s="142"/>
      <c r="X296" s="142"/>
      <c r="Y296" s="142"/>
    </row>
    <row r="297" spans="6:25"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70"/>
      <c r="T297" s="142"/>
      <c r="U297" s="142"/>
      <c r="V297" s="142"/>
      <c r="W297" s="142"/>
      <c r="X297" s="142"/>
      <c r="Y297" s="142"/>
    </row>
    <row r="298" spans="6:25"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70"/>
      <c r="T298" s="142"/>
      <c r="U298" s="142"/>
      <c r="V298" s="142"/>
      <c r="W298" s="142"/>
      <c r="X298" s="142"/>
      <c r="Y298" s="142"/>
    </row>
    <row r="299" spans="6:25"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70"/>
      <c r="T299" s="142"/>
      <c r="U299" s="142"/>
      <c r="V299" s="142"/>
      <c r="W299" s="142"/>
      <c r="X299" s="142"/>
      <c r="Y299" s="142"/>
    </row>
    <row r="300" spans="6:25"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70"/>
      <c r="T300" s="142"/>
      <c r="U300" s="142"/>
      <c r="V300" s="142"/>
      <c r="W300" s="142"/>
      <c r="X300" s="142"/>
      <c r="Y300" s="142"/>
    </row>
    <row r="301" spans="6:25"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70"/>
      <c r="T301" s="142"/>
      <c r="U301" s="142"/>
      <c r="V301" s="142"/>
      <c r="W301" s="142"/>
      <c r="X301" s="142"/>
      <c r="Y301" s="142"/>
    </row>
    <row r="302" spans="6:25"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70"/>
      <c r="T302" s="142"/>
      <c r="U302" s="142"/>
      <c r="V302" s="142"/>
      <c r="W302" s="142"/>
      <c r="X302" s="142"/>
      <c r="Y302" s="142"/>
    </row>
    <row r="303" spans="6:25"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70"/>
      <c r="T303" s="142"/>
      <c r="U303" s="142"/>
      <c r="V303" s="142"/>
      <c r="W303" s="142"/>
      <c r="X303" s="142"/>
      <c r="Y303" s="142"/>
    </row>
    <row r="304" spans="6:25"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70"/>
      <c r="T304" s="142"/>
      <c r="U304" s="142"/>
      <c r="V304" s="142"/>
      <c r="W304" s="142"/>
      <c r="X304" s="142"/>
      <c r="Y304" s="142"/>
    </row>
    <row r="305" spans="6:25"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70"/>
      <c r="T305" s="142"/>
      <c r="U305" s="142"/>
      <c r="V305" s="142"/>
      <c r="W305" s="142"/>
      <c r="X305" s="142"/>
      <c r="Y305" s="142"/>
    </row>
    <row r="306" spans="6:25"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70"/>
      <c r="T306" s="142"/>
      <c r="U306" s="142"/>
      <c r="V306" s="142"/>
      <c r="W306" s="142"/>
      <c r="X306" s="142"/>
      <c r="Y306" s="142"/>
    </row>
    <row r="307" spans="6:25"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70"/>
      <c r="T307" s="142"/>
      <c r="U307" s="142"/>
      <c r="V307" s="142"/>
      <c r="W307" s="142"/>
      <c r="X307" s="142"/>
      <c r="Y307" s="142"/>
    </row>
    <row r="308" spans="6:25"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70"/>
      <c r="T308" s="142"/>
      <c r="U308" s="142"/>
      <c r="V308" s="142"/>
      <c r="W308" s="142"/>
      <c r="X308" s="142"/>
      <c r="Y308" s="142"/>
    </row>
    <row r="309" spans="6:25"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70"/>
      <c r="T309" s="142"/>
      <c r="U309" s="142"/>
      <c r="V309" s="142"/>
      <c r="W309" s="142"/>
      <c r="X309" s="142"/>
      <c r="Y309" s="142"/>
    </row>
    <row r="310" spans="6:25"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70"/>
      <c r="T310" s="142"/>
      <c r="U310" s="142"/>
      <c r="V310" s="142"/>
      <c r="W310" s="142"/>
      <c r="X310" s="142"/>
      <c r="Y310" s="142"/>
    </row>
    <row r="311" spans="6:25"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70"/>
      <c r="T311" s="142"/>
      <c r="U311" s="142"/>
      <c r="V311" s="142"/>
      <c r="W311" s="142"/>
      <c r="X311" s="142"/>
      <c r="Y311" s="142"/>
    </row>
    <row r="312" spans="6:25"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70"/>
      <c r="T312" s="142"/>
      <c r="U312" s="142"/>
      <c r="V312" s="142"/>
      <c r="W312" s="142"/>
      <c r="X312" s="142"/>
      <c r="Y312" s="142"/>
    </row>
    <row r="313" spans="6:25"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70"/>
      <c r="T313" s="142"/>
      <c r="U313" s="142"/>
      <c r="V313" s="142"/>
      <c r="W313" s="142"/>
      <c r="X313" s="142"/>
      <c r="Y313" s="142"/>
    </row>
    <row r="314" spans="6:25"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70"/>
      <c r="T314" s="142"/>
      <c r="U314" s="142"/>
      <c r="V314" s="142"/>
      <c r="W314" s="142"/>
      <c r="X314" s="142"/>
      <c r="Y314" s="142"/>
    </row>
    <row r="315" spans="6:25"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70"/>
      <c r="T315" s="142"/>
      <c r="U315" s="142"/>
      <c r="V315" s="142"/>
      <c r="W315" s="142"/>
      <c r="X315" s="142"/>
      <c r="Y315" s="142"/>
    </row>
    <row r="316" spans="6:25"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70"/>
      <c r="T316" s="142"/>
      <c r="U316" s="142"/>
      <c r="V316" s="142"/>
      <c r="W316" s="142"/>
      <c r="X316" s="142"/>
      <c r="Y316" s="142"/>
    </row>
    <row r="317" spans="6:25"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70"/>
      <c r="T317" s="142"/>
      <c r="U317" s="142"/>
      <c r="V317" s="142"/>
      <c r="W317" s="142"/>
      <c r="X317" s="142"/>
      <c r="Y317" s="142"/>
    </row>
    <row r="318" spans="6:25"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70"/>
      <c r="T318" s="142"/>
      <c r="U318" s="142"/>
      <c r="V318" s="142"/>
      <c r="W318" s="142"/>
      <c r="X318" s="142"/>
      <c r="Y318" s="142"/>
    </row>
    <row r="319" spans="6:25"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70"/>
      <c r="T319" s="142"/>
      <c r="U319" s="142"/>
      <c r="V319" s="142"/>
      <c r="W319" s="142"/>
      <c r="X319" s="142"/>
      <c r="Y319" s="142"/>
    </row>
    <row r="320" spans="6:25"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70"/>
      <c r="T320" s="142"/>
      <c r="U320" s="142"/>
      <c r="V320" s="142"/>
      <c r="W320" s="142"/>
      <c r="X320" s="142"/>
      <c r="Y320" s="142"/>
    </row>
    <row r="321" spans="6:25"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70"/>
      <c r="T321" s="142"/>
      <c r="U321" s="142"/>
      <c r="V321" s="142"/>
      <c r="W321" s="142"/>
      <c r="X321" s="142"/>
      <c r="Y321" s="142"/>
    </row>
    <row r="322" spans="6:25"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70"/>
      <c r="T322" s="142"/>
      <c r="U322" s="142"/>
      <c r="V322" s="142"/>
      <c r="W322" s="142"/>
      <c r="X322" s="142"/>
      <c r="Y322" s="142"/>
    </row>
    <row r="323" spans="6:25"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70"/>
      <c r="T323" s="142"/>
      <c r="U323" s="142"/>
      <c r="V323" s="142"/>
      <c r="W323" s="142"/>
      <c r="X323" s="142"/>
      <c r="Y323" s="142"/>
    </row>
    <row r="324" spans="6:25"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70"/>
      <c r="T324" s="142"/>
      <c r="U324" s="142"/>
      <c r="V324" s="142"/>
      <c r="W324" s="142"/>
      <c r="X324" s="142"/>
      <c r="Y324" s="142"/>
    </row>
    <row r="325" spans="6:25"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70"/>
      <c r="T325" s="142"/>
      <c r="U325" s="142"/>
      <c r="V325" s="142"/>
      <c r="W325" s="142"/>
      <c r="X325" s="142"/>
      <c r="Y325" s="142"/>
    </row>
    <row r="326" spans="6:25"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70"/>
      <c r="T326" s="142"/>
      <c r="U326" s="142"/>
      <c r="V326" s="142"/>
      <c r="W326" s="142"/>
      <c r="X326" s="142"/>
      <c r="Y326" s="142"/>
    </row>
    <row r="327" spans="6:25"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70"/>
      <c r="T327" s="142"/>
      <c r="U327" s="142"/>
      <c r="V327" s="142"/>
      <c r="W327" s="142"/>
      <c r="X327" s="142"/>
      <c r="Y327" s="142"/>
    </row>
    <row r="328" spans="6:25"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70"/>
      <c r="T328" s="142"/>
      <c r="U328" s="142"/>
      <c r="V328" s="142"/>
      <c r="W328" s="142"/>
      <c r="X328" s="142"/>
      <c r="Y328" s="142"/>
    </row>
    <row r="329" spans="6:25"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70"/>
      <c r="T329" s="142"/>
      <c r="U329" s="142"/>
      <c r="V329" s="142"/>
      <c r="W329" s="142"/>
      <c r="X329" s="142"/>
      <c r="Y329" s="142"/>
    </row>
    <row r="330" spans="6:25"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70"/>
      <c r="T330" s="142"/>
      <c r="U330" s="142"/>
      <c r="V330" s="142"/>
      <c r="W330" s="142"/>
      <c r="X330" s="142"/>
      <c r="Y330" s="142"/>
    </row>
    <row r="331" spans="6:25"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70"/>
      <c r="T331" s="142"/>
      <c r="U331" s="142"/>
      <c r="V331" s="142"/>
      <c r="W331" s="142"/>
      <c r="X331" s="142"/>
      <c r="Y331" s="142"/>
    </row>
    <row r="332" spans="6:25"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70"/>
      <c r="T332" s="142"/>
      <c r="U332" s="142"/>
      <c r="V332" s="142"/>
      <c r="W332" s="142"/>
      <c r="X332" s="142"/>
      <c r="Y332" s="142"/>
    </row>
    <row r="333" spans="6:25"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70"/>
      <c r="T333" s="142"/>
      <c r="U333" s="142"/>
      <c r="V333" s="142"/>
      <c r="W333" s="142"/>
      <c r="X333" s="142"/>
      <c r="Y333" s="142"/>
    </row>
    <row r="334" spans="6:25"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70"/>
      <c r="T334" s="142"/>
      <c r="U334" s="142"/>
      <c r="V334" s="142"/>
      <c r="W334" s="142"/>
      <c r="X334" s="142"/>
      <c r="Y334" s="142"/>
    </row>
    <row r="335" spans="6:25"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70"/>
      <c r="T335" s="142"/>
      <c r="U335" s="142"/>
      <c r="V335" s="142"/>
      <c r="W335" s="142"/>
      <c r="X335" s="142"/>
      <c r="Y335" s="142"/>
    </row>
    <row r="336" spans="6:25"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70"/>
      <c r="T336" s="142"/>
      <c r="U336" s="142"/>
      <c r="V336" s="142"/>
      <c r="W336" s="142"/>
      <c r="X336" s="142"/>
      <c r="Y336" s="142"/>
    </row>
    <row r="337" spans="6:25"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70"/>
      <c r="T337" s="142"/>
      <c r="U337" s="142"/>
      <c r="V337" s="142"/>
      <c r="W337" s="142"/>
      <c r="X337" s="142"/>
      <c r="Y337" s="142"/>
    </row>
    <row r="338" spans="6:25"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70"/>
      <c r="T338" s="142"/>
      <c r="U338" s="142"/>
      <c r="V338" s="142"/>
      <c r="W338" s="142"/>
      <c r="X338" s="142"/>
      <c r="Y338" s="142"/>
    </row>
    <row r="339" spans="6:25"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70"/>
      <c r="T339" s="142"/>
      <c r="U339" s="142"/>
      <c r="V339" s="142"/>
      <c r="W339" s="142"/>
      <c r="X339" s="142"/>
      <c r="Y339" s="142"/>
    </row>
    <row r="340" spans="6:25"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70"/>
      <c r="T340" s="142"/>
      <c r="U340" s="142"/>
      <c r="V340" s="142"/>
      <c r="W340" s="142"/>
      <c r="X340" s="142"/>
      <c r="Y340" s="142"/>
    </row>
    <row r="341" spans="6:25"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70"/>
      <c r="T341" s="142"/>
      <c r="U341" s="142"/>
      <c r="V341" s="142"/>
      <c r="W341" s="142"/>
      <c r="X341" s="142"/>
      <c r="Y341" s="142"/>
    </row>
    <row r="342" spans="6:25"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70"/>
      <c r="T342" s="142"/>
      <c r="U342" s="142"/>
      <c r="V342" s="142"/>
      <c r="W342" s="142"/>
      <c r="X342" s="142"/>
      <c r="Y342" s="142"/>
    </row>
    <row r="343" spans="6:25"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70"/>
      <c r="T343" s="142"/>
      <c r="U343" s="142"/>
      <c r="V343" s="142"/>
      <c r="W343" s="142"/>
      <c r="X343" s="142"/>
      <c r="Y343" s="142"/>
    </row>
    <row r="344" spans="6:25"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70"/>
      <c r="T344" s="142"/>
      <c r="U344" s="142"/>
      <c r="V344" s="142"/>
      <c r="W344" s="142"/>
      <c r="X344" s="142"/>
      <c r="Y344" s="142"/>
    </row>
    <row r="345" spans="6:25"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70"/>
      <c r="T345" s="142"/>
      <c r="U345" s="142"/>
      <c r="V345" s="142"/>
      <c r="W345" s="142"/>
      <c r="X345" s="142"/>
      <c r="Y345" s="142"/>
    </row>
    <row r="346" spans="6:25"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70"/>
      <c r="T346" s="142"/>
      <c r="U346" s="142"/>
      <c r="V346" s="142"/>
      <c r="W346" s="142"/>
      <c r="X346" s="142"/>
      <c r="Y346" s="142"/>
    </row>
    <row r="347" spans="6:25"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70"/>
      <c r="T347" s="142"/>
      <c r="U347" s="142"/>
      <c r="V347" s="142"/>
      <c r="W347" s="142"/>
      <c r="X347" s="142"/>
      <c r="Y347" s="142"/>
    </row>
    <row r="348" spans="6:25"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70"/>
      <c r="T348" s="142"/>
      <c r="U348" s="142"/>
      <c r="V348" s="142"/>
      <c r="W348" s="142"/>
      <c r="X348" s="142"/>
      <c r="Y348" s="142"/>
    </row>
    <row r="349" spans="6:25"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70"/>
      <c r="T349" s="142"/>
      <c r="U349" s="142"/>
      <c r="V349" s="142"/>
      <c r="W349" s="142"/>
      <c r="X349" s="142"/>
      <c r="Y349" s="142"/>
    </row>
    <row r="350" spans="6:25"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70"/>
      <c r="T350" s="142"/>
      <c r="U350" s="142"/>
      <c r="V350" s="142"/>
      <c r="W350" s="142"/>
      <c r="X350" s="142"/>
      <c r="Y350" s="142"/>
    </row>
    <row r="351" spans="6:25"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70"/>
      <c r="T351" s="142"/>
      <c r="U351" s="142"/>
      <c r="V351" s="142"/>
      <c r="W351" s="142"/>
      <c r="X351" s="142"/>
      <c r="Y351" s="142"/>
    </row>
    <row r="352" spans="6:25"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70"/>
      <c r="T352" s="142"/>
      <c r="U352" s="142"/>
      <c r="V352" s="142"/>
      <c r="W352" s="142"/>
      <c r="X352" s="142"/>
      <c r="Y352" s="142"/>
    </row>
    <row r="353" spans="6:25"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70"/>
      <c r="T353" s="142"/>
      <c r="U353" s="142"/>
      <c r="V353" s="142"/>
      <c r="W353" s="142"/>
      <c r="X353" s="142"/>
      <c r="Y353" s="142"/>
    </row>
    <row r="354" spans="6:25"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70"/>
      <c r="T354" s="142"/>
      <c r="U354" s="142"/>
      <c r="V354" s="142"/>
      <c r="W354" s="142"/>
      <c r="X354" s="142"/>
      <c r="Y354" s="142"/>
    </row>
    <row r="355" spans="6:25"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70"/>
      <c r="T355" s="142"/>
      <c r="U355" s="142"/>
      <c r="V355" s="142"/>
      <c r="W355" s="142"/>
      <c r="X355" s="142"/>
      <c r="Y355" s="142"/>
    </row>
    <row r="356" spans="6:25"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70"/>
      <c r="T356" s="142"/>
      <c r="U356" s="142"/>
      <c r="V356" s="142"/>
      <c r="W356" s="142"/>
      <c r="X356" s="142"/>
      <c r="Y356" s="142"/>
    </row>
    <row r="357" spans="6:25"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70"/>
      <c r="T357" s="142"/>
      <c r="U357" s="142"/>
      <c r="V357" s="142"/>
      <c r="W357" s="142"/>
      <c r="X357" s="142"/>
      <c r="Y357" s="142"/>
    </row>
    <row r="358" spans="6:25"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70"/>
      <c r="T358" s="142"/>
      <c r="U358" s="142"/>
      <c r="V358" s="142"/>
      <c r="W358" s="142"/>
      <c r="X358" s="142"/>
      <c r="Y358" s="142"/>
    </row>
    <row r="359" spans="6:25"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70"/>
      <c r="T359" s="142"/>
      <c r="U359" s="142"/>
      <c r="V359" s="142"/>
      <c r="W359" s="142"/>
      <c r="X359" s="142"/>
      <c r="Y359" s="142"/>
    </row>
    <row r="360" spans="6:25"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70"/>
      <c r="T360" s="142"/>
      <c r="U360" s="142"/>
      <c r="V360" s="142"/>
      <c r="W360" s="142"/>
      <c r="X360" s="142"/>
      <c r="Y360" s="142"/>
    </row>
    <row r="361" spans="6:25"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70"/>
      <c r="T361" s="142"/>
      <c r="U361" s="142"/>
      <c r="V361" s="142"/>
      <c r="W361" s="142"/>
      <c r="X361" s="142"/>
      <c r="Y361" s="142"/>
    </row>
    <row r="362" spans="6:25"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70"/>
      <c r="T362" s="142"/>
      <c r="U362" s="142"/>
      <c r="V362" s="142"/>
      <c r="W362" s="142"/>
      <c r="X362" s="142"/>
      <c r="Y362" s="142"/>
    </row>
    <row r="363" spans="6:25"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70"/>
      <c r="T363" s="142"/>
      <c r="U363" s="142"/>
      <c r="V363" s="142"/>
      <c r="W363" s="142"/>
      <c r="X363" s="142"/>
      <c r="Y363" s="142"/>
    </row>
    <row r="364" spans="6:25"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70"/>
      <c r="T364" s="142"/>
      <c r="U364" s="142"/>
      <c r="V364" s="142"/>
      <c r="W364" s="142"/>
      <c r="X364" s="142"/>
      <c r="Y364" s="142"/>
    </row>
    <row r="365" spans="6:25"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70"/>
      <c r="T365" s="142"/>
      <c r="U365" s="142"/>
      <c r="V365" s="142"/>
      <c r="W365" s="142"/>
      <c r="X365" s="142"/>
      <c r="Y365" s="142"/>
    </row>
    <row r="366" spans="6:25"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70"/>
      <c r="T366" s="142"/>
      <c r="U366" s="142"/>
      <c r="V366" s="142"/>
      <c r="W366" s="142"/>
      <c r="X366" s="142"/>
      <c r="Y366" s="142"/>
    </row>
    <row r="367" spans="6:25"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70"/>
      <c r="T367" s="142"/>
      <c r="U367" s="142"/>
      <c r="V367" s="142"/>
      <c r="W367" s="142"/>
      <c r="X367" s="142"/>
      <c r="Y367" s="142"/>
    </row>
    <row r="368" spans="6:25"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70"/>
      <c r="T368" s="142"/>
      <c r="U368" s="142"/>
      <c r="V368" s="142"/>
      <c r="W368" s="142"/>
      <c r="X368" s="142"/>
      <c r="Y368" s="142"/>
    </row>
    <row r="369" spans="6:25"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70"/>
      <c r="T369" s="142"/>
      <c r="U369" s="142"/>
      <c r="V369" s="142"/>
      <c r="W369" s="142"/>
      <c r="X369" s="142"/>
      <c r="Y369" s="142"/>
    </row>
    <row r="370" spans="6:25"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70"/>
      <c r="T370" s="142"/>
      <c r="U370" s="142"/>
      <c r="V370" s="142"/>
      <c r="W370" s="142"/>
      <c r="X370" s="142"/>
      <c r="Y370" s="142"/>
    </row>
    <row r="371" spans="6:25"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70"/>
      <c r="T371" s="142"/>
      <c r="U371" s="142"/>
      <c r="V371" s="142"/>
      <c r="W371" s="142"/>
      <c r="X371" s="142"/>
      <c r="Y371" s="142"/>
    </row>
    <row r="372" spans="6:25"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70"/>
      <c r="T372" s="142"/>
      <c r="U372" s="142"/>
      <c r="V372" s="142"/>
      <c r="W372" s="142"/>
      <c r="X372" s="142"/>
      <c r="Y372" s="142"/>
    </row>
    <row r="373" spans="6:25"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70"/>
      <c r="T373" s="142"/>
      <c r="U373" s="142"/>
      <c r="V373" s="142"/>
      <c r="W373" s="142"/>
      <c r="X373" s="142"/>
      <c r="Y373" s="142"/>
    </row>
    <row r="374" spans="6:25"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70"/>
      <c r="T374" s="142"/>
      <c r="U374" s="142"/>
      <c r="V374" s="142"/>
      <c r="W374" s="142"/>
      <c r="X374" s="142"/>
      <c r="Y374" s="142"/>
    </row>
    <row r="375" spans="6:25"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70"/>
      <c r="T375" s="142"/>
      <c r="U375" s="142"/>
      <c r="V375" s="142"/>
      <c r="W375" s="142"/>
      <c r="X375" s="142"/>
      <c r="Y375" s="142"/>
    </row>
    <row r="376" spans="6:25"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70"/>
      <c r="T376" s="142"/>
      <c r="U376" s="142"/>
      <c r="V376" s="142"/>
      <c r="W376" s="142"/>
      <c r="X376" s="142"/>
      <c r="Y376" s="142"/>
    </row>
    <row r="377" spans="6:25"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70"/>
      <c r="T377" s="142"/>
      <c r="U377" s="142"/>
      <c r="V377" s="142"/>
      <c r="W377" s="142"/>
      <c r="X377" s="142"/>
      <c r="Y377" s="142"/>
    </row>
    <row r="378" spans="6:25"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70"/>
      <c r="T378" s="142"/>
      <c r="U378" s="142"/>
      <c r="V378" s="142"/>
      <c r="W378" s="142"/>
      <c r="X378" s="142"/>
      <c r="Y378" s="142"/>
    </row>
    <row r="379" spans="6:25"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70"/>
      <c r="T379" s="142"/>
      <c r="U379" s="142"/>
      <c r="V379" s="142"/>
      <c r="W379" s="142"/>
      <c r="X379" s="142"/>
      <c r="Y379" s="142"/>
    </row>
    <row r="380" spans="6:25"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70"/>
      <c r="T380" s="142"/>
      <c r="U380" s="142"/>
      <c r="V380" s="142"/>
      <c r="W380" s="142"/>
      <c r="X380" s="142"/>
      <c r="Y380" s="142"/>
    </row>
    <row r="381" spans="6:25"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70"/>
      <c r="T381" s="142"/>
      <c r="U381" s="142"/>
      <c r="V381" s="142"/>
      <c r="W381" s="142"/>
      <c r="X381" s="142"/>
      <c r="Y381" s="142"/>
    </row>
    <row r="382" spans="6:25"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70"/>
      <c r="T382" s="142"/>
      <c r="U382" s="142"/>
      <c r="V382" s="142"/>
      <c r="W382" s="142"/>
      <c r="X382" s="142"/>
      <c r="Y382" s="142"/>
    </row>
    <row r="383" spans="6:25"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70"/>
      <c r="T383" s="142"/>
      <c r="U383" s="142"/>
      <c r="V383" s="142"/>
      <c r="W383" s="142"/>
      <c r="X383" s="142"/>
      <c r="Y383" s="142"/>
    </row>
    <row r="384" spans="6:25"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70"/>
      <c r="T384" s="142"/>
      <c r="U384" s="142"/>
      <c r="V384" s="142"/>
      <c r="W384" s="142"/>
      <c r="X384" s="142"/>
      <c r="Y384" s="142"/>
    </row>
    <row r="385" spans="6:25"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70"/>
      <c r="T385" s="142"/>
      <c r="U385" s="142"/>
      <c r="V385" s="142"/>
      <c r="W385" s="142"/>
      <c r="X385" s="142"/>
      <c r="Y385" s="142"/>
    </row>
    <row r="386" spans="6:25"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70"/>
      <c r="T386" s="142"/>
      <c r="U386" s="142"/>
      <c r="V386" s="142"/>
      <c r="W386" s="142"/>
      <c r="X386" s="142"/>
      <c r="Y386" s="142"/>
    </row>
    <row r="387" spans="6:25"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70"/>
      <c r="T387" s="142"/>
      <c r="U387" s="142"/>
      <c r="V387" s="142"/>
      <c r="W387" s="142"/>
      <c r="X387" s="142"/>
      <c r="Y387" s="142"/>
    </row>
    <row r="388" spans="6:25"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70"/>
      <c r="T388" s="142"/>
      <c r="U388" s="142"/>
      <c r="V388" s="142"/>
      <c r="W388" s="142"/>
      <c r="X388" s="142"/>
      <c r="Y388" s="142"/>
    </row>
    <row r="389" spans="6:25"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70"/>
      <c r="T389" s="142"/>
      <c r="U389" s="142"/>
      <c r="V389" s="142"/>
      <c r="W389" s="142"/>
      <c r="X389" s="142"/>
      <c r="Y389" s="142"/>
    </row>
    <row r="390" spans="6:25"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70"/>
      <c r="T390" s="142"/>
      <c r="U390" s="142"/>
      <c r="V390" s="142"/>
      <c r="W390" s="142"/>
      <c r="X390" s="142"/>
      <c r="Y390" s="142"/>
    </row>
    <row r="391" spans="6:25"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70"/>
      <c r="T391" s="142"/>
      <c r="U391" s="142"/>
      <c r="V391" s="142"/>
      <c r="W391" s="142"/>
      <c r="X391" s="142"/>
      <c r="Y391" s="142"/>
    </row>
    <row r="392" spans="6:25"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70"/>
      <c r="T392" s="142"/>
      <c r="U392" s="142"/>
      <c r="V392" s="142"/>
      <c r="W392" s="142"/>
      <c r="X392" s="142"/>
      <c r="Y392" s="142"/>
    </row>
    <row r="393" spans="6:25"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70"/>
      <c r="T393" s="142"/>
      <c r="U393" s="142"/>
      <c r="V393" s="142"/>
      <c r="W393" s="142"/>
      <c r="X393" s="142"/>
      <c r="Y393" s="142"/>
    </row>
    <row r="394" spans="6:25"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70"/>
      <c r="T394" s="142"/>
      <c r="U394" s="142"/>
      <c r="V394" s="142"/>
      <c r="W394" s="142"/>
      <c r="X394" s="142"/>
      <c r="Y394" s="142"/>
    </row>
    <row r="395" spans="6:25"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70"/>
      <c r="T395" s="142"/>
      <c r="U395" s="142"/>
      <c r="V395" s="142"/>
      <c r="W395" s="142"/>
      <c r="X395" s="142"/>
      <c r="Y395" s="142"/>
    </row>
    <row r="396" spans="6:25"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70"/>
      <c r="T396" s="142"/>
      <c r="U396" s="142"/>
      <c r="V396" s="142"/>
      <c r="W396" s="142"/>
      <c r="X396" s="142"/>
      <c r="Y396" s="142"/>
    </row>
    <row r="397" spans="6:25"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70"/>
      <c r="T397" s="142"/>
      <c r="U397" s="142"/>
      <c r="V397" s="142"/>
      <c r="W397" s="142"/>
      <c r="X397" s="142"/>
      <c r="Y397" s="142"/>
    </row>
    <row r="398" spans="6:25"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70"/>
      <c r="T398" s="142"/>
      <c r="U398" s="142"/>
      <c r="V398" s="142"/>
      <c r="W398" s="142"/>
      <c r="X398" s="142"/>
      <c r="Y398" s="142"/>
    </row>
    <row r="399" spans="6:25"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70"/>
      <c r="T399" s="142"/>
      <c r="U399" s="142"/>
      <c r="V399" s="142"/>
      <c r="W399" s="142"/>
      <c r="X399" s="142"/>
      <c r="Y399" s="142"/>
    </row>
    <row r="400" spans="6:25"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70"/>
      <c r="T400" s="142"/>
      <c r="U400" s="142"/>
      <c r="V400" s="142"/>
      <c r="W400" s="142"/>
      <c r="X400" s="142"/>
      <c r="Y400" s="142"/>
    </row>
    <row r="401" spans="6:25"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70"/>
      <c r="T401" s="142"/>
      <c r="U401" s="142"/>
      <c r="V401" s="142"/>
      <c r="W401" s="142"/>
      <c r="X401" s="142"/>
      <c r="Y401" s="142"/>
    </row>
    <row r="402" spans="6:25"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70"/>
      <c r="T402" s="142"/>
      <c r="U402" s="142"/>
      <c r="V402" s="142"/>
      <c r="W402" s="142"/>
      <c r="X402" s="142"/>
      <c r="Y402" s="142"/>
    </row>
    <row r="403" spans="6:25"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70"/>
      <c r="T403" s="142"/>
      <c r="U403" s="142"/>
      <c r="V403" s="142"/>
      <c r="W403" s="142"/>
      <c r="X403" s="142"/>
      <c r="Y403" s="142"/>
    </row>
    <row r="404" spans="6:25"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70"/>
      <c r="T404" s="142"/>
      <c r="U404" s="142"/>
      <c r="V404" s="142"/>
      <c r="W404" s="142"/>
      <c r="X404" s="142"/>
      <c r="Y404" s="142"/>
    </row>
    <row r="405" spans="6:25"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70"/>
      <c r="T405" s="142"/>
      <c r="U405" s="142"/>
      <c r="V405" s="142"/>
      <c r="W405" s="142"/>
      <c r="X405" s="142"/>
      <c r="Y405" s="142"/>
    </row>
    <row r="406" spans="6:25"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70"/>
      <c r="T406" s="142"/>
      <c r="U406" s="142"/>
      <c r="V406" s="142"/>
      <c r="W406" s="142"/>
      <c r="X406" s="142"/>
      <c r="Y406" s="142"/>
    </row>
    <row r="407" spans="6:25"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70"/>
      <c r="T407" s="142"/>
      <c r="U407" s="142"/>
      <c r="V407" s="142"/>
      <c r="W407" s="142"/>
      <c r="X407" s="142"/>
      <c r="Y407" s="142"/>
    </row>
    <row r="408" spans="6:25"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70"/>
      <c r="T408" s="142"/>
      <c r="U408" s="142"/>
      <c r="V408" s="142"/>
      <c r="W408" s="142"/>
      <c r="X408" s="142"/>
      <c r="Y408" s="142"/>
    </row>
    <row r="409" spans="6:25"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70"/>
      <c r="T409" s="142"/>
      <c r="U409" s="142"/>
      <c r="V409" s="142"/>
      <c r="W409" s="142"/>
      <c r="X409" s="142"/>
      <c r="Y409" s="142"/>
    </row>
    <row r="410" spans="6:25"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70"/>
      <c r="T410" s="142"/>
      <c r="U410" s="142"/>
      <c r="V410" s="142"/>
      <c r="W410" s="142"/>
      <c r="X410" s="142"/>
      <c r="Y410" s="142"/>
    </row>
    <row r="411" spans="6:25"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70"/>
      <c r="T411" s="142"/>
      <c r="U411" s="142"/>
      <c r="V411" s="142"/>
      <c r="W411" s="142"/>
      <c r="X411" s="142"/>
      <c r="Y411" s="142"/>
    </row>
    <row r="412" spans="6:25"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70"/>
      <c r="T412" s="142"/>
      <c r="U412" s="142"/>
      <c r="V412" s="142"/>
      <c r="W412" s="142"/>
      <c r="X412" s="142"/>
      <c r="Y412" s="142"/>
    </row>
    <row r="413" spans="6:25"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70"/>
      <c r="T413" s="142"/>
      <c r="U413" s="142"/>
      <c r="V413" s="142"/>
      <c r="W413" s="142"/>
      <c r="X413" s="142"/>
      <c r="Y413" s="142"/>
    </row>
    <row r="414" spans="6:25"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70"/>
      <c r="T414" s="142"/>
      <c r="U414" s="142"/>
      <c r="V414" s="142"/>
      <c r="W414" s="142"/>
      <c r="X414" s="142"/>
      <c r="Y414" s="142"/>
    </row>
    <row r="415" spans="6:25"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70"/>
      <c r="T415" s="142"/>
      <c r="U415" s="142"/>
      <c r="V415" s="142"/>
      <c r="W415" s="142"/>
      <c r="X415" s="142"/>
      <c r="Y415" s="142"/>
    </row>
    <row r="416" spans="6:25"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70"/>
      <c r="T416" s="142"/>
      <c r="U416" s="142"/>
      <c r="V416" s="142"/>
      <c r="W416" s="142"/>
      <c r="X416" s="142"/>
      <c r="Y416" s="142"/>
    </row>
    <row r="417" spans="6:25"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70"/>
      <c r="T417" s="142"/>
      <c r="U417" s="142"/>
      <c r="V417" s="142"/>
      <c r="W417" s="142"/>
      <c r="X417" s="142"/>
      <c r="Y417" s="142"/>
    </row>
    <row r="418" spans="6:25"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70"/>
      <c r="T418" s="142"/>
      <c r="U418" s="142"/>
      <c r="V418" s="142"/>
      <c r="W418" s="142"/>
      <c r="X418" s="142"/>
      <c r="Y418" s="142"/>
    </row>
    <row r="419" spans="6:25"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70"/>
      <c r="T419" s="142"/>
      <c r="U419" s="142"/>
      <c r="V419" s="142"/>
      <c r="W419" s="142"/>
      <c r="X419" s="142"/>
      <c r="Y419" s="142"/>
    </row>
    <row r="420" spans="6:25"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70"/>
      <c r="T420" s="142"/>
      <c r="U420" s="142"/>
      <c r="V420" s="142"/>
      <c r="W420" s="142"/>
      <c r="X420" s="142"/>
      <c r="Y420" s="142"/>
    </row>
    <row r="421" spans="6:25"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70"/>
      <c r="T421" s="142"/>
      <c r="U421" s="142"/>
      <c r="V421" s="142"/>
      <c r="W421" s="142"/>
      <c r="X421" s="142"/>
      <c r="Y421" s="142"/>
    </row>
    <row r="422" spans="6:25"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70"/>
      <c r="T422" s="142"/>
      <c r="U422" s="142"/>
      <c r="V422" s="142"/>
      <c r="W422" s="142"/>
      <c r="X422" s="142"/>
      <c r="Y422" s="142"/>
    </row>
    <row r="423" spans="6:25"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70"/>
      <c r="T423" s="142"/>
      <c r="U423" s="142"/>
      <c r="V423" s="142"/>
      <c r="W423" s="142"/>
      <c r="X423" s="142"/>
      <c r="Y423" s="142"/>
    </row>
    <row r="424" spans="6:25"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70"/>
      <c r="T424" s="142"/>
      <c r="U424" s="142"/>
      <c r="V424" s="142"/>
      <c r="W424" s="142"/>
      <c r="X424" s="142"/>
      <c r="Y424" s="142"/>
    </row>
    <row r="425" spans="6:25"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70"/>
      <c r="T425" s="142"/>
      <c r="U425" s="142"/>
      <c r="V425" s="142"/>
      <c r="W425" s="142"/>
      <c r="X425" s="142"/>
      <c r="Y425" s="142"/>
    </row>
    <row r="426" spans="6:25"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70"/>
      <c r="T426" s="142"/>
      <c r="U426" s="142"/>
      <c r="V426" s="142"/>
      <c r="W426" s="142"/>
      <c r="X426" s="142"/>
      <c r="Y426" s="142"/>
    </row>
    <row r="427" spans="6:25"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70"/>
      <c r="T427" s="142"/>
      <c r="U427" s="142"/>
      <c r="V427" s="142"/>
      <c r="W427" s="142"/>
      <c r="X427" s="142"/>
      <c r="Y427" s="142"/>
    </row>
    <row r="428" spans="6:25"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70"/>
      <c r="T428" s="142"/>
      <c r="U428" s="142"/>
      <c r="V428" s="142"/>
      <c r="W428" s="142"/>
      <c r="X428" s="142"/>
      <c r="Y428" s="142"/>
    </row>
    <row r="429" spans="6:25"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70"/>
      <c r="T429" s="142"/>
      <c r="U429" s="142"/>
      <c r="V429" s="142"/>
      <c r="W429" s="142"/>
      <c r="X429" s="142"/>
      <c r="Y429" s="142"/>
    </row>
    <row r="430" spans="6:25"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70"/>
      <c r="T430" s="142"/>
      <c r="U430" s="142"/>
      <c r="V430" s="142"/>
      <c r="W430" s="142"/>
      <c r="X430" s="142"/>
      <c r="Y430" s="142"/>
    </row>
    <row r="431" spans="6:25"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70"/>
      <c r="T431" s="142"/>
      <c r="U431" s="142"/>
      <c r="V431" s="142"/>
      <c r="W431" s="142"/>
      <c r="X431" s="142"/>
      <c r="Y431" s="142"/>
    </row>
    <row r="432" spans="6:25"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70"/>
      <c r="T432" s="142"/>
      <c r="U432" s="142"/>
      <c r="V432" s="142"/>
      <c r="W432" s="142"/>
      <c r="X432" s="142"/>
      <c r="Y432" s="142"/>
    </row>
    <row r="433" spans="6:25"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70"/>
      <c r="T433" s="142"/>
      <c r="U433" s="142"/>
      <c r="V433" s="142"/>
      <c r="W433" s="142"/>
      <c r="X433" s="142"/>
      <c r="Y433" s="142"/>
    </row>
    <row r="434" spans="6:25"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70"/>
      <c r="T434" s="142"/>
      <c r="U434" s="142"/>
      <c r="V434" s="142"/>
      <c r="W434" s="142"/>
      <c r="X434" s="142"/>
      <c r="Y434" s="142"/>
    </row>
    <row r="435" spans="6:25"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70"/>
      <c r="T435" s="142"/>
      <c r="U435" s="142"/>
      <c r="V435" s="142"/>
      <c r="W435" s="142"/>
      <c r="X435" s="142"/>
      <c r="Y435" s="142"/>
    </row>
    <row r="436" spans="6:25"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70"/>
      <c r="T436" s="142"/>
      <c r="U436" s="142"/>
      <c r="V436" s="142"/>
      <c r="W436" s="142"/>
      <c r="X436" s="142"/>
      <c r="Y436" s="142"/>
    </row>
    <row r="437" spans="6:25"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70"/>
      <c r="T437" s="142"/>
      <c r="U437" s="142"/>
      <c r="V437" s="142"/>
      <c r="W437" s="142"/>
      <c r="X437" s="142"/>
      <c r="Y437" s="142"/>
    </row>
    <row r="438" spans="6:25"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70"/>
      <c r="T438" s="142"/>
      <c r="U438" s="142"/>
      <c r="V438" s="142"/>
      <c r="W438" s="142"/>
      <c r="X438" s="142"/>
      <c r="Y438" s="142"/>
    </row>
    <row r="439" spans="6:25"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70"/>
      <c r="T439" s="142"/>
      <c r="U439" s="142"/>
      <c r="V439" s="142"/>
      <c r="W439" s="142"/>
      <c r="X439" s="142"/>
      <c r="Y439" s="142"/>
    </row>
    <row r="440" spans="6:25"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70"/>
      <c r="T440" s="142"/>
      <c r="U440" s="142"/>
      <c r="V440" s="142"/>
      <c r="W440" s="142"/>
      <c r="X440" s="142"/>
      <c r="Y440" s="142"/>
    </row>
    <row r="441" spans="6:25"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70"/>
      <c r="T441" s="142"/>
      <c r="U441" s="142"/>
      <c r="V441" s="142"/>
      <c r="W441" s="142"/>
      <c r="X441" s="142"/>
      <c r="Y441" s="142"/>
    </row>
    <row r="442" spans="6:25"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70"/>
      <c r="T442" s="142"/>
      <c r="U442" s="142"/>
      <c r="V442" s="142"/>
      <c r="W442" s="142"/>
      <c r="X442" s="142"/>
      <c r="Y442" s="142"/>
    </row>
    <row r="443" spans="6:25"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70"/>
      <c r="T443" s="142"/>
      <c r="U443" s="142"/>
      <c r="V443" s="142"/>
      <c r="W443" s="142"/>
      <c r="X443" s="142"/>
      <c r="Y443" s="142"/>
    </row>
    <row r="444" spans="6:25"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70"/>
      <c r="T444" s="142"/>
      <c r="U444" s="142"/>
      <c r="V444" s="142"/>
      <c r="W444" s="142"/>
      <c r="X444" s="142"/>
      <c r="Y444" s="142"/>
    </row>
    <row r="445" spans="6:25"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70"/>
      <c r="T445" s="142"/>
      <c r="U445" s="142"/>
      <c r="V445" s="142"/>
      <c r="W445" s="142"/>
      <c r="X445" s="142"/>
      <c r="Y445" s="142"/>
    </row>
    <row r="446" spans="6:25"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70"/>
      <c r="T446" s="142"/>
      <c r="U446" s="142"/>
      <c r="V446" s="142"/>
      <c r="W446" s="142"/>
      <c r="X446" s="142"/>
      <c r="Y446" s="142"/>
    </row>
    <row r="447" spans="6:25"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70"/>
      <c r="T447" s="142"/>
      <c r="U447" s="142"/>
      <c r="V447" s="142"/>
      <c r="W447" s="142"/>
      <c r="X447" s="142"/>
      <c r="Y447" s="142"/>
    </row>
    <row r="448" spans="6:25"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70"/>
      <c r="T448" s="142"/>
      <c r="U448" s="142"/>
      <c r="V448" s="142"/>
      <c r="W448" s="142"/>
      <c r="X448" s="142"/>
      <c r="Y448" s="142"/>
    </row>
    <row r="449" spans="6:25"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70"/>
      <c r="T449" s="142"/>
      <c r="U449" s="142"/>
      <c r="V449" s="142"/>
      <c r="W449" s="142"/>
      <c r="X449" s="142"/>
      <c r="Y449" s="142"/>
    </row>
    <row r="450" spans="6:25"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70"/>
      <c r="T450" s="142"/>
      <c r="U450" s="142"/>
      <c r="V450" s="142"/>
      <c r="W450" s="142"/>
      <c r="X450" s="142"/>
      <c r="Y450" s="142"/>
    </row>
    <row r="451" spans="6:25"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70"/>
      <c r="T451" s="142"/>
      <c r="U451" s="142"/>
      <c r="V451" s="142"/>
      <c r="W451" s="142"/>
      <c r="X451" s="142"/>
      <c r="Y451" s="142"/>
    </row>
    <row r="452" spans="6:25"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70"/>
      <c r="T452" s="142"/>
      <c r="U452" s="142"/>
      <c r="V452" s="142"/>
      <c r="W452" s="142"/>
      <c r="X452" s="142"/>
      <c r="Y452" s="142"/>
    </row>
    <row r="453" spans="6:25"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70"/>
      <c r="T453" s="142"/>
      <c r="U453" s="142"/>
      <c r="V453" s="142"/>
      <c r="W453" s="142"/>
      <c r="X453" s="142"/>
      <c r="Y453" s="142"/>
    </row>
    <row r="454" spans="6:25"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70"/>
      <c r="T454" s="142"/>
      <c r="U454" s="142"/>
      <c r="V454" s="142"/>
      <c r="W454" s="142"/>
      <c r="X454" s="142"/>
      <c r="Y454" s="142"/>
    </row>
    <row r="455" spans="6:25"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70"/>
      <c r="T455" s="142"/>
      <c r="U455" s="142"/>
      <c r="V455" s="142"/>
      <c r="W455" s="142"/>
      <c r="X455" s="142"/>
      <c r="Y455" s="142"/>
    </row>
    <row r="456" spans="6:25"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70"/>
      <c r="T456" s="142"/>
      <c r="U456" s="142"/>
      <c r="V456" s="142"/>
      <c r="W456" s="142"/>
      <c r="X456" s="142"/>
      <c r="Y456" s="142"/>
    </row>
    <row r="457" spans="6:25"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70"/>
      <c r="T457" s="142"/>
      <c r="U457" s="142"/>
      <c r="V457" s="142"/>
      <c r="W457" s="142"/>
      <c r="X457" s="142"/>
      <c r="Y457" s="142"/>
    </row>
    <row r="458" spans="6:25"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70"/>
      <c r="T458" s="142"/>
      <c r="U458" s="142"/>
      <c r="V458" s="142"/>
      <c r="W458" s="142"/>
      <c r="X458" s="142"/>
      <c r="Y458" s="142"/>
    </row>
    <row r="459" spans="6:25"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70"/>
      <c r="T459" s="142"/>
      <c r="U459" s="142"/>
      <c r="V459" s="142"/>
      <c r="W459" s="142"/>
      <c r="X459" s="142"/>
      <c r="Y459" s="142"/>
    </row>
    <row r="460" spans="6:25"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70"/>
      <c r="T460" s="142"/>
      <c r="U460" s="142"/>
      <c r="V460" s="142"/>
      <c r="W460" s="142"/>
      <c r="X460" s="142"/>
      <c r="Y460" s="142"/>
    </row>
    <row r="461" spans="6:25"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70"/>
      <c r="T461" s="142"/>
      <c r="U461" s="142"/>
      <c r="V461" s="142"/>
      <c r="W461" s="142"/>
      <c r="X461" s="142"/>
      <c r="Y461" s="142"/>
    </row>
    <row r="462" spans="6:25"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70"/>
      <c r="T462" s="142"/>
      <c r="U462" s="142"/>
      <c r="V462" s="142"/>
      <c r="W462" s="142"/>
      <c r="X462" s="142"/>
      <c r="Y462" s="142"/>
    </row>
    <row r="463" spans="6:25"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70"/>
      <c r="T463" s="142"/>
      <c r="U463" s="142"/>
      <c r="V463" s="142"/>
      <c r="W463" s="142"/>
      <c r="X463" s="142"/>
      <c r="Y463" s="142"/>
    </row>
    <row r="464" spans="6:25"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70"/>
      <c r="T464" s="142"/>
      <c r="U464" s="142"/>
      <c r="V464" s="142"/>
      <c r="W464" s="142"/>
      <c r="X464" s="142"/>
      <c r="Y464" s="142"/>
    </row>
  </sheetData>
  <mergeCells count="2">
    <mergeCell ref="A1:E1"/>
    <mergeCell ref="C3:D3"/>
  </mergeCells>
  <pageMargins left="0.25" right="0.25" top="0.75" bottom="0.75" header="0.3" footer="0.3"/>
  <pageSetup scale="40" fitToHeight="0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E81885A8C3A6C4984A0DC4144485827" ma:contentTypeVersion="24" ma:contentTypeDescription="" ma:contentTypeScope="" ma:versionID="f10f5e4151d09a41b3212a37d1f968b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2023-12-14T08:00:00+00:00</OpenedDate>
    <SignificantOrder xmlns="dc463f71-b30c-4ab2-9473-d307f9d35888">false</SignificantOrder>
    <Date1 xmlns="dc463f71-b30c-4ab2-9473-d307f9d35888">2023-12-14T08:00:00+00:00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231017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12867D-07B0-4828-BCBB-F343BAAA2556}"/>
</file>

<file path=customXml/itemProps3.xml><?xml version="1.0" encoding="utf-8"?>
<ds:datastoreItem xmlns:ds="http://schemas.openxmlformats.org/officeDocument/2006/customXml" ds:itemID="{B67946F6-253B-40F3-ADF9-DBD760147FC0}">
  <ds:schemaRefs>
    <ds:schemaRef ds:uri="7429f450-94b4-4416-870d-2c14072815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7bd91e-004b-490a-8704-e368d63d59a0"/>
  </ds:schemaRefs>
</ds:datastoreItem>
</file>

<file path=customXml/itemProps4.xml><?xml version="1.0" encoding="utf-8"?>
<ds:datastoreItem xmlns:ds="http://schemas.openxmlformats.org/officeDocument/2006/customXml" ds:itemID="{72DF121E-6030-401F-86A6-34554D622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Tariff Changes</vt:lpstr>
      <vt:lpstr>Price Out Rates</vt:lpstr>
      <vt:lpstr>References</vt:lpstr>
      <vt:lpstr>Disposal Summary (with IC)</vt:lpstr>
      <vt:lpstr>'Disposal Summary (with IC)'!Print_Titles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Easley, Maria</cp:lastModifiedBy>
  <cp:lastPrinted>2018-11-09T21:11:35Z</cp:lastPrinted>
  <dcterms:created xsi:type="dcterms:W3CDTF">2013-10-29T22:33:54Z</dcterms:created>
  <dcterms:modified xsi:type="dcterms:W3CDTF">2023-12-13T16:51:54Z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0x0101006E56B4D1795A2E4DB2F0B01679ED314A005E81885A8C3A6C4984A0DC4144485827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