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publicservices-my.sharepoint.com/personal/easlema_repsrv_com/Documents/Maria Documents/``Maria Documents/`BU404 Docs/``Rate Cases/4176 YW Disposal increase 2024/To be filed/"/>
    </mc:Choice>
  </mc:AlternateContent>
  <xr:revisionPtr revIDLastSave="51" documentId="8_{F9C596A2-4395-49CD-9F01-33DF5C6FB7FC}" xr6:coauthVersionLast="47" xr6:coauthVersionMax="47" xr10:uidLastSave="{A53F0C32-4347-4797-9574-D50FF02E8C06}"/>
  <bookViews>
    <workbookView xWindow="22932" yWindow="-96" windowWidth="23256" windowHeight="12576" tabRatio="734" activeTab="1" xr2:uid="{00000000-000D-0000-FFFF-FFFF00000000}"/>
  </bookViews>
  <sheets>
    <sheet name="Calcs " sheetId="7" r:id="rId1"/>
    <sheet name="References" sheetId="4" r:id="rId2"/>
    <sheet name="Disposal Summary (with IC)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COS1">#REF!</definedName>
    <definedName name="_COS2">#REF!</definedName>
    <definedName name="_Key1" hidden="1">#REF!</definedName>
    <definedName name="_Key2" hidden="1">'[1]GL Codes'!$G$3:$G$3</definedName>
    <definedName name="_Order1" hidden="1">255</definedName>
    <definedName name="_Order2" hidden="1">255</definedName>
    <definedName name="_Sort" hidden="1">#REF!</definedName>
    <definedName name="Angie" hidden="1">#REF!</definedName>
    <definedName name="AprSun1">DATEVALUE("4/1/"&amp;TheYear)-WEEKDAY(DATEVALUE("4/1/"&amp;TheYear))+1</definedName>
    <definedName name="AugSun1">DATEVALUE("8/1/"&amp;TheYear)-WEEKDAY(DATEVALUE("8/1/"&amp;TheYear))+1</definedName>
    <definedName name="autemplate">'[2]AU Mapping TEMPLATE'!$A$1:$B$335</definedName>
    <definedName name="coa">'[3]lawson extract'!$D$2:$E$2761</definedName>
    <definedName name="colist">'[2]AW Co''s - Mapped only 10-23-08'!$A$2:$L$2107</definedName>
    <definedName name="color">#REF!</definedName>
    <definedName name="CommlStaffPriceOut">'[4]Price Out-Reg EASTSIDE-Resi'!#REF!</definedName>
    <definedName name="DBxStaffPriceOut">'[4]Price Out-Reg EASTSIDE-Resi'!#REF!</definedName>
    <definedName name="DecSun1">DATEVALUE("12/1/"&amp;TheYear)-WEEKDAY(DATEVALUE("12/1/"&amp;TheYear))+1</definedName>
    <definedName name="delete">'[5]Excluded divisions'!$C$2:$C$108</definedName>
    <definedName name="Division_Number">#REF!</definedName>
    <definedName name="DivName">[6]Start!$G$2</definedName>
    <definedName name="DivNo">'[7]Cont Count Data'!#REF!</definedName>
    <definedName name="EXT">#REF!</definedName>
    <definedName name="Hazardous_Stops">#REF!</definedName>
    <definedName name="helpp">#REF!,#REF!,#REF!,#REF!</definedName>
    <definedName name="infopro">#REF!,#REF!,#REF!,#REF!</definedName>
    <definedName name="INPUT">#REF!</definedName>
    <definedName name="INPUTc">#REF!</definedName>
    <definedName name="JEDate">[6]Start!$B$3</definedName>
    <definedName name="JEInitials">[6]Start!$B$7</definedName>
    <definedName name="JulSun1">DATEVALUE("7/1/"&amp;TheYear)-WEEKDAY(DATEVALUE("7/1/"&amp;TheYear))+1</definedName>
    <definedName name="MATRIX">#REF!</definedName>
    <definedName name="MEDate">[8]Calcuation!$I$3</definedName>
    <definedName name="MFStaffPriceOut">'[4]Price Out-Reg EASTSIDE-Resi'!#REF!</definedName>
    <definedName name="NovSun1">DATEVALUE("11/1/"&amp;TheYear)-WEEKDAY(DATEVALUE("11/1/"&amp;TheYear))+1</definedName>
    <definedName name="OctSun1">DATEVALUE("10/1/"&amp;TheYear)-WEEKDAY(DATEVALUE("10/1/"&amp;TheYear))+1</definedName>
    <definedName name="OPRD">#REF!</definedName>
    <definedName name="Print_Area_MI">#REF!</definedName>
    <definedName name="Print_Area_MIc">#REF!</definedName>
    <definedName name="_xlnm.Print_Titles" localSheetId="2">'Disposal Summary (with IC)'!$3:$3</definedName>
    <definedName name="RefType">[6]Start!$B$5</definedName>
    <definedName name="report">[9]ST97TONS!#REF!</definedName>
    <definedName name="ReslStaffPriceOut">'[4]Price Out-Reg EASTSIDE-Resi'!#REF!</definedName>
    <definedName name="search1" hidden="1">#REF!</definedName>
    <definedName name="search2" hidden="1">#REF!</definedName>
    <definedName name="SectorNme">[8]Calcuation!$I$5</definedName>
    <definedName name="SepSun1">DATEVALUE("9/1/"&amp;TheYear)-WEEKDAY(DATEVALUE("9/1/"&amp;TheYear))+1</definedName>
    <definedName name="slope">'[10]LG Nonpublic 2018 V5.0'!$X$58</definedName>
    <definedName name="sort1">#REF!</definedName>
    <definedName name="SPECIAL1" hidden="1">#REF!</definedName>
    <definedName name="SPECIAL2" hidden="1">#REF!</definedName>
    <definedName name="Tukwila_Report">[9]ST97TONS!#REF!</definedName>
    <definedName name="Tukwila_Report1">[9]ST97TONS!#REF!</definedName>
    <definedName name="y_inter1">'[10]LG Nonpublic 2018 V5.0'!$W$55</definedName>
    <definedName name="y_inter2">'[10]LG Nonpublic 2018 V5.0'!$W$56</definedName>
    <definedName name="y_inter3">'[10]LG Nonpublic 2018 V5.0'!$Y$55</definedName>
    <definedName name="y_inter4">'[10]LG Nonpublic 2018 V5.0'!$Y$56</definedName>
    <definedName name="Year">#REF!</definedName>
    <definedName name="Z_2D4BA4D8_9810_4CD8_BC99_BAF8C6DC6FDE_.wvu.PrintTitles" localSheetId="2" hidden="1">'Disposal Summary (with IC)'!$3:$3</definedName>
    <definedName name="Z_E9505D05_5738_4953_8422_9EB6E0EB24BD_.wvu.PrintTitles" localSheetId="2" hidden="1">'Disposal Summary (with IC)'!$3:$3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E9" i="7"/>
  <c r="F9" i="7" s="1"/>
  <c r="G2" i="7"/>
  <c r="E2" i="7"/>
  <c r="F2" i="7" s="1"/>
  <c r="H2" i="7" s="1"/>
  <c r="D14" i="7" l="1"/>
  <c r="D15" i="7" l="1"/>
  <c r="G50" i="4" l="1"/>
  <c r="G52" i="4" s="1"/>
  <c r="P122" i="10" l="1"/>
  <c r="O122" i="10"/>
  <c r="N122" i="10"/>
  <c r="M122" i="10"/>
  <c r="I122" i="10"/>
  <c r="E121" i="10"/>
  <c r="E118" i="10"/>
  <c r="E117" i="10"/>
  <c r="E114" i="10"/>
  <c r="F113" i="10"/>
  <c r="E113" i="10"/>
  <c r="K110" i="10"/>
  <c r="J110" i="10"/>
  <c r="F110" i="10"/>
  <c r="A107" i="10"/>
  <c r="D105" i="10"/>
  <c r="C105" i="10"/>
  <c r="B105" i="10"/>
  <c r="A105" i="10"/>
  <c r="C102" i="10"/>
  <c r="B102" i="10"/>
  <c r="E101" i="10"/>
  <c r="E99" i="10"/>
  <c r="O94" i="10"/>
  <c r="N94" i="10"/>
  <c r="M94" i="10"/>
  <c r="H94" i="10"/>
  <c r="Q94" i="10"/>
  <c r="L94" i="10"/>
  <c r="K94" i="10"/>
  <c r="J94" i="10"/>
  <c r="I94" i="10"/>
  <c r="G94" i="10"/>
  <c r="F94" i="10"/>
  <c r="F88" i="10"/>
  <c r="G88" i="10" s="1"/>
  <c r="H88" i="10" s="1"/>
  <c r="I88" i="10" s="1"/>
  <c r="J88" i="10" s="1"/>
  <c r="K88" i="10" s="1"/>
  <c r="L88" i="10" s="1"/>
  <c r="M88" i="10" s="1"/>
  <c r="N88" i="10" s="1"/>
  <c r="O88" i="10" s="1"/>
  <c r="P88" i="10" s="1"/>
  <c r="Q88" i="10" s="1"/>
  <c r="E88" i="10"/>
  <c r="E122" i="10" s="1"/>
  <c r="G87" i="10"/>
  <c r="G121" i="10" s="1"/>
  <c r="E87" i="10"/>
  <c r="E86" i="10"/>
  <c r="E120" i="10" s="1"/>
  <c r="G85" i="10"/>
  <c r="H85" i="10" s="1"/>
  <c r="F86" i="10"/>
  <c r="E85" i="10"/>
  <c r="E119" i="10" s="1"/>
  <c r="E84" i="10"/>
  <c r="H83" i="10"/>
  <c r="I83" i="10" s="1"/>
  <c r="J83" i="10" s="1"/>
  <c r="K83" i="10" s="1"/>
  <c r="G83" i="10"/>
  <c r="F83" i="10"/>
  <c r="E83" i="10"/>
  <c r="E82" i="10"/>
  <c r="E116" i="10" s="1"/>
  <c r="G80" i="10"/>
  <c r="H80" i="10" s="1"/>
  <c r="I80" i="10" s="1"/>
  <c r="J80" i="10" s="1"/>
  <c r="K80" i="10" s="1"/>
  <c r="L80" i="10" s="1"/>
  <c r="M80" i="10" s="1"/>
  <c r="N80" i="10" s="1"/>
  <c r="O80" i="10" s="1"/>
  <c r="P80" i="10" s="1"/>
  <c r="Q80" i="10" s="1"/>
  <c r="Q113" i="10" s="1"/>
  <c r="E80" i="10"/>
  <c r="F79" i="10"/>
  <c r="E79" i="10"/>
  <c r="E112" i="10" s="1"/>
  <c r="E78" i="10"/>
  <c r="E111" i="10" s="1"/>
  <c r="H77" i="10"/>
  <c r="I77" i="10" s="1"/>
  <c r="J77" i="10" s="1"/>
  <c r="K77" i="10" s="1"/>
  <c r="L77" i="10" s="1"/>
  <c r="M77" i="10" s="1"/>
  <c r="M110" i="10" s="1"/>
  <c r="F77" i="10"/>
  <c r="G77" i="10" s="1"/>
  <c r="E77" i="10"/>
  <c r="E110" i="10" s="1"/>
  <c r="E76" i="10"/>
  <c r="E109" i="10" s="1"/>
  <c r="E71" i="10"/>
  <c r="E102" i="10" s="1"/>
  <c r="G70" i="10"/>
  <c r="H70" i="10" s="1"/>
  <c r="E70" i="10"/>
  <c r="F69" i="10"/>
  <c r="E69" i="10"/>
  <c r="E100" i="10" s="1"/>
  <c r="P68" i="10"/>
  <c r="Q68" i="10" s="1"/>
  <c r="L68" i="10"/>
  <c r="M68" i="10" s="1"/>
  <c r="N68" i="10" s="1"/>
  <c r="O68" i="10" s="1"/>
  <c r="G68" i="10"/>
  <c r="H68" i="10" s="1"/>
  <c r="I68" i="10" s="1"/>
  <c r="J68" i="10" s="1"/>
  <c r="K68" i="10" s="1"/>
  <c r="E68" i="10"/>
  <c r="E67" i="10"/>
  <c r="E98" i="10" s="1"/>
  <c r="Q60" i="10"/>
  <c r="M60" i="10"/>
  <c r="L60" i="10"/>
  <c r="K60" i="10"/>
  <c r="I60" i="10"/>
  <c r="M55" i="10"/>
  <c r="E54" i="10"/>
  <c r="E53" i="10"/>
  <c r="E123" i="10" s="1"/>
  <c r="E52" i="10"/>
  <c r="Q122" i="10"/>
  <c r="G122" i="10"/>
  <c r="F122" i="10"/>
  <c r="F121" i="10"/>
  <c r="E49" i="10"/>
  <c r="A49" i="10"/>
  <c r="A52" i="10" s="1"/>
  <c r="H60" i="10"/>
  <c r="G60" i="10"/>
  <c r="E46" i="10"/>
  <c r="M54" i="10"/>
  <c r="L54" i="10"/>
  <c r="L55" i="10" s="1"/>
  <c r="K54" i="10"/>
  <c r="K55" i="10" s="1"/>
  <c r="F117" i="10"/>
  <c r="K40" i="10"/>
  <c r="J40" i="10"/>
  <c r="I40" i="10"/>
  <c r="I41" i="10" s="1"/>
  <c r="E40" i="10"/>
  <c r="E39" i="10"/>
  <c r="E38" i="10"/>
  <c r="A38" i="10"/>
  <c r="L40" i="10"/>
  <c r="L41" i="10" s="1"/>
  <c r="G113" i="10"/>
  <c r="F112" i="10"/>
  <c r="E35" i="10"/>
  <c r="Q40" i="10"/>
  <c r="Q41" i="10" s="1"/>
  <c r="P40" i="10"/>
  <c r="P41" i="10" s="1"/>
  <c r="O40" i="10"/>
  <c r="O41" i="10" s="1"/>
  <c r="N40" i="10"/>
  <c r="I110" i="10"/>
  <c r="G40" i="10"/>
  <c r="G41" i="10" s="1"/>
  <c r="F40" i="10"/>
  <c r="F41" i="10" s="1"/>
  <c r="E30" i="10"/>
  <c r="E107" i="10" s="1"/>
  <c r="A30" i="10"/>
  <c r="E25" i="10"/>
  <c r="E103" i="10" s="1"/>
  <c r="F24" i="10" a="1"/>
  <c r="N24" i="10"/>
  <c r="I24" i="10"/>
  <c r="H24" i="10"/>
  <c r="G24" i="10"/>
  <c r="F24" i="10"/>
  <c r="B23" i="10"/>
  <c r="E23" i="10" s="1"/>
  <c r="D21" i="10"/>
  <c r="C21" i="10"/>
  <c r="A21" i="10"/>
  <c r="A23" i="10" s="1"/>
  <c r="A102" i="10" s="1"/>
  <c r="E20" i="10"/>
  <c r="B20" i="10"/>
  <c r="A20" i="10"/>
  <c r="N15" i="10"/>
  <c r="M15" i="10"/>
  <c r="L15" i="10"/>
  <c r="K15" i="10"/>
  <c r="J15" i="10"/>
  <c r="F15" i="10"/>
  <c r="S14" i="10"/>
  <c r="S13" i="10"/>
  <c r="S12" i="10"/>
  <c r="S11" i="10"/>
  <c r="S10" i="10"/>
  <c r="S9" i="10"/>
  <c r="Q15" i="10"/>
  <c r="P15" i="10"/>
  <c r="O15" i="10"/>
  <c r="S8" i="10"/>
  <c r="I4" i="10"/>
  <c r="H4" i="10"/>
  <c r="G4" i="10"/>
  <c r="F4" i="10"/>
  <c r="G3" i="10"/>
  <c r="H3" i="10" s="1"/>
  <c r="I3" i="10" s="1"/>
  <c r="J3" i="10" s="1"/>
  <c r="G119" i="10" l="1"/>
  <c r="L83" i="10"/>
  <c r="K117" i="10"/>
  <c r="H119" i="10"/>
  <c r="I85" i="10"/>
  <c r="K111" i="10"/>
  <c r="S93" i="10"/>
  <c r="H113" i="10"/>
  <c r="J60" i="10"/>
  <c r="F78" i="10"/>
  <c r="G78" i="10" s="1"/>
  <c r="H78" i="10" s="1"/>
  <c r="I78" i="10" s="1"/>
  <c r="J78" i="10" s="1"/>
  <c r="K78" i="10" s="1"/>
  <c r="L78" i="10" s="1"/>
  <c r="M78" i="10" s="1"/>
  <c r="N78" i="10" s="1"/>
  <c r="O78" i="10" s="1"/>
  <c r="P78" i="10" s="1"/>
  <c r="Q78" i="10" s="1"/>
  <c r="G69" i="10"/>
  <c r="H69" i="10" s="1"/>
  <c r="I69" i="10" s="1"/>
  <c r="J69" i="10" s="1"/>
  <c r="K69" i="10" s="1"/>
  <c r="L69" i="10" s="1"/>
  <c r="M69" i="10" s="1"/>
  <c r="N69" i="10" s="1"/>
  <c r="O69" i="10" s="1"/>
  <c r="P69" i="10" s="1"/>
  <c r="Q69" i="10" s="1"/>
  <c r="F84" i="10"/>
  <c r="G84" i="10" s="1"/>
  <c r="H84" i="10" s="1"/>
  <c r="I84" i="10" s="1"/>
  <c r="J84" i="10" s="1"/>
  <c r="P113" i="10"/>
  <c r="L110" i="10"/>
  <c r="G26" i="10"/>
  <c r="I113" i="10"/>
  <c r="S113" i="10" s="1"/>
  <c r="F54" i="10"/>
  <c r="F55" i="10" s="1"/>
  <c r="S45" i="10"/>
  <c r="Q54" i="10"/>
  <c r="Q55" i="10" s="1"/>
  <c r="J113" i="10"/>
  <c r="G118" i="10"/>
  <c r="S50" i="10"/>
  <c r="I26" i="10"/>
  <c r="H118" i="10"/>
  <c r="G54" i="10"/>
  <c r="G55" i="10" s="1"/>
  <c r="G117" i="10"/>
  <c r="O111" i="10"/>
  <c r="K113" i="10"/>
  <c r="L113" i="10"/>
  <c r="N54" i="10"/>
  <c r="N55" i="10" s="1"/>
  <c r="H106" i="10"/>
  <c r="H26" i="10"/>
  <c r="H54" i="10"/>
  <c r="H55" i="10" s="1"/>
  <c r="H117" i="10"/>
  <c r="P111" i="10"/>
  <c r="I54" i="10"/>
  <c r="I55" i="10" s="1"/>
  <c r="I117" i="10"/>
  <c r="Q110" i="10"/>
  <c r="Q111" i="10"/>
  <c r="M113" i="10"/>
  <c r="J117" i="10"/>
  <c r="J54" i="10"/>
  <c r="J55" i="10" s="1"/>
  <c r="O60" i="10"/>
  <c r="F111" i="10"/>
  <c r="P60" i="10"/>
  <c r="P54" i="10"/>
  <c r="P55" i="10" s="1"/>
  <c r="H87" i="10"/>
  <c r="I87" i="10" s="1"/>
  <c r="J87" i="10" s="1"/>
  <c r="K87" i="10" s="1"/>
  <c r="L87" i="10" s="1"/>
  <c r="M87" i="10" s="1"/>
  <c r="N87" i="10" s="1"/>
  <c r="O87" i="10" s="1"/>
  <c r="G111" i="10"/>
  <c r="K121" i="10"/>
  <c r="H40" i="10"/>
  <c r="H41" i="10" s="1"/>
  <c r="K3" i="10"/>
  <c r="J4" i="10"/>
  <c r="M24" i="10"/>
  <c r="L24" i="10"/>
  <c r="K24" i="10"/>
  <c r="J24" i="10"/>
  <c r="Q24" i="10"/>
  <c r="P24" i="10"/>
  <c r="O24" i="10"/>
  <c r="I111" i="10"/>
  <c r="J41" i="10"/>
  <c r="N77" i="10"/>
  <c r="O77" i="10" s="1"/>
  <c r="P77" i="10" s="1"/>
  <c r="Q77" i="10" s="1"/>
  <c r="J111" i="10"/>
  <c r="S37" i="10"/>
  <c r="K41" i="10"/>
  <c r="O54" i="10"/>
  <c r="O55" i="10" s="1"/>
  <c r="N121" i="10"/>
  <c r="G86" i="10"/>
  <c r="F120" i="10"/>
  <c r="G15" i="10"/>
  <c r="S15" i="10" s="1"/>
  <c r="L111" i="10"/>
  <c r="I70" i="10"/>
  <c r="H79" i="10"/>
  <c r="H112" i="10" s="1"/>
  <c r="H15" i="10"/>
  <c r="M40" i="10"/>
  <c r="M41" i="10" s="1"/>
  <c r="M111" i="10"/>
  <c r="S36" i="10"/>
  <c r="L121" i="10"/>
  <c r="K122" i="10"/>
  <c r="S92" i="10"/>
  <c r="S48" i="10"/>
  <c r="J122" i="10"/>
  <c r="I15" i="10"/>
  <c r="N41" i="10"/>
  <c r="N111" i="10"/>
  <c r="L122" i="10"/>
  <c r="F114" i="10"/>
  <c r="N113" i="10"/>
  <c r="I121" i="10"/>
  <c r="H122" i="10"/>
  <c r="S122" i="10" s="1"/>
  <c r="O113" i="10"/>
  <c r="F119" i="10"/>
  <c r="F60" i="10"/>
  <c r="S47" i="10"/>
  <c r="J121" i="10"/>
  <c r="P94" i="10"/>
  <c r="S94" i="10" s="1"/>
  <c r="S33" i="10"/>
  <c r="S40" i="10" s="1"/>
  <c r="S41" i="10" s="1"/>
  <c r="S51" i="10"/>
  <c r="G79" i="10"/>
  <c r="G112" i="10" s="1"/>
  <c r="G110" i="10"/>
  <c r="S34" i="10"/>
  <c r="H110" i="10"/>
  <c r="S44" i="10"/>
  <c r="N60" i="10"/>
  <c r="O110" i="10"/>
  <c r="P110" i="10"/>
  <c r="H28" i="10" l="1"/>
  <c r="H99" i="10"/>
  <c r="H57" i="10"/>
  <c r="G73" i="10"/>
  <c r="F29" i="10"/>
  <c r="F28" i="10"/>
  <c r="F99" i="10"/>
  <c r="J85" i="10"/>
  <c r="I119" i="10"/>
  <c r="G59" i="10"/>
  <c r="G61" i="10" s="1"/>
  <c r="G101" i="10"/>
  <c r="G19" i="10"/>
  <c r="G100" i="10" s="1"/>
  <c r="F22" i="10"/>
  <c r="I101" i="10"/>
  <c r="F26" i="10"/>
  <c r="G114" i="10"/>
  <c r="H86" i="10"/>
  <c r="G120" i="10"/>
  <c r="G123" i="10" s="1"/>
  <c r="P87" i="10"/>
  <c r="O121" i="10"/>
  <c r="I29" i="10"/>
  <c r="H111" i="10"/>
  <c r="H114" i="10" s="1"/>
  <c r="H29" i="10"/>
  <c r="H74" i="10" s="1"/>
  <c r="I73" i="10"/>
  <c r="K84" i="10"/>
  <c r="J118" i="10"/>
  <c r="F106" i="10"/>
  <c r="I118" i="10"/>
  <c r="F101" i="10"/>
  <c r="F59" i="10"/>
  <c r="F73" i="10"/>
  <c r="G22" i="10"/>
  <c r="G71" i="10" s="1"/>
  <c r="H73" i="10"/>
  <c r="I106" i="10"/>
  <c r="I74" i="10" s="1"/>
  <c r="F71" i="10"/>
  <c r="I28" i="10"/>
  <c r="I57" i="10"/>
  <c r="I99" i="10"/>
  <c r="F118" i="10"/>
  <c r="G29" i="10"/>
  <c r="G57" i="10"/>
  <c r="G28" i="10"/>
  <c r="G99" i="10"/>
  <c r="H22" i="10"/>
  <c r="H71" i="10" s="1"/>
  <c r="I19" i="10"/>
  <c r="I100" i="10" s="1"/>
  <c r="J70" i="10"/>
  <c r="I79" i="10"/>
  <c r="I112" i="10" s="1"/>
  <c r="I114" i="10" s="1"/>
  <c r="H19" i="10"/>
  <c r="H100" i="10" s="1"/>
  <c r="N110" i="10"/>
  <c r="L3" i="10"/>
  <c r="K4" i="10"/>
  <c r="I22" i="10"/>
  <c r="I59" i="10" s="1"/>
  <c r="I61" i="10" s="1"/>
  <c r="M83" i="10"/>
  <c r="L117" i="10"/>
  <c r="H59" i="10"/>
  <c r="H61" i="10" s="1"/>
  <c r="H101" i="10"/>
  <c r="S60" i="10"/>
  <c r="J26" i="10"/>
  <c r="S111" i="10"/>
  <c r="H121" i="10"/>
  <c r="S54" i="10"/>
  <c r="S55" i="10" s="1"/>
  <c r="M121" i="10"/>
  <c r="G106" i="10"/>
  <c r="G74" i="10" s="1"/>
  <c r="F19" i="10"/>
  <c r="H9" i="7"/>
  <c r="G58" i="10" l="1"/>
  <c r="G62" i="10"/>
  <c r="G63" i="10" s="1"/>
  <c r="J106" i="10"/>
  <c r="J101" i="10"/>
  <c r="J59" i="10"/>
  <c r="J61" i="10" s="1"/>
  <c r="L84" i="10"/>
  <c r="K118" i="10"/>
  <c r="J71" i="10"/>
  <c r="F123" i="10"/>
  <c r="I86" i="10"/>
  <c r="H120" i="10"/>
  <c r="I71" i="10"/>
  <c r="J22" i="10"/>
  <c r="F100" i="10"/>
  <c r="J79" i="10"/>
  <c r="J112" i="10" s="1"/>
  <c r="J114" i="10" s="1"/>
  <c r="K70" i="10"/>
  <c r="I125" i="10"/>
  <c r="I103" i="10"/>
  <c r="S110" i="10"/>
  <c r="I58" i="10"/>
  <c r="I62" i="10"/>
  <c r="I63" i="10" s="1"/>
  <c r="H58" i="10"/>
  <c r="H62" i="10"/>
  <c r="H63" i="10" s="1"/>
  <c r="N83" i="10"/>
  <c r="M117" i="10"/>
  <c r="K85" i="10"/>
  <c r="J119" i="10"/>
  <c r="H125" i="10"/>
  <c r="H103" i="10"/>
  <c r="F61" i="10"/>
  <c r="F103" i="10"/>
  <c r="F125" i="10"/>
  <c r="J19" i="10"/>
  <c r="J100" i="10" s="1"/>
  <c r="K26" i="10"/>
  <c r="L4" i="10"/>
  <c r="M3" i="10"/>
  <c r="G125" i="10"/>
  <c r="G103" i="10"/>
  <c r="G127" i="10" s="1"/>
  <c r="G128" i="10" s="1"/>
  <c r="F57" i="10"/>
  <c r="J57" i="10"/>
  <c r="J99" i="10"/>
  <c r="J28" i="10"/>
  <c r="J73" i="10" s="1"/>
  <c r="F74" i="10"/>
  <c r="P121" i="10"/>
  <c r="S121" i="10" s="1"/>
  <c r="Q87" i="10"/>
  <c r="Q121" i="10" s="1"/>
  <c r="K28" i="10" l="1"/>
  <c r="K99" i="10"/>
  <c r="J103" i="10"/>
  <c r="J125" i="10"/>
  <c r="J58" i="10"/>
  <c r="J62" i="10"/>
  <c r="J63" i="10" s="1"/>
  <c r="K29" i="10"/>
  <c r="F58" i="10"/>
  <c r="F62" i="10"/>
  <c r="K106" i="10"/>
  <c r="K101" i="10"/>
  <c r="F127" i="10"/>
  <c r="F128" i="10" s="1"/>
  <c r="L85" i="10"/>
  <c r="K119" i="10"/>
  <c r="L70" i="10"/>
  <c r="K79" i="10"/>
  <c r="K112" i="10" s="1"/>
  <c r="K114" i="10" s="1"/>
  <c r="M84" i="10"/>
  <c r="L118" i="10"/>
  <c r="O83" i="10"/>
  <c r="N117" i="10"/>
  <c r="J29" i="10"/>
  <c r="J74" i="10" s="1"/>
  <c r="K73" i="10"/>
  <c r="K19" i="10"/>
  <c r="K100" i="10" s="1"/>
  <c r="H123" i="10"/>
  <c r="H127" i="10" s="1"/>
  <c r="H128" i="10" s="1"/>
  <c r="N3" i="10"/>
  <c r="M4" i="10"/>
  <c r="L26" i="10"/>
  <c r="J86" i="10"/>
  <c r="I120" i="10"/>
  <c r="I123" i="10" s="1"/>
  <c r="K22" i="10"/>
  <c r="L22" i="10" l="1"/>
  <c r="L59" i="10" s="1"/>
  <c r="L61" i="10" s="1"/>
  <c r="N84" i="10"/>
  <c r="M118" i="10"/>
  <c r="K74" i="10"/>
  <c r="K103" i="10"/>
  <c r="K125" i="10"/>
  <c r="L101" i="10"/>
  <c r="F63" i="10"/>
  <c r="L19" i="10"/>
  <c r="L57" i="10" s="1"/>
  <c r="M70" i="10"/>
  <c r="L79" i="10"/>
  <c r="L112" i="10" s="1"/>
  <c r="K57" i="10"/>
  <c r="M26" i="10"/>
  <c r="M85" i="10"/>
  <c r="L119" i="10"/>
  <c r="O3" i="10"/>
  <c r="N4" i="10"/>
  <c r="L28" i="10"/>
  <c r="L29" i="10" s="1"/>
  <c r="L99" i="10"/>
  <c r="I127" i="10"/>
  <c r="I128" i="10" s="1"/>
  <c r="L71" i="10"/>
  <c r="P83" i="10"/>
  <c r="O117" i="10"/>
  <c r="K59" i="10"/>
  <c r="K71" i="10"/>
  <c r="K86" i="10"/>
  <c r="J120" i="10"/>
  <c r="L106" i="10"/>
  <c r="L62" i="10" l="1"/>
  <c r="L63" i="10" s="1"/>
  <c r="L58" i="10"/>
  <c r="J123" i="10"/>
  <c r="L125" i="10"/>
  <c r="L86" i="10"/>
  <c r="K120" i="10"/>
  <c r="K123" i="10" s="1"/>
  <c r="L73" i="10"/>
  <c r="M99" i="10"/>
  <c r="M28" i="10"/>
  <c r="N26" i="10"/>
  <c r="M106" i="10"/>
  <c r="K62" i="10"/>
  <c r="K58" i="10"/>
  <c r="K127" i="10"/>
  <c r="K128" i="10" s="1"/>
  <c r="M73" i="10"/>
  <c r="L114" i="10"/>
  <c r="K61" i="10"/>
  <c r="M19" i="10"/>
  <c r="M100" i="10" s="1"/>
  <c r="N70" i="10"/>
  <c r="M79" i="10"/>
  <c r="M112" i="10" s="1"/>
  <c r="M114" i="10" s="1"/>
  <c r="L74" i="10"/>
  <c r="P3" i="10"/>
  <c r="O4" i="10"/>
  <c r="Q83" i="10"/>
  <c r="Q117" i="10" s="1"/>
  <c r="P117" i="10"/>
  <c r="S117" i="10" s="1"/>
  <c r="L100" i="10"/>
  <c r="L103" i="10" s="1"/>
  <c r="N85" i="10"/>
  <c r="M119" i="10"/>
  <c r="O84" i="10"/>
  <c r="N118" i="10"/>
  <c r="M22" i="10"/>
  <c r="M71" i="10" s="1"/>
  <c r="M29" i="10"/>
  <c r="M101" i="10"/>
  <c r="M86" i="10" l="1"/>
  <c r="L120" i="10"/>
  <c r="N29" i="10"/>
  <c r="N22" i="10"/>
  <c r="N59" i="10" s="1"/>
  <c r="N61" i="10" s="1"/>
  <c r="N99" i="10"/>
  <c r="N28" i="10"/>
  <c r="M59" i="10"/>
  <c r="J127" i="10"/>
  <c r="J128" i="10" s="1"/>
  <c r="N101" i="10"/>
  <c r="M57" i="10"/>
  <c r="N106" i="10"/>
  <c r="O26" i="10"/>
  <c r="P4" i="10"/>
  <c r="Q3" i="10"/>
  <c r="Q4" i="10" s="1"/>
  <c r="P84" i="10"/>
  <c r="O118" i="10"/>
  <c r="M103" i="10"/>
  <c r="M125" i="10"/>
  <c r="N73" i="10"/>
  <c r="N19" i="10"/>
  <c r="N57" i="10" s="1"/>
  <c r="O85" i="10"/>
  <c r="N119" i="10"/>
  <c r="N79" i="10"/>
  <c r="N112" i="10" s="1"/>
  <c r="N114" i="10" s="1"/>
  <c r="O70" i="10"/>
  <c r="K63" i="10"/>
  <c r="M74" i="10"/>
  <c r="N62" i="10" l="1"/>
  <c r="N63" i="10" s="1"/>
  <c r="N58" i="10"/>
  <c r="Q84" i="10"/>
  <c r="Q118" i="10" s="1"/>
  <c r="P118" i="10"/>
  <c r="O101" i="10"/>
  <c r="S39" i="10"/>
  <c r="Q106" i="10"/>
  <c r="S35" i="10"/>
  <c r="O73" i="10"/>
  <c r="N125" i="10"/>
  <c r="N103" i="10"/>
  <c r="O19" i="10"/>
  <c r="O100" i="10" s="1"/>
  <c r="N74" i="10"/>
  <c r="M62" i="10"/>
  <c r="M58" i="10"/>
  <c r="N71" i="10"/>
  <c r="P85" i="10"/>
  <c r="O119" i="10"/>
  <c r="P106" i="10"/>
  <c r="S106" i="10" s="1"/>
  <c r="P26" i="10"/>
  <c r="O79" i="10"/>
  <c r="O112" i="10" s="1"/>
  <c r="O114" i="10" s="1"/>
  <c r="P70" i="10"/>
  <c r="L123" i="10"/>
  <c r="L127" i="10" s="1"/>
  <c r="L128" i="10" s="1"/>
  <c r="N86" i="10"/>
  <c r="M120" i="10"/>
  <c r="M123" i="10" s="1"/>
  <c r="M127" i="10" s="1"/>
  <c r="M128" i="10" s="1"/>
  <c r="O22" i="10"/>
  <c r="O59" i="10" s="1"/>
  <c r="N100" i="10"/>
  <c r="O71" i="10"/>
  <c r="O99" i="10"/>
  <c r="O28" i="10"/>
  <c r="O29" i="10" s="1"/>
  <c r="O57" i="10"/>
  <c r="O106" i="10"/>
  <c r="M61" i="10"/>
  <c r="O61" i="10" l="1"/>
  <c r="S59" i="10"/>
  <c r="S61" i="10" s="1"/>
  <c r="P79" i="10"/>
  <c r="P112" i="10" s="1"/>
  <c r="P114" i="10" s="1"/>
  <c r="Q70" i="10"/>
  <c r="Q79" i="10" s="1"/>
  <c r="Q112" i="10" s="1"/>
  <c r="P19" i="10"/>
  <c r="P22" i="10"/>
  <c r="O86" i="10"/>
  <c r="N120" i="10"/>
  <c r="N123" i="10" s="1"/>
  <c r="N127" i="10" s="1"/>
  <c r="N128" i="10" s="1"/>
  <c r="S46" i="10"/>
  <c r="S30" i="10"/>
  <c r="S53" i="10"/>
  <c r="Q57" i="10"/>
  <c r="S57" i="10" s="1"/>
  <c r="S58" i="10" s="1"/>
  <c r="Q99" i="10"/>
  <c r="Q28" i="10"/>
  <c r="S28" i="10" s="1"/>
  <c r="S18" i="10"/>
  <c r="O74" i="10"/>
  <c r="M63" i="10"/>
  <c r="S105" i="10"/>
  <c r="P71" i="10"/>
  <c r="Q22" i="10"/>
  <c r="S22" i="10" s="1"/>
  <c r="S118" i="10"/>
  <c r="P59" i="10"/>
  <c r="P61" i="10" s="1"/>
  <c r="P101" i="10"/>
  <c r="S52" i="10"/>
  <c r="S38" i="10"/>
  <c r="P29" i="10"/>
  <c r="Q59" i="10"/>
  <c r="Q61" i="10" s="1"/>
  <c r="Q101" i="10"/>
  <c r="S101" i="10" s="1"/>
  <c r="S21" i="10"/>
  <c r="P99" i="10"/>
  <c r="P57" i="10"/>
  <c r="P28" i="10"/>
  <c r="P73" i="10" s="1"/>
  <c r="S102" i="10"/>
  <c r="S107" i="10"/>
  <c r="O58" i="10"/>
  <c r="O62" i="10"/>
  <c r="O63" i="10" s="1"/>
  <c r="O125" i="10"/>
  <c r="O103" i="10"/>
  <c r="P74" i="10"/>
  <c r="Q85" i="10"/>
  <c r="Q119" i="10" s="1"/>
  <c r="P119" i="10"/>
  <c r="Q26" i="10"/>
  <c r="S25" i="10"/>
  <c r="S26" i="10" s="1"/>
  <c r="Q19" i="10"/>
  <c r="Q100" i="10" s="1"/>
  <c r="S20" i="10"/>
  <c r="S49" i="10"/>
  <c r="P125" i="10" l="1"/>
  <c r="Q29" i="10"/>
  <c r="S119" i="10"/>
  <c r="Q125" i="10"/>
  <c r="S125" i="10" s="1"/>
  <c r="Q103" i="10"/>
  <c r="S99" i="10"/>
  <c r="Q58" i="10"/>
  <c r="Q62" i="10"/>
  <c r="Q63" i="10" s="1"/>
  <c r="Q73" i="10"/>
  <c r="P86" i="10"/>
  <c r="O120" i="10"/>
  <c r="O123" i="10" s="1"/>
  <c r="O127" i="10" s="1"/>
  <c r="O128" i="10" s="1"/>
  <c r="Q71" i="10"/>
  <c r="P100" i="10"/>
  <c r="P103" i="10" s="1"/>
  <c r="S19" i="10"/>
  <c r="P58" i="10"/>
  <c r="P62" i="10"/>
  <c r="P63" i="10" s="1"/>
  <c r="Q114" i="10"/>
  <c r="S114" i="10" s="1"/>
  <c r="S112" i="10"/>
  <c r="S103" i="10" l="1"/>
  <c r="S29" i="10"/>
  <c r="Q74" i="10"/>
  <c r="S100" i="10"/>
  <c r="Q86" i="10"/>
  <c r="Q120" i="10" s="1"/>
  <c r="P120" i="10"/>
  <c r="P123" i="10" s="1"/>
  <c r="P127" i="10" s="1"/>
  <c r="P128" i="10" s="1"/>
  <c r="S62" i="10"/>
  <c r="S63" i="10" s="1"/>
  <c r="S120" i="10" l="1"/>
  <c r="Q123" i="10"/>
  <c r="S123" i="10" l="1"/>
  <c r="S127" i="10" s="1"/>
  <c r="S128" i="10" s="1"/>
  <c r="Q127" i="10"/>
  <c r="Q128" i="10" s="1"/>
  <c r="B3" i="4" l="1"/>
  <c r="G47" i="4" l="1"/>
  <c r="O2" i="7" l="1"/>
  <c r="O4" i="7" l="1"/>
  <c r="O6" i="7" s="1"/>
  <c r="B54" i="4" l="1"/>
  <c r="D4" i="7" l="1"/>
  <c r="D6" i="7" s="1"/>
  <c r="B4" i="4" l="1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C48" i="4"/>
  <c r="C47" i="4"/>
  <c r="B9" i="4"/>
  <c r="B8" i="4"/>
  <c r="B7" i="4"/>
  <c r="B50" i="4" l="1"/>
  <c r="B52" i="4"/>
  <c r="B53" i="4" s="1"/>
  <c r="B55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H4" i="7" l="1"/>
  <c r="H6" i="7" s="1"/>
  <c r="F4" i="7"/>
  <c r="F6" i="7" s="1"/>
  <c r="D17" i="7" l="1"/>
  <c r="I2" i="7" l="1"/>
  <c r="I9" i="7"/>
  <c r="J9" i="7" s="1"/>
  <c r="K9" i="7" s="1"/>
  <c r="L9" i="7" s="1"/>
  <c r="O9" i="7" s="1"/>
  <c r="J2" i="7"/>
  <c r="N9" i="7" l="1"/>
  <c r="P9" i="7" s="1"/>
  <c r="K2" i="7"/>
  <c r="L2" i="7" s="1"/>
  <c r="S2" i="7" s="1"/>
  <c r="I4" i="7"/>
  <c r="I6" i="7" s="1"/>
  <c r="N2" i="7" l="1"/>
  <c r="T2" i="7" s="1"/>
  <c r="P2" i="7" l="1"/>
  <c r="Q2" i="7" s="1"/>
  <c r="Q4" i="7" s="1"/>
  <c r="Q6" i="7" s="1"/>
  <c r="P4" i="7" l="1"/>
  <c r="P6" i="7" s="1"/>
  <c r="B60" i="4" l="1"/>
  <c r="B61" i="4" s="1"/>
  <c r="Q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7" authorId="0" shapeId="0" xr:uid="{4769E7A1-1BEC-48B1-B476-94EB5D586338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rate used in the last general rate case.</t>
        </r>
      </text>
    </comment>
    <comment ref="B48" authorId="0" shapeId="0" xr:uid="{96EB522B-D72C-4C3D-8F27-8302404C78B5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2024 rate with Cedar Grove.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F68" authorId="0" shapeId="0" xr:uid="{140CEB7D-E3F8-4D40-97FE-3C2B16871EE9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Per King Co disposal rates effective Jan 1, 2022
</t>
        </r>
      </text>
    </comment>
  </commentList>
</comments>
</file>

<file path=xl/sharedStrings.xml><?xml version="1.0" encoding="utf-8"?>
<sst xmlns="http://schemas.openxmlformats.org/spreadsheetml/2006/main" count="197" uniqueCount="156">
  <si>
    <t>Monthly Frequency</t>
  </si>
  <si>
    <t>Annual PU's</t>
  </si>
  <si>
    <t>Gross Up</t>
  </si>
  <si>
    <t>Totals</t>
  </si>
  <si>
    <t>Increase per ton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</si>
  <si>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</si>
  <si>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</si>
  <si>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</si>
  <si>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</si>
  <si>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</si>
  <si>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</si>
  <si>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</si>
  <si>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</si>
  <si>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</si>
  <si>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</si>
  <si>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</si>
  <si>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</si>
  <si>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</si>
  <si>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</si>
  <si>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</si>
  <si>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</si>
  <si>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</si>
  <si>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</si>
  <si>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</si>
  <si>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</si>
  <si>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</si>
  <si>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</si>
  <si>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</si>
  <si>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</si>
  <si>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</si>
  <si>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</si>
  <si>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</si>
  <si>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</si>
  <si>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</si>
  <si>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</si>
  <si>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</si>
  <si>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</si>
  <si>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</si>
  <si>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</si>
  <si>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</si>
  <si>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</si>
  <si>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</si>
  <si>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</si>
  <si>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</si>
  <si>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</si>
  <si>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</si>
  <si>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</si>
  <si>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</si>
  <si>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</si>
  <si>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</si>
  <si>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</si>
  <si>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</si>
  <si>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</si>
  <si>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</si>
  <si>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</si>
  <si>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</si>
  <si>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</si>
  <si>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</si>
  <si>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</si>
  <si>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</si>
  <si>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</si>
  <si>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</si>
  <si>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</si>
  <si>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</si>
  <si>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</si>
  <si>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</si>
  <si>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</si>
  <si>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</si>
  <si>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</si>
  <si>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</si>
  <si>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</si>
  <si>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</si>
  <si>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</si>
  <si>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</si>
  <si>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</si>
  <si>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</si>
  <si>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</si>
  <si>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</si>
  <si>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</si>
  <si>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</si>
  <si>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</si>
  <si>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</si>
  <si>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</si>
  <si>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</si>
  <si>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</si>
  <si>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</si>
  <si>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</si>
  <si>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</si>
  <si>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</si>
  <si>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</si>
  <si>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</si>
  <si>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</si>
  <si>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* not on meeks - calculated by staff in previous cases</t>
  </si>
  <si>
    <t>King County</t>
  </si>
  <si>
    <t>No Customers</t>
  </si>
  <si>
    <t>Item 100, pg 21 Appendix A</t>
  </si>
  <si>
    <t>Company Calculated Revenue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</si>
  <si>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</si>
  <si>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</si>
  <si>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</si>
  <si>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</si>
  <si>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</si>
  <si>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</si>
  <si>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</si>
  <si>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</si>
  <si>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</si>
  <si>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</si>
  <si>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</si>
  <si>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</si>
  <si>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</si>
  <si>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</si>
  <si>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</si>
  <si>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</si>
  <si>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</si>
  <si>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</si>
  <si>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</si>
  <si>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</si>
  <si>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</si>
  <si>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 (MF)</t>
  </si>
  <si>
    <t>Unregulated RCY / COGS</t>
  </si>
  <si>
    <t>YW</t>
  </si>
  <si>
    <t>Variance to GL</t>
  </si>
  <si>
    <t>Regulated Pass Thru Disposal Tons</t>
  </si>
  <si>
    <t>Unregulated Pass Thru Disposal Tons</t>
  </si>
  <si>
    <t>C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</si>
  <si>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</si>
  <si>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</si>
  <si>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</si>
  <si>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</si>
  <si>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</si>
  <si>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</si>
  <si>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</si>
  <si>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</si>
  <si>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</si>
  <si>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</si>
  <si>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</si>
  <si>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</si>
  <si>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</si>
  <si>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</si>
  <si>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</si>
  <si>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</si>
  <si>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</si>
  <si>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</si>
  <si>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</si>
  <si>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Residential YW</t>
  </si>
  <si>
    <t>(Account #)</t>
  </si>
  <si>
    <t>LESS: King County Transfer Hauls</t>
  </si>
  <si>
    <t>2G</t>
  </si>
  <si>
    <t>Check</t>
  </si>
  <si>
    <t>% Increase</t>
  </si>
  <si>
    <t>Rate check</t>
  </si>
  <si>
    <t>% increase</t>
  </si>
  <si>
    <t>From 2023 General Rate Case</t>
  </si>
  <si>
    <t>Yardwaste 96 Gal Toter</t>
  </si>
  <si>
    <t>Yardwaste Only 96G</t>
  </si>
  <si>
    <t>Cedar Grove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</si>
</sst>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6" applyNumberFormat="0" applyFont="0" applyAlignment="0" applyProtection="0"/>
    <xf numFmtId="0" fontId="2" fillId="0" borderId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39" borderId="36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223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166" fontId="11" fillId="0" borderId="0" xfId="373" applyNumberFormat="1" applyFont="1"/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44" fontId="3" fillId="6" borderId="1" xfId="2" applyFont="1" applyFill="1" applyBorder="1" applyAlignment="1">
      <alignment horizontal="right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0" fillId="6" borderId="35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4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0" fontId="0" fillId="0" borderId="23" xfId="0" applyFont="1" applyBorder="1"/>
    <xf numFmtId="0" fontId="0" fillId="0" borderId="24" xfId="0" applyFont="1" applyBorder="1"/>
    <xf numFmtId="0" fontId="1" fillId="0" borderId="0" xfId="23"/>
    <xf numFmtId="0" fontId="3" fillId="0" borderId="0" xfId="23" applyFont="1"/>
    <xf numFmtId="0" fontId="1" fillId="0" borderId="0" xfId="23" applyAlignment="1">
      <alignment horizontal="center"/>
    </xf>
    <xf numFmtId="172" fontId="3" fillId="39" borderId="36" xfId="409" applyNumberFormat="1" applyFont="1"/>
    <xf numFmtId="172" fontId="3" fillId="0" borderId="0" xfId="23" applyNumberFormat="1" applyFont="1"/>
    <xf numFmtId="0" fontId="63" fillId="0" borderId="0" xfId="23" applyFont="1" applyAlignment="1">
      <alignment horizontal="center"/>
    </xf>
    <xf numFmtId="0" fontId="63" fillId="0" borderId="0" xfId="23" applyFont="1"/>
    <xf numFmtId="0" fontId="64" fillId="0" borderId="0" xfId="23" applyFont="1"/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3" fillId="0" borderId="0" xfId="23" applyNumberFormat="1" applyFont="1"/>
    <xf numFmtId="0" fontId="1" fillId="0" borderId="1" xfId="23" applyBorder="1"/>
    <xf numFmtId="0" fontId="11" fillId="39" borderId="36" xfId="409" applyFont="1" applyAlignment="1">
      <alignment horizontal="center"/>
    </xf>
    <xf numFmtId="0" fontId="65" fillId="0" borderId="37" xfId="23" applyFont="1" applyBorder="1" applyAlignment="1">
      <alignment horizontal="center"/>
    </xf>
    <xf numFmtId="0" fontId="65" fillId="0" borderId="37" xfId="23" applyFont="1" applyBorder="1"/>
    <xf numFmtId="166" fontId="66" fillId="2" borderId="37" xfId="23" applyNumberFormat="1" applyFont="1" applyFill="1" applyBorder="1"/>
    <xf numFmtId="0" fontId="67" fillId="0" borderId="37" xfId="23" applyFont="1" applyBorder="1" applyAlignment="1">
      <alignment horizontal="center"/>
    </xf>
    <xf numFmtId="0" fontId="67" fillId="0" borderId="37" xfId="23" applyFont="1" applyBorder="1"/>
    <xf numFmtId="0" fontId="1" fillId="0" borderId="3" xfId="23" applyBorder="1" applyAlignment="1">
      <alignment horizontal="center"/>
    </xf>
    <xf numFmtId="0" fontId="1" fillId="0" borderId="3" xfId="23" applyBorder="1"/>
    <xf numFmtId="166" fontId="3" fillId="0" borderId="3" xfId="23" applyNumberFormat="1" applyFont="1" applyBorder="1"/>
    <xf numFmtId="166" fontId="66" fillId="0" borderId="37" xfId="23" applyNumberFormat="1" applyFont="1" applyBorder="1"/>
    <xf numFmtId="0" fontId="65" fillId="2" borderId="37" xfId="23" applyFont="1" applyFill="1" applyBorder="1"/>
    <xf numFmtId="0" fontId="9" fillId="0" borderId="0" xfId="23" applyFont="1"/>
    <xf numFmtId="0" fontId="9" fillId="0" borderId="3" xfId="23" applyFont="1" applyBorder="1"/>
    <xf numFmtId="44" fontId="11" fillId="39" borderId="36" xfId="409" applyNumberFormat="1" applyFont="1"/>
    <xf numFmtId="166" fontId="3" fillId="0" borderId="1" xfId="23" applyNumberFormat="1" applyFont="1" applyBorder="1"/>
    <xf numFmtId="0" fontId="65" fillId="0" borderId="0" xfId="23" applyFont="1"/>
    <xf numFmtId="0" fontId="67" fillId="0" borderId="0" xfId="23" applyFont="1"/>
    <xf numFmtId="0" fontId="1" fillId="0" borderId="38" xfId="23" applyBorder="1" applyAlignment="1">
      <alignment horizontal="center"/>
    </xf>
    <xf numFmtId="0" fontId="1" fillId="0" borderId="0" xfId="23" applyAlignment="1">
      <alignment horizontal="center" vertical="center"/>
    </xf>
    <xf numFmtId="0" fontId="11" fillId="39" borderId="40" xfId="409" applyFont="1" applyBorder="1" applyAlignment="1">
      <alignment horizontal="center"/>
    </xf>
    <xf numFmtId="0" fontId="65" fillId="0" borderId="41" xfId="23" applyFont="1" applyBorder="1"/>
    <xf numFmtId="0" fontId="1" fillId="2" borderId="3" xfId="23" applyFill="1" applyBorder="1"/>
    <xf numFmtId="166" fontId="3" fillId="2" borderId="3" xfId="23" applyNumberFormat="1" applyFont="1" applyFill="1" applyBorder="1"/>
    <xf numFmtId="173" fontId="1" fillId="40" borderId="39" xfId="23" applyNumberFormat="1" applyFill="1" applyBorder="1"/>
    <xf numFmtId="0" fontId="69" fillId="41" borderId="42" xfId="23" applyFont="1" applyFill="1" applyBorder="1"/>
    <xf numFmtId="166" fontId="70" fillId="41" borderId="42" xfId="23" applyNumberFormat="1" applyFont="1" applyFill="1" applyBorder="1"/>
    <xf numFmtId="44" fontId="0" fillId="38" borderId="0" xfId="2" applyFont="1" applyFill="1"/>
    <xf numFmtId="44" fontId="0" fillId="38" borderId="1" xfId="2" applyFont="1" applyFill="1" applyBorder="1"/>
    <xf numFmtId="0" fontId="0" fillId="0" borderId="20" xfId="0" applyFont="1" applyBorder="1"/>
    <xf numFmtId="166" fontId="3" fillId="0" borderId="25" xfId="1" applyNumberFormat="1" applyFont="1" applyBorder="1" applyAlignment="1">
      <alignment horizontal="center"/>
    </xf>
    <xf numFmtId="166" fontId="0" fillId="38" borderId="22" xfId="1" applyNumberFormat="1" applyFont="1" applyFill="1" applyBorder="1" applyAlignment="1">
      <alignment horizontal="right"/>
    </xf>
    <xf numFmtId="166" fontId="0" fillId="0" borderId="22" xfId="1" applyNumberFormat="1" applyFont="1" applyBorder="1" applyAlignment="1">
      <alignment horizontal="right"/>
    </xf>
    <xf numFmtId="166" fontId="0" fillId="0" borderId="24" xfId="1" applyNumberFormat="1" applyFont="1" applyBorder="1" applyAlignment="1">
      <alignment horizontal="right"/>
    </xf>
    <xf numFmtId="0" fontId="3" fillId="0" borderId="0" xfId="23" applyFont="1" applyAlignment="1">
      <alignment horizontal="center"/>
    </xf>
    <xf numFmtId="0" fontId="3" fillId="0" borderId="0" xfId="23" applyFont="1" applyAlignment="1">
      <alignment horizontal="left"/>
    </xf>
    <xf numFmtId="166" fontId="11" fillId="0" borderId="0" xfId="411" applyNumberFormat="1" applyFont="1" applyFill="1"/>
    <xf numFmtId="166" fontId="11" fillId="0" borderId="1" xfId="411" applyNumberFormat="1" applyFont="1" applyFill="1" applyBorder="1"/>
    <xf numFmtId="166" fontId="11" fillId="0" borderId="0" xfId="411" applyNumberFormat="1" applyFont="1"/>
    <xf numFmtId="166" fontId="11" fillId="0" borderId="0" xfId="411" applyNumberFormat="1" applyFont="1" applyBorder="1"/>
    <xf numFmtId="166" fontId="65" fillId="0" borderId="37" xfId="411" applyNumberFormat="1" applyFont="1" applyBorder="1"/>
    <xf numFmtId="166" fontId="65" fillId="0" borderId="0" xfId="411" applyNumberFormat="1" applyFont="1"/>
    <xf numFmtId="171" fontId="11" fillId="0" borderId="0" xfId="412" applyNumberFormat="1" applyFont="1"/>
    <xf numFmtId="1" fontId="67" fillId="39" borderId="36" xfId="413" applyNumberFormat="1" applyFont="1" applyAlignment="1">
      <alignment horizontal="center"/>
    </xf>
    <xf numFmtId="0" fontId="71" fillId="0" borderId="0" xfId="23" applyFont="1" applyAlignment="1">
      <alignment horizontal="left" vertical="center"/>
    </xf>
    <xf numFmtId="166" fontId="67" fillId="0" borderId="0" xfId="411" applyNumberFormat="1" applyFont="1"/>
    <xf numFmtId="166" fontId="68" fillId="0" borderId="0" xfId="411" applyNumberFormat="1" applyFont="1"/>
    <xf numFmtId="166" fontId="11" fillId="0" borderId="3" xfId="411" applyNumberFormat="1" applyFont="1" applyBorder="1"/>
    <xf numFmtId="0" fontId="65" fillId="0" borderId="0" xfId="414" applyNumberFormat="1" applyFont="1"/>
    <xf numFmtId="171" fontId="65" fillId="0" borderId="0" xfId="414" applyNumberFormat="1" applyFont="1"/>
    <xf numFmtId="171" fontId="65" fillId="0" borderId="0" xfId="414" applyNumberFormat="1" applyFont="1" applyFill="1"/>
    <xf numFmtId="166" fontId="3" fillId="0" borderId="0" xfId="411" applyNumberFormat="1" applyFont="1"/>
    <xf numFmtId="166" fontId="12" fillId="0" borderId="38" xfId="411" applyNumberFormat="1" applyFont="1" applyBorder="1" applyAlignment="1">
      <alignment horizontal="center"/>
    </xf>
    <xf numFmtId="173" fontId="11" fillId="40" borderId="39" xfId="411" applyNumberFormat="1" applyFont="1" applyFill="1" applyBorder="1"/>
    <xf numFmtId="173" fontId="11" fillId="0" borderId="39" xfId="411" applyNumberFormat="1" applyFont="1" applyBorder="1"/>
    <xf numFmtId="166" fontId="65" fillId="2" borderId="37" xfId="411" applyNumberFormat="1" applyFont="1" applyFill="1" applyBorder="1"/>
    <xf numFmtId="173" fontId="65" fillId="0" borderId="39" xfId="411" applyNumberFormat="1" applyFont="1" applyBorder="1"/>
    <xf numFmtId="166" fontId="65" fillId="0" borderId="39" xfId="411" applyNumberFormat="1" applyFont="1" applyBorder="1"/>
    <xf numFmtId="166" fontId="11" fillId="2" borderId="3" xfId="411" applyNumberFormat="1" applyFont="1" applyFill="1" applyBorder="1"/>
    <xf numFmtId="166" fontId="11" fillId="0" borderId="39" xfId="411" applyNumberFormat="1" applyFont="1" applyBorder="1"/>
    <xf numFmtId="173" fontId="12" fillId="0" borderId="38" xfId="411" applyNumberFormat="1" applyFont="1" applyBorder="1"/>
    <xf numFmtId="0" fontId="67" fillId="0" borderId="0" xfId="414" applyNumberFormat="1" applyFont="1"/>
    <xf numFmtId="43" fontId="11" fillId="0" borderId="0" xfId="411" applyFont="1"/>
    <xf numFmtId="44" fontId="11" fillId="0" borderId="0" xfId="415" applyFont="1"/>
    <xf numFmtId="44" fontId="3" fillId="0" borderId="0" xfId="415" applyFont="1"/>
    <xf numFmtId="8" fontId="11" fillId="39" borderId="36" xfId="409" applyNumberFormat="1" applyFont="1"/>
    <xf numFmtId="44" fontId="11" fillId="0" borderId="0" xfId="415" applyFont="1" applyFill="1"/>
    <xf numFmtId="166" fontId="9" fillId="0" borderId="1" xfId="411" applyNumberFormat="1" applyFont="1" applyFill="1" applyBorder="1"/>
    <xf numFmtId="0" fontId="1" fillId="42" borderId="0" xfId="23" applyFill="1" applyAlignment="1">
      <alignment horizontal="center"/>
    </xf>
    <xf numFmtId="0" fontId="1" fillId="42" borderId="0" xfId="23" applyFill="1"/>
    <xf numFmtId="166" fontId="11" fillId="42" borderId="0" xfId="411" applyNumberFormat="1" applyFont="1" applyFill="1"/>
    <xf numFmtId="166" fontId="3" fillId="42" borderId="0" xfId="23" applyNumberFormat="1" applyFont="1" applyFill="1"/>
    <xf numFmtId="166" fontId="11" fillId="0" borderId="1" xfId="411" applyNumberFormat="1" applyFont="1" applyBorder="1"/>
    <xf numFmtId="166" fontId="69" fillId="41" borderId="42" xfId="411" applyNumberFormat="1" applyFont="1" applyFill="1" applyBorder="1"/>
    <xf numFmtId="9" fontId="3" fillId="0" borderId="0" xfId="412" applyFont="1"/>
    <xf numFmtId="14" fontId="11" fillId="0" borderId="0" xfId="411" applyNumberFormat="1" applyFont="1"/>
    <xf numFmtId="166" fontId="12" fillId="0" borderId="0" xfId="411" applyNumberFormat="1" applyFont="1" applyAlignment="1">
      <alignment horizontal="center"/>
    </xf>
    <xf numFmtId="1" fontId="1" fillId="0" borderId="0" xfId="23" applyNumberFormat="1"/>
    <xf numFmtId="44" fontId="11" fillId="0" borderId="0" xfId="416" applyFont="1"/>
    <xf numFmtId="10" fontId="0" fillId="0" borderId="0" xfId="3" applyNumberFormat="1" applyFont="1" applyFill="1" applyBorder="1"/>
    <xf numFmtId="44" fontId="0" fillId="0" borderId="0" xfId="0" applyNumberFormat="1" applyFont="1" applyFill="1" applyBorder="1"/>
    <xf numFmtId="44" fontId="0" fillId="43" borderId="0" xfId="2" applyFont="1" applyFill="1" applyBorder="1"/>
    <xf numFmtId="166" fontId="11" fillId="43" borderId="0" xfId="373" applyNumberFormat="1" applyFont="1" applyFill="1" applyBorder="1"/>
    <xf numFmtId="166" fontId="11" fillId="43" borderId="0" xfId="373" applyNumberFormat="1" applyFont="1" applyFill="1"/>
    <xf numFmtId="44" fontId="11" fillId="43" borderId="0" xfId="1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0" fontId="0" fillId="0" borderId="0" xfId="3" applyNumberFormat="1" applyFont="1"/>
    <xf numFmtId="0" fontId="0" fillId="0" borderId="3" xfId="0" applyFont="1" applyFill="1" applyBorder="1" applyAlignment="1">
      <alignment horizontal="center" vertical="center" textRotation="90"/>
    </xf>
    <xf numFmtId="0" fontId="11" fillId="0" borderId="0" xfId="4" applyFont="1" applyAlignment="1">
      <alignment horizontal="left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7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5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6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7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8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9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400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390" xr:uid="{00000000-0005-0000-0000-00006C000000}"/>
    <cellStyle name="Comma 21" xfId="401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2" xfId="411" xr:uid="{0375DB39-EFBA-4B7D-8C9F-E1287094FC16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391" xr:uid="{00000000-0005-0000-0000-000088000000}"/>
    <cellStyle name="Currency 12" xfId="402" xr:uid="{00000000-0005-0000-0000-000089000000}"/>
    <cellStyle name="Currency 13" xfId="416" xr:uid="{FD77F899-4731-4AE9-913A-0206DBC8E87A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7 2" xfId="415" xr:uid="{9708809E-EADA-43CB-8512-A36CC55FEA35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403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404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94" xr:uid="{00000000-0005-0000-0000-0000D8000000}"/>
    <cellStyle name="Normal 11" xfId="157" xr:uid="{00000000-0005-0000-0000-0000D9000000}"/>
    <cellStyle name="Normal 12" xfId="158" xr:uid="{00000000-0005-0000-0000-0000DA000000}"/>
    <cellStyle name="Normal 12 2" xfId="341" xr:uid="{00000000-0005-0000-0000-0000DB000000}"/>
    <cellStyle name="Normal 13" xfId="159" xr:uid="{00000000-0005-0000-0000-0000DC000000}"/>
    <cellStyle name="Normal 13 2" xfId="342" xr:uid="{00000000-0005-0000-0000-0000DD000000}"/>
    <cellStyle name="Normal 14" xfId="160" xr:uid="{00000000-0005-0000-0000-0000DE000000}"/>
    <cellStyle name="Normal 14 2" xfId="343" xr:uid="{00000000-0005-0000-0000-0000DF000000}"/>
    <cellStyle name="Normal 15" xfId="161" xr:uid="{00000000-0005-0000-0000-0000E0000000}"/>
    <cellStyle name="Normal 15 2" xfId="344" xr:uid="{00000000-0005-0000-0000-0000E1000000}"/>
    <cellStyle name="Normal 16" xfId="162" xr:uid="{00000000-0005-0000-0000-0000E2000000}"/>
    <cellStyle name="Normal 16 2" xfId="345" xr:uid="{00000000-0005-0000-0000-0000E3000000}"/>
    <cellStyle name="Normal 163" xfId="410" xr:uid="{E5B31473-AD8F-45E5-9B78-A571B1090DE3}"/>
    <cellStyle name="Normal 17" xfId="163" xr:uid="{00000000-0005-0000-0000-0000E4000000}"/>
    <cellStyle name="Normal 17 2" xfId="346" xr:uid="{00000000-0005-0000-0000-0000E5000000}"/>
    <cellStyle name="Normal 18" xfId="164" xr:uid="{00000000-0005-0000-0000-0000E6000000}"/>
    <cellStyle name="Normal 18 2" xfId="347" xr:uid="{00000000-0005-0000-0000-0000E7000000}"/>
    <cellStyle name="Normal 19" xfId="165" xr:uid="{00000000-0005-0000-0000-0000E8000000}"/>
    <cellStyle name="Normal 19 2" xfId="348" xr:uid="{00000000-0005-0000-0000-0000E9000000}"/>
    <cellStyle name="Normal 2" xfId="18" xr:uid="{00000000-0005-0000-0000-0000EA000000}"/>
    <cellStyle name="Normal 2 2" xfId="19" xr:uid="{00000000-0005-0000-0000-0000EB000000}"/>
    <cellStyle name="Normal 2 2 2" xfId="167" xr:uid="{00000000-0005-0000-0000-0000EC000000}"/>
    <cellStyle name="Normal 2 2 3" xfId="166" xr:uid="{00000000-0005-0000-0000-0000ED000000}"/>
    <cellStyle name="Normal 2 2_Actual_Fuel" xfId="168" xr:uid="{00000000-0005-0000-0000-0000EE000000}"/>
    <cellStyle name="Normal 2 3" xfId="169" xr:uid="{00000000-0005-0000-0000-0000EF000000}"/>
    <cellStyle name="Normal 2 3 2" xfId="170" xr:uid="{00000000-0005-0000-0000-0000F0000000}"/>
    <cellStyle name="Normal 2 3 3" xfId="296" xr:uid="{00000000-0005-0000-0000-0000F1000000}"/>
    <cellStyle name="Normal 2 4" xfId="297" xr:uid="{00000000-0005-0000-0000-0000F2000000}"/>
    <cellStyle name="Normal 2 5" xfId="298" xr:uid="{00000000-0005-0000-0000-0000F3000000}"/>
    <cellStyle name="Normal 2_2012-10" xfId="171" xr:uid="{00000000-0005-0000-0000-0000F4000000}"/>
    <cellStyle name="Normal 20" xfId="172" xr:uid="{00000000-0005-0000-0000-0000F5000000}"/>
    <cellStyle name="Normal 21" xfId="173" xr:uid="{00000000-0005-0000-0000-0000F6000000}"/>
    <cellStyle name="Normal 22" xfId="174" xr:uid="{00000000-0005-0000-0000-0000F7000000}"/>
    <cellStyle name="Normal 23" xfId="175" xr:uid="{00000000-0005-0000-0000-0000F8000000}"/>
    <cellStyle name="Normal 24" xfId="176" xr:uid="{00000000-0005-0000-0000-0000F9000000}"/>
    <cellStyle name="Normal 25" xfId="177" xr:uid="{00000000-0005-0000-0000-0000FA000000}"/>
    <cellStyle name="Normal 26" xfId="178" xr:uid="{00000000-0005-0000-0000-0000FB000000}"/>
    <cellStyle name="Normal 27" xfId="179" xr:uid="{00000000-0005-0000-0000-0000FC000000}"/>
    <cellStyle name="Normal 28" xfId="180" xr:uid="{00000000-0005-0000-0000-0000FD000000}"/>
    <cellStyle name="Normal 29" xfId="181" xr:uid="{00000000-0005-0000-0000-0000FE000000}"/>
    <cellStyle name="Normal 3" xfId="20" xr:uid="{00000000-0005-0000-0000-0000FF000000}"/>
    <cellStyle name="Normal 3 2" xfId="183" xr:uid="{00000000-0005-0000-0000-000000010000}"/>
    <cellStyle name="Normal 3 3" xfId="182" xr:uid="{00000000-0005-0000-0000-000001010000}"/>
    <cellStyle name="Normal 3 4" xfId="281" xr:uid="{00000000-0005-0000-0000-000002010000}"/>
    <cellStyle name="Normal 3_2012 PR" xfId="184" xr:uid="{00000000-0005-0000-0000-000003010000}"/>
    <cellStyle name="Normal 30" xfId="185" xr:uid="{00000000-0005-0000-0000-000004010000}"/>
    <cellStyle name="Normal 31" xfId="186" xr:uid="{00000000-0005-0000-0000-000005010000}"/>
    <cellStyle name="Normal 32" xfId="187" xr:uid="{00000000-0005-0000-0000-000006010000}"/>
    <cellStyle name="Normal 33" xfId="188" xr:uid="{00000000-0005-0000-0000-000007010000}"/>
    <cellStyle name="Normal 34" xfId="189" xr:uid="{00000000-0005-0000-0000-000008010000}"/>
    <cellStyle name="Normal 35" xfId="190" xr:uid="{00000000-0005-0000-0000-000009010000}"/>
    <cellStyle name="Normal 36" xfId="191" xr:uid="{00000000-0005-0000-0000-00000A010000}"/>
    <cellStyle name="Normal 37" xfId="192" xr:uid="{00000000-0005-0000-0000-00000B010000}"/>
    <cellStyle name="Normal 38" xfId="193" xr:uid="{00000000-0005-0000-0000-00000C010000}"/>
    <cellStyle name="Normal 39" xfId="194" xr:uid="{00000000-0005-0000-0000-00000D010000}"/>
    <cellStyle name="Normal 4" xfId="21" xr:uid="{00000000-0005-0000-0000-00000E010000}"/>
    <cellStyle name="Normal 4 2" xfId="195" xr:uid="{00000000-0005-0000-0000-00000F010000}"/>
    <cellStyle name="Normal 40" xfId="196" xr:uid="{00000000-0005-0000-0000-000010010000}"/>
    <cellStyle name="Normal 41" xfId="197" xr:uid="{00000000-0005-0000-0000-000011010000}"/>
    <cellStyle name="Normal 42" xfId="198" xr:uid="{00000000-0005-0000-0000-000012010000}"/>
    <cellStyle name="Normal 43" xfId="199" xr:uid="{00000000-0005-0000-0000-000013010000}"/>
    <cellStyle name="Normal 44" xfId="200" xr:uid="{00000000-0005-0000-0000-000014010000}"/>
    <cellStyle name="Normal 45" xfId="201" xr:uid="{00000000-0005-0000-0000-000015010000}"/>
    <cellStyle name="Normal 46" xfId="202" xr:uid="{00000000-0005-0000-0000-000016010000}"/>
    <cellStyle name="Normal 47" xfId="203" xr:uid="{00000000-0005-0000-0000-000017010000}"/>
    <cellStyle name="Normal 48" xfId="204" xr:uid="{00000000-0005-0000-0000-000018010000}"/>
    <cellStyle name="Normal 49" xfId="205" xr:uid="{00000000-0005-0000-0000-000019010000}"/>
    <cellStyle name="Normal 5" xfId="22" xr:uid="{00000000-0005-0000-0000-00001A010000}"/>
    <cellStyle name="Normal 5 2" xfId="206" xr:uid="{00000000-0005-0000-0000-00001B010000}"/>
    <cellStyle name="Normal 5_2112 DF Schedule" xfId="349" xr:uid="{00000000-0005-0000-0000-00001C010000}"/>
    <cellStyle name="Normal 50" xfId="207" xr:uid="{00000000-0005-0000-0000-00001D010000}"/>
    <cellStyle name="Normal 51" xfId="208" xr:uid="{00000000-0005-0000-0000-00001E010000}"/>
    <cellStyle name="Normal 52" xfId="209" xr:uid="{00000000-0005-0000-0000-00001F010000}"/>
    <cellStyle name="Normal 53" xfId="210" xr:uid="{00000000-0005-0000-0000-000020010000}"/>
    <cellStyle name="Normal 54" xfId="211" xr:uid="{00000000-0005-0000-0000-000021010000}"/>
    <cellStyle name="Normal 55" xfId="212" xr:uid="{00000000-0005-0000-0000-000022010000}"/>
    <cellStyle name="Normal 56" xfId="213" xr:uid="{00000000-0005-0000-0000-000023010000}"/>
    <cellStyle name="Normal 57" xfId="214" xr:uid="{00000000-0005-0000-0000-000024010000}"/>
    <cellStyle name="Normal 58" xfId="215" xr:uid="{00000000-0005-0000-0000-000025010000}"/>
    <cellStyle name="Normal 59" xfId="216" xr:uid="{00000000-0005-0000-0000-000026010000}"/>
    <cellStyle name="Normal 6" xfId="23" xr:uid="{00000000-0005-0000-0000-000027010000}"/>
    <cellStyle name="Normal 6 2" xfId="217" xr:uid="{00000000-0005-0000-0000-000028010000}"/>
    <cellStyle name="Normal 60" xfId="218" xr:uid="{00000000-0005-0000-0000-000029010000}"/>
    <cellStyle name="Normal 61" xfId="219" xr:uid="{00000000-0005-0000-0000-00002A010000}"/>
    <cellStyle name="Normal 62" xfId="220" xr:uid="{00000000-0005-0000-0000-00002B010000}"/>
    <cellStyle name="Normal 63" xfId="221" xr:uid="{00000000-0005-0000-0000-00002C010000}"/>
    <cellStyle name="Normal 64" xfId="222" xr:uid="{00000000-0005-0000-0000-00002D010000}"/>
    <cellStyle name="Normal 65" xfId="223" xr:uid="{00000000-0005-0000-0000-00002E010000}"/>
    <cellStyle name="Normal 66" xfId="224" xr:uid="{00000000-0005-0000-0000-00002F010000}"/>
    <cellStyle name="Normal 67" xfId="225" xr:uid="{00000000-0005-0000-0000-000030010000}"/>
    <cellStyle name="Normal 68" xfId="226" xr:uid="{00000000-0005-0000-0000-000031010000}"/>
    <cellStyle name="Normal 69" xfId="227" xr:uid="{00000000-0005-0000-0000-000032010000}"/>
    <cellStyle name="Normal 7" xfId="228" xr:uid="{00000000-0005-0000-0000-000033010000}"/>
    <cellStyle name="Normal 70" xfId="229" xr:uid="{00000000-0005-0000-0000-000034010000}"/>
    <cellStyle name="Normal 71" xfId="230" xr:uid="{00000000-0005-0000-0000-000035010000}"/>
    <cellStyle name="Normal 72" xfId="231" xr:uid="{00000000-0005-0000-0000-000036010000}"/>
    <cellStyle name="Normal 73" xfId="232" xr:uid="{00000000-0005-0000-0000-000037010000}"/>
    <cellStyle name="Normal 74" xfId="233" xr:uid="{00000000-0005-0000-0000-000038010000}"/>
    <cellStyle name="Normal 75" xfId="234" xr:uid="{00000000-0005-0000-0000-000039010000}"/>
    <cellStyle name="Normal 76" xfId="235" xr:uid="{00000000-0005-0000-0000-00003A010000}"/>
    <cellStyle name="Normal 77" xfId="236" xr:uid="{00000000-0005-0000-0000-00003B010000}"/>
    <cellStyle name="Normal 78" xfId="237" xr:uid="{00000000-0005-0000-0000-00003C010000}"/>
    <cellStyle name="Normal 79" xfId="238" xr:uid="{00000000-0005-0000-0000-00003D010000}"/>
    <cellStyle name="Normal 8" xfId="239" xr:uid="{00000000-0005-0000-0000-00003E010000}"/>
    <cellStyle name="Normal 80" xfId="240" xr:uid="{00000000-0005-0000-0000-00003F010000}"/>
    <cellStyle name="Normal 81" xfId="241" xr:uid="{00000000-0005-0000-0000-000040010000}"/>
    <cellStyle name="Normal 82" xfId="242" xr:uid="{00000000-0005-0000-0000-000041010000}"/>
    <cellStyle name="Normal 83" xfId="243" xr:uid="{00000000-0005-0000-0000-000042010000}"/>
    <cellStyle name="Normal 84" xfId="38" xr:uid="{00000000-0005-0000-0000-000043010000}"/>
    <cellStyle name="Normal 84 2" xfId="278" xr:uid="{00000000-0005-0000-0000-000044010000}"/>
    <cellStyle name="Normal 84 3" xfId="350" xr:uid="{00000000-0005-0000-0000-000045010000}"/>
    <cellStyle name="Normal 85" xfId="252" xr:uid="{00000000-0005-0000-0000-000046010000}"/>
    <cellStyle name="Normal 86" xfId="270" xr:uid="{00000000-0005-0000-0000-000047010000}"/>
    <cellStyle name="Normal 87" xfId="271" xr:uid="{00000000-0005-0000-0000-000048010000}"/>
    <cellStyle name="Normal 88" xfId="272" xr:uid="{00000000-0005-0000-0000-000049010000}"/>
    <cellStyle name="Normal 89" xfId="273" xr:uid="{00000000-0005-0000-0000-00004A010000}"/>
    <cellStyle name="Normal 9" xfId="244" xr:uid="{00000000-0005-0000-0000-00004B010000}"/>
    <cellStyle name="Normal 90" xfId="274" xr:uid="{00000000-0005-0000-0000-00004C010000}"/>
    <cellStyle name="Normal 91" xfId="279" xr:uid="{00000000-0005-0000-0000-00004D010000}"/>
    <cellStyle name="Normal 92" xfId="369" xr:uid="{00000000-0005-0000-0000-00004E010000}"/>
    <cellStyle name="Normal 92 2" xfId="389" xr:uid="{00000000-0005-0000-0000-00004F010000}"/>
    <cellStyle name="Normal 93" xfId="373" xr:uid="{00000000-0005-0000-0000-000050010000}"/>
    <cellStyle name="Normal 93 2" xfId="393" xr:uid="{00000000-0005-0000-0000-000051010000}"/>
    <cellStyle name="Normal 94" xfId="374" xr:uid="{00000000-0005-0000-0000-000052010000}"/>
    <cellStyle name="Normal 95" xfId="375" xr:uid="{00000000-0005-0000-0000-000053010000}"/>
    <cellStyle name="Normal 96" xfId="376" xr:uid="{00000000-0005-0000-0000-000054010000}"/>
    <cellStyle name="Normal 97" xfId="377" xr:uid="{00000000-0005-0000-0000-000055010000}"/>
    <cellStyle name="Normal 98" xfId="378" xr:uid="{00000000-0005-0000-0000-000056010000}"/>
    <cellStyle name="Normal 99" xfId="379" xr:uid="{00000000-0005-0000-0000-000057010000}"/>
    <cellStyle name="Normal_Price out" xfId="4" xr:uid="{00000000-0005-0000-0000-00005A010000}"/>
    <cellStyle name="Note 2" xfId="246" xr:uid="{00000000-0005-0000-0000-00005C010000}"/>
    <cellStyle name="Note 2 2" xfId="351" xr:uid="{00000000-0005-0000-0000-00005D010000}"/>
    <cellStyle name="Note 3" xfId="245" xr:uid="{00000000-0005-0000-0000-00005E010000}"/>
    <cellStyle name="Note 3 2" xfId="352" xr:uid="{00000000-0005-0000-0000-00005F010000}"/>
    <cellStyle name="Note 4" xfId="405" xr:uid="{00000000-0005-0000-0000-000060010000}"/>
    <cellStyle name="Note 5" xfId="413" xr:uid="{85C934B2-4CD3-4CB9-A738-9552FDFC0087}"/>
    <cellStyle name="Note 6" xfId="409" xr:uid="{51138B6F-8003-4D7B-9D20-7978408F6184}"/>
    <cellStyle name="Notes" xfId="247" xr:uid="{00000000-0005-0000-0000-000061010000}"/>
    <cellStyle name="Output 2" xfId="249" xr:uid="{00000000-0005-0000-0000-000062010000}"/>
    <cellStyle name="Output 3" xfId="248" xr:uid="{00000000-0005-0000-0000-000063010000}"/>
    <cellStyle name="Output 4" xfId="406" xr:uid="{00000000-0005-0000-0000-000064010000}"/>
    <cellStyle name="Percent" xfId="3" builtinId="5"/>
    <cellStyle name="Percent 10" xfId="407" xr:uid="{00000000-0005-0000-0000-000066010000}"/>
    <cellStyle name="Percent 11" xfId="412" xr:uid="{DF303600-42AE-44A2-8ADB-74DC6E03B3E1}"/>
    <cellStyle name="Percent 2" xfId="24" xr:uid="{00000000-0005-0000-0000-000067010000}"/>
    <cellStyle name="Percent 2 2" xfId="25" xr:uid="{00000000-0005-0000-0000-000068010000}"/>
    <cellStyle name="Percent 2 2 2" xfId="251" xr:uid="{00000000-0005-0000-0000-000069010000}"/>
    <cellStyle name="Percent 2 3" xfId="353" xr:uid="{00000000-0005-0000-0000-00006A010000}"/>
    <cellStyle name="Percent 2 6" xfId="26" xr:uid="{00000000-0005-0000-0000-00006B010000}"/>
    <cellStyle name="Percent 3" xfId="27" xr:uid="{00000000-0005-0000-0000-00006C010000}"/>
    <cellStyle name="Percent 3 2" xfId="28" xr:uid="{00000000-0005-0000-0000-00006D010000}"/>
    <cellStyle name="Percent 4" xfId="29" xr:uid="{00000000-0005-0000-0000-00006E010000}"/>
    <cellStyle name="Percent 4 2" xfId="355" xr:uid="{00000000-0005-0000-0000-00006F010000}"/>
    <cellStyle name="Percent 4 3" xfId="354" xr:uid="{00000000-0005-0000-0000-000070010000}"/>
    <cellStyle name="Percent 5" xfId="253" xr:uid="{00000000-0005-0000-0000-000071010000}"/>
    <cellStyle name="Percent 5 2" xfId="414" xr:uid="{E6034C54-CB7A-467B-AEE9-7DA86D59D3D8}"/>
    <cellStyle name="Percent 6" xfId="254" xr:uid="{00000000-0005-0000-0000-000072010000}"/>
    <cellStyle name="Percent 7" xfId="250" xr:uid="{00000000-0005-0000-0000-000073010000}"/>
    <cellStyle name="Percent 7 2" xfId="275" xr:uid="{00000000-0005-0000-0000-000074010000}"/>
    <cellStyle name="Percent 7 3" xfId="356" xr:uid="{00000000-0005-0000-0000-000075010000}"/>
    <cellStyle name="Percent 8" xfId="357" xr:uid="{00000000-0005-0000-0000-000076010000}"/>
    <cellStyle name="Percent 9" xfId="372" xr:uid="{00000000-0005-0000-0000-000077010000}"/>
    <cellStyle name="Percent 9 2" xfId="392" xr:uid="{00000000-0005-0000-0000-000078010000}"/>
    <cellStyle name="Percent(1)" xfId="255" xr:uid="{00000000-0005-0000-0000-000079010000}"/>
    <cellStyle name="Percent(2)" xfId="256" xr:uid="{00000000-0005-0000-0000-00007A010000}"/>
    <cellStyle name="PRM" xfId="257" xr:uid="{00000000-0005-0000-0000-00007B010000}"/>
    <cellStyle name="PRM 2" xfId="258" xr:uid="{00000000-0005-0000-0000-00007C010000}"/>
    <cellStyle name="PRM 3" xfId="259" xr:uid="{00000000-0005-0000-0000-00007D010000}"/>
    <cellStyle name="PRM_2011-11" xfId="260" xr:uid="{00000000-0005-0000-0000-00007E010000}"/>
    <cellStyle name="PS_Comma" xfId="30" xr:uid="{00000000-0005-0000-0000-00007F010000}"/>
    <cellStyle name="PSChar" xfId="31" xr:uid="{00000000-0005-0000-0000-000080010000}"/>
    <cellStyle name="PSDate" xfId="32" xr:uid="{00000000-0005-0000-0000-000081010000}"/>
    <cellStyle name="PSDec" xfId="33" xr:uid="{00000000-0005-0000-0000-000082010000}"/>
    <cellStyle name="PSHeading" xfId="34" xr:uid="{00000000-0005-0000-0000-000083010000}"/>
    <cellStyle name="PSInt" xfId="35" xr:uid="{00000000-0005-0000-0000-000084010000}"/>
    <cellStyle name="PSSpacer" xfId="36" xr:uid="{00000000-0005-0000-0000-000085010000}"/>
    <cellStyle name="STYL0 - Style1" xfId="358" xr:uid="{00000000-0005-0000-0000-000086010000}"/>
    <cellStyle name="STYL1 - Style2" xfId="359" xr:uid="{00000000-0005-0000-0000-000087010000}"/>
    <cellStyle name="STYL2 - Style3" xfId="360" xr:uid="{00000000-0005-0000-0000-000088010000}"/>
    <cellStyle name="STYL3 - Style4" xfId="361" xr:uid="{00000000-0005-0000-0000-000089010000}"/>
    <cellStyle name="STYL4 - Style5" xfId="362" xr:uid="{00000000-0005-0000-0000-00008A010000}"/>
    <cellStyle name="STYL5 - Style6" xfId="363" xr:uid="{00000000-0005-0000-0000-00008B010000}"/>
    <cellStyle name="STYL6 - Style7" xfId="364" xr:uid="{00000000-0005-0000-0000-00008C010000}"/>
    <cellStyle name="STYL7 - Style8" xfId="365" xr:uid="{00000000-0005-0000-0000-00008D010000}"/>
    <cellStyle name="Style 1" xfId="261" xr:uid="{00000000-0005-0000-0000-00008E010000}"/>
    <cellStyle name="Style 1 2" xfId="262" xr:uid="{00000000-0005-0000-0000-00008F010000}"/>
    <cellStyle name="STYLE1" xfId="263" xr:uid="{00000000-0005-0000-0000-000090010000}"/>
    <cellStyle name="sub heading" xfId="366" xr:uid="{00000000-0005-0000-0000-000091010000}"/>
    <cellStyle name="Title 2" xfId="265" xr:uid="{00000000-0005-0000-0000-000092010000}"/>
    <cellStyle name="Title 3" xfId="264" xr:uid="{00000000-0005-0000-0000-000093010000}"/>
    <cellStyle name="title 4" xfId="408" xr:uid="{00000000-0005-0000-0000-000094010000}"/>
    <cellStyle name="Total 2" xfId="267" xr:uid="{00000000-0005-0000-0000-000095010000}"/>
    <cellStyle name="Total 2 2" xfId="367" xr:uid="{00000000-0005-0000-0000-000096010000}"/>
    <cellStyle name="Total 3" xfId="266" xr:uid="{00000000-0005-0000-0000-000097010000}"/>
    <cellStyle name="Total 3 2" xfId="368" xr:uid="{00000000-0005-0000-0000-000098010000}"/>
    <cellStyle name="Warning Text 2" xfId="269" xr:uid="{00000000-0005-0000-0000-000099010000}"/>
    <cellStyle name="Warning Text 3" xfId="268" xr:uid="{00000000-0005-0000-0000-00009A010000}"/>
    <cellStyle name="WM_STANDARD" xfId="37" xr:uid="{00000000-0005-0000-0000-00009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FE1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obi/AppData/Local/Microsoft/Windows/Temporary%20Internet%20Files/Content.Outlook/R1VAHYB7/4172/2017.10%20_%204172%20Eastside%20Recycle%20Credits-Revised.xlsb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personal/easlema_repsrv_com/Documents/Maria%20Documents/%60%60Maria%20Documents/%60BU404%20Docs/%60%60Rate%20Cases/4176/WUTC%20Model%20-%20Kent%20Meridian%20Disposal%20Dec%202022%20-%20v10%20-%20final%20internal%20copy%20v3%20with%20carbon%20fee%20notes.xlsx?01A5996C" TargetMode="External"/><Relationship Id="rId1" Type="http://schemas.openxmlformats.org/officeDocument/2006/relationships/externalLinkPath" Target="file:///\\01A5996C\WUTC%20Model%20-%20Kent%20Meridian%20Disposal%20Dec%202022%20-%20v10%20-%20final%20internal%20copy%20v3%20with%20carbon%20fee%20not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Narrative"/>
      <sheetName val="Summary &amp; PF"/>
      <sheetName val="PR vs GL"/>
      <sheetName val="Summary Calc &amp; Lookup"/>
      <sheetName val="RSA Labor Expense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IR Revenue"/>
      <sheetName val="RO Revenue"/>
      <sheetName val="Route Hrs Instructions"/>
      <sheetName val="Truck Hrs Sum"/>
      <sheetName val="Resi Comm Hours Summary"/>
      <sheetName val="Pivot Ops Jan 22 - Dec 22"/>
      <sheetName val="Detail Jan 22 - Dec 22"/>
      <sheetName val="IND Hrs Sum"/>
      <sheetName val="IND Hrs Data"/>
      <sheetName val="IND Sum Confirm"/>
      <sheetName val="Route Analysis"/>
      <sheetName val="Contract Ref Table"/>
      <sheetName val="Fuel Calc"/>
      <sheetName val="Fuel"/>
      <sheetName val="Fuel Invoice Data Entry"/>
      <sheetName val="Disposal Instructions"/>
      <sheetName val="Disposal Summary (with IC)"/>
      <sheetName val="Permit Fees Recap"/>
      <sheetName val="HWFs"/>
      <sheetName val="Summary Disposal Data"/>
      <sheetName val="Disposal Ref Tables"/>
      <sheetName val="Avg Invest Instructions"/>
      <sheetName val="Avg Invest Summary"/>
      <sheetName val="4176 Asset Listing"/>
      <sheetName val="4176 Asset Register data"/>
      <sheetName val="Asset Type Tables"/>
      <sheetName val="Truck Depr Summary"/>
      <sheetName val="Month by Month"/>
      <sheetName val="4183 Asset Listing"/>
      <sheetName val="4183 Asset Register data"/>
      <sheetName val="Cont Count Instructions"/>
      <sheetName val="InfoPro Container Count Instr"/>
      <sheetName val="Container Counts"/>
      <sheetName val="Cont Count Data"/>
      <sheetName val="Cont Ref Tables"/>
      <sheetName val="Tons Master Report &gt;"/>
      <sheetName val="Tons File Summary"/>
      <sheetName val="Resi MSW Tons"/>
      <sheetName val="Resi Recycle Tons"/>
      <sheetName val="Resi Yard Waste Tons"/>
      <sheetName val="4176 Commercial Yards"/>
      <sheetName val="4176 Com-MF-Resi Tons"/>
      <sheetName val="4176 Multifamily Yards"/>
      <sheetName val="4176 Resi Counts"/>
      <sheetName val="4176 Multifamily Counts"/>
      <sheetName val="4176 Commercial Counts"/>
      <sheetName val="CoS"/>
      <sheetName val="Meeks"/>
      <sheetName val="Essbase Instructions"/>
      <sheetName val="Essbase P&amp;L"/>
      <sheetName val="4176 Balance Sheet"/>
      <sheetName val="Essbase Stats"/>
      <sheetName val="4584 P&amp;L - Aff. Co. MRF"/>
      <sheetName val="4584 BS - Aff. Co. MRF"/>
      <sheetName val="G-12 FS (Smartview)"/>
      <sheetName val="WRRA payment details"/>
      <sheetName val="ALGL prior years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5"/>
  <sheetViews>
    <sheetView topLeftCell="B1" zoomScaleNormal="100" workbookViewId="0">
      <pane xSplit="3" ySplit="1" topLeftCell="O2" activePane="bottomRight" state="frozen"/>
      <selection activeCell="B1" sqref="B1"/>
      <selection pane="topRight" activeCell="E1" sqref="E1"/>
      <selection pane="bottomLeft" activeCell="B2" sqref="B2"/>
      <selection pane="bottomRight" activeCell="O21" sqref="O21"/>
    </sheetView>
  </sheetViews>
  <sheetFormatPr defaultColWidth="8.88671875" defaultRowHeight="14.4"/>
  <cols>
    <col min="1" max="1" width="5.44140625" style="53" hidden="1" customWidth="1"/>
    <col min="2" max="2" width="25.33203125" style="57" bestFit="1" customWidth="1"/>
    <col min="3" max="3" width="32.6640625" style="53" customWidth="1"/>
    <col min="4" max="4" width="23.6640625" style="54" customWidth="1"/>
    <col min="5" max="5" width="13.6640625" style="53" customWidth="1"/>
    <col min="6" max="6" width="16" style="53" customWidth="1"/>
    <col min="7" max="7" width="19.33203125" style="87" customWidth="1"/>
    <col min="8" max="8" width="25.6640625" style="53" customWidth="1"/>
    <col min="9" max="9" width="21.6640625" style="52" customWidth="1"/>
    <col min="10" max="10" width="13.33203125" style="53" customWidth="1"/>
    <col min="11" max="11" width="12.5546875" style="53" bestFit="1" customWidth="1"/>
    <col min="12" max="12" width="13.6640625" style="53" customWidth="1"/>
    <col min="13" max="13" width="21.6640625" style="53" customWidth="1"/>
    <col min="14" max="14" width="14.44140625" style="53" customWidth="1"/>
    <col min="15" max="15" width="32.6640625" style="53" bestFit="1" customWidth="1"/>
    <col min="16" max="16" width="31.33203125" style="53" bestFit="1" customWidth="1"/>
    <col min="17" max="17" width="29" style="53" bestFit="1" customWidth="1"/>
    <col min="18" max="16384" width="8.88671875" style="53"/>
  </cols>
  <sheetData>
    <row r="1" spans="1:20" ht="28.8">
      <c r="A1" s="46"/>
      <c r="B1" s="80" t="s">
        <v>15</v>
      </c>
      <c r="C1" s="68" t="s">
        <v>17</v>
      </c>
      <c r="D1" s="67" t="s">
        <v>39</v>
      </c>
      <c r="E1" s="80" t="s">
        <v>0</v>
      </c>
      <c r="F1" s="46" t="s">
        <v>1</v>
      </c>
      <c r="G1" s="84" t="s">
        <v>10</v>
      </c>
      <c r="H1" s="80" t="s">
        <v>34</v>
      </c>
      <c r="I1" s="81" t="s">
        <v>35</v>
      </c>
      <c r="J1" s="77" t="s">
        <v>9</v>
      </c>
      <c r="K1" s="67" t="s">
        <v>2</v>
      </c>
      <c r="L1" s="80" t="s">
        <v>41</v>
      </c>
      <c r="M1" s="67" t="s">
        <v>37</v>
      </c>
      <c r="N1" s="80" t="s">
        <v>36</v>
      </c>
      <c r="O1" s="80" t="s">
        <v>38</v>
      </c>
      <c r="P1" s="80" t="s">
        <v>96</v>
      </c>
      <c r="Q1" s="80" t="s">
        <v>40</v>
      </c>
      <c r="S1" s="80" t="s">
        <v>149</v>
      </c>
      <c r="T1" s="80" t="s">
        <v>150</v>
      </c>
    </row>
    <row r="2" spans="1:20" s="55" customFormat="1" ht="14.4" customHeight="1">
      <c r="A2" s="216" t="s">
        <v>13</v>
      </c>
      <c r="B2" s="105" t="s">
        <v>95</v>
      </c>
      <c r="C2" s="217" t="s">
        <v>153</v>
      </c>
      <c r="D2" s="210">
        <v>10061</v>
      </c>
      <c r="E2" s="64">
        <f>References!B8</f>
        <v>2.1666666666666665</v>
      </c>
      <c r="F2" s="94">
        <f>D2*E2*12</f>
        <v>261586</v>
      </c>
      <c r="G2" s="95">
        <f>References!B22</f>
        <v>68</v>
      </c>
      <c r="H2" s="63">
        <f>G2*F2</f>
        <v>17787848</v>
      </c>
      <c r="I2" s="45">
        <f>$D$17*H2</f>
        <v>15129251.16053775</v>
      </c>
      <c r="J2" s="62">
        <f>I2*References!C$49</f>
        <v>129128.15865518971</v>
      </c>
      <c r="K2" s="62">
        <f>J2/References!$G$52</f>
        <v>132929.95537902997</v>
      </c>
      <c r="L2" s="62">
        <f>K2/F2*E2</f>
        <v>1.1010333248768343</v>
      </c>
      <c r="M2" s="212">
        <v>12.61</v>
      </c>
      <c r="N2" s="209">
        <f>L2+M2</f>
        <v>13.711033324876833</v>
      </c>
      <c r="O2" s="62">
        <f t="shared" ref="O2" si="0">M2*D2*12</f>
        <v>1522430.52</v>
      </c>
      <c r="P2" s="62">
        <f t="shared" ref="P2" si="1">N2*D2*12</f>
        <v>1655360.4753790298</v>
      </c>
      <c r="Q2" s="62">
        <f>P2-O2</f>
        <v>132929.95537902974</v>
      </c>
      <c r="S2" s="207">
        <f>L2/M2</f>
        <v>8.7314300148836982E-2</v>
      </c>
      <c r="T2" s="208">
        <f>N2-M2-L2</f>
        <v>0</v>
      </c>
    </row>
    <row r="3" spans="1:20" s="55" customFormat="1">
      <c r="A3" s="58"/>
      <c r="B3" s="82"/>
      <c r="C3" s="89"/>
      <c r="D3" s="90"/>
      <c r="E3" s="64"/>
      <c r="F3" s="63"/>
      <c r="G3" s="91"/>
      <c r="H3" s="63"/>
      <c r="I3" s="45"/>
      <c r="J3" s="62"/>
      <c r="K3" s="62"/>
      <c r="L3" s="62"/>
      <c r="M3" s="92"/>
      <c r="N3" s="62"/>
      <c r="O3" s="62"/>
      <c r="P3" s="62"/>
      <c r="Q3" s="62"/>
    </row>
    <row r="4" spans="1:20" s="55" customFormat="1">
      <c r="A4" s="47"/>
      <c r="B4" s="69"/>
      <c r="C4" s="48" t="s">
        <v>16</v>
      </c>
      <c r="D4" s="49">
        <f>SUM(D2:D3)</f>
        <v>10061</v>
      </c>
      <c r="E4" s="50"/>
      <c r="F4" s="49">
        <f>SUM(F2:F3)</f>
        <v>261586</v>
      </c>
      <c r="G4" s="85"/>
      <c r="H4" s="49">
        <f>SUM(H2:H3)</f>
        <v>17787848</v>
      </c>
      <c r="I4" s="49">
        <f>SUM(I2:I3)</f>
        <v>15129251.16053775</v>
      </c>
      <c r="J4" s="65"/>
      <c r="K4" s="65"/>
      <c r="L4" s="65"/>
      <c r="M4" s="65"/>
      <c r="N4" s="65"/>
      <c r="O4" s="49">
        <f>SUM(O2:O3)</f>
        <v>1522430.52</v>
      </c>
      <c r="P4" s="93">
        <f>SUM(P2:P3)</f>
        <v>1655360.4753790298</v>
      </c>
      <c r="Q4" s="93">
        <f>SUM(Q2:Q3)</f>
        <v>132929.95537902974</v>
      </c>
    </row>
    <row r="5" spans="1:20" s="55" customFormat="1">
      <c r="A5" s="58"/>
      <c r="B5" s="82"/>
      <c r="C5" s="89"/>
      <c r="D5" s="90"/>
      <c r="E5" s="64"/>
      <c r="F5" s="63"/>
      <c r="G5" s="91"/>
      <c r="H5" s="63"/>
      <c r="I5" s="45"/>
      <c r="J5" s="62"/>
      <c r="K5" s="62"/>
      <c r="L5" s="62"/>
      <c r="M5" s="92"/>
      <c r="N5" s="62"/>
      <c r="O5" s="62"/>
      <c r="P5" s="62"/>
      <c r="Q5" s="62"/>
    </row>
    <row r="6" spans="1:20">
      <c r="C6" s="59" t="s">
        <v>3</v>
      </c>
      <c r="D6" s="60">
        <f>D4</f>
        <v>10061</v>
      </c>
      <c r="E6" s="60"/>
      <c r="F6" s="60">
        <f>F4</f>
        <v>261586</v>
      </c>
      <c r="G6" s="86"/>
      <c r="H6" s="60">
        <f>H4</f>
        <v>17787848</v>
      </c>
      <c r="I6" s="60">
        <f>I4</f>
        <v>15129251.16053775</v>
      </c>
      <c r="J6" s="62"/>
      <c r="K6" s="66"/>
      <c r="L6" s="66"/>
      <c r="M6" s="66"/>
      <c r="N6" s="66"/>
      <c r="O6" s="60">
        <f>O4</f>
        <v>1522430.52</v>
      </c>
      <c r="P6" s="60">
        <f>P4</f>
        <v>1655360.4753790298</v>
      </c>
      <c r="Q6" s="60">
        <f>Q4</f>
        <v>132929.95537902974</v>
      </c>
    </row>
    <row r="7" spans="1:20">
      <c r="J7" s="51"/>
      <c r="P7" s="56"/>
      <c r="Q7" s="30">
        <f>Q6/O6</f>
        <v>8.7314300148836829E-2</v>
      </c>
    </row>
    <row r="8" spans="1:20">
      <c r="A8" s="96"/>
      <c r="B8" s="97"/>
      <c r="C8" s="98" t="s">
        <v>94</v>
      </c>
      <c r="D8" s="99"/>
      <c r="E8" s="100"/>
      <c r="F8" s="100"/>
      <c r="G8" s="101"/>
      <c r="H8" s="100"/>
      <c r="I8" s="102"/>
      <c r="J8" s="103"/>
      <c r="K8" s="100"/>
      <c r="L8" s="100"/>
      <c r="M8" s="100"/>
      <c r="N8" s="100"/>
      <c r="O8" s="213" t="s">
        <v>151</v>
      </c>
      <c r="P8" s="214" t="s">
        <v>150</v>
      </c>
      <c r="Q8" s="55"/>
      <c r="R8" s="55"/>
      <c r="S8" s="55"/>
    </row>
    <row r="9" spans="1:20">
      <c r="A9" s="104"/>
      <c r="B9" s="105" t="s">
        <v>95</v>
      </c>
      <c r="C9" s="217" t="s">
        <v>154</v>
      </c>
      <c r="D9" s="211">
        <v>1</v>
      </c>
      <c r="E9" s="64">
        <f>References!B8</f>
        <v>2.1666666666666665</v>
      </c>
      <c r="F9" s="94">
        <f>D9*E9*12</f>
        <v>26</v>
      </c>
      <c r="G9" s="91">
        <f>References!B22</f>
        <v>68</v>
      </c>
      <c r="H9" s="63">
        <f>G9*F9</f>
        <v>1768</v>
      </c>
      <c r="I9" s="45">
        <f>$D$17*H9</f>
        <v>1503.752227466231</v>
      </c>
      <c r="J9" s="62">
        <f>(References!$C$49*I9)</f>
        <v>12.834525261424282</v>
      </c>
      <c r="K9" s="62">
        <f>J9/References!$G$52</f>
        <v>13.212399898522012</v>
      </c>
      <c r="L9" s="62">
        <f t="shared" ref="L9" si="2">K9/F9*E9</f>
        <v>1.1010333248768343</v>
      </c>
      <c r="M9" s="212">
        <v>13.91</v>
      </c>
      <c r="N9" s="209">
        <f t="shared" ref="N9" si="3">L9+M9</f>
        <v>15.011033324876834</v>
      </c>
      <c r="O9" s="207">
        <f>L9/M9</f>
        <v>7.9154085181655953E-2</v>
      </c>
      <c r="P9" s="76">
        <f>N9-M9-L9</f>
        <v>0</v>
      </c>
      <c r="Q9" s="55"/>
      <c r="R9" s="55"/>
      <c r="S9" s="55"/>
    </row>
    <row r="10" spans="1:20">
      <c r="A10" s="58"/>
      <c r="C10" s="61"/>
      <c r="P10" s="56"/>
    </row>
    <row r="11" spans="1:20">
      <c r="A11" s="58"/>
      <c r="C11" s="61"/>
      <c r="P11" s="56"/>
    </row>
    <row r="12" spans="1:20" ht="15" thickBot="1">
      <c r="A12" s="58"/>
      <c r="C12" s="218" t="s">
        <v>86</v>
      </c>
      <c r="D12" s="218"/>
      <c r="E12" s="70"/>
      <c r="F12" s="70"/>
      <c r="H12" s="106"/>
    </row>
    <row r="13" spans="1:20">
      <c r="A13" s="58"/>
      <c r="C13" s="157"/>
      <c r="D13" s="158" t="s">
        <v>16</v>
      </c>
      <c r="E13" s="37"/>
      <c r="F13" s="37"/>
      <c r="H13" s="106"/>
      <c r="J13" s="40"/>
      <c r="O13" s="54"/>
    </row>
    <row r="14" spans="1:20">
      <c r="A14" s="58"/>
      <c r="C14" s="74" t="s">
        <v>32</v>
      </c>
      <c r="D14" s="159">
        <f>'Disposal Summary (with IC)'!S47</f>
        <v>7564.6255802688747</v>
      </c>
      <c r="E14" s="52"/>
      <c r="F14" s="52"/>
      <c r="G14" s="88"/>
      <c r="H14" s="71"/>
      <c r="J14" s="40"/>
      <c r="O14" s="54"/>
    </row>
    <row r="15" spans="1:20">
      <c r="A15" s="58"/>
      <c r="C15" s="74" t="s">
        <v>33</v>
      </c>
      <c r="D15" s="160">
        <f>D14*2000</f>
        <v>15129251.16053775</v>
      </c>
      <c r="E15" s="35"/>
      <c r="F15" s="35"/>
      <c r="H15" s="78"/>
      <c r="J15" s="40"/>
    </row>
    <row r="16" spans="1:20" ht="15" thickBot="1">
      <c r="A16" s="58"/>
      <c r="C16" s="114"/>
      <c r="D16" s="161"/>
      <c r="E16" s="52"/>
      <c r="F16" s="52"/>
      <c r="H16" s="79"/>
      <c r="J16" s="40"/>
      <c r="O16" s="54"/>
    </row>
    <row r="17" spans="3:15">
      <c r="C17" s="41" t="s">
        <v>11</v>
      </c>
      <c r="D17" s="34">
        <f>D15/$H$6</f>
        <v>0.850538590195832</v>
      </c>
      <c r="E17" s="34"/>
      <c r="F17" s="34"/>
      <c r="H17" s="30"/>
      <c r="J17" s="40"/>
      <c r="M17" s="39"/>
      <c r="N17" s="39"/>
      <c r="O17" s="38"/>
    </row>
    <row r="18" spans="3:15">
      <c r="G18" s="88"/>
      <c r="H18" s="31"/>
      <c r="J18" s="40"/>
      <c r="M18" s="42"/>
      <c r="N18" s="29"/>
      <c r="O18" s="56"/>
    </row>
    <row r="19" spans="3:15">
      <c r="D19" s="33"/>
      <c r="E19" s="32"/>
      <c r="G19" s="88"/>
      <c r="H19" s="31"/>
      <c r="J19" s="40"/>
      <c r="M19" s="42"/>
      <c r="N19" s="29"/>
      <c r="O19" s="56"/>
    </row>
    <row r="20" spans="3:15">
      <c r="D20" s="33"/>
      <c r="E20" s="32"/>
      <c r="G20" s="88"/>
      <c r="H20" s="31"/>
      <c r="J20" s="40"/>
      <c r="M20" s="42"/>
      <c r="N20" s="29"/>
      <c r="O20" s="56"/>
    </row>
    <row r="21" spans="3:15">
      <c r="D21" s="53"/>
      <c r="I21" s="53"/>
    </row>
    <row r="22" spans="3:15">
      <c r="D22" s="53"/>
      <c r="E22" s="40"/>
      <c r="I22" s="53"/>
    </row>
    <row r="23" spans="3:15">
      <c r="D23" s="53"/>
      <c r="I23" s="53"/>
    </row>
    <row r="24" spans="3:15">
      <c r="D24" s="53"/>
      <c r="I24" s="53"/>
    </row>
    <row r="25" spans="3:15">
      <c r="D25" s="53"/>
    </row>
  </sheetData>
  <mergeCells count="1">
    <mergeCell ref="C12:D12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topLeftCell="A37" zoomScaleNormal="100" workbookViewId="0">
      <selection activeCell="B55" sqref="B55"/>
    </sheetView>
  </sheetViews>
  <sheetFormatPr defaultColWidth="9.109375" defaultRowHeight="14.4"/>
  <cols>
    <col min="1" max="1" width="36.33203125" style="3" bestFit="1" customWidth="1"/>
    <col min="2" max="2" width="22.109375" style="3" bestFit="1" customWidth="1"/>
    <col min="3" max="3" width="19.5546875" style="3" customWidth="1"/>
    <col min="4" max="4" width="10.5546875" style="3" bestFit="1" customWidth="1"/>
    <col min="5" max="5" width="8.88671875" style="3" customWidth="1"/>
    <col min="6" max="6" width="11.44140625" style="3" customWidth="1"/>
    <col min="7" max="7" width="11" style="3" bestFit="1" customWidth="1"/>
    <col min="8" max="8" width="9.5546875" style="3" customWidth="1"/>
    <col min="9" max="9" width="15.88671875" style="3" bestFit="1" customWidth="1"/>
    <col min="10" max="10" width="12" style="3" bestFit="1" customWidth="1"/>
    <col min="11" max="13" width="9.109375" style="3"/>
    <col min="14" max="14" width="14.33203125" style="3" bestFit="1" customWidth="1"/>
    <col min="15" max="15" width="11.5546875" style="3" bestFit="1" customWidth="1"/>
    <col min="16" max="16384" width="9.109375" style="3"/>
  </cols>
  <sheetData>
    <row r="1" spans="1:8">
      <c r="A1" s="219" t="s">
        <v>18</v>
      </c>
      <c r="B1" s="219"/>
      <c r="C1" s="219"/>
      <c r="D1" s="219"/>
      <c r="E1" s="219"/>
      <c r="F1" s="219"/>
      <c r="G1" s="219"/>
      <c r="H1" s="219"/>
    </row>
    <row r="2" spans="1:8">
      <c r="A2" s="3" t="s">
        <v>55</v>
      </c>
      <c r="B2" s="9" t="s">
        <v>42</v>
      </c>
      <c r="C2" s="9" t="s">
        <v>43</v>
      </c>
      <c r="D2" s="9" t="s">
        <v>44</v>
      </c>
      <c r="E2" s="10" t="s">
        <v>46</v>
      </c>
      <c r="F2" s="10" t="s">
        <v>47</v>
      </c>
      <c r="G2" s="10" t="s">
        <v>48</v>
      </c>
      <c r="H2" s="9" t="s">
        <v>51</v>
      </c>
    </row>
    <row r="3" spans="1:8">
      <c r="A3" s="3" t="s">
        <v>52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87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53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54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21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23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22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19" t="s">
        <v>10</v>
      </c>
      <c r="B11" s="219"/>
      <c r="C11" s="26"/>
      <c r="D11" s="12"/>
      <c r="E11" s="12"/>
      <c r="F11" s="12"/>
      <c r="G11" s="12"/>
      <c r="H11" s="12"/>
    </row>
    <row r="12" spans="1:8">
      <c r="A12" s="24" t="s">
        <v>50</v>
      </c>
      <c r="B12" s="28" t="s">
        <v>80</v>
      </c>
      <c r="C12" s="26"/>
      <c r="D12" s="12"/>
      <c r="E12" s="12"/>
      <c r="F12" s="12"/>
      <c r="G12" s="12"/>
      <c r="H12" s="12"/>
    </row>
    <row r="13" spans="1:8">
      <c r="A13" s="27" t="s">
        <v>81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56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57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58</v>
      </c>
      <c r="B16" s="25">
        <v>77</v>
      </c>
      <c r="C16" s="26"/>
      <c r="D16" s="12"/>
      <c r="E16" s="12"/>
      <c r="F16" s="3" t="s">
        <v>19</v>
      </c>
      <c r="G16" s="5">
        <v>2000</v>
      </c>
      <c r="H16" s="12"/>
    </row>
    <row r="17" spans="1:8">
      <c r="A17" s="27" t="s">
        <v>59</v>
      </c>
      <c r="B17" s="25">
        <v>97</v>
      </c>
      <c r="C17" s="26"/>
      <c r="D17" s="12"/>
      <c r="E17" s="12"/>
      <c r="F17" s="3" t="s">
        <v>20</v>
      </c>
      <c r="G17" s="14" t="s">
        <v>45</v>
      </c>
      <c r="H17" s="12"/>
    </row>
    <row r="18" spans="1:8">
      <c r="A18" s="27" t="s">
        <v>60</v>
      </c>
      <c r="B18" s="25">
        <v>117</v>
      </c>
      <c r="C18" s="26"/>
      <c r="D18" s="12"/>
      <c r="E18" s="12"/>
      <c r="H18" s="12"/>
    </row>
    <row r="19" spans="1:8">
      <c r="A19" s="27" t="s">
        <v>61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4" t="s">
        <v>91</v>
      </c>
      <c r="B20" s="36">
        <v>37</v>
      </c>
      <c r="C20" s="43" t="s">
        <v>82</v>
      </c>
      <c r="D20" s="26"/>
      <c r="E20" s="26"/>
      <c r="F20" s="7"/>
      <c r="G20" s="8"/>
      <c r="H20" s="26"/>
    </row>
    <row r="21" spans="1:8">
      <c r="A21" s="27" t="s">
        <v>62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63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64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31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65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66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67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68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69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70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71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72</v>
      </c>
      <c r="B32" s="25">
        <v>840</v>
      </c>
      <c r="C32" s="26"/>
      <c r="D32" s="12"/>
      <c r="E32" s="12"/>
      <c r="F32" s="12"/>
      <c r="G32" s="12"/>
      <c r="H32" s="12"/>
    </row>
    <row r="33" spans="1:15">
      <c r="A33" s="27" t="s">
        <v>73</v>
      </c>
      <c r="B33" s="25">
        <v>980</v>
      </c>
      <c r="C33" s="26"/>
      <c r="D33" s="12"/>
      <c r="E33" s="12"/>
      <c r="F33" s="12"/>
      <c r="G33" s="12"/>
      <c r="H33" s="12"/>
    </row>
    <row r="34" spans="1:15">
      <c r="A34" s="27" t="s">
        <v>88</v>
      </c>
      <c r="B34" s="25">
        <v>482</v>
      </c>
      <c r="C34" s="26" t="s">
        <v>82</v>
      </c>
      <c r="D34" s="12"/>
      <c r="E34" s="12"/>
      <c r="F34" s="12"/>
      <c r="G34" s="12"/>
      <c r="H34" s="12"/>
    </row>
    <row r="35" spans="1:15">
      <c r="A35" s="27" t="s">
        <v>89</v>
      </c>
      <c r="B35" s="25">
        <v>689</v>
      </c>
      <c r="C35" s="26" t="s">
        <v>82</v>
      </c>
      <c r="D35" s="12"/>
      <c r="E35" s="12"/>
      <c r="F35" s="12"/>
      <c r="G35" s="12"/>
      <c r="H35" s="12"/>
    </row>
    <row r="36" spans="1:15" s="22" customFormat="1">
      <c r="A36" s="27" t="s">
        <v>75</v>
      </c>
      <c r="B36" s="25">
        <v>892</v>
      </c>
      <c r="C36" s="26" t="s">
        <v>82</v>
      </c>
      <c r="D36" s="23"/>
      <c r="E36" s="23"/>
      <c r="F36" s="23"/>
      <c r="G36" s="23"/>
      <c r="H36" s="23"/>
    </row>
    <row r="37" spans="1:15" s="22" customFormat="1">
      <c r="A37" s="27" t="s">
        <v>74</v>
      </c>
      <c r="B37" s="25">
        <v>1301</v>
      </c>
      <c r="C37" s="26"/>
      <c r="D37" s="23"/>
      <c r="E37" s="23"/>
      <c r="F37" s="23"/>
      <c r="G37" s="23"/>
      <c r="H37" s="23"/>
    </row>
    <row r="38" spans="1:15" s="22" customFormat="1">
      <c r="A38" s="27" t="s">
        <v>76</v>
      </c>
      <c r="B38" s="25">
        <v>1686</v>
      </c>
      <c r="C38" s="26"/>
      <c r="D38" s="23"/>
      <c r="E38" s="23"/>
      <c r="F38" s="23"/>
      <c r="G38" s="23"/>
      <c r="H38" s="23"/>
    </row>
    <row r="39" spans="1:15" s="22" customFormat="1">
      <c r="A39" s="27" t="s">
        <v>77</v>
      </c>
      <c r="B39" s="25">
        <v>2046</v>
      </c>
      <c r="C39" s="26"/>
      <c r="D39" s="23"/>
      <c r="E39" s="23"/>
      <c r="F39" s="23"/>
      <c r="G39" s="23"/>
      <c r="H39" s="23"/>
    </row>
    <row r="40" spans="1:15" s="22" customFormat="1">
      <c r="A40" s="27" t="s">
        <v>78</v>
      </c>
      <c r="B40" s="25">
        <v>2310</v>
      </c>
      <c r="C40" s="26"/>
      <c r="D40" s="23"/>
      <c r="E40" s="23"/>
      <c r="F40" s="23"/>
      <c r="G40" s="23"/>
      <c r="H40" s="23"/>
    </row>
    <row r="41" spans="1:15" s="22" customFormat="1">
      <c r="A41" s="27" t="s">
        <v>90</v>
      </c>
      <c r="B41" s="25">
        <v>2800</v>
      </c>
      <c r="C41" s="26" t="s">
        <v>82</v>
      </c>
      <c r="D41" s="23"/>
      <c r="E41" s="23"/>
      <c r="F41" s="23"/>
      <c r="G41" s="23"/>
      <c r="H41" s="23"/>
    </row>
    <row r="42" spans="1:15" s="22" customFormat="1">
      <c r="A42" s="27" t="s">
        <v>79</v>
      </c>
      <c r="B42" s="25">
        <v>125</v>
      </c>
      <c r="C42" s="26"/>
      <c r="D42" s="23"/>
      <c r="E42" s="23"/>
      <c r="F42" s="23"/>
      <c r="G42" s="23"/>
      <c r="H42" s="23"/>
    </row>
    <row r="43" spans="1:15">
      <c r="B43" s="83" t="s">
        <v>92</v>
      </c>
      <c r="C43" s="83"/>
      <c r="D43" s="83"/>
    </row>
    <row r="46" spans="1:15">
      <c r="A46" s="21" t="s">
        <v>93</v>
      </c>
      <c r="B46" s="19" t="s">
        <v>5</v>
      </c>
      <c r="C46" s="19" t="s">
        <v>6</v>
      </c>
      <c r="F46" s="220" t="s">
        <v>26</v>
      </c>
      <c r="G46" s="220"/>
    </row>
    <row r="47" spans="1:15">
      <c r="A47" s="15" t="s">
        <v>7</v>
      </c>
      <c r="B47" s="155">
        <v>62.36</v>
      </c>
      <c r="C47" s="108">
        <f>B47/2000</f>
        <v>3.1179999999999999E-2</v>
      </c>
      <c r="F47" s="3" t="s">
        <v>27</v>
      </c>
      <c r="G47" s="111">
        <f>0.0175</f>
        <v>1.7500000000000002E-2</v>
      </c>
    </row>
    <row r="48" spans="1:15">
      <c r="A48" s="15" t="s">
        <v>8</v>
      </c>
      <c r="B48" s="156">
        <v>79.430000000000007</v>
      </c>
      <c r="C48" s="109">
        <f>B48/2000</f>
        <v>3.9715E-2</v>
      </c>
      <c r="F48" s="3" t="s">
        <v>28</v>
      </c>
      <c r="G48" s="112">
        <v>5.1000000000000004E-3</v>
      </c>
      <c r="N48" s="17"/>
      <c r="O48" s="17"/>
    </row>
    <row r="49" spans="1:7">
      <c r="A49" s="13" t="s">
        <v>9</v>
      </c>
      <c r="B49" s="107">
        <f>B48-B47</f>
        <v>17.070000000000007</v>
      </c>
      <c r="C49" s="110">
        <f>C48-C47</f>
        <v>8.5350000000000009E-3</v>
      </c>
      <c r="F49" s="3" t="s">
        <v>49</v>
      </c>
      <c r="G49" s="113">
        <v>6.0000000000000001E-3</v>
      </c>
    </row>
    <row r="50" spans="1:7">
      <c r="B50" s="215">
        <f>B49/B47</f>
        <v>0.27373316228351519</v>
      </c>
      <c r="F50" s="3" t="s">
        <v>16</v>
      </c>
      <c r="G50" s="16">
        <f>SUM(G47:G49)</f>
        <v>2.86E-2</v>
      </c>
    </row>
    <row r="51" spans="1:7">
      <c r="B51" s="20" t="s">
        <v>155</v>
      </c>
    </row>
    <row r="52" spans="1:7">
      <c r="A52" s="3" t="s">
        <v>4</v>
      </c>
      <c r="B52" s="17">
        <f>B49</f>
        <v>17.070000000000007</v>
      </c>
      <c r="F52" s="3" t="s">
        <v>29</v>
      </c>
      <c r="G52" s="18">
        <f>1-G50</f>
        <v>0.97140000000000004</v>
      </c>
    </row>
    <row r="53" spans="1:7">
      <c r="A53" s="3" t="s">
        <v>25</v>
      </c>
      <c r="B53" s="17">
        <f>B52/$G$52</f>
        <v>17.572575663990126</v>
      </c>
    </row>
    <row r="54" spans="1:7">
      <c r="A54" s="3" t="s">
        <v>24</v>
      </c>
      <c r="B54" s="6">
        <f>'Calcs '!D14</f>
        <v>7564.6255802688747</v>
      </c>
    </row>
    <row r="55" spans="1:7">
      <c r="A55" s="2" t="s">
        <v>30</v>
      </c>
      <c r="B55" s="4">
        <f>B53*B54</f>
        <v>132929.95537903</v>
      </c>
    </row>
    <row r="58" spans="1:7" ht="15" thickBot="1"/>
    <row r="59" spans="1:7">
      <c r="A59" s="72" t="s">
        <v>85</v>
      </c>
      <c r="B59" s="73" t="s">
        <v>83</v>
      </c>
      <c r="D59" s="17"/>
    </row>
    <row r="60" spans="1:7">
      <c r="A60" s="74" t="s">
        <v>84</v>
      </c>
      <c r="B60" s="75">
        <f>'Calcs '!Q6</f>
        <v>132929.95537902974</v>
      </c>
    </row>
    <row r="61" spans="1:7">
      <c r="A61" s="74" t="s">
        <v>12</v>
      </c>
      <c r="B61" s="75">
        <f>B60-B55</f>
        <v>-2.6193447411060333E-10</v>
      </c>
    </row>
    <row r="62" spans="1:7" ht="15" thickBot="1">
      <c r="A62" s="114"/>
      <c r="B62" s="115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&amp;C&amp;12
Disposal Fee Reference</oddHeader>
    <oddFooter>&amp;L&amp;8&amp;F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1BBA-EDCC-479E-B9EE-70190598D04C}">
  <sheetPr>
    <pageSetUpPr fitToPage="1"/>
  </sheetPr>
  <dimension ref="A1:Y464"/>
  <sheetViews>
    <sheetView workbookViewId="0">
      <pane xSplit="5" ySplit="6" topLeftCell="M43" activePane="bottomRight" state="frozen"/>
      <selection pane="topRight" activeCell="F1" sqref="F1"/>
      <selection pane="bottomLeft" activeCell="A7" sqref="A7"/>
      <selection pane="bottomRight" activeCell="A2" sqref="A2"/>
    </sheetView>
  </sheetViews>
  <sheetFormatPr defaultColWidth="10.88671875" defaultRowHeight="14.4" outlineLevelRow="1" outlineLevelCol="1"/>
  <cols>
    <col min="1" max="1" width="9" style="118" customWidth="1" outlineLevel="1"/>
    <col min="2" max="2" width="6.88671875" style="118" customWidth="1" outlineLevel="1"/>
    <col min="3" max="4" width="6.77734375" style="116" customWidth="1" outlineLevel="1"/>
    <col min="5" max="5" width="28.5546875" style="116" customWidth="1"/>
    <col min="6" max="17" width="13.44140625" style="116" customWidth="1"/>
    <col min="18" max="18" width="1.21875" style="116" customWidth="1"/>
    <col min="19" max="19" width="13" style="117" bestFit="1" customWidth="1"/>
    <col min="20" max="20" width="2.33203125" style="116" customWidth="1"/>
    <col min="21" max="22" width="16.44140625" style="116" customWidth="1"/>
    <col min="23" max="23" width="10.88671875" style="116"/>
    <col min="24" max="24" width="12.109375" style="116" bestFit="1" customWidth="1"/>
    <col min="25" max="16384" width="10.88671875" style="116"/>
  </cols>
  <sheetData>
    <row r="1" spans="1:19">
      <c r="A1" s="221" t="s">
        <v>97</v>
      </c>
      <c r="B1" s="221"/>
      <c r="C1" s="221"/>
      <c r="D1" s="221"/>
      <c r="E1" s="221"/>
    </row>
    <row r="2" spans="1:19">
      <c r="A2" s="163" t="s">
        <v>152</v>
      </c>
    </row>
    <row r="3" spans="1:19" s="117" customFormat="1">
      <c r="A3" s="162" t="s">
        <v>98</v>
      </c>
      <c r="B3" s="162" t="s">
        <v>99</v>
      </c>
      <c r="C3" s="222" t="s">
        <v>100</v>
      </c>
      <c r="D3" s="222"/>
      <c r="F3" s="119">
        <v>44562</v>
      </c>
      <c r="G3" s="120">
        <f>EOMONTH(F3,1)</f>
        <v>44620</v>
      </c>
      <c r="H3" s="120">
        <f t="shared" ref="H3:Q3" si="0">EOMONTH(G3,1)</f>
        <v>44651</v>
      </c>
      <c r="I3" s="120">
        <f t="shared" si="0"/>
        <v>44681</v>
      </c>
      <c r="J3" s="120">
        <f t="shared" si="0"/>
        <v>44712</v>
      </c>
      <c r="K3" s="120">
        <f t="shared" si="0"/>
        <v>44742</v>
      </c>
      <c r="L3" s="120">
        <f t="shared" si="0"/>
        <v>44773</v>
      </c>
      <c r="M3" s="120">
        <f t="shared" si="0"/>
        <v>44804</v>
      </c>
      <c r="N3" s="120">
        <f t="shared" si="0"/>
        <v>44834</v>
      </c>
      <c r="O3" s="120">
        <f t="shared" si="0"/>
        <v>44865</v>
      </c>
      <c r="P3" s="120">
        <f t="shared" si="0"/>
        <v>44895</v>
      </c>
      <c r="Q3" s="120">
        <f t="shared" si="0"/>
        <v>44926</v>
      </c>
      <c r="S3" s="117" t="s">
        <v>101</v>
      </c>
    </row>
    <row r="4" spans="1:19" s="122" customFormat="1">
      <c r="A4" s="121"/>
      <c r="B4" s="121"/>
      <c r="C4" s="121"/>
      <c r="D4" s="121"/>
      <c r="F4" s="122">
        <f>MONTH(F3)</f>
        <v>1</v>
      </c>
      <c r="G4" s="122">
        <f t="shared" ref="G4:Q4" si="1">MONTH(G3)</f>
        <v>2</v>
      </c>
      <c r="H4" s="122">
        <f t="shared" si="1"/>
        <v>3</v>
      </c>
      <c r="I4" s="122">
        <f t="shared" si="1"/>
        <v>4</v>
      </c>
      <c r="J4" s="122">
        <f t="shared" si="1"/>
        <v>5</v>
      </c>
      <c r="K4" s="122">
        <f t="shared" si="1"/>
        <v>6</v>
      </c>
      <c r="L4" s="122">
        <f t="shared" si="1"/>
        <v>7</v>
      </c>
      <c r="M4" s="122">
        <f t="shared" si="1"/>
        <v>8</v>
      </c>
      <c r="N4" s="122">
        <f t="shared" si="1"/>
        <v>9</v>
      </c>
      <c r="O4" s="122">
        <f t="shared" si="1"/>
        <v>10</v>
      </c>
      <c r="P4" s="122">
        <f t="shared" si="1"/>
        <v>11</v>
      </c>
      <c r="Q4" s="122">
        <f t="shared" si="1"/>
        <v>12</v>
      </c>
      <c r="S4" s="123"/>
    </row>
    <row r="5" spans="1:19" ht="15" thickBot="1">
      <c r="C5" s="118"/>
      <c r="D5" s="118"/>
      <c r="E5" s="124" t="s">
        <v>102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4"/>
    </row>
    <row r="6" spans="1:19">
      <c r="C6" s="118"/>
      <c r="D6" s="118"/>
    </row>
    <row r="7" spans="1:19">
      <c r="C7" s="118"/>
      <c r="D7" s="118"/>
      <c r="E7" s="117" t="s">
        <v>103</v>
      </c>
    </row>
    <row r="8" spans="1:19">
      <c r="C8" s="118"/>
      <c r="D8" s="118"/>
      <c r="E8" s="116" t="s">
        <v>104</v>
      </c>
      <c r="F8" s="164">
        <v>3034.6</v>
      </c>
      <c r="G8" s="164">
        <v>2700.25</v>
      </c>
      <c r="H8" s="164">
        <v>3235.06</v>
      </c>
      <c r="I8" s="164">
        <v>2772.26</v>
      </c>
      <c r="J8" s="164">
        <v>3895.62</v>
      </c>
      <c r="K8" s="164">
        <v>3080.2599999999998</v>
      </c>
      <c r="L8" s="164">
        <v>2734.38</v>
      </c>
      <c r="M8" s="164">
        <v>3030.12</v>
      </c>
      <c r="N8" s="164">
        <v>2825.97</v>
      </c>
      <c r="O8" s="164">
        <v>2716.63</v>
      </c>
      <c r="P8" s="164">
        <v>2715.35</v>
      </c>
      <c r="Q8" s="164">
        <v>2628.6</v>
      </c>
      <c r="S8" s="127">
        <f>SUM(F8:R8)</f>
        <v>35369.1</v>
      </c>
    </row>
    <row r="9" spans="1:19">
      <c r="C9" s="118"/>
      <c r="D9" s="118"/>
      <c r="E9" s="116" t="s">
        <v>105</v>
      </c>
      <c r="F9" s="164">
        <v>1596.3000000000004</v>
      </c>
      <c r="G9" s="164">
        <v>1555.0299999999997</v>
      </c>
      <c r="H9" s="164">
        <v>1827.8000000000002</v>
      </c>
      <c r="I9" s="164">
        <v>1518.25</v>
      </c>
      <c r="J9" s="164">
        <v>1987.95</v>
      </c>
      <c r="K9" s="164">
        <v>1652.8399999999997</v>
      </c>
      <c r="L9" s="164">
        <v>1426.8300000000008</v>
      </c>
      <c r="M9" s="164">
        <v>1517.4400000000003</v>
      </c>
      <c r="N9" s="164">
        <v>1632.7600000000002</v>
      </c>
      <c r="O9" s="164">
        <v>1666.7099999999998</v>
      </c>
      <c r="P9" s="164">
        <v>1536.9499999999994</v>
      </c>
      <c r="Q9" s="164">
        <v>1638.4299999999998</v>
      </c>
      <c r="S9" s="127">
        <f t="shared" ref="S9:S15" si="2">SUM(F9:R9)</f>
        <v>19557.29</v>
      </c>
    </row>
    <row r="10" spans="1:19">
      <c r="C10" s="118"/>
      <c r="D10" s="118"/>
      <c r="E10" s="116" t="s">
        <v>106</v>
      </c>
      <c r="F10" s="164">
        <v>3772.36</v>
      </c>
      <c r="G10" s="164">
        <v>3088.75</v>
      </c>
      <c r="H10" s="164">
        <v>3677.08</v>
      </c>
      <c r="I10" s="164">
        <v>3310.85</v>
      </c>
      <c r="J10" s="164">
        <v>3632.86</v>
      </c>
      <c r="K10" s="164">
        <v>3625.51</v>
      </c>
      <c r="L10" s="164">
        <v>3263.6699999999996</v>
      </c>
      <c r="M10" s="164">
        <v>3539.14</v>
      </c>
      <c r="N10" s="164">
        <v>3317.57</v>
      </c>
      <c r="O10" s="164">
        <v>3318.13</v>
      </c>
      <c r="P10" s="164">
        <v>3447.51</v>
      </c>
      <c r="Q10" s="164">
        <v>3268.4</v>
      </c>
      <c r="S10" s="127">
        <f t="shared" si="2"/>
        <v>41261.83</v>
      </c>
    </row>
    <row r="11" spans="1:19">
      <c r="C11" s="118"/>
      <c r="D11" s="118"/>
      <c r="E11" s="116" t="s">
        <v>107</v>
      </c>
      <c r="F11" s="164">
        <v>613.39</v>
      </c>
      <c r="G11" s="164">
        <v>582.04</v>
      </c>
      <c r="H11" s="164">
        <v>728.83</v>
      </c>
      <c r="I11" s="164">
        <v>603.16</v>
      </c>
      <c r="J11" s="164">
        <v>664.29</v>
      </c>
      <c r="K11" s="164">
        <v>646.38</v>
      </c>
      <c r="L11" s="164">
        <v>532.55999999999995</v>
      </c>
      <c r="M11" s="164">
        <v>579.82999999999993</v>
      </c>
      <c r="N11" s="164">
        <v>607.79</v>
      </c>
      <c r="O11" s="164">
        <v>510.81</v>
      </c>
      <c r="P11" s="164">
        <v>629.76</v>
      </c>
      <c r="Q11" s="164">
        <v>613.46</v>
      </c>
      <c r="S11" s="127">
        <f t="shared" si="2"/>
        <v>7312.3</v>
      </c>
    </row>
    <row r="12" spans="1:19">
      <c r="C12" s="118"/>
      <c r="D12" s="118"/>
      <c r="E12" s="116" t="s">
        <v>108</v>
      </c>
      <c r="F12" s="164">
        <v>3961.43</v>
      </c>
      <c r="G12" s="164">
        <v>3105.23</v>
      </c>
      <c r="H12" s="164">
        <v>3605.29</v>
      </c>
      <c r="I12" s="164">
        <v>3320.7</v>
      </c>
      <c r="J12" s="164">
        <v>3559.65</v>
      </c>
      <c r="K12" s="164">
        <v>3752.64</v>
      </c>
      <c r="L12" s="164">
        <v>3505.47</v>
      </c>
      <c r="M12" s="164">
        <v>3696.39</v>
      </c>
      <c r="N12" s="164">
        <v>3605.07</v>
      </c>
      <c r="O12" s="164">
        <v>3283.39</v>
      </c>
      <c r="P12" s="164">
        <v>3540.96</v>
      </c>
      <c r="Q12" s="164">
        <v>3348.95</v>
      </c>
      <c r="S12" s="127">
        <f>SUM(F12:R12)</f>
        <v>42285.17</v>
      </c>
    </row>
    <row r="13" spans="1:19">
      <c r="C13" s="118"/>
      <c r="D13" s="118"/>
      <c r="E13" s="116" t="s">
        <v>109</v>
      </c>
      <c r="F13" s="164">
        <v>1755.46</v>
      </c>
      <c r="G13" s="164">
        <v>1329.72</v>
      </c>
      <c r="H13" s="164">
        <v>1568.63</v>
      </c>
      <c r="I13" s="164">
        <v>1375.95</v>
      </c>
      <c r="J13" s="164">
        <v>1355.21</v>
      </c>
      <c r="K13" s="164">
        <v>1403.39</v>
      </c>
      <c r="L13" s="164">
        <v>1322.21</v>
      </c>
      <c r="M13" s="164">
        <v>1363.6599999999999</v>
      </c>
      <c r="N13" s="164">
        <v>1349.91</v>
      </c>
      <c r="O13" s="164">
        <v>1352.3</v>
      </c>
      <c r="P13" s="164">
        <v>1415.26</v>
      </c>
      <c r="Q13" s="164">
        <v>1309.45</v>
      </c>
      <c r="S13" s="127">
        <f>SUM(F13:R13)</f>
        <v>16901.149999999998</v>
      </c>
    </row>
    <row r="14" spans="1:19">
      <c r="C14" s="118"/>
      <c r="D14" s="118"/>
      <c r="E14" s="128" t="s">
        <v>144</v>
      </c>
      <c r="F14" s="165">
        <v>875.4</v>
      </c>
      <c r="G14" s="165">
        <v>1170.72</v>
      </c>
      <c r="H14" s="165">
        <v>1489.99</v>
      </c>
      <c r="I14" s="165">
        <v>2142.65</v>
      </c>
      <c r="J14" s="165">
        <v>2936.36</v>
      </c>
      <c r="K14" s="165">
        <v>3224.65</v>
      </c>
      <c r="L14" s="165">
        <v>2255.9</v>
      </c>
      <c r="M14" s="165">
        <v>1522.54</v>
      </c>
      <c r="N14" s="165">
        <v>1420.02</v>
      </c>
      <c r="O14" s="165">
        <v>1302.23</v>
      </c>
      <c r="P14" s="165">
        <v>1857.69</v>
      </c>
      <c r="Q14" s="165">
        <v>1103.03</v>
      </c>
      <c r="R14" s="128"/>
      <c r="S14" s="143">
        <f t="shared" si="2"/>
        <v>21301.179999999997</v>
      </c>
    </row>
    <row r="15" spans="1:19">
      <c r="C15" s="118"/>
      <c r="D15" s="118"/>
      <c r="E15" s="116" t="s">
        <v>101</v>
      </c>
      <c r="F15" s="126">
        <f t="shared" ref="F15:P15" si="3">SUM(F8:F14)</f>
        <v>15608.94</v>
      </c>
      <c r="G15" s="126">
        <f t="shared" si="3"/>
        <v>13531.739999999998</v>
      </c>
      <c r="H15" s="126">
        <f t="shared" si="3"/>
        <v>16132.680000000002</v>
      </c>
      <c r="I15" s="126">
        <f t="shared" si="3"/>
        <v>15043.820000000002</v>
      </c>
      <c r="J15" s="126">
        <f t="shared" si="3"/>
        <v>18031.940000000002</v>
      </c>
      <c r="K15" s="126">
        <f t="shared" si="3"/>
        <v>17385.669999999998</v>
      </c>
      <c r="L15" s="126">
        <f t="shared" si="3"/>
        <v>15041.019999999999</v>
      </c>
      <c r="M15" s="126">
        <f t="shared" si="3"/>
        <v>15249.119999999999</v>
      </c>
      <c r="N15" s="126">
        <f t="shared" si="3"/>
        <v>14759.09</v>
      </c>
      <c r="O15" s="126">
        <f t="shared" si="3"/>
        <v>14150.199999999999</v>
      </c>
      <c r="P15" s="126">
        <f t="shared" si="3"/>
        <v>15143.48</v>
      </c>
      <c r="Q15" s="126">
        <f>SUM(Q8:Q14)</f>
        <v>13910.320000000002</v>
      </c>
      <c r="S15" s="127">
        <f t="shared" si="2"/>
        <v>183988.02000000002</v>
      </c>
    </row>
    <row r="16" spans="1:19">
      <c r="C16" s="118"/>
      <c r="D16" s="118"/>
    </row>
    <row r="17" spans="1:25">
      <c r="C17" s="118"/>
      <c r="D17" s="118"/>
      <c r="E17" s="117" t="s">
        <v>110</v>
      </c>
      <c r="F17" s="166"/>
      <c r="G17" s="166"/>
      <c r="T17" s="167"/>
      <c r="U17" s="167"/>
      <c r="V17" s="167"/>
      <c r="W17" s="167"/>
      <c r="X17" s="167"/>
      <c r="Y17" s="167"/>
    </row>
    <row r="18" spans="1:25">
      <c r="A18" s="129" t="s">
        <v>111</v>
      </c>
      <c r="B18" s="129" t="s">
        <v>112</v>
      </c>
      <c r="C18" s="129">
        <v>20</v>
      </c>
      <c r="D18" s="129">
        <v>25</v>
      </c>
      <c r="E18" s="116" t="s">
        <v>114</v>
      </c>
      <c r="F18" s="166">
        <v>201.08000000000007</v>
      </c>
      <c r="G18" s="166">
        <v>253.37000000000006</v>
      </c>
      <c r="H18" s="166">
        <v>273.60000000000008</v>
      </c>
      <c r="I18" s="166">
        <v>223.37999999999991</v>
      </c>
      <c r="J18" s="166">
        <v>207.31000000000009</v>
      </c>
      <c r="K18" s="166">
        <v>258.37000000000006</v>
      </c>
      <c r="L18" s="166">
        <v>234.26999999999987</v>
      </c>
      <c r="M18" s="166">
        <v>261.26</v>
      </c>
      <c r="N18" s="166">
        <v>223.48999999999992</v>
      </c>
      <c r="O18" s="166">
        <v>250.5</v>
      </c>
      <c r="P18" s="166">
        <v>189.49999999999997</v>
      </c>
      <c r="Q18" s="166">
        <v>191.09999999999997</v>
      </c>
      <c r="R18" s="166"/>
      <c r="S18" s="127">
        <f>SUM(F18:R18)</f>
        <v>2767.23</v>
      </c>
      <c r="T18" s="166"/>
      <c r="U18" s="166"/>
      <c r="V18" s="166"/>
      <c r="W18" s="166"/>
      <c r="X18" s="166"/>
      <c r="Y18" s="166"/>
    </row>
    <row r="19" spans="1:25">
      <c r="C19" s="116" t="s">
        <v>147</v>
      </c>
      <c r="E19" s="116" t="s">
        <v>116</v>
      </c>
      <c r="F19" s="166">
        <f t="shared" ref="F19:Q19" si="4">+F20-F18</f>
        <v>2695.9</v>
      </c>
      <c r="G19" s="166">
        <f t="shared" si="4"/>
        <v>2407.6199999999994</v>
      </c>
      <c r="H19" s="166">
        <f t="shared" si="4"/>
        <v>2912.3500000000004</v>
      </c>
      <c r="I19" s="166">
        <f t="shared" si="4"/>
        <v>2499.0899999999997</v>
      </c>
      <c r="J19" s="166">
        <f t="shared" si="4"/>
        <v>2608.61</v>
      </c>
      <c r="K19" s="166">
        <f t="shared" si="4"/>
        <v>2785.01</v>
      </c>
      <c r="L19" s="166">
        <f t="shared" si="4"/>
        <v>2430.38</v>
      </c>
      <c r="M19" s="166">
        <f t="shared" si="4"/>
        <v>2734.37</v>
      </c>
      <c r="N19" s="166">
        <f t="shared" si="4"/>
        <v>2543.7999999999997</v>
      </c>
      <c r="O19" s="166">
        <f t="shared" si="4"/>
        <v>2437.17</v>
      </c>
      <c r="P19" s="166">
        <f t="shared" si="4"/>
        <v>2484.3999999999996</v>
      </c>
      <c r="Q19" s="166">
        <f t="shared" si="4"/>
        <v>2401.84</v>
      </c>
      <c r="R19" s="166"/>
      <c r="S19" s="127">
        <f>SUM(F19:R19)</f>
        <v>30940.539999999997</v>
      </c>
      <c r="T19" s="166"/>
      <c r="U19" s="166"/>
      <c r="V19" s="166"/>
      <c r="W19" s="166"/>
      <c r="X19" s="166"/>
      <c r="Y19" s="166"/>
    </row>
    <row r="20" spans="1:25" s="144" customFormat="1" outlineLevel="1">
      <c r="A20" s="130" t="str">
        <f>+A18</f>
        <v>I</v>
      </c>
      <c r="B20" s="130" t="str">
        <f>+B18</f>
        <v>MSW</v>
      </c>
      <c r="C20" s="131"/>
      <c r="D20" s="131"/>
      <c r="E20" s="131" t="str">
        <f>"Total "&amp;E17&amp;" "&amp;B20</f>
        <v>Total Roll-off / Industrial MSW</v>
      </c>
      <c r="F20" s="168">
        <v>2896.98</v>
      </c>
      <c r="G20" s="168">
        <v>2660.9899999999993</v>
      </c>
      <c r="H20" s="168">
        <v>3185.9500000000003</v>
      </c>
      <c r="I20" s="168">
        <v>2722.47</v>
      </c>
      <c r="J20" s="168">
        <v>2815.92</v>
      </c>
      <c r="K20" s="168">
        <v>3043.38</v>
      </c>
      <c r="L20" s="168">
        <v>2664.65</v>
      </c>
      <c r="M20" s="168">
        <v>2995.6299999999997</v>
      </c>
      <c r="N20" s="168">
        <v>2767.2899999999995</v>
      </c>
      <c r="O20" s="168">
        <v>2687.67</v>
      </c>
      <c r="P20" s="168">
        <v>2673.8999999999996</v>
      </c>
      <c r="Q20" s="168">
        <v>2592.94</v>
      </c>
      <c r="R20" s="168"/>
      <c r="S20" s="138">
        <f>SUM(F20:R20)</f>
        <v>33707.770000000004</v>
      </c>
      <c r="T20" s="169"/>
      <c r="U20" s="169"/>
      <c r="V20" s="169"/>
      <c r="W20" s="169"/>
      <c r="X20" s="169"/>
      <c r="Y20" s="169"/>
    </row>
    <row r="21" spans="1:25">
      <c r="A21" s="118" t="str">
        <f>+A20</f>
        <v>I</v>
      </c>
      <c r="B21" s="129" t="s">
        <v>117</v>
      </c>
      <c r="C21" s="118">
        <f>+C18</f>
        <v>20</v>
      </c>
      <c r="D21" s="118">
        <f>+D18</f>
        <v>25</v>
      </c>
      <c r="E21" s="116" t="s">
        <v>118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66"/>
      <c r="S21" s="127">
        <f>SUM(F21:R21)</f>
        <v>0</v>
      </c>
      <c r="T21" s="166"/>
      <c r="U21" s="170"/>
      <c r="V21" s="166"/>
      <c r="W21" s="166"/>
      <c r="X21" s="166"/>
      <c r="Y21" s="166"/>
    </row>
    <row r="22" spans="1:25">
      <c r="C22" s="116" t="s">
        <v>147</v>
      </c>
      <c r="E22" s="116" t="s">
        <v>119</v>
      </c>
      <c r="F22" s="166">
        <f t="shared" ref="F22:Q22" si="5">+F23-F21</f>
        <v>2236.44</v>
      </c>
      <c r="G22" s="166">
        <f t="shared" si="5"/>
        <v>2077.71</v>
      </c>
      <c r="H22" s="166">
        <f t="shared" si="5"/>
        <v>2356.33</v>
      </c>
      <c r="I22" s="166">
        <f t="shared" si="5"/>
        <v>2004.4899999999996</v>
      </c>
      <c r="J22" s="166">
        <f t="shared" si="5"/>
        <v>2268.1000000000004</v>
      </c>
      <c r="K22" s="166">
        <f t="shared" si="5"/>
        <v>2387.4499999999998</v>
      </c>
      <c r="L22" s="166">
        <f t="shared" si="5"/>
        <v>2031.9699999999996</v>
      </c>
      <c r="M22" s="166">
        <f t="shared" si="5"/>
        <v>2063.94</v>
      </c>
      <c r="N22" s="166">
        <f t="shared" si="5"/>
        <v>1916.2650000000001</v>
      </c>
      <c r="O22" s="166">
        <f t="shared" si="5"/>
        <v>1863.8799999999997</v>
      </c>
      <c r="P22" s="166">
        <f t="shared" si="5"/>
        <v>1815.5900000000001</v>
      </c>
      <c r="Q22" s="166">
        <f t="shared" si="5"/>
        <v>1896.8</v>
      </c>
      <c r="R22" s="166"/>
      <c r="S22" s="127">
        <f>SUM(F22:R22)</f>
        <v>24918.965</v>
      </c>
      <c r="T22" s="166"/>
      <c r="U22" s="166"/>
      <c r="V22" s="166"/>
      <c r="W22" s="166"/>
      <c r="X22" s="166"/>
      <c r="Y22" s="166"/>
    </row>
    <row r="23" spans="1:25" s="144" customFormat="1" outlineLevel="1">
      <c r="A23" s="130" t="str">
        <f>+A21</f>
        <v>I</v>
      </c>
      <c r="B23" s="133" t="str">
        <f>+B21</f>
        <v>RCY</v>
      </c>
      <c r="C23" s="134" t="s">
        <v>120</v>
      </c>
      <c r="D23" s="131"/>
      <c r="E23" s="131" t="str">
        <f>"Total "&amp;E17&amp;" "&amp;B23</f>
        <v>Total Roll-off / Industrial RCY</v>
      </c>
      <c r="F23" s="168">
        <v>2236.44</v>
      </c>
      <c r="G23" s="168">
        <v>2077.71</v>
      </c>
      <c r="H23" s="168">
        <v>2356.33</v>
      </c>
      <c r="I23" s="168">
        <v>2004.4899999999996</v>
      </c>
      <c r="J23" s="168">
        <v>2268.1000000000004</v>
      </c>
      <c r="K23" s="168">
        <v>2387.4499999999998</v>
      </c>
      <c r="L23" s="168">
        <v>2031.9699999999996</v>
      </c>
      <c r="M23" s="168">
        <v>2063.94</v>
      </c>
      <c r="N23" s="168">
        <v>1916.2650000000001</v>
      </c>
      <c r="O23" s="168">
        <v>1863.8799999999997</v>
      </c>
      <c r="P23" s="168">
        <v>1815.5900000000001</v>
      </c>
      <c r="Q23" s="168">
        <v>1896.8</v>
      </c>
      <c r="R23" s="168"/>
      <c r="S23" s="138"/>
      <c r="T23" s="169"/>
      <c r="U23" s="169"/>
      <c r="V23" s="169"/>
      <c r="W23" s="169"/>
      <c r="X23" s="169"/>
      <c r="Y23" s="169"/>
    </row>
    <row r="24" spans="1:25" s="145" customFormat="1">
      <c r="A24" s="171">
        <v>6666666</v>
      </c>
      <c r="B24" s="172" t="s">
        <v>145</v>
      </c>
      <c r="E24" s="145" t="s">
        <v>146</v>
      </c>
      <c r="F24" s="173">
        <f t="array" ref="F24:Q24">+S24/12</f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/>
      <c r="S24" s="174">
        <v>0</v>
      </c>
      <c r="T24" s="173"/>
      <c r="U24" s="173"/>
      <c r="V24" s="173"/>
      <c r="W24" s="173"/>
      <c r="X24" s="173"/>
      <c r="Y24" s="173"/>
    </row>
    <row r="25" spans="1:25">
      <c r="A25" s="135"/>
      <c r="B25" s="135"/>
      <c r="C25" s="135"/>
      <c r="D25" s="135"/>
      <c r="E25" s="136" t="str">
        <f>"Total "&amp;E17</f>
        <v>Total Roll-off / Industrial</v>
      </c>
      <c r="F25" s="175">
        <v>5137.5000000000009</v>
      </c>
      <c r="G25" s="175">
        <v>4740.920000000001</v>
      </c>
      <c r="H25" s="175">
        <v>5546.99</v>
      </c>
      <c r="I25" s="175">
        <v>4733.1700000000019</v>
      </c>
      <c r="J25" s="175">
        <v>5094.7500000000009</v>
      </c>
      <c r="K25" s="175">
        <v>5448.72</v>
      </c>
      <c r="L25" s="175">
        <v>4749.7200000000012</v>
      </c>
      <c r="M25" s="175">
        <v>5078.7</v>
      </c>
      <c r="N25" s="175">
        <v>4696.9450000000006</v>
      </c>
      <c r="O25" s="175">
        <v>4568.4400000000005</v>
      </c>
      <c r="P25" s="175">
        <v>4506.4799999999996</v>
      </c>
      <c r="Q25" s="175">
        <v>4495.5199999999995</v>
      </c>
      <c r="R25" s="175"/>
      <c r="S25" s="137">
        <f>SUM(F25:R25)</f>
        <v>58797.855000000003</v>
      </c>
      <c r="T25" s="166"/>
      <c r="U25" s="166"/>
      <c r="V25" s="166"/>
      <c r="W25" s="166"/>
      <c r="X25" s="166"/>
      <c r="Y25" s="166"/>
    </row>
    <row r="26" spans="1:25">
      <c r="C26" s="118"/>
      <c r="D26" s="118"/>
      <c r="E26" s="176" t="s">
        <v>121</v>
      </c>
      <c r="F26" s="177">
        <f>+F25/SUM(F8:F9)-1</f>
        <v>0.10939558185233977</v>
      </c>
      <c r="G26" s="177">
        <f t="shared" ref="G26:Q26" si="6">+G25/SUM(G8:G9)-1</f>
        <v>0.11412644996333987</v>
      </c>
      <c r="H26" s="177">
        <f t="shared" si="6"/>
        <v>9.5623817368048813E-2</v>
      </c>
      <c r="I26" s="177">
        <f t="shared" si="6"/>
        <v>0.10317188399514321</v>
      </c>
      <c r="J26" s="177">
        <f t="shared" si="6"/>
        <v>-0.13407166057342712</v>
      </c>
      <c r="K26" s="177">
        <f t="shared" si="6"/>
        <v>0.15119477720732721</v>
      </c>
      <c r="L26" s="177">
        <f t="shared" si="6"/>
        <v>0.14142761360277412</v>
      </c>
      <c r="M26" s="177">
        <f t="shared" si="6"/>
        <v>0.11679669976866691</v>
      </c>
      <c r="N26" s="177">
        <f t="shared" si="6"/>
        <v>5.3426648395395349E-2</v>
      </c>
      <c r="O26" s="177">
        <f t="shared" si="6"/>
        <v>4.2228072656923743E-2</v>
      </c>
      <c r="P26" s="177">
        <f t="shared" si="6"/>
        <v>5.9774710156856425E-2</v>
      </c>
      <c r="Q26" s="177">
        <f t="shared" si="6"/>
        <v>5.3547783821533912E-2</v>
      </c>
      <c r="R26" s="177"/>
      <c r="S26" s="178">
        <f>+S25/SUM(S8:S9)-1</f>
        <v>7.0484606761886281E-2</v>
      </c>
      <c r="T26" s="166"/>
      <c r="U26" s="166"/>
      <c r="V26" s="166"/>
      <c r="W26" s="166"/>
      <c r="X26" s="166"/>
      <c r="Y26" s="166"/>
    </row>
    <row r="27" spans="1:25">
      <c r="C27" s="118"/>
      <c r="D27" s="118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66"/>
      <c r="U27" s="166"/>
      <c r="V27" s="166"/>
      <c r="W27" s="166"/>
      <c r="X27" s="166"/>
      <c r="Y27" s="166"/>
    </row>
    <row r="28" spans="1:25">
      <c r="C28" s="118"/>
      <c r="D28" s="118"/>
      <c r="E28" s="116" t="s">
        <v>122</v>
      </c>
      <c r="F28" s="166">
        <f t="shared" ref="F28:Q28" si="7">+F18</f>
        <v>201.08000000000007</v>
      </c>
      <c r="G28" s="166">
        <f t="shared" si="7"/>
        <v>253.37000000000006</v>
      </c>
      <c r="H28" s="166">
        <f t="shared" si="7"/>
        <v>273.60000000000008</v>
      </c>
      <c r="I28" s="166">
        <f t="shared" si="7"/>
        <v>223.37999999999991</v>
      </c>
      <c r="J28" s="166">
        <f t="shared" si="7"/>
        <v>207.31000000000009</v>
      </c>
      <c r="K28" s="166">
        <f t="shared" si="7"/>
        <v>258.37000000000006</v>
      </c>
      <c r="L28" s="166">
        <f t="shared" si="7"/>
        <v>234.26999999999987</v>
      </c>
      <c r="M28" s="166">
        <f t="shared" si="7"/>
        <v>261.26</v>
      </c>
      <c r="N28" s="166">
        <f t="shared" si="7"/>
        <v>223.48999999999992</v>
      </c>
      <c r="O28" s="166">
        <f t="shared" si="7"/>
        <v>250.5</v>
      </c>
      <c r="P28" s="166">
        <f t="shared" si="7"/>
        <v>189.49999999999997</v>
      </c>
      <c r="Q28" s="166">
        <f t="shared" si="7"/>
        <v>191.09999999999997</v>
      </c>
      <c r="R28" s="166"/>
      <c r="S28" s="127">
        <f>SUM(F28:R28)</f>
        <v>2767.23</v>
      </c>
      <c r="T28" s="166"/>
      <c r="U28" s="166"/>
      <c r="V28" s="166"/>
      <c r="W28" s="166"/>
      <c r="X28" s="166"/>
      <c r="Y28" s="166"/>
    </row>
    <row r="29" spans="1:25">
      <c r="C29" s="118"/>
      <c r="D29" s="118"/>
      <c r="E29" s="116" t="s">
        <v>123</v>
      </c>
      <c r="F29" s="166">
        <f>+F30-F28</f>
        <v>4725.3</v>
      </c>
      <c r="G29" s="166">
        <f t="shared" ref="G29:Q29" si="8">+G30-G28</f>
        <v>4076.21</v>
      </c>
      <c r="H29" s="166">
        <f t="shared" si="8"/>
        <v>5075.7199999999993</v>
      </c>
      <c r="I29" s="166">
        <f t="shared" si="8"/>
        <v>4322.2300000000005</v>
      </c>
      <c r="J29" s="166">
        <f t="shared" si="8"/>
        <v>4681.54</v>
      </c>
      <c r="K29" s="166">
        <f t="shared" si="8"/>
        <v>4695.5600000000004</v>
      </c>
      <c r="L29" s="166">
        <f t="shared" si="8"/>
        <v>4198.0000000000009</v>
      </c>
      <c r="M29" s="166">
        <f t="shared" si="8"/>
        <v>4682.4399999999996</v>
      </c>
      <c r="N29" s="166">
        <f t="shared" si="8"/>
        <v>4423.1850000000004</v>
      </c>
      <c r="O29" s="166">
        <f t="shared" si="8"/>
        <v>4261.9500000000007</v>
      </c>
      <c r="P29" s="166">
        <f t="shared" si="8"/>
        <v>4261.1899999999996</v>
      </c>
      <c r="Q29" s="166">
        <f t="shared" si="8"/>
        <v>4250.74</v>
      </c>
      <c r="R29" s="166"/>
      <c r="S29" s="127">
        <f>SUM(F29:R29)</f>
        <v>53654.064999999995</v>
      </c>
      <c r="T29" s="166"/>
      <c r="U29" s="166"/>
      <c r="V29" s="166"/>
      <c r="W29" s="166"/>
      <c r="X29" s="166"/>
      <c r="Y29" s="166"/>
    </row>
    <row r="30" spans="1:25">
      <c r="A30" s="146" t="str">
        <f>+A18</f>
        <v>I</v>
      </c>
      <c r="C30" s="118"/>
      <c r="D30" s="118"/>
      <c r="E30" s="131" t="str">
        <f>"Total "&amp;E17&amp;" Pass Thru Disp."</f>
        <v>Total Roll-off / Industrial Pass Thru Disp.</v>
      </c>
      <c r="F30" s="168">
        <v>4926.38</v>
      </c>
      <c r="G30" s="168">
        <v>4329.58</v>
      </c>
      <c r="H30" s="168">
        <v>5349.32</v>
      </c>
      <c r="I30" s="168">
        <v>4545.6100000000006</v>
      </c>
      <c r="J30" s="168">
        <v>4888.8500000000004</v>
      </c>
      <c r="K30" s="168">
        <v>4953.93</v>
      </c>
      <c r="L30" s="168">
        <v>4432.2700000000004</v>
      </c>
      <c r="M30" s="168">
        <v>4943.7</v>
      </c>
      <c r="N30" s="168">
        <v>4646.6750000000002</v>
      </c>
      <c r="O30" s="168">
        <v>4512.4500000000007</v>
      </c>
      <c r="P30" s="168">
        <v>4450.6899999999996</v>
      </c>
      <c r="Q30" s="168">
        <v>4441.84</v>
      </c>
      <c r="R30" s="168"/>
      <c r="S30" s="138">
        <f>SUM(F30:R30)</f>
        <v>56421.294999999998</v>
      </c>
      <c r="T30" s="166"/>
      <c r="U30" s="166"/>
      <c r="V30" s="166"/>
      <c r="W30" s="166"/>
      <c r="X30" s="166"/>
      <c r="Y30" s="166"/>
    </row>
    <row r="31" spans="1:25">
      <c r="C31" s="118"/>
      <c r="D31" s="118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27"/>
      <c r="T31" s="166"/>
      <c r="U31" s="166"/>
      <c r="V31" s="166"/>
      <c r="W31" s="166"/>
      <c r="X31" s="166"/>
      <c r="Y31" s="166"/>
    </row>
    <row r="32" spans="1:25">
      <c r="C32" s="118"/>
      <c r="D32" s="118"/>
      <c r="E32" s="117" t="s">
        <v>14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27"/>
      <c r="T32" s="166"/>
      <c r="U32" s="180"/>
      <c r="V32" s="166"/>
      <c r="W32" s="166"/>
      <c r="X32" s="166"/>
      <c r="Y32" s="166"/>
    </row>
    <row r="33" spans="1:25">
      <c r="C33" s="118"/>
      <c r="D33" s="147" t="s">
        <v>113</v>
      </c>
      <c r="E33" s="116" t="s">
        <v>114</v>
      </c>
      <c r="F33" s="166">
        <v>349.18443462863144</v>
      </c>
      <c r="G33" s="166">
        <v>317.90963242362477</v>
      </c>
      <c r="H33" s="166">
        <v>385.16609706251461</v>
      </c>
      <c r="I33" s="166">
        <v>346.05525436531894</v>
      </c>
      <c r="J33" s="166">
        <v>399.18461740522167</v>
      </c>
      <c r="K33" s="166">
        <v>371.40998800747548</v>
      </c>
      <c r="L33" s="166">
        <v>352.96413207197685</v>
      </c>
      <c r="M33" s="166">
        <v>352.22801408494433</v>
      </c>
      <c r="N33" s="166">
        <v>366.2955014448583</v>
      </c>
      <c r="O33" s="166">
        <v>347.54079053601089</v>
      </c>
      <c r="P33" s="166">
        <v>373.8398345334445</v>
      </c>
      <c r="Q33" s="166">
        <v>360.32081894527028</v>
      </c>
      <c r="R33" s="166"/>
      <c r="S33" s="127">
        <f>SUM(F33:R33)</f>
        <v>4322.0991155092925</v>
      </c>
      <c r="T33" s="166"/>
      <c r="U33" s="181"/>
      <c r="V33" s="166"/>
      <c r="W33" s="166"/>
      <c r="X33" s="166"/>
      <c r="Y33" s="166"/>
    </row>
    <row r="34" spans="1:25">
      <c r="D34" s="147" t="s">
        <v>115</v>
      </c>
      <c r="E34" s="116" t="s">
        <v>116</v>
      </c>
      <c r="F34" s="166">
        <v>3438.4856105374993</v>
      </c>
      <c r="G34" s="166">
        <v>2809.6792231026661</v>
      </c>
      <c r="H34" s="166">
        <v>3324.067620852351</v>
      </c>
      <c r="I34" s="166">
        <v>3001.757507729576</v>
      </c>
      <c r="J34" s="166">
        <v>3266.2048131929787</v>
      </c>
      <c r="K34" s="166">
        <v>3247.8264994327164</v>
      </c>
      <c r="L34" s="166">
        <v>2893.8767596008247</v>
      </c>
      <c r="M34" s="166">
        <v>3161.3336101806126</v>
      </c>
      <c r="N34" s="166">
        <v>2980.4581475188634</v>
      </c>
      <c r="O34" s="166">
        <v>2972.6686145117337</v>
      </c>
      <c r="P34" s="166">
        <v>3085.6532306177724</v>
      </c>
      <c r="Q34" s="166">
        <v>2933.9023798710541</v>
      </c>
      <c r="R34" s="166"/>
      <c r="S34" s="127">
        <f>SUM(F34:R34)</f>
        <v>37115.914017148651</v>
      </c>
      <c r="T34" s="166"/>
      <c r="U34" s="182"/>
      <c r="V34" s="166"/>
      <c r="W34" s="166"/>
      <c r="X34" s="166"/>
      <c r="Y34" s="166"/>
    </row>
    <row r="35" spans="1:25" s="144" customFormat="1" outlineLevel="1">
      <c r="A35" s="148" t="s">
        <v>124</v>
      </c>
      <c r="B35" s="148" t="s">
        <v>112</v>
      </c>
      <c r="C35" s="131"/>
      <c r="D35" s="131"/>
      <c r="E35" s="139" t="str">
        <f>"Total "&amp;E32&amp;" "&amp;B35</f>
        <v>Total Commercial MSW</v>
      </c>
      <c r="F35" s="183">
        <v>3734.5099999999998</v>
      </c>
      <c r="G35" s="183">
        <v>3072.43</v>
      </c>
      <c r="H35" s="183">
        <v>3677.08</v>
      </c>
      <c r="I35" s="183">
        <v>3279.12</v>
      </c>
      <c r="J35" s="183">
        <v>3615.48</v>
      </c>
      <c r="K35" s="183">
        <v>3625.5099999999998</v>
      </c>
      <c r="L35" s="183">
        <v>3237.88</v>
      </c>
      <c r="M35" s="183">
        <v>3533.4199999999996</v>
      </c>
      <c r="N35" s="183">
        <v>3317.5699999999997</v>
      </c>
      <c r="O35" s="183">
        <v>3310.7400000000002</v>
      </c>
      <c r="P35" s="183">
        <v>3447.5099999999998</v>
      </c>
      <c r="Q35" s="183">
        <v>3268.3999999999996</v>
      </c>
      <c r="R35" s="183"/>
      <c r="S35" s="132">
        <f>SUM(F35:Q35)-SUM(S33:S34)</f>
        <v>-318.36313265794161</v>
      </c>
      <c r="T35" s="169"/>
      <c r="U35" s="184"/>
      <c r="V35" s="166"/>
      <c r="W35" s="169"/>
      <c r="X35" s="169"/>
      <c r="Y35" s="169"/>
    </row>
    <row r="36" spans="1:25">
      <c r="C36" s="118"/>
      <c r="D36" s="147" t="s">
        <v>113</v>
      </c>
      <c r="E36" s="116" t="s">
        <v>118</v>
      </c>
      <c r="F36" s="166">
        <v>74.741412787051758</v>
      </c>
      <c r="G36" s="166">
        <v>60.839679592939198</v>
      </c>
      <c r="H36" s="166">
        <v>80.787254827180405</v>
      </c>
      <c r="I36" s="166">
        <v>66.324775985596091</v>
      </c>
      <c r="J36" s="166">
        <v>62.78275873519015</v>
      </c>
      <c r="K36" s="166">
        <v>67.299050687730926</v>
      </c>
      <c r="L36" s="166">
        <v>52.287676658968877</v>
      </c>
      <c r="M36" s="166">
        <v>50.909548155762685</v>
      </c>
      <c r="N36" s="166">
        <v>53.795861110510586</v>
      </c>
      <c r="O36" s="166">
        <v>40.566053818036451</v>
      </c>
      <c r="P36" s="166">
        <v>37.356064047201379</v>
      </c>
      <c r="Q36" s="166">
        <v>47.920381254942363</v>
      </c>
      <c r="R36" s="166"/>
      <c r="S36" s="127">
        <f>SUM(F36:R36)</f>
        <v>695.61051766111098</v>
      </c>
      <c r="T36" s="166"/>
      <c r="U36" s="181"/>
      <c r="V36" s="166"/>
      <c r="W36" s="166"/>
      <c r="X36" s="166"/>
      <c r="Y36" s="166"/>
    </row>
    <row r="37" spans="1:25">
      <c r="D37" s="147" t="s">
        <v>115</v>
      </c>
      <c r="E37" s="116" t="s">
        <v>119</v>
      </c>
      <c r="F37" s="166">
        <v>628.03179404931655</v>
      </c>
      <c r="G37" s="166">
        <v>516.34985154489721</v>
      </c>
      <c r="H37" s="166">
        <v>671.1527714614565</v>
      </c>
      <c r="I37" s="166">
        <v>572.88399218907841</v>
      </c>
      <c r="J37" s="166">
        <v>627.63313055459537</v>
      </c>
      <c r="K37" s="166">
        <v>630.51449434262213</v>
      </c>
      <c r="L37" s="166">
        <v>513.90792623925063</v>
      </c>
      <c r="M37" s="166">
        <v>575.0787668568139</v>
      </c>
      <c r="N37" s="166">
        <v>548.03711317127352</v>
      </c>
      <c r="O37" s="166">
        <v>558.41236052819454</v>
      </c>
      <c r="P37" s="166">
        <v>642.15696676742459</v>
      </c>
      <c r="Q37" s="166">
        <v>611.34418930506308</v>
      </c>
      <c r="R37" s="166"/>
      <c r="S37" s="127">
        <f>SUM(F37:R37)</f>
        <v>7095.5033570099868</v>
      </c>
      <c r="T37" s="166"/>
      <c r="U37" s="182"/>
      <c r="V37" s="166"/>
      <c r="W37" s="166"/>
      <c r="X37" s="166"/>
      <c r="Y37" s="166"/>
    </row>
    <row r="38" spans="1:25" s="144" customFormat="1" outlineLevel="1">
      <c r="A38" s="130" t="str">
        <f>+A35</f>
        <v>C</v>
      </c>
      <c r="B38" s="133" t="s">
        <v>117</v>
      </c>
      <c r="C38" s="134" t="s">
        <v>120</v>
      </c>
      <c r="D38" s="149"/>
      <c r="E38" s="139" t="str">
        <f>"Total "&amp;E32&amp;" Recycling"</f>
        <v>Total Commercial Recycling</v>
      </c>
      <c r="F38" s="183">
        <v>11.56</v>
      </c>
      <c r="G38" s="183">
        <v>6.98</v>
      </c>
      <c r="H38" s="183">
        <v>0</v>
      </c>
      <c r="I38" s="183">
        <v>0</v>
      </c>
      <c r="J38" s="183">
        <v>7.86</v>
      </c>
      <c r="K38" s="183">
        <v>6.81</v>
      </c>
      <c r="L38" s="183">
        <v>19.03</v>
      </c>
      <c r="M38" s="183">
        <v>19.34</v>
      </c>
      <c r="N38" s="183">
        <v>0</v>
      </c>
      <c r="O38" s="183">
        <v>17.03</v>
      </c>
      <c r="P38" s="183">
        <v>0</v>
      </c>
      <c r="Q38" s="183">
        <v>0</v>
      </c>
      <c r="R38" s="183"/>
      <c r="S38" s="132">
        <f>SUM(F38:Q38)-SUM(S36:S37)</f>
        <v>-7702.5038746710979</v>
      </c>
      <c r="T38" s="169"/>
      <c r="U38" s="185"/>
      <c r="V38" s="166"/>
      <c r="W38" s="169"/>
      <c r="X38" s="169"/>
      <c r="Y38" s="169"/>
    </row>
    <row r="39" spans="1:25" outlineLevel="1">
      <c r="A39" s="135"/>
      <c r="B39" s="135"/>
      <c r="C39" s="135"/>
      <c r="D39" s="135"/>
      <c r="E39" s="150" t="str">
        <f>"Total "&amp;E32&amp;" per Disposal Report"</f>
        <v>Total Commercial per Disposal Report</v>
      </c>
      <c r="F39" s="186">
        <v>4363.91</v>
      </c>
      <c r="G39" s="186">
        <v>3631.5899999999997</v>
      </c>
      <c r="H39" s="186">
        <v>4398.6499999999996</v>
      </c>
      <c r="I39" s="186">
        <v>3894.81</v>
      </c>
      <c r="J39" s="186">
        <v>4270.5700000000006</v>
      </c>
      <c r="K39" s="186">
        <v>4244.1299999999992</v>
      </c>
      <c r="L39" s="186">
        <v>3730.79</v>
      </c>
      <c r="M39" s="186">
        <v>4077.9099999999994</v>
      </c>
      <c r="N39" s="186">
        <v>3881.1199999999994</v>
      </c>
      <c r="O39" s="186">
        <v>3855.56</v>
      </c>
      <c r="P39" s="186">
        <v>4071.25</v>
      </c>
      <c r="Q39" s="186">
        <v>3895.45</v>
      </c>
      <c r="R39" s="186"/>
      <c r="S39" s="151">
        <f>SUM(F39:R39)</f>
        <v>48315.739999999991</v>
      </c>
      <c r="T39" s="166"/>
      <c r="U39" s="187"/>
      <c r="V39" s="166"/>
      <c r="W39" s="166"/>
      <c r="X39" s="166"/>
      <c r="Y39" s="166"/>
    </row>
    <row r="40" spans="1:25">
      <c r="C40" s="118"/>
      <c r="D40" s="118"/>
      <c r="E40" s="116" t="str">
        <f>"Total "&amp;E32</f>
        <v>Total Commercial</v>
      </c>
      <c r="F40" s="167">
        <f>SUM(F33:F34,F36:F37)</f>
        <v>4490.4432520024993</v>
      </c>
      <c r="G40" s="167">
        <f t="shared" ref="G40:Q40" si="9">SUM(G33:G34,G36:G37)</f>
        <v>3704.7783866641275</v>
      </c>
      <c r="H40" s="167">
        <f t="shared" si="9"/>
        <v>4461.1737442035019</v>
      </c>
      <c r="I40" s="167">
        <f t="shared" si="9"/>
        <v>3987.0215302695697</v>
      </c>
      <c r="J40" s="167">
        <f t="shared" si="9"/>
        <v>4355.8053198879861</v>
      </c>
      <c r="K40" s="167">
        <f t="shared" si="9"/>
        <v>4317.0500324705445</v>
      </c>
      <c r="L40" s="167">
        <f t="shared" si="9"/>
        <v>3813.0364945710212</v>
      </c>
      <c r="M40" s="167">
        <f t="shared" si="9"/>
        <v>4139.5499392781339</v>
      </c>
      <c r="N40" s="167">
        <f t="shared" si="9"/>
        <v>3948.586623245506</v>
      </c>
      <c r="O40" s="167">
        <f t="shared" si="9"/>
        <v>3919.1878193939756</v>
      </c>
      <c r="P40" s="167">
        <f t="shared" si="9"/>
        <v>4139.0060959658431</v>
      </c>
      <c r="Q40" s="167">
        <f t="shared" si="9"/>
        <v>3953.4877693763297</v>
      </c>
      <c r="R40" s="167"/>
      <c r="S40" s="127">
        <f>SUM(S33:S34,S36:S37)</f>
        <v>49229.127007329036</v>
      </c>
      <c r="T40" s="166"/>
      <c r="U40" s="188"/>
      <c r="V40" s="166"/>
      <c r="W40" s="166"/>
      <c r="X40" s="166"/>
      <c r="Y40" s="166"/>
    </row>
    <row r="41" spans="1:25">
      <c r="C41" s="118"/>
      <c r="D41" s="118"/>
      <c r="E41" s="176" t="s">
        <v>121</v>
      </c>
      <c r="F41" s="177">
        <f t="shared" ref="F41:Q41" si="10">+F40/SUM(F10:F11)-1</f>
        <v>2.3871231146896044E-2</v>
      </c>
      <c r="G41" s="177">
        <f t="shared" si="10"/>
        <v>9.2591476668857364E-3</v>
      </c>
      <c r="H41" s="177">
        <f t="shared" si="10"/>
        <v>1.2543094208347982E-2</v>
      </c>
      <c r="I41" s="177">
        <f t="shared" si="10"/>
        <v>1.8653894668018145E-2</v>
      </c>
      <c r="J41" s="177">
        <f t="shared" si="10"/>
        <v>1.3649819040058242E-2</v>
      </c>
      <c r="K41" s="177">
        <f t="shared" si="10"/>
        <v>1.0571440854175496E-2</v>
      </c>
      <c r="L41" s="177">
        <f t="shared" si="10"/>
        <v>4.4271539319329367E-3</v>
      </c>
      <c r="M41" s="177">
        <f t="shared" si="10"/>
        <v>4.9963799877481563E-3</v>
      </c>
      <c r="N41" s="177">
        <f t="shared" si="10"/>
        <v>5.9170683059657225E-3</v>
      </c>
      <c r="O41" s="177">
        <f t="shared" si="10"/>
        <v>2.3569922587968417E-2</v>
      </c>
      <c r="P41" s="177">
        <f t="shared" si="10"/>
        <v>1.514152753333553E-2</v>
      </c>
      <c r="Q41" s="177">
        <f t="shared" si="10"/>
        <v>1.8451919795234639E-2</v>
      </c>
      <c r="R41" s="166"/>
      <c r="S41" s="178">
        <f>+S40/SUM(S10:S11)-1</f>
        <v>1.3484482528642872E-2</v>
      </c>
      <c r="T41" s="166"/>
      <c r="U41" s="166"/>
      <c r="V41" s="166"/>
      <c r="W41" s="166"/>
      <c r="X41" s="166"/>
      <c r="Y41" s="166"/>
    </row>
    <row r="42" spans="1:25">
      <c r="C42" s="118"/>
      <c r="D42" s="118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79"/>
      <c r="T42" s="166"/>
      <c r="U42" s="166"/>
      <c r="V42" s="166"/>
      <c r="W42" s="166"/>
      <c r="X42" s="166"/>
      <c r="Y42" s="166"/>
    </row>
    <row r="43" spans="1:25">
      <c r="C43" s="118"/>
      <c r="D43" s="118"/>
      <c r="E43" s="117" t="s">
        <v>13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27"/>
      <c r="T43" s="166"/>
      <c r="U43" s="180"/>
      <c r="V43" s="166"/>
      <c r="W43" s="166"/>
      <c r="X43" s="166"/>
      <c r="Y43" s="166"/>
    </row>
    <row r="44" spans="1:25">
      <c r="C44" s="118"/>
      <c r="D44" s="147" t="s">
        <v>113</v>
      </c>
      <c r="E44" s="116" t="s">
        <v>114</v>
      </c>
      <c r="F44" s="166">
        <v>1651.1473652922029</v>
      </c>
      <c r="G44" s="166">
        <v>1329.6670725790098</v>
      </c>
      <c r="H44" s="166">
        <v>1560.9661305432112</v>
      </c>
      <c r="I44" s="166">
        <v>1453.2990107345427</v>
      </c>
      <c r="J44" s="166">
        <v>1568.3998728960153</v>
      </c>
      <c r="K44" s="166">
        <v>1735.674660844968</v>
      </c>
      <c r="L44" s="166">
        <v>1536.8544106305426</v>
      </c>
      <c r="M44" s="166">
        <v>1601.9866325901444</v>
      </c>
      <c r="N44" s="166">
        <v>1600.6479658026806</v>
      </c>
      <c r="O44" s="166">
        <v>1498.5118170102687</v>
      </c>
      <c r="P44" s="166">
        <v>1525.4741035447507</v>
      </c>
      <c r="Q44" s="166">
        <v>1473.0772672371172</v>
      </c>
      <c r="R44" s="166"/>
      <c r="S44" s="127">
        <f>SUM(F44:R44)</f>
        <v>18535.706309705452</v>
      </c>
      <c r="T44" s="166"/>
      <c r="U44" s="152"/>
      <c r="V44" s="166"/>
      <c r="W44" s="166"/>
      <c r="X44" s="166"/>
      <c r="Y44" s="166"/>
    </row>
    <row r="45" spans="1:25">
      <c r="D45" s="147" t="s">
        <v>115</v>
      </c>
      <c r="E45" s="116" t="s">
        <v>116</v>
      </c>
      <c r="F45" s="166">
        <v>2198.1985600460443</v>
      </c>
      <c r="G45" s="166">
        <v>1685.6369086759412</v>
      </c>
      <c r="H45" s="166">
        <v>1987.9161325102925</v>
      </c>
      <c r="I45" s="166">
        <v>1879.3616322058183</v>
      </c>
      <c r="J45" s="166">
        <v>1970.1482603743134</v>
      </c>
      <c r="K45" s="166">
        <v>2112.4558662133559</v>
      </c>
      <c r="L45" s="166">
        <v>1972.773718093456</v>
      </c>
      <c r="M45" s="166">
        <v>2065.1557365382796</v>
      </c>
      <c r="N45" s="166">
        <v>1985.0180006975461</v>
      </c>
      <c r="O45" s="166">
        <v>1759.646723145732</v>
      </c>
      <c r="P45" s="166">
        <v>1996.9488775709108</v>
      </c>
      <c r="Q45" s="166">
        <v>1830.3070546112485</v>
      </c>
      <c r="R45" s="166"/>
      <c r="S45" s="127">
        <f>SUM(F45:R45)</f>
        <v>23443.567470682938</v>
      </c>
      <c r="T45" s="166"/>
      <c r="U45" s="182"/>
      <c r="V45" s="166"/>
      <c r="W45" s="166"/>
      <c r="X45" s="166"/>
      <c r="Y45" s="166"/>
    </row>
    <row r="46" spans="1:25" s="144" customFormat="1" outlineLevel="1">
      <c r="A46" s="129" t="s">
        <v>113</v>
      </c>
      <c r="B46" s="129" t="s">
        <v>112</v>
      </c>
      <c r="C46" s="131"/>
      <c r="D46" s="149"/>
      <c r="E46" s="139" t="str">
        <f>"Total "&amp;E43&amp;" "&amp;B46</f>
        <v>Total Residential MSW</v>
      </c>
      <c r="F46" s="183">
        <v>3965.8500000000004</v>
      </c>
      <c r="G46" s="183">
        <v>3105.23</v>
      </c>
      <c r="H46" s="183">
        <v>3620.1600000000003</v>
      </c>
      <c r="I46" s="183">
        <v>3357.1</v>
      </c>
      <c r="J46" s="183">
        <v>3571.77</v>
      </c>
      <c r="K46" s="183">
        <v>3768.21</v>
      </c>
      <c r="L46" s="183">
        <v>3545.2899999999986</v>
      </c>
      <c r="M46" s="183">
        <v>3726.1400000000003</v>
      </c>
      <c r="N46" s="183">
        <v>3638.79</v>
      </c>
      <c r="O46" s="183">
        <v>3309.4999999999995</v>
      </c>
      <c r="P46" s="183">
        <v>3556.38</v>
      </c>
      <c r="Q46" s="183">
        <v>3356.6000000000004</v>
      </c>
      <c r="R46" s="183"/>
      <c r="S46" s="132">
        <f>SUM(F46:Q46)-SUM(S44:S45)</f>
        <v>541.74621961159573</v>
      </c>
      <c r="T46" s="169"/>
      <c r="U46" s="184"/>
      <c r="V46" s="169"/>
      <c r="W46" s="169"/>
      <c r="X46" s="169"/>
      <c r="Y46" s="169"/>
    </row>
    <row r="47" spans="1:25">
      <c r="C47" s="118"/>
      <c r="D47" s="147" t="s">
        <v>113</v>
      </c>
      <c r="E47" s="116" t="s">
        <v>125</v>
      </c>
      <c r="F47" s="166">
        <v>393.16922643217589</v>
      </c>
      <c r="G47" s="166">
        <v>468.92452210471674</v>
      </c>
      <c r="H47" s="166">
        <v>589.22755203144015</v>
      </c>
      <c r="I47" s="166">
        <v>696.81221945100185</v>
      </c>
      <c r="J47" s="166">
        <v>1011.951379964793</v>
      </c>
      <c r="K47" s="166">
        <v>1013.7455905369292</v>
      </c>
      <c r="L47" s="166">
        <v>766.1131595933075</v>
      </c>
      <c r="M47" s="166">
        <v>564.17436472629265</v>
      </c>
      <c r="N47" s="166">
        <v>493.07911352062041</v>
      </c>
      <c r="O47" s="166">
        <v>438.993644342815</v>
      </c>
      <c r="P47" s="166">
        <v>620.99297997654389</v>
      </c>
      <c r="Q47" s="166">
        <v>507.44182758823825</v>
      </c>
      <c r="R47" s="166"/>
      <c r="S47" s="127">
        <f>SUM(F47:R47)</f>
        <v>7564.6255802688747</v>
      </c>
      <c r="T47" s="166"/>
      <c r="U47" s="181"/>
      <c r="V47" s="166"/>
      <c r="W47" s="166"/>
      <c r="X47" s="166"/>
      <c r="Y47" s="166"/>
    </row>
    <row r="48" spans="1:25">
      <c r="D48" s="147" t="s">
        <v>115</v>
      </c>
      <c r="E48" s="116" t="s">
        <v>126</v>
      </c>
      <c r="F48" s="166">
        <v>609.76274500524426</v>
      </c>
      <c r="G48" s="166">
        <v>764.71292132558699</v>
      </c>
      <c r="H48" s="166">
        <v>932.48612504595758</v>
      </c>
      <c r="I48" s="166">
        <v>1427.3016201988094</v>
      </c>
      <c r="J48" s="166">
        <v>1890.1335255121624</v>
      </c>
      <c r="K48" s="166">
        <v>2052.7063855163524</v>
      </c>
      <c r="L48" s="166">
        <v>1472.1427091586131</v>
      </c>
      <c r="M48" s="166">
        <v>1003.1814465828052</v>
      </c>
      <c r="N48" s="166">
        <v>944.2002698638554</v>
      </c>
      <c r="O48" s="166">
        <v>851.05192635205481</v>
      </c>
      <c r="P48" s="166">
        <v>1244.2130236605567</v>
      </c>
      <c r="Q48" s="166">
        <v>623.82807110336671</v>
      </c>
      <c r="R48" s="166"/>
      <c r="S48" s="127">
        <f>SUM(F48:R48)</f>
        <v>13815.720769325366</v>
      </c>
      <c r="T48" s="166"/>
      <c r="U48" s="182"/>
      <c r="V48" s="166"/>
      <c r="W48" s="166"/>
      <c r="X48" s="166"/>
      <c r="Y48" s="166"/>
    </row>
    <row r="49" spans="1:25" s="144" customFormat="1" outlineLevel="1">
      <c r="A49" s="130" t="str">
        <f>+A46</f>
        <v>R</v>
      </c>
      <c r="B49" s="130" t="s">
        <v>120</v>
      </c>
      <c r="C49" s="131"/>
      <c r="D49" s="149"/>
      <c r="E49" s="139" t="str">
        <f>"Total "&amp;E43&amp;" "&amp;B49</f>
        <v>Total Residential YW</v>
      </c>
      <c r="F49" s="183">
        <v>875.4</v>
      </c>
      <c r="G49" s="183">
        <v>1170.72</v>
      </c>
      <c r="H49" s="183">
        <v>1489.9900000000002</v>
      </c>
      <c r="I49" s="183">
        <v>2142.6499999999996</v>
      </c>
      <c r="J49" s="183">
        <v>2936.36</v>
      </c>
      <c r="K49" s="183">
        <v>3186.13</v>
      </c>
      <c r="L49" s="183">
        <v>2236.36</v>
      </c>
      <c r="M49" s="183">
        <v>1522.5400000000002</v>
      </c>
      <c r="N49" s="183">
        <v>1420.0200000000002</v>
      </c>
      <c r="O49" s="183">
        <v>1302.23</v>
      </c>
      <c r="P49" s="183">
        <v>1857.6899999999998</v>
      </c>
      <c r="Q49" s="183">
        <v>1103.03</v>
      </c>
      <c r="R49" s="183"/>
      <c r="S49" s="132">
        <f>SUM(F49:Q49)-SUM(S47:S48)</f>
        <v>-137.22634959424249</v>
      </c>
      <c r="T49" s="169"/>
      <c r="U49" s="184"/>
      <c r="V49" s="169"/>
      <c r="W49" s="169"/>
      <c r="X49" s="169"/>
      <c r="Y49" s="169"/>
    </row>
    <row r="50" spans="1:25">
      <c r="C50" s="118"/>
      <c r="D50" s="147" t="s">
        <v>113</v>
      </c>
      <c r="E50" s="116" t="s">
        <v>127</v>
      </c>
      <c r="F50" s="166">
        <v>734.90579364713699</v>
      </c>
      <c r="G50" s="166">
        <v>546.71794145393585</v>
      </c>
      <c r="H50" s="166">
        <v>637.21305036446756</v>
      </c>
      <c r="I50" s="166">
        <v>560.46878614342984</v>
      </c>
      <c r="J50" s="166">
        <v>583.84869526294756</v>
      </c>
      <c r="K50" s="166">
        <v>627.32759106167953</v>
      </c>
      <c r="L50" s="166">
        <v>613.85625581557326</v>
      </c>
      <c r="M50" s="166">
        <v>540.54246331746947</v>
      </c>
      <c r="N50" s="166">
        <v>541.01554316043052</v>
      </c>
      <c r="O50" s="166">
        <v>580.0637972246567</v>
      </c>
      <c r="P50" s="166">
        <v>608.48723040881384</v>
      </c>
      <c r="Q50" s="166">
        <v>365.74447928451923</v>
      </c>
      <c r="R50" s="166"/>
      <c r="S50" s="127">
        <f>SUM(F50:R50)</f>
        <v>6940.1916271450609</v>
      </c>
      <c r="T50" s="166"/>
      <c r="U50" s="181"/>
      <c r="V50" s="166"/>
      <c r="W50" s="166"/>
      <c r="X50" s="166"/>
      <c r="Y50" s="166"/>
    </row>
    <row r="51" spans="1:25">
      <c r="D51" s="147" t="s">
        <v>115</v>
      </c>
      <c r="E51" s="116" t="s">
        <v>128</v>
      </c>
      <c r="F51" s="166">
        <v>925.26528204052852</v>
      </c>
      <c r="G51" s="166">
        <v>746.39259097348759</v>
      </c>
      <c r="H51" s="166">
        <v>887.63465925833589</v>
      </c>
      <c r="I51" s="166">
        <v>772.22644625757471</v>
      </c>
      <c r="J51" s="166">
        <v>763.1709180543794</v>
      </c>
      <c r="K51" s="166">
        <v>784.73870065482402</v>
      </c>
      <c r="L51" s="166">
        <v>758.1666416883711</v>
      </c>
      <c r="M51" s="166">
        <v>815.14127653299852</v>
      </c>
      <c r="N51" s="166">
        <v>792.64501974624454</v>
      </c>
      <c r="O51" s="166">
        <v>740.35756527728768</v>
      </c>
      <c r="P51" s="166">
        <v>769.75898325720868</v>
      </c>
      <c r="Q51" s="166">
        <v>897.93856590848861</v>
      </c>
      <c r="R51" s="166"/>
      <c r="S51" s="127">
        <f>SUM(F51:R51)</f>
        <v>9653.4366496497314</v>
      </c>
      <c r="T51" s="166"/>
      <c r="U51" s="182"/>
      <c r="V51" s="166"/>
      <c r="W51" s="166"/>
      <c r="X51" s="166"/>
      <c r="Y51" s="166"/>
    </row>
    <row r="52" spans="1:25" s="144" customFormat="1" outlineLevel="1">
      <c r="A52" s="130" t="str">
        <f>+A49</f>
        <v>R</v>
      </c>
      <c r="B52" s="130" t="s">
        <v>117</v>
      </c>
      <c r="C52" s="131"/>
      <c r="D52" s="149"/>
      <c r="E52" s="139" t="str">
        <f>"Total "&amp;E43&amp;" "&amp;B50</f>
        <v xml:space="preserve">Total Residential </v>
      </c>
      <c r="F52" s="183">
        <v>5.34</v>
      </c>
      <c r="G52" s="183">
        <v>2.27</v>
      </c>
      <c r="H52" s="183">
        <v>0</v>
      </c>
      <c r="I52" s="183">
        <v>0</v>
      </c>
      <c r="J52" s="183">
        <v>3.03</v>
      </c>
      <c r="K52" s="183">
        <v>0</v>
      </c>
      <c r="L52" s="183">
        <v>0</v>
      </c>
      <c r="M52" s="183">
        <v>0</v>
      </c>
      <c r="N52" s="183">
        <v>1.21</v>
      </c>
      <c r="O52" s="183">
        <v>1.36</v>
      </c>
      <c r="P52" s="183">
        <v>4.37</v>
      </c>
      <c r="Q52" s="183">
        <v>4.66</v>
      </c>
      <c r="R52" s="183"/>
      <c r="S52" s="132">
        <f>SUM(F52:Q52)-SUM(S50:S51)</f>
        <v>-16571.388276794791</v>
      </c>
      <c r="T52" s="169"/>
      <c r="U52" s="185"/>
      <c r="V52" s="169"/>
      <c r="W52" s="169"/>
      <c r="X52" s="169"/>
      <c r="Y52" s="169"/>
    </row>
    <row r="53" spans="1:25" outlineLevel="1">
      <c r="A53" s="135"/>
      <c r="B53" s="135"/>
      <c r="C53" s="135"/>
      <c r="D53" s="135"/>
      <c r="E53" s="150" t="str">
        <f>"Total "&amp;E43&amp;" per Disposal Report"</f>
        <v>Total Residential per Disposal Report</v>
      </c>
      <c r="F53" s="186">
        <v>6602.9300000000039</v>
      </c>
      <c r="G53" s="186">
        <v>5595.4399999999987</v>
      </c>
      <c r="H53" s="186">
        <v>6663.8400000000011</v>
      </c>
      <c r="I53" s="186">
        <v>6862.4299999999985</v>
      </c>
      <c r="J53" s="186">
        <v>7865.09</v>
      </c>
      <c r="K53" s="186">
        <v>8370.51</v>
      </c>
      <c r="L53" s="186">
        <v>7160.949999999998</v>
      </c>
      <c r="M53" s="186">
        <v>6662.97</v>
      </c>
      <c r="N53" s="186">
        <v>6419.91</v>
      </c>
      <c r="O53" s="186">
        <v>5932.4299999999994</v>
      </c>
      <c r="P53" s="186">
        <v>6826.26</v>
      </c>
      <c r="Q53" s="186">
        <v>5756.2100000000009</v>
      </c>
      <c r="R53" s="186"/>
      <c r="S53" s="151">
        <f>SUM(F53:R53)</f>
        <v>80718.969999999987</v>
      </c>
      <c r="T53" s="166"/>
      <c r="U53" s="187"/>
      <c r="V53" s="166"/>
      <c r="W53" s="166"/>
      <c r="X53" s="166"/>
      <c r="Y53" s="166"/>
    </row>
    <row r="54" spans="1:25">
      <c r="C54" s="118"/>
      <c r="D54" s="118"/>
      <c r="E54" s="116" t="str">
        <f>"Total "&amp;E43</f>
        <v>Total Residential</v>
      </c>
      <c r="F54" s="167">
        <f>SUM(F44:F45,F47:F48,F50:F51)</f>
        <v>6512.4489724633322</v>
      </c>
      <c r="G54" s="167">
        <f t="shared" ref="G54:Q54" si="11">SUM(G44:G45,G47:G48,G50:G51)</f>
        <v>5542.0519571126788</v>
      </c>
      <c r="H54" s="167">
        <f t="shared" si="11"/>
        <v>6595.4436497537044</v>
      </c>
      <c r="I54" s="167">
        <f t="shared" si="11"/>
        <v>6789.4697149911763</v>
      </c>
      <c r="J54" s="167">
        <f t="shared" si="11"/>
        <v>7787.6526520646103</v>
      </c>
      <c r="K54" s="167">
        <f t="shared" si="11"/>
        <v>8326.6487948281083</v>
      </c>
      <c r="L54" s="167">
        <f t="shared" si="11"/>
        <v>7119.906894979863</v>
      </c>
      <c r="M54" s="167">
        <f t="shared" si="11"/>
        <v>6590.1819202879906</v>
      </c>
      <c r="N54" s="167">
        <f t="shared" si="11"/>
        <v>6356.6059127913777</v>
      </c>
      <c r="O54" s="167">
        <f t="shared" si="11"/>
        <v>5868.6254733528149</v>
      </c>
      <c r="P54" s="167">
        <f t="shared" si="11"/>
        <v>6765.8751984187847</v>
      </c>
      <c r="Q54" s="167">
        <f t="shared" si="11"/>
        <v>5698.3372657329783</v>
      </c>
      <c r="R54" s="167"/>
      <c r="S54" s="127">
        <f>SUM(S44:S45,S47:S48,S50:S51)</f>
        <v>79953.24840677742</v>
      </c>
      <c r="T54" s="166"/>
      <c r="U54" s="188"/>
      <c r="V54" s="166"/>
      <c r="W54" s="166"/>
      <c r="X54" s="166"/>
      <c r="Y54" s="166"/>
    </row>
    <row r="55" spans="1:25">
      <c r="C55" s="118"/>
      <c r="D55" s="118"/>
      <c r="E55" s="176" t="s">
        <v>121</v>
      </c>
      <c r="F55" s="177">
        <f>+F54/SUM(F12:F14)-1</f>
        <v>-1.2111273553904178E-2</v>
      </c>
      <c r="G55" s="177">
        <f t="shared" ref="G55:S55" si="12">+G54/SUM(G12:G14)-1</f>
        <v>-1.134887406631524E-2</v>
      </c>
      <c r="H55" s="177">
        <f t="shared" si="12"/>
        <v>-1.0274200919024312E-2</v>
      </c>
      <c r="I55" s="177">
        <f t="shared" si="12"/>
        <v>-7.2858750177391407E-3</v>
      </c>
      <c r="J55" s="177">
        <f t="shared" si="12"/>
        <v>-8.0964930208796693E-3</v>
      </c>
      <c r="K55" s="177">
        <f t="shared" si="12"/>
        <v>-6.447114693782896E-3</v>
      </c>
      <c r="L55" s="177">
        <f t="shared" si="12"/>
        <v>5.1283242343367341E-3</v>
      </c>
      <c r="M55" s="177">
        <f t="shared" si="12"/>
        <v>1.1533333061897189E-3</v>
      </c>
      <c r="N55" s="177">
        <f t="shared" si="12"/>
        <v>-2.8853470131172676E-3</v>
      </c>
      <c r="O55" s="177">
        <f t="shared" si="12"/>
        <v>-1.1669831632488359E-2</v>
      </c>
      <c r="P55" s="177">
        <f t="shared" si="12"/>
        <v>-7.0495209917968982E-3</v>
      </c>
      <c r="Q55" s="177">
        <f t="shared" si="12"/>
        <v>-1.0950880990834078E-2</v>
      </c>
      <c r="R55" s="166"/>
      <c r="S55" s="177">
        <f t="shared" si="12"/>
        <v>-6.6376964525245441E-3</v>
      </c>
      <c r="T55" s="166"/>
      <c r="U55" s="166"/>
      <c r="V55" s="166"/>
      <c r="W55" s="166"/>
      <c r="X55" s="166"/>
      <c r="Y55" s="166"/>
    </row>
    <row r="56" spans="1:25">
      <c r="C56" s="118"/>
      <c r="D56" s="118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27"/>
      <c r="T56" s="166"/>
      <c r="U56" s="166"/>
      <c r="V56" s="166"/>
      <c r="W56" s="166"/>
      <c r="X56" s="166"/>
      <c r="Y56" s="166"/>
    </row>
    <row r="57" spans="1:25">
      <c r="C57" s="118"/>
      <c r="D57" s="118"/>
      <c r="E57" s="140" t="s">
        <v>129</v>
      </c>
      <c r="F57" s="166">
        <f t="shared" ref="F57:Q57" si="13">SUM(F18:F19,F33:F34,F44:F45)</f>
        <v>10533.995970504378</v>
      </c>
      <c r="G57" s="166">
        <f t="shared" si="13"/>
        <v>8803.8828367812403</v>
      </c>
      <c r="H57" s="166">
        <f t="shared" si="13"/>
        <v>10444.065980968369</v>
      </c>
      <c r="I57" s="166">
        <f t="shared" si="13"/>
        <v>9402.9434050352556</v>
      </c>
      <c r="J57" s="166">
        <f t="shared" si="13"/>
        <v>10019.857563868529</v>
      </c>
      <c r="K57" s="166">
        <f t="shared" si="13"/>
        <v>10510.747014498516</v>
      </c>
      <c r="L57" s="166">
        <f t="shared" si="13"/>
        <v>9421.1190203967999</v>
      </c>
      <c r="M57" s="166">
        <f t="shared" si="13"/>
        <v>10176.333993393981</v>
      </c>
      <c r="N57" s="166">
        <f t="shared" si="13"/>
        <v>9699.7096154639476</v>
      </c>
      <c r="O57" s="166">
        <f t="shared" si="13"/>
        <v>9266.037945203745</v>
      </c>
      <c r="P57" s="166">
        <f t="shared" si="13"/>
        <v>9655.8160462668784</v>
      </c>
      <c r="Q57" s="166">
        <f t="shared" si="13"/>
        <v>9190.5475206646897</v>
      </c>
      <c r="R57" s="166"/>
      <c r="S57" s="127">
        <f>SUM(F57:R57)</f>
        <v>117125.05691304634</v>
      </c>
      <c r="T57" s="166"/>
      <c r="U57" s="166"/>
      <c r="V57" s="166"/>
      <c r="W57" s="166"/>
      <c r="X57" s="166"/>
      <c r="Y57" s="166"/>
    </row>
    <row r="58" spans="1:25" outlineLevel="1">
      <c r="C58" s="118"/>
      <c r="D58" s="118"/>
      <c r="E58" s="189" t="s">
        <v>121</v>
      </c>
      <c r="F58" s="177">
        <f t="shared" ref="F58:Q58" si="14">+F57/SUM(F8,F10,F12)-1</f>
        <v>-2.1766859251533544E-2</v>
      </c>
      <c r="G58" s="177">
        <f t="shared" si="14"/>
        <v>-1.0157952202580645E-2</v>
      </c>
      <c r="H58" s="177">
        <f t="shared" si="14"/>
        <v>-6.9754701511329786E-3</v>
      </c>
      <c r="I58" s="177">
        <f t="shared" si="14"/>
        <v>-9.2153602076816554E-5</v>
      </c>
      <c r="J58" s="177">
        <f t="shared" si="14"/>
        <v>-9.6343787106705103E-2</v>
      </c>
      <c r="K58" s="177">
        <f t="shared" si="14"/>
        <v>5.0042993627632537E-3</v>
      </c>
      <c r="L58" s="177">
        <f t="shared" si="14"/>
        <v>-8.6705746505714165E-3</v>
      </c>
      <c r="M58" s="177">
        <f t="shared" si="14"/>
        <v>-8.700472605828069E-3</v>
      </c>
      <c r="N58" s="177">
        <f t="shared" si="14"/>
        <v>-5.0161391763597907E-3</v>
      </c>
      <c r="O58" s="177">
        <f t="shared" si="14"/>
        <v>-5.5925322940986177E-3</v>
      </c>
      <c r="P58" s="177">
        <f t="shared" si="14"/>
        <v>-4.9469130438447584E-3</v>
      </c>
      <c r="Q58" s="177">
        <f t="shared" si="14"/>
        <v>-5.9920807851341351E-3</v>
      </c>
      <c r="R58" s="177"/>
      <c r="S58" s="177">
        <f>+S57/SUM(S8,S10,S12)-1</f>
        <v>-1.5061401163960597E-2</v>
      </c>
      <c r="T58" s="166"/>
      <c r="U58" s="166"/>
      <c r="V58" s="166"/>
      <c r="W58" s="166"/>
      <c r="X58" s="166"/>
      <c r="Y58" s="166"/>
    </row>
    <row r="59" spans="1:25">
      <c r="C59" s="118"/>
      <c r="D59" s="118"/>
      <c r="E59" s="140" t="s">
        <v>130</v>
      </c>
      <c r="F59" s="166">
        <f t="shared" ref="F59:Q59" si="15">SUM(F21:F22,F36:F37,F50:F51)</f>
        <v>4599.3842825240336</v>
      </c>
      <c r="G59" s="166">
        <f t="shared" si="15"/>
        <v>3948.0100635652602</v>
      </c>
      <c r="H59" s="166">
        <f t="shared" si="15"/>
        <v>4633.1177359114399</v>
      </c>
      <c r="I59" s="166">
        <f t="shared" si="15"/>
        <v>3976.3940005756785</v>
      </c>
      <c r="J59" s="166">
        <f t="shared" si="15"/>
        <v>4305.5355026071129</v>
      </c>
      <c r="K59" s="166">
        <f t="shared" si="15"/>
        <v>4497.329836746856</v>
      </c>
      <c r="L59" s="166">
        <f t="shared" si="15"/>
        <v>3970.1885004021633</v>
      </c>
      <c r="M59" s="166">
        <f t="shared" si="15"/>
        <v>4045.6120548630442</v>
      </c>
      <c r="N59" s="166">
        <f t="shared" si="15"/>
        <v>3851.7585371884588</v>
      </c>
      <c r="O59" s="166">
        <f t="shared" si="15"/>
        <v>3783.2797768481751</v>
      </c>
      <c r="P59" s="166">
        <f t="shared" si="15"/>
        <v>3873.3492444806488</v>
      </c>
      <c r="Q59" s="166">
        <f t="shared" si="15"/>
        <v>3819.7476157530132</v>
      </c>
      <c r="R59" s="166"/>
      <c r="S59" s="127">
        <f>SUM(F59:R59)</f>
        <v>49303.707151465875</v>
      </c>
      <c r="T59" s="166"/>
      <c r="U59" s="166"/>
      <c r="V59" s="166"/>
      <c r="W59" s="166"/>
      <c r="X59" s="166"/>
      <c r="Y59" s="166"/>
    </row>
    <row r="60" spans="1:25">
      <c r="C60" s="118"/>
      <c r="D60" s="118"/>
      <c r="E60" s="140" t="s">
        <v>131</v>
      </c>
      <c r="F60" s="166">
        <f>SUM(F47:F48)</f>
        <v>1002.9319714374201</v>
      </c>
      <c r="G60" s="166">
        <f t="shared" ref="G60:Q60" si="16">SUM(G47:G48)</f>
        <v>1233.6374434303038</v>
      </c>
      <c r="H60" s="166">
        <f t="shared" si="16"/>
        <v>1521.7136770773977</v>
      </c>
      <c r="I60" s="166">
        <f t="shared" si="16"/>
        <v>2124.1138396498113</v>
      </c>
      <c r="J60" s="166">
        <f t="shared" si="16"/>
        <v>2902.0849054769551</v>
      </c>
      <c r="K60" s="166">
        <f t="shared" si="16"/>
        <v>3066.4519760532817</v>
      </c>
      <c r="L60" s="166">
        <f t="shared" si="16"/>
        <v>2238.2558687519204</v>
      </c>
      <c r="M60" s="166">
        <f t="shared" si="16"/>
        <v>1567.3558113090978</v>
      </c>
      <c r="N60" s="166">
        <f t="shared" si="16"/>
        <v>1437.2793833844758</v>
      </c>
      <c r="O60" s="166">
        <f t="shared" si="16"/>
        <v>1290.0455706948699</v>
      </c>
      <c r="P60" s="166">
        <f t="shared" si="16"/>
        <v>1865.2060036371006</v>
      </c>
      <c r="Q60" s="166">
        <f t="shared" si="16"/>
        <v>1131.269898691605</v>
      </c>
      <c r="R60" s="166"/>
      <c r="S60" s="127">
        <f>SUM(F60:R60)</f>
        <v>21380.346349594241</v>
      </c>
      <c r="T60" s="166"/>
      <c r="U60" s="190"/>
      <c r="V60" s="166"/>
      <c r="W60" s="166"/>
      <c r="X60" s="166"/>
      <c r="Y60" s="166"/>
    </row>
    <row r="61" spans="1:25" outlineLevel="1">
      <c r="C61" s="118"/>
      <c r="D61" s="118"/>
      <c r="E61" s="189" t="s">
        <v>121</v>
      </c>
      <c r="F61" s="177">
        <f>SUM(F59:F60)/SUM(F9,F11,F13:F14)-1</f>
        <v>0.15737183872937011</v>
      </c>
      <c r="G61" s="177">
        <f t="shared" ref="G61:Q61" si="17">SUM(G59:G60)/SUM(G9,G11,G13:G14)-1</f>
        <v>0.11733398030312903</v>
      </c>
      <c r="H61" s="177">
        <f t="shared" si="17"/>
        <v>9.6092144248045575E-2</v>
      </c>
      <c r="I61" s="177">
        <f t="shared" si="17"/>
        <v>8.1648408464787936E-2</v>
      </c>
      <c r="J61" s="177">
        <f t="shared" si="17"/>
        <v>3.7992169728732206E-2</v>
      </c>
      <c r="K61" s="177">
        <f t="shared" si="17"/>
        <v>9.1886519749531326E-2</v>
      </c>
      <c r="L61" s="177">
        <f t="shared" si="17"/>
        <v>0.12116376869599677</v>
      </c>
      <c r="M61" s="177">
        <f t="shared" si="17"/>
        <v>0.12631717782431551</v>
      </c>
      <c r="N61" s="177">
        <f t="shared" si="17"/>
        <v>5.5595056875376248E-2</v>
      </c>
      <c r="O61" s="177">
        <f t="shared" si="17"/>
        <v>4.9932295308005026E-2</v>
      </c>
      <c r="P61" s="177">
        <f t="shared" si="17"/>
        <v>5.4947413646762699E-2</v>
      </c>
      <c r="Q61" s="177">
        <f t="shared" si="17"/>
        <v>6.1454711878478507E-2</v>
      </c>
      <c r="R61" s="177"/>
      <c r="S61" s="177">
        <f>SUM(S59:S60)/SUM(S9,S11,S13:S14)-1</f>
        <v>8.6245088527587832E-2</v>
      </c>
      <c r="T61" s="166"/>
      <c r="U61" s="166"/>
      <c r="V61" s="166"/>
      <c r="W61" s="166"/>
      <c r="X61" s="166"/>
      <c r="Y61" s="166"/>
    </row>
    <row r="62" spans="1:25">
      <c r="C62" s="118"/>
      <c r="D62" s="118"/>
      <c r="E62" s="141" t="s">
        <v>132</v>
      </c>
      <c r="F62" s="175">
        <f>+F57+F59+F60</f>
        <v>16136.312224465832</v>
      </c>
      <c r="G62" s="175">
        <f t="shared" ref="G62:Q62" si="18">+G57+G59+G60</f>
        <v>13985.530343776803</v>
      </c>
      <c r="H62" s="175">
        <f t="shared" si="18"/>
        <v>16598.897393957206</v>
      </c>
      <c r="I62" s="175">
        <f t="shared" si="18"/>
        <v>15503.451245260747</v>
      </c>
      <c r="J62" s="175">
        <f t="shared" si="18"/>
        <v>17227.477971952598</v>
      </c>
      <c r="K62" s="175">
        <f t="shared" si="18"/>
        <v>18074.528827298655</v>
      </c>
      <c r="L62" s="175">
        <f t="shared" si="18"/>
        <v>15629.563389550884</v>
      </c>
      <c r="M62" s="175">
        <f t="shared" si="18"/>
        <v>15789.301859566123</v>
      </c>
      <c r="N62" s="175">
        <f t="shared" si="18"/>
        <v>14988.747536036883</v>
      </c>
      <c r="O62" s="175">
        <f t="shared" si="18"/>
        <v>14339.363292746792</v>
      </c>
      <c r="P62" s="175">
        <f t="shared" si="18"/>
        <v>15394.371294384628</v>
      </c>
      <c r="Q62" s="175">
        <f t="shared" si="18"/>
        <v>14141.565035109308</v>
      </c>
      <c r="R62" s="175"/>
      <c r="S62" s="137">
        <f>SUM(F62:R62)</f>
        <v>187809.11041410646</v>
      </c>
      <c r="T62" s="166"/>
      <c r="U62" s="166"/>
      <c r="V62" s="166"/>
      <c r="W62" s="166"/>
      <c r="X62" s="166"/>
      <c r="Y62" s="166"/>
    </row>
    <row r="63" spans="1:25">
      <c r="C63" s="118"/>
      <c r="D63" s="118"/>
      <c r="E63" s="189" t="s">
        <v>121</v>
      </c>
      <c r="F63" s="177">
        <f t="shared" ref="F63:Q63" si="19">+F62/F15-1</f>
        <v>3.3786549532885068E-2</v>
      </c>
      <c r="G63" s="177">
        <f t="shared" si="19"/>
        <v>3.3535254429718941E-2</v>
      </c>
      <c r="H63" s="177">
        <f t="shared" si="19"/>
        <v>2.8898942640479097E-2</v>
      </c>
      <c r="I63" s="177">
        <f t="shared" si="19"/>
        <v>3.0552828022453404E-2</v>
      </c>
      <c r="J63" s="177">
        <f t="shared" si="19"/>
        <v>-4.461317129756448E-2</v>
      </c>
      <c r="K63" s="177">
        <f t="shared" si="19"/>
        <v>3.9622219178131024E-2</v>
      </c>
      <c r="L63" s="177">
        <f t="shared" si="19"/>
        <v>3.9129220594805725E-2</v>
      </c>
      <c r="M63" s="177">
        <f t="shared" si="19"/>
        <v>3.5423805410812248E-2</v>
      </c>
      <c r="N63" s="177">
        <f t="shared" si="19"/>
        <v>1.5560413008991913E-2</v>
      </c>
      <c r="O63" s="177">
        <f t="shared" si="19"/>
        <v>1.3368241632400357E-2</v>
      </c>
      <c r="P63" s="177">
        <f t="shared" si="19"/>
        <v>1.6567611565150742E-2</v>
      </c>
      <c r="Q63" s="177">
        <f t="shared" si="19"/>
        <v>1.6623991044728337E-2</v>
      </c>
      <c r="R63" s="166"/>
      <c r="S63" s="177">
        <f>+S62/S15-1</f>
        <v>2.0768147915861235E-2</v>
      </c>
      <c r="T63" s="166"/>
      <c r="U63" s="166"/>
      <c r="V63" s="166"/>
      <c r="W63" s="166"/>
      <c r="X63" s="166"/>
      <c r="Y63" s="166"/>
    </row>
    <row r="64" spans="1:25">
      <c r="C64" s="118"/>
      <c r="D64" s="118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79"/>
      <c r="T64" s="166"/>
      <c r="U64" s="166"/>
      <c r="V64" s="166"/>
      <c r="W64" s="166"/>
      <c r="X64" s="166"/>
      <c r="Y64" s="166"/>
    </row>
    <row r="65" spans="3:25" ht="15" thickBot="1">
      <c r="C65" s="118"/>
      <c r="D65" s="118"/>
      <c r="E65" s="124" t="s">
        <v>133</v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4"/>
    </row>
    <row r="66" spans="3:25">
      <c r="C66" s="118"/>
      <c r="D66" s="118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79"/>
      <c r="T66" s="166"/>
      <c r="U66" s="166"/>
      <c r="V66" s="166"/>
      <c r="W66" s="166"/>
      <c r="X66" s="166"/>
      <c r="Y66" s="166"/>
    </row>
    <row r="67" spans="3:25">
      <c r="C67" s="118"/>
      <c r="D67" s="118"/>
      <c r="E67" s="117" t="str">
        <f>+E17</f>
        <v>Roll-off / Industrial</v>
      </c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79"/>
      <c r="T67" s="166"/>
      <c r="U67" s="166"/>
      <c r="V67" s="166"/>
      <c r="W67" s="166"/>
      <c r="X67" s="166"/>
      <c r="Y67" s="166"/>
    </row>
    <row r="68" spans="3:25">
      <c r="C68" s="118"/>
      <c r="D68" s="118"/>
      <c r="E68" s="116" t="str">
        <f>+E18</f>
        <v>Regulated Garbage</v>
      </c>
      <c r="F68" s="142">
        <v>154.02000000000001</v>
      </c>
      <c r="G68" s="191">
        <f>+F68</f>
        <v>154.02000000000001</v>
      </c>
      <c r="H68" s="191">
        <f t="shared" ref="H68:Q70" si="20">+G68</f>
        <v>154.02000000000001</v>
      </c>
      <c r="I68" s="191">
        <f t="shared" si="20"/>
        <v>154.02000000000001</v>
      </c>
      <c r="J68" s="191">
        <f t="shared" si="20"/>
        <v>154.02000000000001</v>
      </c>
      <c r="K68" s="191">
        <f t="shared" si="20"/>
        <v>154.02000000000001</v>
      </c>
      <c r="L68" s="191">
        <f t="shared" si="20"/>
        <v>154.02000000000001</v>
      </c>
      <c r="M68" s="191">
        <f t="shared" si="20"/>
        <v>154.02000000000001</v>
      </c>
      <c r="N68" s="191">
        <f t="shared" si="20"/>
        <v>154.02000000000001</v>
      </c>
      <c r="O68" s="191">
        <f t="shared" si="20"/>
        <v>154.02000000000001</v>
      </c>
      <c r="P68" s="191">
        <f t="shared" si="20"/>
        <v>154.02000000000001</v>
      </c>
      <c r="Q68" s="191">
        <f t="shared" si="20"/>
        <v>154.02000000000001</v>
      </c>
      <c r="R68" s="191"/>
      <c r="S68" s="192"/>
      <c r="T68" s="166"/>
      <c r="U68" s="166"/>
      <c r="V68" s="166"/>
      <c r="W68" s="166"/>
      <c r="X68" s="166"/>
      <c r="Y68" s="166"/>
    </row>
    <row r="69" spans="3:25">
      <c r="C69" s="118"/>
      <c r="D69" s="118"/>
      <c r="E69" s="116" t="str">
        <f>+E19</f>
        <v>Unregulated Garbage</v>
      </c>
      <c r="F69" s="191">
        <f>+F68</f>
        <v>154.02000000000001</v>
      </c>
      <c r="G69" s="191">
        <f>+F69</f>
        <v>154.02000000000001</v>
      </c>
      <c r="H69" s="191">
        <f t="shared" si="20"/>
        <v>154.02000000000001</v>
      </c>
      <c r="I69" s="191">
        <f t="shared" si="20"/>
        <v>154.02000000000001</v>
      </c>
      <c r="J69" s="191">
        <f t="shared" si="20"/>
        <v>154.02000000000001</v>
      </c>
      <c r="K69" s="191">
        <f t="shared" si="20"/>
        <v>154.02000000000001</v>
      </c>
      <c r="L69" s="191">
        <f t="shared" si="20"/>
        <v>154.02000000000001</v>
      </c>
      <c r="M69" s="191">
        <f t="shared" si="20"/>
        <v>154.02000000000001</v>
      </c>
      <c r="N69" s="191">
        <f t="shared" si="20"/>
        <v>154.02000000000001</v>
      </c>
      <c r="O69" s="191">
        <f t="shared" si="20"/>
        <v>154.02000000000001</v>
      </c>
      <c r="P69" s="191">
        <f t="shared" si="20"/>
        <v>154.02000000000001</v>
      </c>
      <c r="Q69" s="191">
        <f t="shared" si="20"/>
        <v>154.02000000000001</v>
      </c>
      <c r="R69" s="191"/>
      <c r="S69" s="192"/>
      <c r="T69" s="166"/>
      <c r="U69" s="166"/>
      <c r="V69" s="166"/>
      <c r="W69" s="166"/>
      <c r="X69" s="166"/>
      <c r="Y69" s="166"/>
    </row>
    <row r="70" spans="3:25">
      <c r="C70" s="118"/>
      <c r="D70" s="118"/>
      <c r="E70" s="116" t="str">
        <f>+E21</f>
        <v>Regulated RCY (MF)</v>
      </c>
      <c r="F70" s="142">
        <v>116.77</v>
      </c>
      <c r="G70" s="191">
        <f>+F70</f>
        <v>116.77</v>
      </c>
      <c r="H70" s="191">
        <f t="shared" si="20"/>
        <v>116.77</v>
      </c>
      <c r="I70" s="191">
        <f t="shared" si="20"/>
        <v>116.77</v>
      </c>
      <c r="J70" s="191">
        <f t="shared" si="20"/>
        <v>116.77</v>
      </c>
      <c r="K70" s="191">
        <f t="shared" si="20"/>
        <v>116.77</v>
      </c>
      <c r="L70" s="191">
        <f t="shared" si="20"/>
        <v>116.77</v>
      </c>
      <c r="M70" s="191">
        <f t="shared" si="20"/>
        <v>116.77</v>
      </c>
      <c r="N70" s="191">
        <f t="shared" si="20"/>
        <v>116.77</v>
      </c>
      <c r="O70" s="191">
        <f t="shared" si="20"/>
        <v>116.77</v>
      </c>
      <c r="P70" s="191">
        <f t="shared" si="20"/>
        <v>116.77</v>
      </c>
      <c r="Q70" s="191">
        <f t="shared" si="20"/>
        <v>116.77</v>
      </c>
      <c r="R70" s="191"/>
      <c r="S70" s="192"/>
      <c r="T70" s="166"/>
      <c r="U70" s="166"/>
      <c r="V70" s="166"/>
      <c r="W70" s="166"/>
      <c r="X70" s="166"/>
      <c r="Y70" s="166"/>
    </row>
    <row r="71" spans="3:25">
      <c r="C71" s="118"/>
      <c r="D71" s="118"/>
      <c r="E71" s="116" t="str">
        <f>+E22</f>
        <v>Unregulated RCY / COGS</v>
      </c>
      <c r="F71" s="191">
        <f t="shared" ref="F71:P71" si="21">+F102/F22</f>
        <v>72.734985065550617</v>
      </c>
      <c r="G71" s="191">
        <f t="shared" si="21"/>
        <v>66.25333179317613</v>
      </c>
      <c r="H71" s="191">
        <f t="shared" si="21"/>
        <v>68.190325633506333</v>
      </c>
      <c r="I71" s="191">
        <f t="shared" si="21"/>
        <v>71.969303912715972</v>
      </c>
      <c r="J71" s="191">
        <f t="shared" si="21"/>
        <v>68.166390370794929</v>
      </c>
      <c r="K71" s="191">
        <f t="shared" si="21"/>
        <v>69.661329033068739</v>
      </c>
      <c r="L71" s="191">
        <f t="shared" si="21"/>
        <v>67.960855721295104</v>
      </c>
      <c r="M71" s="191">
        <f t="shared" si="21"/>
        <v>76.168202564028036</v>
      </c>
      <c r="N71" s="191">
        <f t="shared" si="21"/>
        <v>99.486125353226171</v>
      </c>
      <c r="O71" s="191">
        <f t="shared" si="21"/>
        <v>97.810690602399319</v>
      </c>
      <c r="P71" s="191">
        <f t="shared" si="21"/>
        <v>96.898429711553803</v>
      </c>
      <c r="Q71" s="191">
        <f>+Q102/Q22</f>
        <v>98.608087304934614</v>
      </c>
      <c r="R71" s="191"/>
      <c r="S71" s="192"/>
      <c r="T71" s="166"/>
      <c r="U71" s="166"/>
      <c r="V71" s="166"/>
      <c r="W71" s="166"/>
      <c r="X71" s="166"/>
      <c r="Y71" s="166"/>
    </row>
    <row r="72" spans="3:25">
      <c r="C72" s="118"/>
      <c r="D72" s="118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79"/>
      <c r="T72" s="166"/>
      <c r="U72" s="166"/>
      <c r="V72" s="166"/>
      <c r="W72" s="166"/>
      <c r="X72" s="166"/>
      <c r="Y72" s="166"/>
    </row>
    <row r="73" spans="3:25">
      <c r="C73" s="118"/>
      <c r="D73" s="118"/>
      <c r="E73" s="116" t="s">
        <v>134</v>
      </c>
      <c r="F73" s="191">
        <f t="shared" ref="F73:Q74" si="22">+F105/F28</f>
        <v>1721.4993037596971</v>
      </c>
      <c r="G73" s="191">
        <f t="shared" si="22"/>
        <v>1300.538619410348</v>
      </c>
      <c r="H73" s="191">
        <f t="shared" si="22"/>
        <v>1429.2976973684206</v>
      </c>
      <c r="I73" s="191">
        <f t="shared" si="22"/>
        <v>1423.4851374339696</v>
      </c>
      <c r="J73" s="191">
        <f t="shared" si="22"/>
        <v>1561.3850272538705</v>
      </c>
      <c r="K73" s="191">
        <f t="shared" si="22"/>
        <v>1397.02062933003</v>
      </c>
      <c r="L73" s="191">
        <f t="shared" si="22"/>
        <v>1363.9462585905162</v>
      </c>
      <c r="M73" s="191">
        <f t="shared" si="22"/>
        <v>1323.8847890989819</v>
      </c>
      <c r="N73" s="191">
        <f t="shared" si="22"/>
        <v>1425.1611257774402</v>
      </c>
      <c r="O73" s="191">
        <f t="shared" si="22"/>
        <v>1237.7679441117764</v>
      </c>
      <c r="P73" s="191">
        <f t="shared" si="22"/>
        <v>1667.6956728232194</v>
      </c>
      <c r="Q73" s="191">
        <f t="shared" si="22"/>
        <v>1548.4403976975407</v>
      </c>
      <c r="R73" s="166"/>
      <c r="S73" s="179"/>
      <c r="T73" s="166"/>
      <c r="U73" s="166"/>
      <c r="V73" s="166"/>
      <c r="W73" s="166"/>
      <c r="X73" s="166"/>
      <c r="Y73" s="166"/>
    </row>
    <row r="74" spans="3:25">
      <c r="C74" s="118"/>
      <c r="D74" s="118"/>
      <c r="E74" s="116" t="s">
        <v>135</v>
      </c>
      <c r="F74" s="191">
        <f t="shared" si="22"/>
        <v>62.805186972255711</v>
      </c>
      <c r="G74" s="191">
        <f t="shared" si="22"/>
        <v>63.617966198993628</v>
      </c>
      <c r="H74" s="191">
        <f t="shared" si="22"/>
        <v>61.628886148172086</v>
      </c>
      <c r="I74" s="191">
        <f t="shared" si="22"/>
        <v>68.492535103407292</v>
      </c>
      <c r="J74" s="191">
        <f t="shared" si="22"/>
        <v>66.647474976183048</v>
      </c>
      <c r="K74" s="191">
        <f t="shared" si="22"/>
        <v>67.742128734378852</v>
      </c>
      <c r="L74" s="191">
        <f t="shared" si="22"/>
        <v>63.696769890424008</v>
      </c>
      <c r="M74" s="191">
        <f t="shared" si="22"/>
        <v>65.589111659733007</v>
      </c>
      <c r="N74" s="191">
        <f t="shared" si="22"/>
        <v>73.23652752484918</v>
      </c>
      <c r="O74" s="191">
        <f t="shared" si="22"/>
        <v>75.736336653409808</v>
      </c>
      <c r="P74" s="191">
        <f t="shared" si="22"/>
        <v>73.168654765452843</v>
      </c>
      <c r="Q74" s="191">
        <f t="shared" si="22"/>
        <v>76.496680577969954</v>
      </c>
      <c r="R74" s="166"/>
      <c r="S74" s="179"/>
      <c r="T74" s="166"/>
      <c r="U74" s="166"/>
      <c r="V74" s="166"/>
      <c r="W74" s="166"/>
      <c r="X74" s="166"/>
      <c r="Y74" s="166"/>
    </row>
    <row r="75" spans="3:25">
      <c r="C75" s="118"/>
      <c r="D75" s="118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79"/>
      <c r="T75" s="166"/>
      <c r="U75" s="166"/>
      <c r="V75" s="166"/>
      <c r="W75" s="166"/>
      <c r="X75" s="166"/>
      <c r="Y75" s="166"/>
    </row>
    <row r="76" spans="3:25">
      <c r="C76" s="118"/>
      <c r="D76" s="118"/>
      <c r="E76" s="117" t="str">
        <f>+E32</f>
        <v>Commercial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79"/>
      <c r="T76" s="166"/>
      <c r="U76" s="166"/>
      <c r="V76" s="166"/>
      <c r="W76" s="166"/>
      <c r="X76" s="166"/>
      <c r="Y76" s="166"/>
    </row>
    <row r="77" spans="3:25">
      <c r="C77" s="118"/>
      <c r="D77" s="118"/>
      <c r="E77" s="116" t="str">
        <f>+E33</f>
        <v>Regulated Garbage</v>
      </c>
      <c r="F77" s="191">
        <f>+F68</f>
        <v>154.02000000000001</v>
      </c>
      <c r="G77" s="191">
        <f>+F77</f>
        <v>154.02000000000001</v>
      </c>
      <c r="H77" s="191">
        <f t="shared" ref="H77:Q78" si="23">+G77</f>
        <v>154.02000000000001</v>
      </c>
      <c r="I77" s="191">
        <f t="shared" si="23"/>
        <v>154.02000000000001</v>
      </c>
      <c r="J77" s="191">
        <f t="shared" si="23"/>
        <v>154.02000000000001</v>
      </c>
      <c r="K77" s="191">
        <f t="shared" si="23"/>
        <v>154.02000000000001</v>
      </c>
      <c r="L77" s="191">
        <f t="shared" si="23"/>
        <v>154.02000000000001</v>
      </c>
      <c r="M77" s="191">
        <f t="shared" si="23"/>
        <v>154.02000000000001</v>
      </c>
      <c r="N77" s="191">
        <f t="shared" si="23"/>
        <v>154.02000000000001</v>
      </c>
      <c r="O77" s="191">
        <f t="shared" si="23"/>
        <v>154.02000000000001</v>
      </c>
      <c r="P77" s="191">
        <f t="shared" si="23"/>
        <v>154.02000000000001</v>
      </c>
      <c r="Q77" s="191">
        <f t="shared" si="23"/>
        <v>154.02000000000001</v>
      </c>
      <c r="R77" s="166"/>
      <c r="S77" s="179"/>
      <c r="T77" s="166"/>
      <c r="U77" s="166"/>
      <c r="V77" s="166"/>
      <c r="W77" s="166"/>
      <c r="X77" s="166"/>
      <c r="Y77" s="166"/>
    </row>
    <row r="78" spans="3:25">
      <c r="C78" s="118"/>
      <c r="D78" s="118"/>
      <c r="E78" s="116" t="str">
        <f>+E34</f>
        <v>Unregulated Garbage</v>
      </c>
      <c r="F78" s="191">
        <f>+F69</f>
        <v>154.02000000000001</v>
      </c>
      <c r="G78" s="191">
        <f>+F78</f>
        <v>154.02000000000001</v>
      </c>
      <c r="H78" s="191">
        <f t="shared" si="23"/>
        <v>154.02000000000001</v>
      </c>
      <c r="I78" s="191">
        <f t="shared" si="23"/>
        <v>154.02000000000001</v>
      </c>
      <c r="J78" s="191">
        <f t="shared" si="23"/>
        <v>154.02000000000001</v>
      </c>
      <c r="K78" s="191">
        <f t="shared" si="23"/>
        <v>154.02000000000001</v>
      </c>
      <c r="L78" s="191">
        <f t="shared" si="23"/>
        <v>154.02000000000001</v>
      </c>
      <c r="M78" s="191">
        <f t="shared" si="23"/>
        <v>154.02000000000001</v>
      </c>
      <c r="N78" s="191">
        <f t="shared" si="23"/>
        <v>154.02000000000001</v>
      </c>
      <c r="O78" s="191">
        <f t="shared" si="23"/>
        <v>154.02000000000001</v>
      </c>
      <c r="P78" s="191">
        <f t="shared" si="23"/>
        <v>154.02000000000001</v>
      </c>
      <c r="Q78" s="191">
        <f t="shared" si="23"/>
        <v>154.02000000000001</v>
      </c>
      <c r="R78" s="166"/>
      <c r="S78" s="179"/>
      <c r="T78" s="166"/>
      <c r="U78" s="166"/>
      <c r="V78" s="166"/>
      <c r="W78" s="166"/>
      <c r="X78" s="166"/>
      <c r="Y78" s="166"/>
    </row>
    <row r="79" spans="3:25">
      <c r="C79" s="118"/>
      <c r="D79" s="118"/>
      <c r="E79" s="116" t="str">
        <f>+E36</f>
        <v>Regulated RCY (MF)</v>
      </c>
      <c r="F79" s="193">
        <f>+F70</f>
        <v>116.77</v>
      </c>
      <c r="G79" s="191">
        <f t="shared" ref="G79:P79" si="24">+G70</f>
        <v>116.77</v>
      </c>
      <c r="H79" s="191">
        <f t="shared" si="24"/>
        <v>116.77</v>
      </c>
      <c r="I79" s="191">
        <f t="shared" si="24"/>
        <v>116.77</v>
      </c>
      <c r="J79" s="191">
        <f t="shared" si="24"/>
        <v>116.77</v>
      </c>
      <c r="K79" s="191">
        <f t="shared" si="24"/>
        <v>116.77</v>
      </c>
      <c r="L79" s="191">
        <f t="shared" si="24"/>
        <v>116.77</v>
      </c>
      <c r="M79" s="191">
        <f t="shared" si="24"/>
        <v>116.77</v>
      </c>
      <c r="N79" s="191">
        <f t="shared" si="24"/>
        <v>116.77</v>
      </c>
      <c r="O79" s="191">
        <f t="shared" si="24"/>
        <v>116.77</v>
      </c>
      <c r="P79" s="191">
        <f t="shared" si="24"/>
        <v>116.77</v>
      </c>
      <c r="Q79" s="191">
        <f>+Q70</f>
        <v>116.77</v>
      </c>
      <c r="R79" s="166"/>
      <c r="S79" s="179"/>
      <c r="T79" s="166"/>
      <c r="U79" s="166"/>
      <c r="V79" s="166"/>
      <c r="W79" s="166"/>
      <c r="X79" s="166"/>
      <c r="Y79" s="166"/>
    </row>
    <row r="80" spans="3:25">
      <c r="C80" s="118"/>
      <c r="D80" s="118"/>
      <c r="E80" s="116" t="str">
        <f>+E37</f>
        <v>Unregulated RCY / COGS</v>
      </c>
      <c r="F80" s="193">
        <v>116.77</v>
      </c>
      <c r="G80" s="191">
        <f t="shared" ref="G80:Q80" si="25">+F80</f>
        <v>116.77</v>
      </c>
      <c r="H80" s="191">
        <f t="shared" si="25"/>
        <v>116.77</v>
      </c>
      <c r="I80" s="191">
        <f t="shared" si="25"/>
        <v>116.77</v>
      </c>
      <c r="J80" s="191">
        <f t="shared" si="25"/>
        <v>116.77</v>
      </c>
      <c r="K80" s="191">
        <f t="shared" si="25"/>
        <v>116.77</v>
      </c>
      <c r="L80" s="191">
        <f t="shared" si="25"/>
        <v>116.77</v>
      </c>
      <c r="M80" s="191">
        <f t="shared" si="25"/>
        <v>116.77</v>
      </c>
      <c r="N80" s="191">
        <f t="shared" si="25"/>
        <v>116.77</v>
      </c>
      <c r="O80" s="191">
        <f t="shared" si="25"/>
        <v>116.77</v>
      </c>
      <c r="P80" s="191">
        <f t="shared" si="25"/>
        <v>116.77</v>
      </c>
      <c r="Q80" s="191">
        <f t="shared" si="25"/>
        <v>116.77</v>
      </c>
      <c r="R80" s="191"/>
      <c r="S80" s="179"/>
      <c r="T80" s="166"/>
      <c r="U80" s="166"/>
      <c r="V80" s="166"/>
      <c r="W80" s="166"/>
      <c r="X80" s="166"/>
      <c r="Y80" s="166"/>
    </row>
    <row r="81" spans="3:25">
      <c r="C81" s="118"/>
      <c r="D81" s="118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79"/>
      <c r="T81" s="166"/>
      <c r="U81" s="166"/>
      <c r="V81" s="166"/>
      <c r="W81" s="166"/>
      <c r="X81" s="166"/>
      <c r="Y81" s="166"/>
    </row>
    <row r="82" spans="3:25">
      <c r="C82" s="118"/>
      <c r="D82" s="118"/>
      <c r="E82" s="117" t="str">
        <f>+E43</f>
        <v>Residential</v>
      </c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79"/>
      <c r="T82" s="166"/>
      <c r="U82" s="166"/>
      <c r="V82" s="166"/>
      <c r="W82" s="166"/>
      <c r="X82" s="166"/>
      <c r="Y82" s="166"/>
    </row>
    <row r="83" spans="3:25">
      <c r="C83" s="118"/>
      <c r="D83" s="118"/>
      <c r="E83" s="116" t="str">
        <f>+E44</f>
        <v>Regulated Garbage</v>
      </c>
      <c r="F83" s="191">
        <f>+F68</f>
        <v>154.02000000000001</v>
      </c>
      <c r="G83" s="191">
        <f t="shared" ref="G83:Q88" si="26">+F83</f>
        <v>154.02000000000001</v>
      </c>
      <c r="H83" s="191">
        <f t="shared" si="26"/>
        <v>154.02000000000001</v>
      </c>
      <c r="I83" s="191">
        <f t="shared" si="26"/>
        <v>154.02000000000001</v>
      </c>
      <c r="J83" s="191">
        <f t="shared" si="26"/>
        <v>154.02000000000001</v>
      </c>
      <c r="K83" s="191">
        <f t="shared" si="26"/>
        <v>154.02000000000001</v>
      </c>
      <c r="L83" s="191">
        <f t="shared" si="26"/>
        <v>154.02000000000001</v>
      </c>
      <c r="M83" s="191">
        <f t="shared" si="26"/>
        <v>154.02000000000001</v>
      </c>
      <c r="N83" s="191">
        <f t="shared" si="26"/>
        <v>154.02000000000001</v>
      </c>
      <c r="O83" s="191">
        <f t="shared" si="26"/>
        <v>154.02000000000001</v>
      </c>
      <c r="P83" s="191">
        <f t="shared" si="26"/>
        <v>154.02000000000001</v>
      </c>
      <c r="Q83" s="191">
        <f t="shared" si="26"/>
        <v>154.02000000000001</v>
      </c>
      <c r="R83" s="166"/>
      <c r="S83" s="179"/>
      <c r="T83" s="166"/>
      <c r="U83" s="166"/>
      <c r="V83" s="166"/>
      <c r="W83" s="166"/>
      <c r="X83" s="166"/>
      <c r="Y83" s="166"/>
    </row>
    <row r="84" spans="3:25">
      <c r="C84" s="118"/>
      <c r="D84" s="118"/>
      <c r="E84" s="116" t="str">
        <f>+E45</f>
        <v>Unregulated Garbage</v>
      </c>
      <c r="F84" s="191">
        <f>+F69</f>
        <v>154.02000000000001</v>
      </c>
      <c r="G84" s="191">
        <f t="shared" si="26"/>
        <v>154.02000000000001</v>
      </c>
      <c r="H84" s="191">
        <f t="shared" si="26"/>
        <v>154.02000000000001</v>
      </c>
      <c r="I84" s="191">
        <f t="shared" si="26"/>
        <v>154.02000000000001</v>
      </c>
      <c r="J84" s="191">
        <f t="shared" si="26"/>
        <v>154.02000000000001</v>
      </c>
      <c r="K84" s="191">
        <f t="shared" si="26"/>
        <v>154.02000000000001</v>
      </c>
      <c r="L84" s="191">
        <f t="shared" si="26"/>
        <v>154.02000000000001</v>
      </c>
      <c r="M84" s="191">
        <f t="shared" si="26"/>
        <v>154.02000000000001</v>
      </c>
      <c r="N84" s="191">
        <f t="shared" si="26"/>
        <v>154.02000000000001</v>
      </c>
      <c r="O84" s="191">
        <f t="shared" si="26"/>
        <v>154.02000000000001</v>
      </c>
      <c r="P84" s="191">
        <f t="shared" si="26"/>
        <v>154.02000000000001</v>
      </c>
      <c r="Q84" s="191">
        <f>+P84</f>
        <v>154.02000000000001</v>
      </c>
      <c r="R84" s="166"/>
      <c r="S84" s="179"/>
      <c r="T84" s="166"/>
      <c r="U84" s="166"/>
      <c r="V84" s="166"/>
      <c r="W84" s="166"/>
      <c r="X84" s="166"/>
      <c r="Y84" s="166"/>
    </row>
    <row r="85" spans="3:25">
      <c r="C85" s="118"/>
      <c r="D85" s="118"/>
      <c r="E85" s="116" t="str">
        <f>+E47</f>
        <v>Regulated Yardwaste</v>
      </c>
      <c r="F85" s="142">
        <v>62.36</v>
      </c>
      <c r="G85" s="142">
        <f>F85</f>
        <v>62.36</v>
      </c>
      <c r="H85" s="191">
        <f t="shared" si="26"/>
        <v>62.36</v>
      </c>
      <c r="I85" s="191">
        <f t="shared" si="26"/>
        <v>62.36</v>
      </c>
      <c r="J85" s="191">
        <f t="shared" si="26"/>
        <v>62.36</v>
      </c>
      <c r="K85" s="191">
        <f>J85</f>
        <v>62.36</v>
      </c>
      <c r="L85" s="191">
        <f t="shared" si="26"/>
        <v>62.36</v>
      </c>
      <c r="M85" s="194">
        <f>L85</f>
        <v>62.36</v>
      </c>
      <c r="N85" s="194">
        <f t="shared" si="26"/>
        <v>62.36</v>
      </c>
      <c r="O85" s="191">
        <f t="shared" si="26"/>
        <v>62.36</v>
      </c>
      <c r="P85" s="191">
        <f t="shared" si="26"/>
        <v>62.36</v>
      </c>
      <c r="Q85" s="191">
        <f>+P85</f>
        <v>62.36</v>
      </c>
      <c r="R85" s="166"/>
      <c r="S85" s="179"/>
      <c r="T85" s="166"/>
      <c r="U85" s="166"/>
      <c r="V85" s="166"/>
      <c r="W85" s="166"/>
      <c r="X85" s="166"/>
      <c r="Y85" s="166"/>
    </row>
    <row r="86" spans="3:25">
      <c r="C86" s="118"/>
      <c r="D86" s="118"/>
      <c r="E86" s="116" t="str">
        <f>+E48</f>
        <v>Unregulated Yardwaste</v>
      </c>
      <c r="F86" s="142">
        <f>F85</f>
        <v>62.36</v>
      </c>
      <c r="G86" s="142">
        <f>F86</f>
        <v>62.36</v>
      </c>
      <c r="H86" s="191">
        <f t="shared" si="26"/>
        <v>62.36</v>
      </c>
      <c r="I86" s="191">
        <f t="shared" si="26"/>
        <v>62.36</v>
      </c>
      <c r="J86" s="191">
        <f t="shared" si="26"/>
        <v>62.36</v>
      </c>
      <c r="K86" s="191">
        <f>J86</f>
        <v>62.36</v>
      </c>
      <c r="L86" s="191">
        <f t="shared" si="26"/>
        <v>62.36</v>
      </c>
      <c r="M86" s="194">
        <f>L86</f>
        <v>62.36</v>
      </c>
      <c r="N86" s="194">
        <f t="shared" si="26"/>
        <v>62.36</v>
      </c>
      <c r="O86" s="191">
        <f t="shared" si="26"/>
        <v>62.36</v>
      </c>
      <c r="P86" s="191">
        <f t="shared" si="26"/>
        <v>62.36</v>
      </c>
      <c r="Q86" s="191">
        <f>+P86</f>
        <v>62.36</v>
      </c>
      <c r="R86" s="166"/>
      <c r="S86" s="179"/>
      <c r="T86" s="166"/>
      <c r="U86" s="166"/>
      <c r="V86" s="166"/>
      <c r="W86" s="166"/>
      <c r="X86" s="166"/>
      <c r="Y86" s="166"/>
    </row>
    <row r="87" spans="3:25">
      <c r="C87" s="118"/>
      <c r="D87" s="118"/>
      <c r="E87" s="116" t="str">
        <f>+E50</f>
        <v>Regulated RCY</v>
      </c>
      <c r="F87" s="193">
        <v>114.46</v>
      </c>
      <c r="G87" s="191">
        <f t="shared" si="26"/>
        <v>114.46</v>
      </c>
      <c r="H87" s="191">
        <f t="shared" si="26"/>
        <v>114.46</v>
      </c>
      <c r="I87" s="191">
        <f t="shared" si="26"/>
        <v>114.46</v>
      </c>
      <c r="J87" s="191">
        <f t="shared" si="26"/>
        <v>114.46</v>
      </c>
      <c r="K87" s="191">
        <f t="shared" si="26"/>
        <v>114.46</v>
      </c>
      <c r="L87" s="191">
        <f t="shared" si="26"/>
        <v>114.46</v>
      </c>
      <c r="M87" s="191">
        <f t="shared" si="26"/>
        <v>114.46</v>
      </c>
      <c r="N87" s="191">
        <f t="shared" si="26"/>
        <v>114.46</v>
      </c>
      <c r="O87" s="191">
        <f t="shared" si="26"/>
        <v>114.46</v>
      </c>
      <c r="P87" s="191">
        <f t="shared" si="26"/>
        <v>114.46</v>
      </c>
      <c r="Q87" s="191">
        <f>+P87</f>
        <v>114.46</v>
      </c>
      <c r="R87" s="166"/>
      <c r="S87" s="179"/>
      <c r="T87" s="166"/>
      <c r="U87" s="166"/>
      <c r="V87" s="166"/>
      <c r="W87" s="166"/>
      <c r="X87" s="166"/>
      <c r="Y87" s="166"/>
    </row>
    <row r="88" spans="3:25">
      <c r="C88" s="118"/>
      <c r="D88" s="118"/>
      <c r="E88" s="116" t="str">
        <f>+E51</f>
        <v>Unregulated RCY</v>
      </c>
      <c r="F88" s="193">
        <f>+F87</f>
        <v>114.46</v>
      </c>
      <c r="G88" s="191">
        <f t="shared" si="26"/>
        <v>114.46</v>
      </c>
      <c r="H88" s="191">
        <f t="shared" si="26"/>
        <v>114.46</v>
      </c>
      <c r="I88" s="191">
        <f t="shared" si="26"/>
        <v>114.46</v>
      </c>
      <c r="J88" s="191">
        <f t="shared" si="26"/>
        <v>114.46</v>
      </c>
      <c r="K88" s="191">
        <f t="shared" si="26"/>
        <v>114.46</v>
      </c>
      <c r="L88" s="191">
        <f t="shared" si="26"/>
        <v>114.46</v>
      </c>
      <c r="M88" s="191">
        <f t="shared" si="26"/>
        <v>114.46</v>
      </c>
      <c r="N88" s="191">
        <f t="shared" si="26"/>
        <v>114.46</v>
      </c>
      <c r="O88" s="191">
        <f t="shared" si="26"/>
        <v>114.46</v>
      </c>
      <c r="P88" s="191">
        <f t="shared" si="26"/>
        <v>114.46</v>
      </c>
      <c r="Q88" s="191">
        <f>+P88</f>
        <v>114.46</v>
      </c>
      <c r="R88" s="166"/>
      <c r="S88" s="179"/>
      <c r="T88" s="166"/>
      <c r="U88" s="166"/>
      <c r="V88" s="166"/>
      <c r="W88" s="166"/>
      <c r="X88" s="166"/>
      <c r="Y88" s="166"/>
    </row>
    <row r="89" spans="3:25">
      <c r="C89" s="118"/>
      <c r="D89" s="118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79"/>
      <c r="T89" s="166"/>
      <c r="U89" s="166"/>
      <c r="V89" s="166"/>
      <c r="W89" s="166"/>
      <c r="X89" s="166"/>
      <c r="Y89" s="166"/>
    </row>
    <row r="90" spans="3:25" ht="15" thickBot="1">
      <c r="C90" s="118"/>
      <c r="D90" s="118"/>
      <c r="E90" s="124" t="s">
        <v>136</v>
      </c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4"/>
    </row>
    <row r="91" spans="3:25">
      <c r="C91" s="118"/>
      <c r="D91" s="118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79"/>
      <c r="T91" s="166"/>
      <c r="U91" s="166" t="s">
        <v>148</v>
      </c>
      <c r="V91" s="166"/>
      <c r="W91" s="166"/>
      <c r="X91" s="166"/>
      <c r="Y91" s="166"/>
    </row>
    <row r="92" spans="3:25">
      <c r="C92" s="118"/>
      <c r="D92" s="118"/>
      <c r="E92" s="116" t="s">
        <v>137</v>
      </c>
      <c r="F92" s="166">
        <v>1571480.34</v>
      </c>
      <c r="G92" s="166">
        <v>1509587.67</v>
      </c>
      <c r="H92" s="166">
        <v>1699136.83</v>
      </c>
      <c r="I92" s="166">
        <v>1605044.31</v>
      </c>
      <c r="J92" s="166">
        <v>1786663.1500000004</v>
      </c>
      <c r="K92" s="166">
        <v>1840960.04</v>
      </c>
      <c r="L92" s="166">
        <v>1609602.709999999</v>
      </c>
      <c r="M92" s="166">
        <v>1817693.5599999991</v>
      </c>
      <c r="N92" s="166">
        <v>1671135.1000000006</v>
      </c>
      <c r="O92" s="166">
        <v>1562140.9600000018</v>
      </c>
      <c r="P92" s="166">
        <v>1864464.9600000004</v>
      </c>
      <c r="Q92" s="166">
        <v>1391709.8599999999</v>
      </c>
      <c r="R92" s="166"/>
      <c r="S92" s="127">
        <f>SUM(F92:R92)</f>
        <v>19929619.489999998</v>
      </c>
      <c r="T92" s="166"/>
      <c r="U92" s="166">
        <v>0</v>
      </c>
      <c r="V92" s="166"/>
      <c r="W92" s="166"/>
      <c r="X92" s="166"/>
      <c r="Y92" s="166"/>
    </row>
    <row r="93" spans="3:25">
      <c r="C93" s="118"/>
      <c r="D93" s="118"/>
      <c r="E93" s="128" t="s">
        <v>138</v>
      </c>
      <c r="F93" s="195">
        <v>412396.58999999997</v>
      </c>
      <c r="G93" s="195">
        <v>350136.79999999993</v>
      </c>
      <c r="H93" s="195">
        <v>427144.03</v>
      </c>
      <c r="I93" s="195">
        <v>377129.45999999996</v>
      </c>
      <c r="J93" s="195">
        <v>386762.78</v>
      </c>
      <c r="K93" s="195">
        <v>391504.62</v>
      </c>
      <c r="L93" s="195">
        <v>347359.60000000003</v>
      </c>
      <c r="M93" s="195">
        <v>345746.27</v>
      </c>
      <c r="N93" s="195">
        <v>367682.65</v>
      </c>
      <c r="O93" s="195">
        <v>362300.32999999996</v>
      </c>
      <c r="P93" s="195">
        <v>374979.38</v>
      </c>
      <c r="Q93" s="195">
        <v>380463.19</v>
      </c>
      <c r="R93" s="165"/>
      <c r="S93" s="143">
        <f>SUM(F93:R93)</f>
        <v>4523605.7</v>
      </c>
      <c r="T93" s="164"/>
      <c r="U93" s="164">
        <v>0</v>
      </c>
      <c r="V93" s="164"/>
      <c r="W93" s="164"/>
      <c r="X93" s="164"/>
      <c r="Y93" s="164"/>
    </row>
    <row r="94" spans="3:25">
      <c r="C94" s="118"/>
      <c r="D94" s="118"/>
      <c r="E94" s="116" t="s">
        <v>16</v>
      </c>
      <c r="F94" s="166">
        <f t="shared" ref="F94:P94" si="27">SUM(F92:F93)</f>
        <v>1983876.9300000002</v>
      </c>
      <c r="G94" s="166">
        <f t="shared" si="27"/>
        <v>1859724.4699999997</v>
      </c>
      <c r="H94" s="166">
        <f t="shared" si="27"/>
        <v>2126280.8600000003</v>
      </c>
      <c r="I94" s="166">
        <f t="shared" si="27"/>
        <v>1982173.77</v>
      </c>
      <c r="J94" s="166">
        <f t="shared" si="27"/>
        <v>2173425.9300000006</v>
      </c>
      <c r="K94" s="166">
        <f t="shared" si="27"/>
        <v>2232464.66</v>
      </c>
      <c r="L94" s="166">
        <f t="shared" si="27"/>
        <v>1956962.3099999991</v>
      </c>
      <c r="M94" s="166">
        <f t="shared" si="27"/>
        <v>2163439.8299999991</v>
      </c>
      <c r="N94" s="166">
        <f t="shared" si="27"/>
        <v>2038817.7500000005</v>
      </c>
      <c r="O94" s="166">
        <f t="shared" si="27"/>
        <v>1924441.2900000019</v>
      </c>
      <c r="P94" s="166">
        <f t="shared" si="27"/>
        <v>2239444.3400000003</v>
      </c>
      <c r="Q94" s="166">
        <f>SUM(Q92:Q93)</f>
        <v>1772173.0499999998</v>
      </c>
      <c r="R94" s="166"/>
      <c r="S94" s="127">
        <f>SUM(F94:R94)</f>
        <v>24453225.190000001</v>
      </c>
      <c r="T94" s="166"/>
      <c r="U94" s="166"/>
      <c r="V94" s="166"/>
      <c r="W94" s="166"/>
      <c r="X94" s="166"/>
      <c r="Y94" s="166"/>
    </row>
    <row r="95" spans="3:25">
      <c r="C95" s="118"/>
      <c r="D95" s="118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79"/>
      <c r="T95" s="166"/>
      <c r="U95" s="166"/>
      <c r="V95" s="166"/>
      <c r="W95" s="166"/>
      <c r="X95" s="166"/>
      <c r="Y95" s="166"/>
    </row>
    <row r="96" spans="3:25">
      <c r="C96" s="118"/>
      <c r="D96" s="118"/>
      <c r="E96" s="116" t="s">
        <v>139</v>
      </c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79"/>
      <c r="T96" s="166"/>
      <c r="U96" s="166"/>
      <c r="V96" s="166"/>
      <c r="W96" s="166"/>
      <c r="X96" s="166"/>
      <c r="Y96" s="166"/>
    </row>
    <row r="97" spans="1:25">
      <c r="C97" s="118"/>
      <c r="D97" s="118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79"/>
      <c r="T97" s="166"/>
      <c r="U97" s="166"/>
      <c r="V97" s="166"/>
      <c r="W97" s="166"/>
      <c r="X97" s="166"/>
      <c r="Y97" s="166"/>
    </row>
    <row r="98" spans="1:25">
      <c r="C98" s="118"/>
      <c r="D98" s="118"/>
      <c r="E98" s="117" t="str">
        <f>+E67</f>
        <v>Roll-off / Industrial</v>
      </c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27"/>
      <c r="T98" s="166"/>
      <c r="U98" s="166"/>
      <c r="V98" s="166"/>
      <c r="W98" s="166"/>
      <c r="X98" s="166"/>
      <c r="Y98" s="166"/>
    </row>
    <row r="99" spans="1:25" s="197" customFormat="1">
      <c r="A99" s="196"/>
      <c r="B99" s="196"/>
      <c r="C99" s="196"/>
      <c r="D99" s="196"/>
      <c r="E99" s="197" t="str">
        <f>+E68</f>
        <v>Regulated Garbage</v>
      </c>
      <c r="F99" s="198">
        <f t="shared" ref="F99:Q100" si="28">+F18*F68</f>
        <v>30970.341600000014</v>
      </c>
      <c r="G99" s="198">
        <f t="shared" si="28"/>
        <v>39024.04740000001</v>
      </c>
      <c r="H99" s="198">
        <f t="shared" si="28"/>
        <v>42139.872000000018</v>
      </c>
      <c r="I99" s="198">
        <f t="shared" si="28"/>
        <v>34404.987599999986</v>
      </c>
      <c r="J99" s="198">
        <f t="shared" si="28"/>
        <v>31929.886200000015</v>
      </c>
      <c r="K99" s="198">
        <f t="shared" si="28"/>
        <v>39794.147400000009</v>
      </c>
      <c r="L99" s="198">
        <f t="shared" si="28"/>
        <v>36082.265399999982</v>
      </c>
      <c r="M99" s="198">
        <f t="shared" si="28"/>
        <v>40239.265200000002</v>
      </c>
      <c r="N99" s="198">
        <f t="shared" si="28"/>
        <v>34421.929799999991</v>
      </c>
      <c r="O99" s="198">
        <f t="shared" si="28"/>
        <v>38582.01</v>
      </c>
      <c r="P99" s="198">
        <f t="shared" si="28"/>
        <v>29186.789999999997</v>
      </c>
      <c r="Q99" s="198">
        <f t="shared" si="28"/>
        <v>29433.221999999998</v>
      </c>
      <c r="R99" s="198"/>
      <c r="S99" s="199">
        <f>SUM(F99:R99)</f>
        <v>426208.76459999999</v>
      </c>
      <c r="T99" s="198"/>
      <c r="U99" s="198"/>
      <c r="V99" s="198"/>
      <c r="W99" s="198"/>
      <c r="X99" s="198"/>
      <c r="Y99" s="198"/>
    </row>
    <row r="100" spans="1:25">
      <c r="C100" s="118"/>
      <c r="D100" s="118"/>
      <c r="E100" s="116" t="str">
        <f>+E69</f>
        <v>Unregulated Garbage</v>
      </c>
      <c r="F100" s="166">
        <f>+F19*F69</f>
        <v>415222.51800000004</v>
      </c>
      <c r="G100" s="166">
        <f t="shared" si="28"/>
        <v>370821.63239999994</v>
      </c>
      <c r="H100" s="166">
        <f t="shared" si="28"/>
        <v>448560.14700000011</v>
      </c>
      <c r="I100" s="166">
        <f t="shared" si="28"/>
        <v>384909.84179999999</v>
      </c>
      <c r="J100" s="166">
        <f t="shared" si="28"/>
        <v>401778.11220000003</v>
      </c>
      <c r="K100" s="166">
        <f t="shared" si="28"/>
        <v>428947.24020000006</v>
      </c>
      <c r="L100" s="166">
        <f t="shared" si="28"/>
        <v>374327.12760000007</v>
      </c>
      <c r="M100" s="166">
        <f t="shared" si="28"/>
        <v>421147.66740000003</v>
      </c>
      <c r="N100" s="166">
        <f t="shared" si="28"/>
        <v>391796.076</v>
      </c>
      <c r="O100" s="166">
        <f t="shared" si="28"/>
        <v>375372.92340000003</v>
      </c>
      <c r="P100" s="166">
        <f t="shared" si="28"/>
        <v>382647.28799999994</v>
      </c>
      <c r="Q100" s="166">
        <f t="shared" si="28"/>
        <v>369931.39680000005</v>
      </c>
      <c r="R100" s="166"/>
      <c r="S100" s="127">
        <f>SUM(F100:R100)</f>
        <v>4765461.9708000012</v>
      </c>
      <c r="T100" s="166"/>
      <c r="U100" s="166"/>
      <c r="V100" s="166"/>
      <c r="W100" s="166"/>
      <c r="X100" s="166"/>
      <c r="Y100" s="166"/>
    </row>
    <row r="101" spans="1:25" s="197" customFormat="1">
      <c r="A101" s="196"/>
      <c r="B101" s="196"/>
      <c r="C101" s="196"/>
      <c r="D101" s="196"/>
      <c r="E101" s="197" t="str">
        <f>+E70</f>
        <v>Regulated RCY (MF)</v>
      </c>
      <c r="F101" s="198">
        <f>+F21*F70</f>
        <v>0</v>
      </c>
      <c r="G101" s="198">
        <f t="shared" ref="G101:Q101" si="29">+G21*G70</f>
        <v>0</v>
      </c>
      <c r="H101" s="198">
        <f t="shared" si="29"/>
        <v>0</v>
      </c>
      <c r="I101" s="198">
        <f t="shared" si="29"/>
        <v>0</v>
      </c>
      <c r="J101" s="198">
        <f t="shared" si="29"/>
        <v>0</v>
      </c>
      <c r="K101" s="198">
        <f t="shared" si="29"/>
        <v>0</v>
      </c>
      <c r="L101" s="198">
        <f t="shared" si="29"/>
        <v>0</v>
      </c>
      <c r="M101" s="198">
        <f t="shared" si="29"/>
        <v>0</v>
      </c>
      <c r="N101" s="198">
        <f t="shared" si="29"/>
        <v>0</v>
      </c>
      <c r="O101" s="198">
        <f t="shared" si="29"/>
        <v>0</v>
      </c>
      <c r="P101" s="198">
        <f t="shared" si="29"/>
        <v>0</v>
      </c>
      <c r="Q101" s="198">
        <f t="shared" si="29"/>
        <v>0</v>
      </c>
      <c r="R101" s="198"/>
      <c r="S101" s="199">
        <f>SUM(F101:R101)</f>
        <v>0</v>
      </c>
      <c r="T101" s="198"/>
      <c r="U101" s="198"/>
      <c r="V101" s="198"/>
      <c r="W101" s="198"/>
      <c r="X101" s="198"/>
      <c r="Y101" s="198"/>
    </row>
    <row r="102" spans="1:25">
      <c r="A102" s="118" t="str">
        <f>A23</f>
        <v>I</v>
      </c>
      <c r="B102" s="118" t="str">
        <f>B23</f>
        <v>RCY</v>
      </c>
      <c r="C102" s="118" t="str">
        <f>C23</f>
        <v>YW</v>
      </c>
      <c r="D102" s="118"/>
      <c r="E102" s="128" t="str">
        <f>+E71</f>
        <v>Unregulated RCY / COGS</v>
      </c>
      <c r="F102" s="200">
        <v>162667.43000000002</v>
      </c>
      <c r="G102" s="200">
        <v>137655.21</v>
      </c>
      <c r="H102" s="200">
        <v>160678.90999999997</v>
      </c>
      <c r="I102" s="200">
        <v>144261.75</v>
      </c>
      <c r="J102" s="200">
        <v>154608.19</v>
      </c>
      <c r="K102" s="200">
        <v>166312.93999999994</v>
      </c>
      <c r="L102" s="200">
        <v>138094.41999999998</v>
      </c>
      <c r="M102" s="200">
        <v>157206.60000000003</v>
      </c>
      <c r="N102" s="200">
        <v>190641.77999999997</v>
      </c>
      <c r="O102" s="200">
        <v>182307.39</v>
      </c>
      <c r="P102" s="200">
        <v>175927.81999999998</v>
      </c>
      <c r="Q102" s="200">
        <v>187039.81999999998</v>
      </c>
      <c r="R102" s="200"/>
      <c r="S102" s="143">
        <f>SUM(F102:R102)</f>
        <v>1957402.2600000002</v>
      </c>
      <c r="T102" s="166"/>
      <c r="U102" s="166"/>
      <c r="V102" s="166"/>
      <c r="W102" s="166"/>
      <c r="X102" s="166"/>
      <c r="Y102" s="166"/>
    </row>
    <row r="103" spans="1:25">
      <c r="C103" s="118"/>
      <c r="D103" s="118"/>
      <c r="E103" s="116" t="str">
        <f>+E25</f>
        <v>Total Roll-off / Industrial</v>
      </c>
      <c r="F103" s="166">
        <f>SUM(F99:F102)</f>
        <v>608860.28960000013</v>
      </c>
      <c r="G103" s="166">
        <f t="shared" ref="G103:Q103" si="30">SUM(G98:G102)</f>
        <v>547500.88979999989</v>
      </c>
      <c r="H103" s="166">
        <f t="shared" si="30"/>
        <v>651378.92900000012</v>
      </c>
      <c r="I103" s="166">
        <f t="shared" si="30"/>
        <v>563576.57939999993</v>
      </c>
      <c r="J103" s="166">
        <f t="shared" si="30"/>
        <v>588316.1884000001</v>
      </c>
      <c r="K103" s="166">
        <f t="shared" si="30"/>
        <v>635054.32759999996</v>
      </c>
      <c r="L103" s="166">
        <f t="shared" si="30"/>
        <v>548503.81300000008</v>
      </c>
      <c r="M103" s="166">
        <f t="shared" si="30"/>
        <v>618593.53260000004</v>
      </c>
      <c r="N103" s="166">
        <f t="shared" si="30"/>
        <v>616859.78579999995</v>
      </c>
      <c r="O103" s="166">
        <f t="shared" si="30"/>
        <v>596262.32340000011</v>
      </c>
      <c r="P103" s="166">
        <f t="shared" si="30"/>
        <v>587761.89799999993</v>
      </c>
      <c r="Q103" s="166">
        <f t="shared" si="30"/>
        <v>586404.4388</v>
      </c>
      <c r="R103" s="166"/>
      <c r="S103" s="127">
        <f>SUM(F103:R103)</f>
        <v>7149072.9954000004</v>
      </c>
      <c r="T103" s="166"/>
      <c r="U103" s="166"/>
      <c r="V103" s="166"/>
      <c r="W103" s="166"/>
      <c r="X103" s="166"/>
      <c r="Y103" s="166"/>
    </row>
    <row r="104" spans="1:25">
      <c r="C104" s="118"/>
      <c r="D104" s="118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79"/>
      <c r="T104" s="166"/>
      <c r="U104" s="166"/>
      <c r="V104" s="166"/>
      <c r="W104" s="166"/>
      <c r="X104" s="166"/>
      <c r="Y104" s="166"/>
    </row>
    <row r="105" spans="1:25">
      <c r="A105" s="118" t="str">
        <f>A18</f>
        <v>I</v>
      </c>
      <c r="B105" s="118" t="str">
        <f>+B18</f>
        <v>MSW</v>
      </c>
      <c r="C105" s="118">
        <f>C18</f>
        <v>20</v>
      </c>
      <c r="D105" s="118">
        <f>D18</f>
        <v>25</v>
      </c>
      <c r="E105" s="116" t="s">
        <v>140</v>
      </c>
      <c r="F105" s="166">
        <v>346159.08</v>
      </c>
      <c r="G105" s="166">
        <v>329517.46999999997</v>
      </c>
      <c r="H105" s="166">
        <v>391055.85</v>
      </c>
      <c r="I105" s="166">
        <v>317978.11</v>
      </c>
      <c r="J105" s="166">
        <v>323690.73000000004</v>
      </c>
      <c r="K105" s="166">
        <v>360948.22</v>
      </c>
      <c r="L105" s="166">
        <v>319531.69000000006</v>
      </c>
      <c r="M105" s="166">
        <v>345878.14</v>
      </c>
      <c r="N105" s="166">
        <v>318509.26</v>
      </c>
      <c r="O105" s="166">
        <v>310060.87</v>
      </c>
      <c r="P105" s="166">
        <v>316028.33</v>
      </c>
      <c r="Q105" s="166">
        <v>295906.95999999996</v>
      </c>
      <c r="R105" s="166"/>
      <c r="S105" s="127">
        <f>SUM(F105:R105)</f>
        <v>3975264.71</v>
      </c>
      <c r="T105" s="166"/>
      <c r="U105" s="166"/>
      <c r="V105" s="166"/>
      <c r="W105" s="166"/>
      <c r="X105" s="166"/>
      <c r="Y105" s="166"/>
    </row>
    <row r="106" spans="1:25">
      <c r="C106" s="118"/>
      <c r="D106" s="118"/>
      <c r="E106" s="116" t="s">
        <v>141</v>
      </c>
      <c r="F106" s="166">
        <f>+F107-F105</f>
        <v>296773.34999999992</v>
      </c>
      <c r="G106" s="166">
        <f t="shared" ref="G106:Q106" si="31">+G107-G105</f>
        <v>259320.18999999983</v>
      </c>
      <c r="H106" s="166">
        <f t="shared" si="31"/>
        <v>312810.96999999997</v>
      </c>
      <c r="I106" s="166">
        <f t="shared" si="31"/>
        <v>296040.49000000011</v>
      </c>
      <c r="J106" s="166">
        <f t="shared" si="31"/>
        <v>312012.82</v>
      </c>
      <c r="K106" s="166">
        <f t="shared" si="31"/>
        <v>318087.23</v>
      </c>
      <c r="L106" s="166">
        <f t="shared" si="31"/>
        <v>267399.04000000004</v>
      </c>
      <c r="M106" s="166">
        <f t="shared" si="31"/>
        <v>307117.08000000019</v>
      </c>
      <c r="N106" s="166">
        <f t="shared" si="31"/>
        <v>323938.71000000008</v>
      </c>
      <c r="O106" s="166">
        <f t="shared" si="31"/>
        <v>322784.48</v>
      </c>
      <c r="P106" s="166">
        <f t="shared" si="31"/>
        <v>311785.53999999998</v>
      </c>
      <c r="Q106" s="166">
        <f t="shared" si="31"/>
        <v>325167.5</v>
      </c>
      <c r="R106" s="166"/>
      <c r="S106" s="127">
        <f>SUM(F106:R106)</f>
        <v>3653237.4000000004</v>
      </c>
      <c r="T106" s="166"/>
      <c r="U106" s="166"/>
      <c r="V106" s="166"/>
      <c r="W106" s="166"/>
      <c r="X106" s="166"/>
      <c r="Y106" s="166"/>
    </row>
    <row r="107" spans="1:25">
      <c r="A107" s="118" t="str">
        <f>A105</f>
        <v>I</v>
      </c>
      <c r="C107" s="118"/>
      <c r="D107" s="118"/>
      <c r="E107" s="153" t="str">
        <f>+E30</f>
        <v>Total Roll-off / Industrial Pass Thru Disp.</v>
      </c>
      <c r="F107" s="201">
        <v>642932.42999999993</v>
      </c>
      <c r="G107" s="201">
        <v>588837.6599999998</v>
      </c>
      <c r="H107" s="201">
        <v>703866.82</v>
      </c>
      <c r="I107" s="201">
        <v>614018.60000000009</v>
      </c>
      <c r="J107" s="201">
        <v>635703.55000000005</v>
      </c>
      <c r="K107" s="201">
        <v>679035.45</v>
      </c>
      <c r="L107" s="201">
        <v>586930.7300000001</v>
      </c>
      <c r="M107" s="201">
        <v>652995.2200000002</v>
      </c>
      <c r="N107" s="201">
        <v>642447.97000000009</v>
      </c>
      <c r="O107" s="201">
        <v>632845.35</v>
      </c>
      <c r="P107" s="201">
        <v>627813.87</v>
      </c>
      <c r="Q107" s="201">
        <v>621074.46</v>
      </c>
      <c r="R107" s="201"/>
      <c r="S107" s="154">
        <f>SUM(F107:R107)</f>
        <v>7628502.1100000003</v>
      </c>
      <c r="T107" s="166"/>
      <c r="U107" s="166"/>
      <c r="V107" s="166"/>
      <c r="W107" s="166"/>
      <c r="X107" s="166"/>
      <c r="Y107" s="166"/>
    </row>
    <row r="108" spans="1:25">
      <c r="C108" s="118"/>
      <c r="D108" s="118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202"/>
      <c r="T108" s="166"/>
      <c r="U108" s="166"/>
      <c r="V108" s="166"/>
      <c r="W108" s="166"/>
      <c r="X108" s="166"/>
      <c r="Y108" s="166"/>
    </row>
    <row r="109" spans="1:25">
      <c r="C109" s="118"/>
      <c r="D109" s="118"/>
      <c r="E109" s="117" t="str">
        <f>+E76</f>
        <v>Commercial</v>
      </c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79"/>
      <c r="T109" s="166"/>
      <c r="U109" s="166"/>
      <c r="V109" s="166"/>
      <c r="W109" s="166"/>
      <c r="X109" s="166"/>
      <c r="Y109" s="166"/>
    </row>
    <row r="110" spans="1:25" s="197" customFormat="1">
      <c r="A110" s="196"/>
      <c r="B110" s="196"/>
      <c r="C110" s="196"/>
      <c r="D110" s="196"/>
      <c r="E110" s="197" t="str">
        <f>+E77</f>
        <v>Regulated Garbage</v>
      </c>
      <c r="F110" s="198">
        <f>+F33*F77</f>
        <v>53781.386621501821</v>
      </c>
      <c r="G110" s="198">
        <f t="shared" ref="G110:Q111" si="32">+G33*G77</f>
        <v>48964.441585886692</v>
      </c>
      <c r="H110" s="198">
        <f t="shared" si="32"/>
        <v>59323.282269568503</v>
      </c>
      <c r="I110" s="198">
        <f t="shared" si="32"/>
        <v>53299.43027734643</v>
      </c>
      <c r="J110" s="198">
        <f t="shared" si="32"/>
        <v>61482.414772752243</v>
      </c>
      <c r="K110" s="198">
        <f t="shared" si="32"/>
        <v>57204.566352911374</v>
      </c>
      <c r="L110" s="198">
        <f t="shared" si="32"/>
        <v>54363.535621725881</v>
      </c>
      <c r="M110" s="198">
        <f t="shared" si="32"/>
        <v>54250.158729363131</v>
      </c>
      <c r="N110" s="198">
        <f t="shared" si="32"/>
        <v>56416.833132537082</v>
      </c>
      <c r="O110" s="198">
        <f t="shared" si="32"/>
        <v>53528.232558356402</v>
      </c>
      <c r="P110" s="198">
        <f t="shared" si="32"/>
        <v>57578.811314841128</v>
      </c>
      <c r="Q110" s="198">
        <f t="shared" si="32"/>
        <v>55496.612533950531</v>
      </c>
      <c r="R110" s="198"/>
      <c r="S110" s="199">
        <f>SUM(F110:R110)</f>
        <v>665689.70577074122</v>
      </c>
      <c r="T110" s="198"/>
      <c r="U110" s="198"/>
      <c r="V110" s="198"/>
      <c r="W110" s="198"/>
      <c r="X110" s="198"/>
      <c r="Y110" s="198"/>
    </row>
    <row r="111" spans="1:25">
      <c r="C111" s="118"/>
      <c r="D111" s="118"/>
      <c r="E111" s="116" t="str">
        <f>+E78</f>
        <v>Unregulated Garbage</v>
      </c>
      <c r="F111" s="166">
        <f>+F34*F78</f>
        <v>529595.55373498565</v>
      </c>
      <c r="G111" s="166">
        <f t="shared" si="32"/>
        <v>432746.79394227266</v>
      </c>
      <c r="H111" s="166">
        <f t="shared" si="32"/>
        <v>511972.89496367914</v>
      </c>
      <c r="I111" s="166">
        <f t="shared" si="32"/>
        <v>462330.69134050934</v>
      </c>
      <c r="J111" s="166">
        <f t="shared" si="32"/>
        <v>503060.86532798264</v>
      </c>
      <c r="K111" s="166">
        <f t="shared" si="32"/>
        <v>500230.23744262703</v>
      </c>
      <c r="L111" s="166">
        <f t="shared" si="32"/>
        <v>445714.89851371903</v>
      </c>
      <c r="M111" s="166">
        <f t="shared" si="32"/>
        <v>486908.60264001798</v>
      </c>
      <c r="N111" s="166">
        <f t="shared" si="32"/>
        <v>459050.16388085537</v>
      </c>
      <c r="O111" s="166">
        <f t="shared" si="32"/>
        <v>457850.42000709724</v>
      </c>
      <c r="P111" s="166">
        <f t="shared" si="32"/>
        <v>475252.31057974935</v>
      </c>
      <c r="Q111" s="166">
        <f t="shared" si="32"/>
        <v>451879.64454773976</v>
      </c>
      <c r="R111" s="166"/>
      <c r="S111" s="127">
        <f>SUM(F111:R111)</f>
        <v>5716593.0769212358</v>
      </c>
      <c r="T111" s="166"/>
      <c r="U111" s="166"/>
      <c r="V111" s="166"/>
      <c r="W111" s="166"/>
      <c r="X111" s="166"/>
      <c r="Y111" s="166"/>
    </row>
    <row r="112" spans="1:25" s="197" customFormat="1">
      <c r="A112" s="196"/>
      <c r="B112" s="196"/>
      <c r="C112" s="196"/>
      <c r="D112" s="196"/>
      <c r="E112" s="197" t="str">
        <f>+E79</f>
        <v>Regulated RCY (MF)</v>
      </c>
      <c r="F112" s="198">
        <f>+F36*F79</f>
        <v>8727.554771144034</v>
      </c>
      <c r="G112" s="198">
        <f t="shared" ref="G112:Q112" si="33">+G36*G79</f>
        <v>7104.2493860675104</v>
      </c>
      <c r="H112" s="198">
        <f t="shared" si="33"/>
        <v>9433.5277461698552</v>
      </c>
      <c r="I112" s="198">
        <f t="shared" si="33"/>
        <v>7744.7440918380553</v>
      </c>
      <c r="J112" s="198">
        <f t="shared" si="33"/>
        <v>7331.1427375081539</v>
      </c>
      <c r="K112" s="198">
        <f t="shared" si="33"/>
        <v>7858.5101488063401</v>
      </c>
      <c r="L112" s="198">
        <f t="shared" si="33"/>
        <v>6105.6320034677956</v>
      </c>
      <c r="M112" s="198">
        <f t="shared" si="33"/>
        <v>5944.7079381484082</v>
      </c>
      <c r="N112" s="198">
        <f t="shared" si="33"/>
        <v>6281.742701874321</v>
      </c>
      <c r="O112" s="198">
        <f t="shared" si="33"/>
        <v>4736.8981043321164</v>
      </c>
      <c r="P112" s="198">
        <f t="shared" si="33"/>
        <v>4362.0675987917048</v>
      </c>
      <c r="Q112" s="198">
        <f t="shared" si="33"/>
        <v>5595.6629191396196</v>
      </c>
      <c r="R112" s="198"/>
      <c r="S112" s="199">
        <f>SUM(F112:R112)</f>
        <v>81226.440147287896</v>
      </c>
      <c r="T112" s="198"/>
      <c r="U112" s="198"/>
      <c r="V112" s="198"/>
      <c r="W112" s="198"/>
      <c r="X112" s="198"/>
      <c r="Y112" s="198"/>
    </row>
    <row r="113" spans="1:25">
      <c r="C113" s="118"/>
      <c r="D113" s="118"/>
      <c r="E113" s="128" t="str">
        <f>+E80</f>
        <v>Unregulated RCY / COGS</v>
      </c>
      <c r="F113" s="200">
        <f t="shared" ref="F113:Q113" si="34">+F37*F80</f>
        <v>73335.272591138695</v>
      </c>
      <c r="G113" s="200">
        <f t="shared" si="34"/>
        <v>60294.172164897645</v>
      </c>
      <c r="H113" s="200">
        <f t="shared" si="34"/>
        <v>78370.509123554279</v>
      </c>
      <c r="I113" s="200">
        <f t="shared" si="34"/>
        <v>66895.663767918682</v>
      </c>
      <c r="J113" s="200">
        <f t="shared" si="34"/>
        <v>73288.720654860095</v>
      </c>
      <c r="K113" s="200">
        <f t="shared" si="34"/>
        <v>73625.17750438799</v>
      </c>
      <c r="L113" s="200">
        <f t="shared" si="34"/>
        <v>60009.028546957292</v>
      </c>
      <c r="M113" s="200">
        <f t="shared" si="34"/>
        <v>67151.947605870155</v>
      </c>
      <c r="N113" s="200">
        <f t="shared" si="34"/>
        <v>63994.293705009608</v>
      </c>
      <c r="O113" s="200">
        <f t="shared" si="34"/>
        <v>65205.811338877276</v>
      </c>
      <c r="P113" s="200">
        <f t="shared" si="34"/>
        <v>74984.669009432168</v>
      </c>
      <c r="Q113" s="200">
        <f t="shared" si="34"/>
        <v>71386.660985152208</v>
      </c>
      <c r="R113" s="200"/>
      <c r="S113" s="143">
        <f>SUM(F113:R113)</f>
        <v>828541.92699805624</v>
      </c>
      <c r="T113" s="166"/>
      <c r="U113" s="166"/>
      <c r="V113" s="166"/>
      <c r="W113" s="166"/>
      <c r="X113" s="166"/>
      <c r="Y113" s="166"/>
    </row>
    <row r="114" spans="1:25">
      <c r="C114" s="118"/>
      <c r="D114" s="118"/>
      <c r="E114" s="116" t="str">
        <f>+E39</f>
        <v>Total Commercial per Disposal Report</v>
      </c>
      <c r="F114" s="166">
        <f>SUM(F110:F113)</f>
        <v>665439.76771877019</v>
      </c>
      <c r="G114" s="166">
        <f t="shared" ref="G114:Q114" si="35">SUM(G109:G113)</f>
        <v>549109.65707912447</v>
      </c>
      <c r="H114" s="166">
        <f t="shared" si="35"/>
        <v>659100.21410297183</v>
      </c>
      <c r="I114" s="166">
        <f t="shared" si="35"/>
        <v>590270.52947761246</v>
      </c>
      <c r="J114" s="166">
        <f t="shared" si="35"/>
        <v>645163.14349310321</v>
      </c>
      <c r="K114" s="166">
        <f t="shared" si="35"/>
        <v>638918.49144873279</v>
      </c>
      <c r="L114" s="166">
        <f t="shared" si="35"/>
        <v>566193.09468586999</v>
      </c>
      <c r="M114" s="166">
        <f t="shared" si="35"/>
        <v>614255.41691339971</v>
      </c>
      <c r="N114" s="166">
        <f t="shared" si="35"/>
        <v>585743.03342027636</v>
      </c>
      <c r="O114" s="166">
        <f t="shared" si="35"/>
        <v>581321.36200866301</v>
      </c>
      <c r="P114" s="166">
        <f t="shared" si="35"/>
        <v>612177.85850281431</v>
      </c>
      <c r="Q114" s="166">
        <f t="shared" si="35"/>
        <v>584358.58098598209</v>
      </c>
      <c r="R114" s="166"/>
      <c r="S114" s="127">
        <f>SUM(F114:R114)</f>
        <v>7292051.1498373207</v>
      </c>
      <c r="T114" s="166"/>
      <c r="U114" s="166"/>
      <c r="V114" s="166"/>
      <c r="W114" s="166"/>
      <c r="X114" s="166"/>
      <c r="Y114" s="166"/>
    </row>
    <row r="115" spans="1:25">
      <c r="C115" s="118"/>
      <c r="D115" s="118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79"/>
      <c r="T115" s="166"/>
      <c r="U115" s="166"/>
      <c r="V115" s="166"/>
      <c r="W115" s="166"/>
      <c r="X115" s="166"/>
      <c r="Y115" s="166"/>
    </row>
    <row r="116" spans="1:25">
      <c r="C116" s="118"/>
      <c r="D116" s="118"/>
      <c r="E116" s="117" t="str">
        <f t="shared" ref="E116:E122" si="36">+E82</f>
        <v>Residential</v>
      </c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79"/>
      <c r="T116" s="166"/>
      <c r="W116" s="166"/>
      <c r="X116" s="166"/>
      <c r="Y116" s="166"/>
    </row>
    <row r="117" spans="1:25" s="197" customFormat="1">
      <c r="A117" s="196"/>
      <c r="B117" s="196"/>
      <c r="C117" s="196"/>
      <c r="D117" s="196"/>
      <c r="E117" s="197" t="str">
        <f t="shared" si="36"/>
        <v>Regulated Garbage</v>
      </c>
      <c r="F117" s="198">
        <f t="shared" ref="F117:Q118" si="37">+F44*F83</f>
        <v>254309.71720230512</v>
      </c>
      <c r="G117" s="198">
        <f t="shared" si="37"/>
        <v>204795.3225186191</v>
      </c>
      <c r="H117" s="198">
        <f t="shared" si="37"/>
        <v>240420.00342626541</v>
      </c>
      <c r="I117" s="198">
        <f t="shared" si="37"/>
        <v>223837.11363333429</v>
      </c>
      <c r="J117" s="198">
        <f t="shared" si="37"/>
        <v>241564.94842344429</v>
      </c>
      <c r="K117" s="198">
        <f t="shared" si="37"/>
        <v>267328.61126334197</v>
      </c>
      <c r="L117" s="198">
        <f t="shared" si="37"/>
        <v>236706.31632531618</v>
      </c>
      <c r="M117" s="198">
        <f t="shared" si="37"/>
        <v>246737.98115153404</v>
      </c>
      <c r="N117" s="198">
        <f t="shared" si="37"/>
        <v>246531.79969292888</v>
      </c>
      <c r="O117" s="198">
        <f t="shared" si="37"/>
        <v>230800.79005592159</v>
      </c>
      <c r="P117" s="198">
        <f t="shared" si="37"/>
        <v>234953.52142796252</v>
      </c>
      <c r="Q117" s="198">
        <f t="shared" si="37"/>
        <v>226883.36069986082</v>
      </c>
      <c r="R117" s="198"/>
      <c r="S117" s="199">
        <f t="shared" ref="S117:S123" si="38">SUM(F117:R117)</f>
        <v>2854869.4858208345</v>
      </c>
      <c r="T117" s="198"/>
      <c r="U117" s="198"/>
      <c r="V117" s="198"/>
      <c r="W117" s="198"/>
      <c r="X117" s="198"/>
      <c r="Y117" s="198"/>
    </row>
    <row r="118" spans="1:25">
      <c r="C118" s="118"/>
      <c r="D118" s="118"/>
      <c r="E118" s="116" t="str">
        <f t="shared" si="36"/>
        <v>Unregulated Garbage</v>
      </c>
      <c r="F118" s="166">
        <f t="shared" si="37"/>
        <v>338566.54221829178</v>
      </c>
      <c r="G118" s="166">
        <f t="shared" si="37"/>
        <v>259621.79667426847</v>
      </c>
      <c r="H118" s="166">
        <f t="shared" si="37"/>
        <v>306178.8427292353</v>
      </c>
      <c r="I118" s="166">
        <f t="shared" si="37"/>
        <v>289459.27859234012</v>
      </c>
      <c r="J118" s="166">
        <f t="shared" si="37"/>
        <v>303442.23506285175</v>
      </c>
      <c r="K118" s="166">
        <f t="shared" si="37"/>
        <v>325360.45251418109</v>
      </c>
      <c r="L118" s="166">
        <f t="shared" si="37"/>
        <v>303846.60806075408</v>
      </c>
      <c r="M118" s="166">
        <f t="shared" si="37"/>
        <v>318075.28654162586</v>
      </c>
      <c r="N118" s="166">
        <f t="shared" si="37"/>
        <v>305732.47246743605</v>
      </c>
      <c r="O118" s="166">
        <f t="shared" si="37"/>
        <v>271020.78829890565</v>
      </c>
      <c r="P118" s="166">
        <f t="shared" si="37"/>
        <v>307570.06612347171</v>
      </c>
      <c r="Q118" s="166">
        <f t="shared" si="37"/>
        <v>281903.8925512245</v>
      </c>
      <c r="R118" s="166"/>
      <c r="S118" s="127">
        <f t="shared" si="38"/>
        <v>3610778.2618345865</v>
      </c>
      <c r="T118" s="166"/>
      <c r="U118" s="166"/>
      <c r="V118" s="166"/>
      <c r="W118" s="166"/>
      <c r="X118" s="166"/>
      <c r="Y118" s="166"/>
    </row>
    <row r="119" spans="1:25" s="197" customFormat="1">
      <c r="A119" s="196"/>
      <c r="B119" s="196"/>
      <c r="C119" s="196"/>
      <c r="D119" s="196"/>
      <c r="E119" s="197" t="str">
        <f t="shared" si="36"/>
        <v>Regulated Yardwaste</v>
      </c>
      <c r="F119" s="198">
        <f>+F47*F85</f>
        <v>24518.032960310487</v>
      </c>
      <c r="G119" s="198">
        <f t="shared" ref="G119:Q119" si="39">+G47*G85</f>
        <v>29242.133198450138</v>
      </c>
      <c r="H119" s="198">
        <f t="shared" si="39"/>
        <v>36744.230144680609</v>
      </c>
      <c r="I119" s="198">
        <f t="shared" si="39"/>
        <v>43453.210004964472</v>
      </c>
      <c r="J119" s="198">
        <f t="shared" si="39"/>
        <v>63105.288054604491</v>
      </c>
      <c r="K119" s="198">
        <f t="shared" si="39"/>
        <v>63217.175025882905</v>
      </c>
      <c r="L119" s="198">
        <f t="shared" si="39"/>
        <v>47774.816632238653</v>
      </c>
      <c r="M119" s="198">
        <f t="shared" si="39"/>
        <v>35181.913384331609</v>
      </c>
      <c r="N119" s="198">
        <f t="shared" si="39"/>
        <v>30748.413519145888</v>
      </c>
      <c r="O119" s="198">
        <f t="shared" si="39"/>
        <v>27375.643661217942</v>
      </c>
      <c r="P119" s="198">
        <f t="shared" si="39"/>
        <v>38725.122231337278</v>
      </c>
      <c r="Q119" s="198">
        <f t="shared" si="39"/>
        <v>31644.072368402536</v>
      </c>
      <c r="R119" s="198"/>
      <c r="S119" s="199">
        <f t="shared" si="38"/>
        <v>471730.05118556705</v>
      </c>
      <c r="T119" s="198"/>
      <c r="U119" s="198"/>
      <c r="V119" s="198"/>
      <c r="W119" s="198"/>
      <c r="X119" s="198"/>
      <c r="Y119" s="198"/>
    </row>
    <row r="120" spans="1:25">
      <c r="C120" s="118"/>
      <c r="D120" s="118"/>
      <c r="E120" s="116" t="str">
        <f t="shared" si="36"/>
        <v>Unregulated Yardwaste</v>
      </c>
      <c r="F120" s="166">
        <f t="shared" ref="F120:Q120" si="40">+F48*F86</f>
        <v>38024.804778527032</v>
      </c>
      <c r="G120" s="166">
        <f t="shared" si="40"/>
        <v>47687.497773863601</v>
      </c>
      <c r="H120" s="166">
        <f t="shared" si="40"/>
        <v>58149.834757865916</v>
      </c>
      <c r="I120" s="166">
        <f t="shared" si="40"/>
        <v>89006.529035597749</v>
      </c>
      <c r="J120" s="166">
        <f t="shared" si="40"/>
        <v>117868.72665093845</v>
      </c>
      <c r="K120" s="166">
        <f t="shared" si="40"/>
        <v>128006.77020079973</v>
      </c>
      <c r="L120" s="166">
        <f t="shared" si="40"/>
        <v>91802.819343131108</v>
      </c>
      <c r="M120" s="166">
        <f t="shared" si="40"/>
        <v>62558.395008903732</v>
      </c>
      <c r="N120" s="166">
        <f t="shared" si="40"/>
        <v>58880.328828710022</v>
      </c>
      <c r="O120" s="166">
        <f t="shared" si="40"/>
        <v>53071.598127314137</v>
      </c>
      <c r="P120" s="166">
        <f t="shared" si="40"/>
        <v>77589.124155472309</v>
      </c>
      <c r="Q120" s="166">
        <f t="shared" si="40"/>
        <v>38901.918514005949</v>
      </c>
      <c r="R120" s="166"/>
      <c r="S120" s="127">
        <f t="shared" si="38"/>
        <v>861548.34717512969</v>
      </c>
      <c r="T120" s="166"/>
      <c r="U120" s="166"/>
      <c r="V120" s="166"/>
      <c r="W120" s="166"/>
      <c r="X120" s="166"/>
      <c r="Y120" s="166"/>
    </row>
    <row r="121" spans="1:25" s="197" customFormat="1">
      <c r="A121" s="196"/>
      <c r="B121" s="196"/>
      <c r="C121" s="196"/>
      <c r="D121" s="196"/>
      <c r="E121" s="197" t="str">
        <f t="shared" si="36"/>
        <v>Regulated RCY</v>
      </c>
      <c r="F121" s="198">
        <f>+F50*F87</f>
        <v>84117.317140851301</v>
      </c>
      <c r="G121" s="198">
        <f t="shared" ref="G121:Q121" si="41">+G50*G87</f>
        <v>62577.335578817496</v>
      </c>
      <c r="H121" s="198">
        <f t="shared" si="41"/>
        <v>72935.405744716947</v>
      </c>
      <c r="I121" s="198">
        <f t="shared" si="41"/>
        <v>64151.257261976978</v>
      </c>
      <c r="J121" s="198">
        <f t="shared" si="41"/>
        <v>66827.321659796973</v>
      </c>
      <c r="K121" s="198">
        <f t="shared" si="41"/>
        <v>71803.916072919834</v>
      </c>
      <c r="L121" s="198">
        <f t="shared" si="41"/>
        <v>70261.987040650507</v>
      </c>
      <c r="M121" s="198">
        <f t="shared" si="41"/>
        <v>61870.490351317552</v>
      </c>
      <c r="N121" s="198">
        <f t="shared" si="41"/>
        <v>61924.639070142875</v>
      </c>
      <c r="O121" s="198">
        <f t="shared" si="41"/>
        <v>66394.102230334203</v>
      </c>
      <c r="P121" s="198">
        <f t="shared" si="41"/>
        <v>69647.448392592822</v>
      </c>
      <c r="Q121" s="198">
        <f t="shared" si="41"/>
        <v>41863.113098906069</v>
      </c>
      <c r="R121" s="198"/>
      <c r="S121" s="199">
        <f t="shared" si="38"/>
        <v>794374.33364302362</v>
      </c>
      <c r="T121" s="198"/>
      <c r="U121" s="198"/>
      <c r="V121" s="198"/>
      <c r="W121" s="198"/>
      <c r="X121" s="198"/>
      <c r="Y121" s="198"/>
    </row>
    <row r="122" spans="1:25">
      <c r="C122" s="118"/>
      <c r="D122" s="118"/>
      <c r="E122" s="128" t="str">
        <f t="shared" si="36"/>
        <v>Unregulated RCY</v>
      </c>
      <c r="F122" s="200">
        <f t="shared" ref="F122:Q122" si="42">+F51*F88</f>
        <v>105905.86418235888</v>
      </c>
      <c r="G122" s="200">
        <f t="shared" si="42"/>
        <v>85432.095962825391</v>
      </c>
      <c r="H122" s="200">
        <f t="shared" si="42"/>
        <v>101598.66309870912</v>
      </c>
      <c r="I122" s="200">
        <f t="shared" si="42"/>
        <v>88389.039038641989</v>
      </c>
      <c r="J122" s="200">
        <f t="shared" si="42"/>
        <v>87352.543280504266</v>
      </c>
      <c r="K122" s="200">
        <f t="shared" si="42"/>
        <v>89821.191676951159</v>
      </c>
      <c r="L122" s="200">
        <f t="shared" si="42"/>
        <v>86779.753807650952</v>
      </c>
      <c r="M122" s="200">
        <f t="shared" si="42"/>
        <v>93301.070511967002</v>
      </c>
      <c r="N122" s="200">
        <f t="shared" si="42"/>
        <v>90726.148960155144</v>
      </c>
      <c r="O122" s="200">
        <f t="shared" si="42"/>
        <v>84741.326921638349</v>
      </c>
      <c r="P122" s="200">
        <f t="shared" si="42"/>
        <v>88106.613223620108</v>
      </c>
      <c r="Q122" s="200">
        <f t="shared" si="42"/>
        <v>102778.0482538856</v>
      </c>
      <c r="R122" s="200"/>
      <c r="S122" s="143">
        <f t="shared" si="38"/>
        <v>1104932.3589189081</v>
      </c>
      <c r="T122" s="166"/>
      <c r="U122" s="166"/>
      <c r="V122" s="166"/>
      <c r="W122" s="166"/>
      <c r="X122" s="166"/>
      <c r="Y122" s="166"/>
    </row>
    <row r="123" spans="1:25">
      <c r="C123" s="118"/>
      <c r="D123" s="118"/>
      <c r="E123" s="116" t="str">
        <f>+E53</f>
        <v>Total Residential per Disposal Report</v>
      </c>
      <c r="F123" s="166">
        <f>SUM(F117:F122)</f>
        <v>845442.27848264447</v>
      </c>
      <c r="G123" s="166">
        <f t="shared" ref="G123:Q123" si="43">SUM(G117:G122)</f>
        <v>689356.18170684413</v>
      </c>
      <c r="H123" s="166">
        <f t="shared" si="43"/>
        <v>816026.97990147327</v>
      </c>
      <c r="I123" s="166">
        <f t="shared" si="43"/>
        <v>798296.42756685545</v>
      </c>
      <c r="J123" s="166">
        <f t="shared" si="43"/>
        <v>880161.06313214032</v>
      </c>
      <c r="K123" s="166">
        <f t="shared" si="43"/>
        <v>945538.11675407668</v>
      </c>
      <c r="L123" s="166">
        <f t="shared" si="43"/>
        <v>837172.30120974162</v>
      </c>
      <c r="M123" s="166">
        <f t="shared" si="43"/>
        <v>817725.13694967981</v>
      </c>
      <c r="N123" s="166">
        <f t="shared" si="43"/>
        <v>794543.80253851879</v>
      </c>
      <c r="O123" s="166">
        <f t="shared" si="43"/>
        <v>733404.24929533189</v>
      </c>
      <c r="P123" s="166">
        <f t="shared" si="43"/>
        <v>816591.89555445674</v>
      </c>
      <c r="Q123" s="166">
        <f t="shared" si="43"/>
        <v>723974.40548628545</v>
      </c>
      <c r="R123" s="166"/>
      <c r="S123" s="127">
        <f t="shared" si="38"/>
        <v>9698232.8385780472</v>
      </c>
      <c r="T123" s="166"/>
      <c r="U123" s="166"/>
      <c r="V123" s="166"/>
      <c r="W123" s="166"/>
      <c r="X123" s="166"/>
      <c r="Y123" s="166"/>
    </row>
    <row r="124" spans="1:25">
      <c r="C124" s="118"/>
      <c r="D124" s="118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79"/>
      <c r="T124" s="166"/>
      <c r="U124" s="166"/>
      <c r="V124" s="166"/>
      <c r="W124" s="166"/>
      <c r="X124" s="166"/>
      <c r="Y124" s="166"/>
    </row>
    <row r="125" spans="1:25">
      <c r="C125" s="118"/>
      <c r="D125" s="118"/>
      <c r="E125" s="116" t="s">
        <v>142</v>
      </c>
      <c r="F125" s="166">
        <f>SUM(F99,F101,F110,F112,F117,F119,F121)</f>
        <v>456424.35029611271</v>
      </c>
      <c r="G125" s="166">
        <f t="shared" ref="G125:P125" si="44">SUM(G99,G101,G110,G112,G117,G119,G121)</f>
        <v>391707.52966784092</v>
      </c>
      <c r="H125" s="166">
        <f t="shared" si="44"/>
        <v>460996.3213314013</v>
      </c>
      <c r="I125" s="166">
        <f t="shared" si="44"/>
        <v>426890.74286946026</v>
      </c>
      <c r="J125" s="166">
        <f t="shared" si="44"/>
        <v>472241.00184810621</v>
      </c>
      <c r="K125" s="166">
        <f t="shared" si="44"/>
        <v>507206.92626386241</v>
      </c>
      <c r="L125" s="166">
        <f t="shared" si="44"/>
        <v>451294.55302339903</v>
      </c>
      <c r="M125" s="166">
        <f t="shared" si="44"/>
        <v>444224.51675469475</v>
      </c>
      <c r="N125" s="166">
        <f t="shared" si="44"/>
        <v>436325.357916629</v>
      </c>
      <c r="O125" s="166">
        <f t="shared" si="44"/>
        <v>421417.67661016225</v>
      </c>
      <c r="P125" s="166">
        <f t="shared" si="44"/>
        <v>434453.76096552546</v>
      </c>
      <c r="Q125" s="166">
        <f>SUM(Q99,Q101,Q110,Q112,Q117,Q119,Q121)</f>
        <v>390916.04362025962</v>
      </c>
      <c r="R125" s="166"/>
      <c r="S125" s="127">
        <f>SUM(F125:R125)</f>
        <v>5294098.7811674532</v>
      </c>
      <c r="T125" s="166"/>
      <c r="U125" s="166"/>
      <c r="V125" s="166"/>
      <c r="W125" s="166"/>
      <c r="X125" s="166"/>
      <c r="Y125" s="166"/>
    </row>
    <row r="126" spans="1:25">
      <c r="C126" s="118"/>
      <c r="D126" s="118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79"/>
      <c r="T126" s="166"/>
      <c r="U126" s="166"/>
      <c r="V126" s="166"/>
      <c r="W126" s="166"/>
      <c r="X126" s="166"/>
      <c r="Y126" s="166"/>
    </row>
    <row r="127" spans="1:25">
      <c r="C127" s="118"/>
      <c r="D127" s="118"/>
      <c r="E127" s="116" t="s">
        <v>143</v>
      </c>
      <c r="F127" s="166">
        <f>+F103+F114+F123</f>
        <v>2119742.3358014147</v>
      </c>
      <c r="G127" s="166">
        <f t="shared" ref="G127:Q127" si="45">+G103+G114+G123</f>
        <v>1785966.7285859685</v>
      </c>
      <c r="H127" s="166">
        <f t="shared" si="45"/>
        <v>2126506.1230044449</v>
      </c>
      <c r="I127" s="166">
        <f t="shared" si="45"/>
        <v>1952143.5364444677</v>
      </c>
      <c r="J127" s="166">
        <f t="shared" si="45"/>
        <v>2113640.3950252435</v>
      </c>
      <c r="K127" s="166">
        <f t="shared" si="45"/>
        <v>2219510.9358028094</v>
      </c>
      <c r="L127" s="166">
        <f t="shared" si="45"/>
        <v>1951869.2088956116</v>
      </c>
      <c r="M127" s="166">
        <f t="shared" si="45"/>
        <v>2050574.0864630796</v>
      </c>
      <c r="N127" s="166">
        <f t="shared" si="45"/>
        <v>1997146.6217587951</v>
      </c>
      <c r="O127" s="166">
        <f t="shared" si="45"/>
        <v>1910987.934703995</v>
      </c>
      <c r="P127" s="166">
        <f t="shared" si="45"/>
        <v>2016531.652057271</v>
      </c>
      <c r="Q127" s="166">
        <f t="shared" si="45"/>
        <v>1894737.4252722675</v>
      </c>
      <c r="R127" s="166"/>
      <c r="S127" s="166">
        <f>+S103+S114+S123</f>
        <v>24139356.983815368</v>
      </c>
      <c r="T127" s="166"/>
      <c r="U127" s="166"/>
      <c r="V127" s="166"/>
      <c r="W127" s="166"/>
      <c r="X127" s="166"/>
      <c r="Y127" s="166"/>
    </row>
    <row r="128" spans="1:25">
      <c r="C128" s="118"/>
      <c r="D128" s="118"/>
      <c r="E128" s="176" t="s">
        <v>121</v>
      </c>
      <c r="F128" s="177">
        <f>+F127/F94-1</f>
        <v>6.8484795476408067E-2</v>
      </c>
      <c r="G128" s="177">
        <f t="shared" ref="G128:Q128" si="46">+G127/G94-1</f>
        <v>-3.9660574780753022E-2</v>
      </c>
      <c r="H128" s="177">
        <f t="shared" si="46"/>
        <v>1.0594226222981895E-4</v>
      </c>
      <c r="I128" s="177">
        <f t="shared" si="46"/>
        <v>-1.5150151823234093E-2</v>
      </c>
      <c r="J128" s="177">
        <f t="shared" si="46"/>
        <v>-2.7507509756615978E-2</v>
      </c>
      <c r="K128" s="177">
        <f t="shared" si="46"/>
        <v>-5.8024319171935401E-3</v>
      </c>
      <c r="L128" s="177">
        <f t="shared" si="46"/>
        <v>-2.6025545195029753E-3</v>
      </c>
      <c r="M128" s="177">
        <f t="shared" si="46"/>
        <v>-5.2169578266902716E-2</v>
      </c>
      <c r="N128" s="177">
        <f t="shared" si="46"/>
        <v>-2.0438868673379629E-2</v>
      </c>
      <c r="O128" s="177">
        <f t="shared" si="46"/>
        <v>-6.9907849960997304E-3</v>
      </c>
      <c r="P128" s="177">
        <f t="shared" si="46"/>
        <v>-9.9539284795410188E-2</v>
      </c>
      <c r="Q128" s="177">
        <f t="shared" si="46"/>
        <v>6.9160500591219254E-2</v>
      </c>
      <c r="R128" s="177"/>
      <c r="S128" s="177">
        <f>+S127/S94-1</f>
        <v>-1.2835452327694896E-2</v>
      </c>
      <c r="T128" s="166"/>
      <c r="U128" s="166"/>
      <c r="V128" s="166"/>
      <c r="W128" s="166"/>
      <c r="X128" s="166"/>
      <c r="Y128" s="166"/>
    </row>
    <row r="129" spans="3:25">
      <c r="C129" s="118"/>
      <c r="D129" s="118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79"/>
      <c r="T129" s="166"/>
      <c r="U129" s="166"/>
      <c r="V129" s="166"/>
      <c r="W129" s="166"/>
      <c r="X129" s="166"/>
      <c r="Y129" s="166"/>
    </row>
    <row r="130" spans="3:25">
      <c r="C130" s="118"/>
      <c r="D130" s="118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79"/>
      <c r="T130" s="166"/>
      <c r="U130" s="166"/>
      <c r="V130" s="166"/>
      <c r="W130" s="166"/>
      <c r="X130" s="166"/>
      <c r="Y130" s="166"/>
    </row>
    <row r="131" spans="3:25"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79"/>
      <c r="T131" s="166"/>
      <c r="U131" s="166"/>
      <c r="V131" s="166"/>
      <c r="W131" s="166"/>
      <c r="X131" s="166"/>
      <c r="Y131" s="166"/>
    </row>
    <row r="132" spans="3:25"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79"/>
      <c r="T132" s="166"/>
      <c r="U132" s="166"/>
      <c r="V132" s="166"/>
      <c r="W132" s="166"/>
      <c r="X132" s="166"/>
      <c r="Y132" s="166"/>
    </row>
    <row r="133" spans="3:25"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79"/>
      <c r="T133" s="166"/>
      <c r="U133" s="166"/>
      <c r="V133" s="166"/>
      <c r="W133" s="166"/>
      <c r="X133" s="166"/>
      <c r="Y133" s="166"/>
    </row>
    <row r="134" spans="3:25"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79"/>
      <c r="T134" s="166"/>
      <c r="U134" s="166"/>
      <c r="V134" s="166"/>
      <c r="W134" s="166"/>
      <c r="X134" s="166"/>
      <c r="Y134" s="166"/>
    </row>
    <row r="135" spans="3:25"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79"/>
      <c r="T135" s="166"/>
      <c r="U135" s="166"/>
      <c r="V135" s="166"/>
      <c r="W135" s="166"/>
      <c r="X135" s="166"/>
      <c r="Y135" s="166"/>
    </row>
    <row r="136" spans="3:25"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79"/>
      <c r="T136" s="166"/>
      <c r="U136" s="166"/>
      <c r="V136" s="166"/>
      <c r="W136" s="166"/>
      <c r="X136" s="166"/>
      <c r="Y136" s="166"/>
    </row>
    <row r="137" spans="3:25"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79"/>
      <c r="T137" s="166"/>
      <c r="U137" s="166"/>
      <c r="V137" s="166"/>
      <c r="W137" s="166"/>
      <c r="X137" s="166"/>
      <c r="Y137" s="166"/>
    </row>
    <row r="138" spans="3:25"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79"/>
      <c r="T138" s="166"/>
      <c r="U138" s="166"/>
      <c r="V138" s="166"/>
      <c r="W138" s="166"/>
      <c r="X138" s="166"/>
      <c r="Y138" s="166"/>
    </row>
    <row r="139" spans="3:25"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79"/>
      <c r="T139" s="166"/>
      <c r="U139" s="166"/>
      <c r="V139" s="166"/>
      <c r="W139" s="203"/>
      <c r="X139" s="166"/>
      <c r="Y139" s="166"/>
    </row>
    <row r="140" spans="3:25"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79"/>
      <c r="T140" s="166"/>
      <c r="U140" s="166"/>
      <c r="V140" s="166"/>
      <c r="W140" s="204"/>
      <c r="X140" s="204"/>
      <c r="Y140" s="166"/>
    </row>
    <row r="141" spans="3:25"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79"/>
      <c r="T141" s="166"/>
      <c r="U141" s="166"/>
      <c r="V141" s="166"/>
      <c r="W141" s="205"/>
      <c r="X141" s="206"/>
      <c r="Y141" s="166"/>
    </row>
    <row r="142" spans="3:25"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79"/>
      <c r="T142" s="166"/>
      <c r="U142" s="166"/>
      <c r="V142" s="166"/>
      <c r="W142" s="205"/>
      <c r="X142" s="206"/>
      <c r="Y142" s="166"/>
    </row>
    <row r="143" spans="3:25"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79"/>
      <c r="T143" s="166"/>
      <c r="U143" s="166"/>
      <c r="V143" s="166"/>
      <c r="W143" s="166"/>
      <c r="X143" s="206"/>
      <c r="Y143" s="206"/>
    </row>
    <row r="144" spans="3:25"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79"/>
      <c r="T144" s="166"/>
      <c r="U144" s="166"/>
      <c r="V144" s="166"/>
      <c r="W144" s="166"/>
      <c r="X144" s="166"/>
      <c r="Y144" s="166"/>
    </row>
    <row r="145" spans="6:25"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79"/>
      <c r="T145" s="166"/>
      <c r="U145" s="166"/>
      <c r="V145" s="166"/>
      <c r="W145" s="166"/>
      <c r="X145" s="166"/>
      <c r="Y145" s="166"/>
    </row>
    <row r="146" spans="6:25"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79"/>
      <c r="T146" s="166"/>
      <c r="U146" s="166"/>
      <c r="V146" s="166"/>
      <c r="W146" s="166"/>
      <c r="X146" s="166"/>
      <c r="Y146" s="166"/>
    </row>
    <row r="147" spans="6:25"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79"/>
      <c r="T147" s="166"/>
      <c r="U147" s="166"/>
      <c r="V147" s="166"/>
      <c r="W147" s="166"/>
      <c r="X147" s="166"/>
      <c r="Y147" s="166"/>
    </row>
    <row r="148" spans="6:25"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79"/>
      <c r="T148" s="166"/>
      <c r="U148" s="166"/>
      <c r="V148" s="166"/>
      <c r="W148" s="166"/>
      <c r="X148" s="166"/>
      <c r="Y148" s="166"/>
    </row>
    <row r="149" spans="6:25"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79"/>
      <c r="T149" s="166"/>
      <c r="U149" s="166"/>
      <c r="V149" s="166"/>
      <c r="W149" s="166"/>
      <c r="X149" s="166"/>
      <c r="Y149" s="166"/>
    </row>
    <row r="150" spans="6:25"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79"/>
      <c r="T150" s="166"/>
      <c r="U150" s="166"/>
      <c r="V150" s="166"/>
      <c r="W150" s="166"/>
      <c r="X150" s="166"/>
      <c r="Y150" s="166"/>
    </row>
    <row r="151" spans="6:25"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79"/>
      <c r="T151" s="166"/>
      <c r="U151" s="166"/>
      <c r="V151" s="166"/>
      <c r="W151" s="166"/>
      <c r="X151" s="166"/>
      <c r="Y151" s="166"/>
    </row>
    <row r="152" spans="6:25"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79"/>
      <c r="T152" s="166"/>
      <c r="U152" s="166"/>
      <c r="V152" s="166"/>
      <c r="W152" s="166"/>
      <c r="X152" s="166"/>
      <c r="Y152" s="166"/>
    </row>
    <row r="153" spans="6:25"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79"/>
      <c r="T153" s="166"/>
      <c r="U153" s="166"/>
      <c r="V153" s="166"/>
      <c r="W153" s="203"/>
      <c r="X153" s="166"/>
      <c r="Y153" s="166"/>
    </row>
    <row r="154" spans="6:25"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79"/>
      <c r="T154" s="166"/>
      <c r="U154" s="166"/>
      <c r="V154" s="166"/>
      <c r="W154" s="204"/>
      <c r="X154" s="204"/>
      <c r="Y154" s="166"/>
    </row>
    <row r="155" spans="6:25"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79"/>
      <c r="T155" s="166"/>
      <c r="U155" s="166"/>
      <c r="V155" s="166"/>
      <c r="W155" s="166"/>
      <c r="X155" s="166"/>
      <c r="Y155" s="166"/>
    </row>
    <row r="156" spans="6:25"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79"/>
      <c r="T156" s="166"/>
      <c r="U156" s="166"/>
      <c r="V156" s="166"/>
      <c r="W156" s="166"/>
      <c r="X156" s="166"/>
      <c r="Y156" s="166"/>
    </row>
    <row r="157" spans="6:25"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79"/>
      <c r="T157" s="166"/>
      <c r="U157" s="166"/>
      <c r="V157" s="166"/>
      <c r="W157" s="166"/>
      <c r="X157" s="206"/>
      <c r="Y157" s="206"/>
    </row>
    <row r="158" spans="6:25"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79"/>
      <c r="T158" s="166"/>
      <c r="U158" s="166"/>
      <c r="V158" s="166"/>
      <c r="W158" s="166"/>
      <c r="X158" s="166"/>
      <c r="Y158" s="166"/>
    </row>
    <row r="159" spans="6:25"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79"/>
      <c r="T159" s="166"/>
      <c r="U159" s="166"/>
      <c r="V159" s="166"/>
      <c r="W159" s="166"/>
      <c r="X159" s="166"/>
      <c r="Y159" s="166"/>
    </row>
    <row r="160" spans="6:25"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79"/>
      <c r="T160" s="166"/>
      <c r="U160" s="166"/>
      <c r="V160" s="166"/>
      <c r="W160" s="166"/>
      <c r="X160" s="166"/>
      <c r="Y160" s="166"/>
    </row>
    <row r="161" spans="6:25"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79"/>
      <c r="T161" s="166"/>
      <c r="U161" s="166"/>
      <c r="V161" s="166"/>
      <c r="W161" s="166"/>
      <c r="X161" s="166"/>
      <c r="Y161" s="166"/>
    </row>
    <row r="162" spans="6:25"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79"/>
      <c r="T162" s="166"/>
      <c r="U162" s="166"/>
      <c r="V162" s="166"/>
      <c r="W162" s="166"/>
      <c r="X162" s="166"/>
      <c r="Y162" s="166"/>
    </row>
    <row r="163" spans="6:25"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79"/>
      <c r="T163" s="166"/>
      <c r="U163" s="166"/>
      <c r="V163" s="166"/>
      <c r="W163" s="166"/>
      <c r="X163" s="166"/>
      <c r="Y163" s="166"/>
    </row>
    <row r="164" spans="6:25"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79"/>
      <c r="T164" s="166"/>
      <c r="U164" s="166"/>
      <c r="V164" s="166"/>
      <c r="W164" s="166"/>
      <c r="X164" s="166"/>
      <c r="Y164" s="166"/>
    </row>
    <row r="165" spans="6:25"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79"/>
      <c r="T165" s="166"/>
      <c r="U165" s="166"/>
      <c r="V165" s="166"/>
      <c r="W165" s="166"/>
      <c r="X165" s="166"/>
      <c r="Y165" s="166"/>
    </row>
    <row r="166" spans="6:25"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79"/>
      <c r="T166" s="166"/>
      <c r="U166" s="166"/>
      <c r="V166" s="166"/>
      <c r="W166" s="166"/>
      <c r="X166" s="166"/>
      <c r="Y166" s="166"/>
    </row>
    <row r="167" spans="6:25"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79"/>
      <c r="T167" s="166"/>
      <c r="U167" s="166"/>
      <c r="V167" s="166"/>
      <c r="W167" s="166"/>
      <c r="X167" s="166"/>
      <c r="Y167" s="166"/>
    </row>
    <row r="168" spans="6:25"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79"/>
      <c r="T168" s="166"/>
      <c r="U168" s="166"/>
      <c r="V168" s="166"/>
      <c r="W168" s="166"/>
      <c r="X168" s="166"/>
      <c r="Y168" s="166"/>
    </row>
    <row r="169" spans="6:25"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79"/>
      <c r="T169" s="166"/>
      <c r="U169" s="166"/>
      <c r="V169" s="166"/>
      <c r="W169" s="166"/>
      <c r="X169" s="166"/>
      <c r="Y169" s="166"/>
    </row>
    <row r="170" spans="6:25"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79"/>
      <c r="T170" s="166"/>
      <c r="U170" s="166"/>
      <c r="V170" s="166"/>
      <c r="W170" s="166"/>
      <c r="X170" s="166"/>
      <c r="Y170" s="166"/>
    </row>
    <row r="171" spans="6:25"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79"/>
      <c r="T171" s="166"/>
      <c r="U171" s="166"/>
      <c r="V171" s="166"/>
      <c r="W171" s="203"/>
      <c r="X171" s="166"/>
      <c r="Y171" s="166"/>
    </row>
    <row r="172" spans="6:25"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79"/>
      <c r="T172" s="166"/>
      <c r="U172" s="166"/>
      <c r="V172" s="166"/>
      <c r="W172" s="204"/>
      <c r="X172" s="204"/>
      <c r="Y172" s="166"/>
    </row>
    <row r="173" spans="6:25"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79"/>
      <c r="T173" s="166"/>
      <c r="U173" s="166"/>
      <c r="V173" s="166"/>
      <c r="W173" s="166"/>
      <c r="X173" s="166"/>
      <c r="Y173" s="166"/>
    </row>
    <row r="174" spans="6:25"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79"/>
      <c r="T174" s="166"/>
      <c r="U174" s="166"/>
      <c r="V174" s="166"/>
      <c r="W174" s="166"/>
      <c r="X174" s="166"/>
      <c r="Y174" s="166"/>
    </row>
    <row r="175" spans="6:25"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79"/>
      <c r="T175" s="166"/>
      <c r="U175" s="166"/>
      <c r="V175" s="166"/>
      <c r="W175" s="166"/>
      <c r="X175" s="206"/>
      <c r="Y175" s="206"/>
    </row>
    <row r="176" spans="6:25"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79"/>
      <c r="T176" s="166"/>
      <c r="U176" s="166"/>
      <c r="V176" s="166"/>
      <c r="W176" s="166"/>
      <c r="X176" s="166"/>
      <c r="Y176" s="166"/>
    </row>
    <row r="177" spans="6:25"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79"/>
      <c r="T177" s="166"/>
      <c r="U177" s="166"/>
      <c r="V177" s="166"/>
      <c r="W177" s="166"/>
      <c r="X177" s="166"/>
      <c r="Y177" s="166"/>
    </row>
    <row r="178" spans="6:25"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79"/>
      <c r="T178" s="166"/>
      <c r="U178" s="166"/>
      <c r="V178" s="166"/>
      <c r="W178" s="166"/>
      <c r="X178" s="166"/>
      <c r="Y178" s="166"/>
    </row>
    <row r="179" spans="6:25"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79"/>
      <c r="T179" s="166"/>
      <c r="U179" s="166"/>
      <c r="V179" s="166"/>
      <c r="W179" s="166"/>
      <c r="X179" s="166"/>
      <c r="Y179" s="166"/>
    </row>
    <row r="180" spans="6:25"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79"/>
      <c r="T180" s="166"/>
      <c r="U180" s="166"/>
      <c r="V180" s="166"/>
      <c r="W180" s="166"/>
      <c r="X180" s="166"/>
      <c r="Y180" s="166"/>
    </row>
    <row r="181" spans="6:25"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79"/>
      <c r="T181" s="166"/>
      <c r="U181" s="166"/>
      <c r="V181" s="166"/>
      <c r="W181" s="166"/>
      <c r="X181" s="166"/>
      <c r="Y181" s="166"/>
    </row>
    <row r="182" spans="6:25"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79"/>
      <c r="T182" s="166"/>
      <c r="U182" s="166"/>
      <c r="V182" s="166"/>
      <c r="W182" s="166"/>
      <c r="X182" s="166"/>
      <c r="Y182" s="166"/>
    </row>
    <row r="183" spans="6:25"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79"/>
      <c r="T183" s="166"/>
      <c r="U183" s="166"/>
      <c r="V183" s="166"/>
      <c r="W183" s="166"/>
      <c r="X183" s="166"/>
      <c r="Y183" s="166"/>
    </row>
    <row r="184" spans="6:25"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79"/>
      <c r="T184" s="166"/>
      <c r="U184" s="166"/>
      <c r="V184" s="166"/>
      <c r="W184" s="166"/>
      <c r="X184" s="166"/>
      <c r="Y184" s="166"/>
    </row>
    <row r="185" spans="6:25"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79"/>
      <c r="T185" s="166"/>
      <c r="U185" s="166"/>
      <c r="V185" s="166"/>
      <c r="W185" s="166"/>
      <c r="X185" s="166"/>
      <c r="Y185" s="166"/>
    </row>
    <row r="186" spans="6:25"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79"/>
      <c r="T186" s="166"/>
      <c r="U186" s="166"/>
      <c r="V186" s="166"/>
      <c r="W186" s="166"/>
      <c r="X186" s="166"/>
      <c r="Y186" s="166"/>
    </row>
    <row r="187" spans="6:25"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79"/>
      <c r="T187" s="166"/>
      <c r="U187" s="166"/>
      <c r="V187" s="166"/>
      <c r="W187" s="166"/>
      <c r="X187" s="166"/>
      <c r="Y187" s="166"/>
    </row>
    <row r="188" spans="6:25"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79"/>
      <c r="T188" s="166"/>
      <c r="U188" s="166"/>
      <c r="V188" s="166"/>
      <c r="W188" s="166"/>
      <c r="X188" s="166"/>
      <c r="Y188" s="166"/>
    </row>
    <row r="189" spans="6:25"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79"/>
      <c r="T189" s="166"/>
      <c r="U189" s="166"/>
      <c r="V189" s="166"/>
      <c r="W189" s="166"/>
      <c r="X189" s="166"/>
      <c r="Y189" s="166"/>
    </row>
    <row r="190" spans="6:25"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79"/>
      <c r="T190" s="166"/>
      <c r="U190" s="166"/>
      <c r="V190" s="166"/>
      <c r="W190" s="166"/>
      <c r="X190" s="166"/>
      <c r="Y190" s="166"/>
    </row>
    <row r="191" spans="6:25"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79"/>
      <c r="T191" s="166"/>
      <c r="U191" s="166"/>
      <c r="V191" s="166"/>
      <c r="W191" s="166"/>
      <c r="X191" s="166"/>
      <c r="Y191" s="166"/>
    </row>
    <row r="192" spans="6:25"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79"/>
      <c r="T192" s="166"/>
      <c r="U192" s="166"/>
      <c r="V192" s="166"/>
      <c r="W192" s="166"/>
      <c r="X192" s="166"/>
      <c r="Y192" s="166"/>
    </row>
    <row r="193" spans="6:25"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79"/>
      <c r="T193" s="166"/>
      <c r="U193" s="166"/>
      <c r="V193" s="166"/>
      <c r="W193" s="166"/>
      <c r="X193" s="166"/>
      <c r="Y193" s="166"/>
    </row>
    <row r="194" spans="6:25"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79"/>
      <c r="T194" s="166"/>
      <c r="U194" s="166"/>
      <c r="V194" s="166"/>
      <c r="W194" s="166"/>
      <c r="X194" s="166"/>
      <c r="Y194" s="166"/>
    </row>
    <row r="195" spans="6:25"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79"/>
      <c r="T195" s="166"/>
      <c r="U195" s="166"/>
      <c r="V195" s="166"/>
      <c r="W195" s="166"/>
      <c r="X195" s="166"/>
      <c r="Y195" s="166"/>
    </row>
    <row r="196" spans="6:25"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79"/>
      <c r="T196" s="166"/>
      <c r="U196" s="166"/>
      <c r="V196" s="166"/>
      <c r="W196" s="166"/>
      <c r="X196" s="166"/>
      <c r="Y196" s="166"/>
    </row>
    <row r="197" spans="6:25"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79"/>
      <c r="T197" s="166"/>
      <c r="U197" s="166"/>
      <c r="V197" s="166"/>
      <c r="W197" s="166"/>
      <c r="X197" s="166"/>
      <c r="Y197" s="166"/>
    </row>
    <row r="198" spans="6:25"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79"/>
      <c r="T198" s="166"/>
      <c r="U198" s="166"/>
      <c r="V198" s="166"/>
      <c r="W198" s="166"/>
      <c r="X198" s="166"/>
      <c r="Y198" s="166"/>
    </row>
    <row r="199" spans="6:25"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79"/>
      <c r="T199" s="166"/>
      <c r="U199" s="166"/>
      <c r="V199" s="166"/>
      <c r="W199" s="166"/>
      <c r="X199" s="166"/>
      <c r="Y199" s="166"/>
    </row>
    <row r="200" spans="6:25"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79"/>
      <c r="T200" s="166"/>
      <c r="U200" s="166"/>
      <c r="V200" s="166"/>
      <c r="W200" s="166"/>
      <c r="X200" s="166"/>
      <c r="Y200" s="166"/>
    </row>
    <row r="201" spans="6:25"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79"/>
      <c r="T201" s="166"/>
      <c r="U201" s="166"/>
      <c r="V201" s="166"/>
      <c r="W201" s="166"/>
      <c r="X201" s="166"/>
      <c r="Y201" s="166"/>
    </row>
    <row r="202" spans="6:25"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79"/>
      <c r="T202" s="166"/>
      <c r="U202" s="166"/>
      <c r="V202" s="166"/>
      <c r="W202" s="166"/>
      <c r="X202" s="166"/>
      <c r="Y202" s="166"/>
    </row>
    <row r="203" spans="6:25"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79"/>
      <c r="T203" s="166"/>
      <c r="U203" s="166"/>
      <c r="V203" s="166"/>
      <c r="W203" s="166"/>
      <c r="X203" s="166"/>
      <c r="Y203" s="166"/>
    </row>
    <row r="204" spans="6:25"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79"/>
      <c r="T204" s="166"/>
      <c r="U204" s="166"/>
      <c r="V204" s="166"/>
      <c r="W204" s="166"/>
      <c r="X204" s="166"/>
      <c r="Y204" s="166"/>
    </row>
    <row r="205" spans="6:25"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79"/>
      <c r="T205" s="166"/>
      <c r="U205" s="166"/>
      <c r="V205" s="166"/>
      <c r="W205" s="166"/>
      <c r="X205" s="166"/>
      <c r="Y205" s="166"/>
    </row>
    <row r="206" spans="6:25"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79"/>
      <c r="T206" s="166"/>
      <c r="U206" s="166"/>
      <c r="V206" s="166"/>
      <c r="W206" s="166"/>
      <c r="X206" s="166"/>
      <c r="Y206" s="166"/>
    </row>
    <row r="207" spans="6:25"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79"/>
      <c r="T207" s="166"/>
      <c r="U207" s="166"/>
      <c r="V207" s="166"/>
      <c r="W207" s="166"/>
      <c r="X207" s="166"/>
      <c r="Y207" s="166"/>
    </row>
    <row r="208" spans="6:25"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79"/>
      <c r="T208" s="166"/>
      <c r="U208" s="166"/>
      <c r="V208" s="166"/>
      <c r="W208" s="166"/>
      <c r="X208" s="166"/>
      <c r="Y208" s="166"/>
    </row>
    <row r="209" spans="6:25"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79"/>
      <c r="T209" s="166"/>
      <c r="U209" s="166"/>
      <c r="V209" s="166"/>
      <c r="W209" s="166"/>
      <c r="X209" s="166"/>
      <c r="Y209" s="166"/>
    </row>
    <row r="210" spans="6:25"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79"/>
      <c r="T210" s="166"/>
      <c r="U210" s="166"/>
      <c r="V210" s="166"/>
      <c r="W210" s="166"/>
      <c r="X210" s="166"/>
      <c r="Y210" s="166"/>
    </row>
    <row r="211" spans="6:25"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79"/>
      <c r="T211" s="166"/>
      <c r="U211" s="166"/>
      <c r="V211" s="166"/>
      <c r="W211" s="166"/>
      <c r="X211" s="166"/>
      <c r="Y211" s="166"/>
    </row>
    <row r="212" spans="6:25"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79"/>
      <c r="T212" s="166"/>
      <c r="U212" s="166"/>
      <c r="V212" s="166"/>
      <c r="W212" s="166"/>
      <c r="X212" s="166"/>
      <c r="Y212" s="166"/>
    </row>
    <row r="213" spans="6:25"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79"/>
      <c r="T213" s="166"/>
      <c r="U213" s="166"/>
      <c r="V213" s="166"/>
      <c r="W213" s="166"/>
      <c r="X213" s="166"/>
      <c r="Y213" s="166"/>
    </row>
    <row r="214" spans="6:25"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79"/>
      <c r="T214" s="166"/>
      <c r="U214" s="166"/>
      <c r="V214" s="166"/>
      <c r="W214" s="166"/>
      <c r="X214" s="166"/>
      <c r="Y214" s="166"/>
    </row>
    <row r="215" spans="6:25"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79"/>
      <c r="T215" s="166"/>
      <c r="U215" s="166"/>
      <c r="V215" s="166"/>
      <c r="W215" s="166"/>
      <c r="X215" s="166"/>
      <c r="Y215" s="166"/>
    </row>
    <row r="216" spans="6:25"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79"/>
      <c r="T216" s="166"/>
      <c r="U216" s="166"/>
      <c r="V216" s="166"/>
      <c r="W216" s="166"/>
      <c r="X216" s="166"/>
      <c r="Y216" s="166"/>
    </row>
    <row r="217" spans="6:25"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79"/>
      <c r="T217" s="166"/>
      <c r="U217" s="166"/>
      <c r="V217" s="166"/>
      <c r="W217" s="166"/>
      <c r="X217" s="166"/>
      <c r="Y217" s="166"/>
    </row>
    <row r="218" spans="6:25"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79"/>
      <c r="T218" s="166"/>
      <c r="U218" s="166"/>
      <c r="V218" s="166"/>
      <c r="W218" s="166"/>
      <c r="X218" s="166"/>
      <c r="Y218" s="166"/>
    </row>
    <row r="219" spans="6:25"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79"/>
      <c r="T219" s="166"/>
      <c r="U219" s="166"/>
      <c r="V219" s="166"/>
      <c r="W219" s="166"/>
      <c r="X219" s="166"/>
      <c r="Y219" s="166"/>
    </row>
    <row r="220" spans="6:25"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79"/>
      <c r="T220" s="166"/>
      <c r="U220" s="166"/>
      <c r="V220" s="166"/>
      <c r="W220" s="166"/>
      <c r="X220" s="166"/>
      <c r="Y220" s="166"/>
    </row>
    <row r="221" spans="6:25"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79"/>
      <c r="T221" s="166"/>
      <c r="U221" s="166"/>
      <c r="V221" s="166"/>
      <c r="W221" s="166"/>
      <c r="X221" s="166"/>
      <c r="Y221" s="166"/>
    </row>
    <row r="222" spans="6:25"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79"/>
      <c r="T222" s="166"/>
      <c r="U222" s="166"/>
      <c r="V222" s="166"/>
      <c r="W222" s="166"/>
      <c r="X222" s="166"/>
      <c r="Y222" s="166"/>
    </row>
    <row r="223" spans="6:25"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79"/>
      <c r="T223" s="166"/>
      <c r="U223" s="166"/>
      <c r="V223" s="166"/>
      <c r="W223" s="166"/>
      <c r="X223" s="166"/>
      <c r="Y223" s="166"/>
    </row>
    <row r="224" spans="6:25"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79"/>
      <c r="T224" s="166"/>
      <c r="U224" s="166"/>
      <c r="V224" s="166"/>
      <c r="W224" s="166"/>
      <c r="X224" s="166"/>
      <c r="Y224" s="166"/>
    </row>
    <row r="225" spans="6:25"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79"/>
      <c r="T225" s="166"/>
      <c r="U225" s="166"/>
      <c r="V225" s="166"/>
      <c r="W225" s="166"/>
      <c r="X225" s="166"/>
      <c r="Y225" s="166"/>
    </row>
    <row r="226" spans="6:25"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79"/>
      <c r="T226" s="166"/>
      <c r="U226" s="166"/>
      <c r="V226" s="166"/>
      <c r="W226" s="166"/>
      <c r="X226" s="166"/>
      <c r="Y226" s="166"/>
    </row>
    <row r="227" spans="6:25"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79"/>
      <c r="T227" s="166"/>
      <c r="U227" s="166"/>
      <c r="V227" s="166"/>
      <c r="W227" s="166"/>
      <c r="X227" s="166"/>
      <c r="Y227" s="166"/>
    </row>
    <row r="228" spans="6:25"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79"/>
      <c r="T228" s="166"/>
      <c r="U228" s="166"/>
      <c r="V228" s="166"/>
      <c r="W228" s="166"/>
      <c r="X228" s="166"/>
      <c r="Y228" s="166"/>
    </row>
    <row r="229" spans="6:25"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79"/>
      <c r="T229" s="166"/>
      <c r="U229" s="166"/>
      <c r="V229" s="166"/>
      <c r="W229" s="166"/>
      <c r="X229" s="166"/>
      <c r="Y229" s="166"/>
    </row>
    <row r="230" spans="6:25"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79"/>
      <c r="T230" s="166"/>
      <c r="U230" s="166"/>
      <c r="V230" s="166"/>
      <c r="W230" s="166"/>
      <c r="X230" s="166"/>
      <c r="Y230" s="166"/>
    </row>
    <row r="231" spans="6:25"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79"/>
      <c r="T231" s="166"/>
      <c r="U231" s="166"/>
      <c r="V231" s="166"/>
      <c r="W231" s="166"/>
      <c r="X231" s="166"/>
      <c r="Y231" s="166"/>
    </row>
    <row r="232" spans="6:25"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79"/>
      <c r="T232" s="166"/>
      <c r="U232" s="166"/>
      <c r="V232" s="166"/>
      <c r="W232" s="166"/>
      <c r="X232" s="166"/>
      <c r="Y232" s="166"/>
    </row>
    <row r="233" spans="6:25"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79"/>
      <c r="T233" s="166"/>
      <c r="U233" s="166"/>
      <c r="V233" s="166"/>
      <c r="W233" s="166"/>
      <c r="X233" s="166"/>
      <c r="Y233" s="166"/>
    </row>
    <row r="234" spans="6:25"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79"/>
      <c r="T234" s="166"/>
      <c r="U234" s="166"/>
      <c r="V234" s="166"/>
      <c r="W234" s="166"/>
      <c r="X234" s="166"/>
      <c r="Y234" s="166"/>
    </row>
    <row r="235" spans="6:25"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79"/>
      <c r="T235" s="166"/>
      <c r="U235" s="166"/>
      <c r="V235" s="166"/>
      <c r="W235" s="166"/>
      <c r="X235" s="166"/>
      <c r="Y235" s="166"/>
    </row>
    <row r="236" spans="6:25"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79"/>
      <c r="T236" s="166"/>
      <c r="U236" s="166"/>
      <c r="V236" s="166"/>
      <c r="W236" s="166"/>
      <c r="X236" s="166"/>
      <c r="Y236" s="166"/>
    </row>
    <row r="237" spans="6:25"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79"/>
      <c r="T237" s="166"/>
      <c r="U237" s="166"/>
      <c r="V237" s="166"/>
      <c r="W237" s="166"/>
      <c r="X237" s="166"/>
      <c r="Y237" s="166"/>
    </row>
    <row r="238" spans="6:25"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79"/>
      <c r="T238" s="166"/>
      <c r="U238" s="166"/>
      <c r="V238" s="166"/>
      <c r="W238" s="166"/>
      <c r="X238" s="166"/>
      <c r="Y238" s="166"/>
    </row>
    <row r="239" spans="6:25"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79"/>
      <c r="T239" s="166"/>
      <c r="U239" s="166"/>
      <c r="V239" s="166"/>
      <c r="W239" s="166"/>
      <c r="X239" s="166"/>
      <c r="Y239" s="166"/>
    </row>
    <row r="240" spans="6:25"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79"/>
      <c r="T240" s="166"/>
      <c r="U240" s="166"/>
      <c r="V240" s="166"/>
      <c r="W240" s="166"/>
      <c r="X240" s="166"/>
      <c r="Y240" s="166"/>
    </row>
    <row r="241" spans="6:25"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79"/>
      <c r="T241" s="166"/>
      <c r="U241" s="166"/>
      <c r="V241" s="166"/>
      <c r="W241" s="166"/>
      <c r="X241" s="166"/>
      <c r="Y241" s="166"/>
    </row>
    <row r="242" spans="6:25"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79"/>
      <c r="T242" s="166"/>
      <c r="U242" s="166"/>
      <c r="V242" s="166"/>
      <c r="W242" s="166"/>
      <c r="X242" s="166"/>
      <c r="Y242" s="166"/>
    </row>
    <row r="243" spans="6:25"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79"/>
      <c r="T243" s="166"/>
      <c r="U243" s="166"/>
      <c r="V243" s="166"/>
      <c r="W243" s="166"/>
      <c r="X243" s="166"/>
      <c r="Y243" s="166"/>
    </row>
    <row r="244" spans="6:25"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79"/>
      <c r="T244" s="166"/>
      <c r="U244" s="166"/>
      <c r="V244" s="166"/>
      <c r="W244" s="166"/>
      <c r="X244" s="166"/>
      <c r="Y244" s="166"/>
    </row>
    <row r="245" spans="6:25"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79"/>
      <c r="T245" s="166"/>
      <c r="U245" s="166"/>
      <c r="V245" s="166"/>
      <c r="W245" s="166"/>
      <c r="X245" s="166"/>
      <c r="Y245" s="166"/>
    </row>
    <row r="246" spans="6:25"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79"/>
      <c r="T246" s="166"/>
      <c r="U246" s="166"/>
      <c r="V246" s="166"/>
      <c r="W246" s="166"/>
      <c r="X246" s="166"/>
      <c r="Y246" s="166"/>
    </row>
    <row r="247" spans="6:25"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79"/>
      <c r="T247" s="166"/>
      <c r="U247" s="166"/>
      <c r="V247" s="166"/>
      <c r="W247" s="166"/>
      <c r="X247" s="166"/>
      <c r="Y247" s="166"/>
    </row>
    <row r="248" spans="6:25"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79"/>
      <c r="T248" s="166"/>
      <c r="U248" s="166"/>
      <c r="V248" s="166"/>
      <c r="W248" s="166"/>
      <c r="X248" s="166"/>
      <c r="Y248" s="166"/>
    </row>
    <row r="249" spans="6:25"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79"/>
      <c r="T249" s="166"/>
      <c r="U249" s="166"/>
      <c r="V249" s="166"/>
      <c r="W249" s="166"/>
      <c r="X249" s="166"/>
      <c r="Y249" s="166"/>
    </row>
    <row r="250" spans="6:25"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79"/>
      <c r="T250" s="166"/>
      <c r="U250" s="166"/>
      <c r="V250" s="166"/>
      <c r="W250" s="166"/>
      <c r="X250" s="166"/>
      <c r="Y250" s="166"/>
    </row>
    <row r="251" spans="6:25"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79"/>
      <c r="T251" s="166"/>
      <c r="U251" s="166"/>
      <c r="V251" s="166"/>
      <c r="W251" s="166"/>
      <c r="X251" s="166"/>
      <c r="Y251" s="166"/>
    </row>
    <row r="252" spans="6:25"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79"/>
      <c r="T252" s="166"/>
      <c r="U252" s="166"/>
      <c r="V252" s="166"/>
      <c r="W252" s="166"/>
      <c r="X252" s="166"/>
      <c r="Y252" s="166"/>
    </row>
    <row r="253" spans="6:25"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79"/>
      <c r="T253" s="166"/>
      <c r="U253" s="166"/>
      <c r="V253" s="166"/>
      <c r="W253" s="166"/>
      <c r="X253" s="166"/>
      <c r="Y253" s="166"/>
    </row>
    <row r="254" spans="6:25"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79"/>
      <c r="T254" s="166"/>
      <c r="U254" s="166"/>
      <c r="V254" s="166"/>
      <c r="W254" s="166"/>
      <c r="X254" s="166"/>
      <c r="Y254" s="166"/>
    </row>
    <row r="255" spans="6:25"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79"/>
      <c r="T255" s="166"/>
      <c r="U255" s="166"/>
      <c r="V255" s="166"/>
      <c r="W255" s="166"/>
      <c r="X255" s="166"/>
      <c r="Y255" s="166"/>
    </row>
    <row r="256" spans="6:25"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79"/>
      <c r="T256" s="166"/>
      <c r="U256" s="166"/>
      <c r="V256" s="166"/>
      <c r="W256" s="166"/>
      <c r="X256" s="166"/>
      <c r="Y256" s="166"/>
    </row>
    <row r="257" spans="6:25"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79"/>
      <c r="T257" s="166"/>
      <c r="U257" s="166"/>
      <c r="V257" s="166"/>
      <c r="W257" s="166"/>
      <c r="X257" s="166"/>
      <c r="Y257" s="166"/>
    </row>
    <row r="258" spans="6:25"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79"/>
      <c r="T258" s="166"/>
      <c r="U258" s="166"/>
      <c r="V258" s="166"/>
      <c r="W258" s="166"/>
      <c r="X258" s="166"/>
      <c r="Y258" s="166"/>
    </row>
    <row r="259" spans="6:25"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79"/>
      <c r="T259" s="166"/>
      <c r="U259" s="166"/>
      <c r="V259" s="166"/>
      <c r="W259" s="166"/>
      <c r="X259" s="166"/>
      <c r="Y259" s="166"/>
    </row>
    <row r="260" spans="6:25"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79"/>
      <c r="T260" s="166"/>
      <c r="U260" s="166"/>
      <c r="V260" s="166"/>
      <c r="W260" s="166"/>
      <c r="X260" s="166"/>
      <c r="Y260" s="166"/>
    </row>
    <row r="261" spans="6:25"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79"/>
      <c r="T261" s="166"/>
      <c r="U261" s="166"/>
      <c r="V261" s="166"/>
      <c r="W261" s="166"/>
      <c r="X261" s="166"/>
      <c r="Y261" s="166"/>
    </row>
    <row r="262" spans="6:25"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79"/>
      <c r="T262" s="166"/>
      <c r="U262" s="166"/>
      <c r="V262" s="166"/>
      <c r="W262" s="166"/>
      <c r="X262" s="166"/>
      <c r="Y262" s="166"/>
    </row>
    <row r="263" spans="6:25"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79"/>
      <c r="T263" s="166"/>
      <c r="U263" s="166"/>
      <c r="V263" s="166"/>
      <c r="W263" s="166"/>
      <c r="X263" s="166"/>
      <c r="Y263" s="166"/>
    </row>
    <row r="264" spans="6:25"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79"/>
      <c r="T264" s="166"/>
      <c r="U264" s="166"/>
      <c r="V264" s="166"/>
      <c r="W264" s="166"/>
      <c r="X264" s="166"/>
      <c r="Y264" s="166"/>
    </row>
    <row r="265" spans="6:25"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79"/>
      <c r="T265" s="166"/>
      <c r="U265" s="166"/>
      <c r="V265" s="166"/>
      <c r="W265" s="166"/>
      <c r="X265" s="166"/>
      <c r="Y265" s="166"/>
    </row>
    <row r="266" spans="6:25"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79"/>
      <c r="T266" s="166"/>
      <c r="U266" s="166"/>
      <c r="V266" s="166"/>
      <c r="W266" s="166"/>
      <c r="X266" s="166"/>
      <c r="Y266" s="166"/>
    </row>
    <row r="267" spans="6:25"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79"/>
      <c r="T267" s="166"/>
      <c r="U267" s="166"/>
      <c r="V267" s="166"/>
      <c r="W267" s="166"/>
      <c r="X267" s="166"/>
      <c r="Y267" s="166"/>
    </row>
    <row r="268" spans="6:25"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79"/>
      <c r="T268" s="166"/>
      <c r="U268" s="166"/>
      <c r="V268" s="166"/>
      <c r="W268" s="166"/>
      <c r="X268" s="166"/>
      <c r="Y268" s="166"/>
    </row>
    <row r="269" spans="6:25"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79"/>
      <c r="T269" s="166"/>
      <c r="U269" s="166"/>
      <c r="V269" s="166"/>
      <c r="W269" s="166"/>
      <c r="X269" s="166"/>
      <c r="Y269" s="166"/>
    </row>
    <row r="270" spans="6:25"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79"/>
      <c r="T270" s="166"/>
      <c r="U270" s="166"/>
      <c r="V270" s="166"/>
      <c r="W270" s="166"/>
      <c r="X270" s="166"/>
      <c r="Y270" s="166"/>
    </row>
    <row r="271" spans="6:25"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79"/>
      <c r="T271" s="166"/>
      <c r="U271" s="166"/>
      <c r="V271" s="166"/>
      <c r="W271" s="166"/>
      <c r="X271" s="166"/>
      <c r="Y271" s="166"/>
    </row>
    <row r="272" spans="6:25"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79"/>
      <c r="T272" s="166"/>
      <c r="U272" s="166"/>
      <c r="V272" s="166"/>
      <c r="W272" s="166"/>
      <c r="X272" s="166"/>
      <c r="Y272" s="166"/>
    </row>
    <row r="273" spans="6:25"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79"/>
      <c r="T273" s="166"/>
      <c r="U273" s="166"/>
      <c r="V273" s="166"/>
      <c r="W273" s="166"/>
      <c r="X273" s="166"/>
      <c r="Y273" s="166"/>
    </row>
    <row r="274" spans="6:25"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79"/>
      <c r="T274" s="166"/>
      <c r="U274" s="166"/>
      <c r="V274" s="166"/>
      <c r="W274" s="166"/>
      <c r="X274" s="166"/>
      <c r="Y274" s="166"/>
    </row>
    <row r="275" spans="6:25"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79"/>
      <c r="T275" s="166"/>
      <c r="U275" s="166"/>
      <c r="V275" s="166"/>
      <c r="W275" s="166"/>
      <c r="X275" s="166"/>
      <c r="Y275" s="166"/>
    </row>
    <row r="276" spans="6:25"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79"/>
      <c r="T276" s="166"/>
      <c r="U276" s="166"/>
      <c r="V276" s="166"/>
      <c r="W276" s="166"/>
      <c r="X276" s="166"/>
      <c r="Y276" s="166"/>
    </row>
    <row r="277" spans="6:25"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79"/>
      <c r="T277" s="166"/>
      <c r="U277" s="166"/>
      <c r="V277" s="166"/>
      <c r="W277" s="166"/>
      <c r="X277" s="166"/>
      <c r="Y277" s="166"/>
    </row>
    <row r="278" spans="6:25"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79"/>
      <c r="T278" s="166"/>
      <c r="U278" s="166"/>
      <c r="V278" s="166"/>
      <c r="W278" s="166"/>
      <c r="X278" s="166"/>
      <c r="Y278" s="166"/>
    </row>
    <row r="279" spans="6:25"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79"/>
      <c r="T279" s="166"/>
      <c r="U279" s="166"/>
      <c r="V279" s="166"/>
      <c r="W279" s="166"/>
      <c r="X279" s="166"/>
      <c r="Y279" s="166"/>
    </row>
    <row r="280" spans="6:25"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79"/>
      <c r="T280" s="166"/>
      <c r="U280" s="166"/>
      <c r="V280" s="166"/>
      <c r="W280" s="166"/>
      <c r="X280" s="166"/>
      <c r="Y280" s="166"/>
    </row>
    <row r="281" spans="6:25"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79"/>
      <c r="T281" s="166"/>
      <c r="U281" s="166"/>
      <c r="V281" s="166"/>
      <c r="W281" s="166"/>
      <c r="X281" s="166"/>
      <c r="Y281" s="166"/>
    </row>
    <row r="282" spans="6:25"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79"/>
      <c r="T282" s="166"/>
      <c r="U282" s="166"/>
      <c r="V282" s="166"/>
      <c r="W282" s="166"/>
      <c r="X282" s="166"/>
      <c r="Y282" s="166"/>
    </row>
    <row r="283" spans="6:25"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79"/>
      <c r="T283" s="166"/>
      <c r="U283" s="166"/>
      <c r="V283" s="166"/>
      <c r="W283" s="166"/>
      <c r="X283" s="166"/>
      <c r="Y283" s="166"/>
    </row>
    <row r="284" spans="6:25"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79"/>
      <c r="T284" s="166"/>
      <c r="U284" s="166"/>
      <c r="V284" s="166"/>
      <c r="W284" s="166"/>
      <c r="X284" s="166"/>
      <c r="Y284" s="166"/>
    </row>
    <row r="285" spans="6:25"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79"/>
      <c r="T285" s="166"/>
      <c r="U285" s="166"/>
      <c r="V285" s="166"/>
      <c r="W285" s="166"/>
      <c r="X285" s="166"/>
      <c r="Y285" s="166"/>
    </row>
    <row r="286" spans="6:25"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79"/>
      <c r="T286" s="166"/>
      <c r="U286" s="166"/>
      <c r="V286" s="166"/>
      <c r="W286" s="166"/>
      <c r="X286" s="166"/>
      <c r="Y286" s="166"/>
    </row>
    <row r="287" spans="6:25"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79"/>
      <c r="T287" s="166"/>
      <c r="U287" s="166"/>
      <c r="V287" s="166"/>
      <c r="W287" s="166"/>
      <c r="X287" s="166"/>
      <c r="Y287" s="166"/>
    </row>
    <row r="288" spans="6:25"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79"/>
      <c r="T288" s="166"/>
      <c r="U288" s="166"/>
      <c r="V288" s="166"/>
      <c r="W288" s="166"/>
      <c r="X288" s="166"/>
      <c r="Y288" s="166"/>
    </row>
    <row r="289" spans="6:25"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79"/>
      <c r="T289" s="166"/>
      <c r="U289" s="166"/>
      <c r="V289" s="166"/>
      <c r="W289" s="166"/>
      <c r="X289" s="166"/>
      <c r="Y289" s="166"/>
    </row>
    <row r="290" spans="6:25"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79"/>
      <c r="T290" s="166"/>
      <c r="U290" s="166"/>
      <c r="V290" s="166"/>
      <c r="W290" s="166"/>
      <c r="X290" s="166"/>
      <c r="Y290" s="166"/>
    </row>
    <row r="291" spans="6:25"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79"/>
      <c r="T291" s="166"/>
      <c r="U291" s="166"/>
      <c r="V291" s="166"/>
      <c r="W291" s="166"/>
      <c r="X291" s="166"/>
      <c r="Y291" s="166"/>
    </row>
    <row r="292" spans="6:25"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79"/>
      <c r="T292" s="166"/>
      <c r="U292" s="166"/>
      <c r="V292" s="166"/>
      <c r="W292" s="166"/>
      <c r="X292" s="166"/>
      <c r="Y292" s="166"/>
    </row>
    <row r="293" spans="6:25"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79"/>
      <c r="T293" s="166"/>
      <c r="U293" s="166"/>
      <c r="V293" s="166"/>
      <c r="W293" s="166"/>
      <c r="X293" s="166"/>
      <c r="Y293" s="166"/>
    </row>
    <row r="294" spans="6:25"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79"/>
      <c r="T294" s="166"/>
      <c r="U294" s="166"/>
      <c r="V294" s="166"/>
      <c r="W294" s="166"/>
      <c r="X294" s="166"/>
      <c r="Y294" s="166"/>
    </row>
    <row r="295" spans="6:25"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79"/>
      <c r="T295" s="166"/>
      <c r="U295" s="166"/>
      <c r="V295" s="166"/>
      <c r="W295" s="166"/>
      <c r="X295" s="166"/>
      <c r="Y295" s="166"/>
    </row>
    <row r="296" spans="6:25"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79"/>
      <c r="T296" s="166"/>
      <c r="U296" s="166"/>
      <c r="V296" s="166"/>
      <c r="W296" s="166"/>
      <c r="X296" s="166"/>
      <c r="Y296" s="166"/>
    </row>
    <row r="297" spans="6:25"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79"/>
      <c r="T297" s="166"/>
      <c r="U297" s="166"/>
      <c r="V297" s="166"/>
      <c r="W297" s="166"/>
      <c r="X297" s="166"/>
      <c r="Y297" s="166"/>
    </row>
    <row r="298" spans="6:25"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79"/>
      <c r="T298" s="166"/>
      <c r="U298" s="166"/>
      <c r="V298" s="166"/>
      <c r="W298" s="166"/>
      <c r="X298" s="166"/>
      <c r="Y298" s="166"/>
    </row>
    <row r="299" spans="6:25"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79"/>
      <c r="T299" s="166"/>
      <c r="U299" s="166"/>
      <c r="V299" s="166"/>
      <c r="W299" s="166"/>
      <c r="X299" s="166"/>
      <c r="Y299" s="166"/>
    </row>
    <row r="300" spans="6:25"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79"/>
      <c r="T300" s="166"/>
      <c r="U300" s="166"/>
      <c r="V300" s="166"/>
      <c r="W300" s="166"/>
      <c r="X300" s="166"/>
      <c r="Y300" s="166"/>
    </row>
    <row r="301" spans="6:25"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79"/>
      <c r="T301" s="166"/>
      <c r="U301" s="166"/>
      <c r="V301" s="166"/>
      <c r="W301" s="166"/>
      <c r="X301" s="166"/>
      <c r="Y301" s="166"/>
    </row>
    <row r="302" spans="6:25"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79"/>
      <c r="T302" s="166"/>
      <c r="U302" s="166"/>
      <c r="V302" s="166"/>
      <c r="W302" s="166"/>
      <c r="X302" s="166"/>
      <c r="Y302" s="166"/>
    </row>
    <row r="303" spans="6:25"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79"/>
      <c r="T303" s="166"/>
      <c r="U303" s="166"/>
      <c r="V303" s="166"/>
      <c r="W303" s="166"/>
      <c r="X303" s="166"/>
      <c r="Y303" s="166"/>
    </row>
    <row r="304" spans="6:25"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79"/>
      <c r="T304" s="166"/>
      <c r="U304" s="166"/>
      <c r="V304" s="166"/>
      <c r="W304" s="166"/>
      <c r="X304" s="166"/>
      <c r="Y304" s="166"/>
    </row>
    <row r="305" spans="6:25"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79"/>
      <c r="T305" s="166"/>
      <c r="U305" s="166"/>
      <c r="V305" s="166"/>
      <c r="W305" s="166"/>
      <c r="X305" s="166"/>
      <c r="Y305" s="166"/>
    </row>
    <row r="306" spans="6:25"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79"/>
      <c r="T306" s="166"/>
      <c r="U306" s="166"/>
      <c r="V306" s="166"/>
      <c r="W306" s="166"/>
      <c r="X306" s="166"/>
      <c r="Y306" s="166"/>
    </row>
    <row r="307" spans="6:25"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79"/>
      <c r="T307" s="166"/>
      <c r="U307" s="166"/>
      <c r="V307" s="166"/>
      <c r="W307" s="166"/>
      <c r="X307" s="166"/>
      <c r="Y307" s="166"/>
    </row>
    <row r="308" spans="6:25"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79"/>
      <c r="T308" s="166"/>
      <c r="U308" s="166"/>
      <c r="V308" s="166"/>
      <c r="W308" s="166"/>
      <c r="X308" s="166"/>
      <c r="Y308" s="166"/>
    </row>
    <row r="309" spans="6:25"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79"/>
      <c r="T309" s="166"/>
      <c r="U309" s="166"/>
      <c r="V309" s="166"/>
      <c r="W309" s="166"/>
      <c r="X309" s="166"/>
      <c r="Y309" s="166"/>
    </row>
    <row r="310" spans="6:25"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79"/>
      <c r="T310" s="166"/>
      <c r="U310" s="166"/>
      <c r="V310" s="166"/>
      <c r="W310" s="166"/>
      <c r="X310" s="166"/>
      <c r="Y310" s="166"/>
    </row>
    <row r="311" spans="6:25"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79"/>
      <c r="T311" s="166"/>
      <c r="U311" s="166"/>
      <c r="V311" s="166"/>
      <c r="W311" s="166"/>
      <c r="X311" s="166"/>
      <c r="Y311" s="166"/>
    </row>
    <row r="312" spans="6:25"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79"/>
      <c r="T312" s="166"/>
      <c r="U312" s="166"/>
      <c r="V312" s="166"/>
      <c r="W312" s="166"/>
      <c r="X312" s="166"/>
      <c r="Y312" s="166"/>
    </row>
    <row r="313" spans="6:25"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79"/>
      <c r="T313" s="166"/>
      <c r="U313" s="166"/>
      <c r="V313" s="166"/>
      <c r="W313" s="166"/>
      <c r="X313" s="166"/>
      <c r="Y313" s="166"/>
    </row>
    <row r="314" spans="6:25"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79"/>
      <c r="T314" s="166"/>
      <c r="U314" s="166"/>
      <c r="V314" s="166"/>
      <c r="W314" s="166"/>
      <c r="X314" s="166"/>
      <c r="Y314" s="166"/>
    </row>
    <row r="315" spans="6:25"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79"/>
      <c r="T315" s="166"/>
      <c r="U315" s="166"/>
      <c r="V315" s="166"/>
      <c r="W315" s="166"/>
      <c r="X315" s="166"/>
      <c r="Y315" s="166"/>
    </row>
    <row r="316" spans="6:25"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79"/>
      <c r="T316" s="166"/>
      <c r="U316" s="166"/>
      <c r="V316" s="166"/>
      <c r="W316" s="166"/>
      <c r="X316" s="166"/>
      <c r="Y316" s="166"/>
    </row>
    <row r="317" spans="6:25"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79"/>
      <c r="T317" s="166"/>
      <c r="U317" s="166"/>
      <c r="V317" s="166"/>
      <c r="W317" s="166"/>
      <c r="X317" s="166"/>
      <c r="Y317" s="166"/>
    </row>
    <row r="318" spans="6:25"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79"/>
      <c r="T318" s="166"/>
      <c r="U318" s="166"/>
      <c r="V318" s="166"/>
      <c r="W318" s="166"/>
      <c r="X318" s="166"/>
      <c r="Y318" s="166"/>
    </row>
    <row r="319" spans="6:25"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79"/>
      <c r="T319" s="166"/>
      <c r="U319" s="166"/>
      <c r="V319" s="166"/>
      <c r="W319" s="166"/>
      <c r="X319" s="166"/>
      <c r="Y319" s="166"/>
    </row>
    <row r="320" spans="6:25"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79"/>
      <c r="T320" s="166"/>
      <c r="U320" s="166"/>
      <c r="V320" s="166"/>
      <c r="W320" s="166"/>
      <c r="X320" s="166"/>
      <c r="Y320" s="166"/>
    </row>
    <row r="321" spans="6:25"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79"/>
      <c r="T321" s="166"/>
      <c r="U321" s="166"/>
      <c r="V321" s="166"/>
      <c r="W321" s="166"/>
      <c r="X321" s="166"/>
      <c r="Y321" s="166"/>
    </row>
    <row r="322" spans="6:25"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79"/>
      <c r="T322" s="166"/>
      <c r="U322" s="166"/>
      <c r="V322" s="166"/>
      <c r="W322" s="166"/>
      <c r="X322" s="166"/>
      <c r="Y322" s="166"/>
    </row>
    <row r="323" spans="6:25"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79"/>
      <c r="T323" s="166"/>
      <c r="U323" s="166"/>
      <c r="V323" s="166"/>
      <c r="W323" s="166"/>
      <c r="X323" s="166"/>
      <c r="Y323" s="166"/>
    </row>
    <row r="324" spans="6:25"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79"/>
      <c r="T324" s="166"/>
      <c r="U324" s="166"/>
      <c r="V324" s="166"/>
      <c r="W324" s="166"/>
      <c r="X324" s="166"/>
      <c r="Y324" s="166"/>
    </row>
    <row r="325" spans="6:25"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79"/>
      <c r="T325" s="166"/>
      <c r="U325" s="166"/>
      <c r="V325" s="166"/>
      <c r="W325" s="166"/>
      <c r="X325" s="166"/>
      <c r="Y325" s="166"/>
    </row>
    <row r="326" spans="6:25"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79"/>
      <c r="T326" s="166"/>
      <c r="U326" s="166"/>
      <c r="V326" s="166"/>
      <c r="W326" s="166"/>
      <c r="X326" s="166"/>
      <c r="Y326" s="166"/>
    </row>
    <row r="327" spans="6:25"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79"/>
      <c r="T327" s="166"/>
      <c r="U327" s="166"/>
      <c r="V327" s="166"/>
      <c r="W327" s="166"/>
      <c r="X327" s="166"/>
      <c r="Y327" s="166"/>
    </row>
    <row r="328" spans="6:25"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79"/>
      <c r="T328" s="166"/>
      <c r="U328" s="166"/>
      <c r="V328" s="166"/>
      <c r="W328" s="166"/>
      <c r="X328" s="166"/>
      <c r="Y328" s="166"/>
    </row>
    <row r="329" spans="6:25"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79"/>
      <c r="T329" s="166"/>
      <c r="U329" s="166"/>
      <c r="V329" s="166"/>
      <c r="W329" s="166"/>
      <c r="X329" s="166"/>
      <c r="Y329" s="166"/>
    </row>
    <row r="330" spans="6:25"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79"/>
      <c r="T330" s="166"/>
      <c r="U330" s="166"/>
      <c r="V330" s="166"/>
      <c r="W330" s="166"/>
      <c r="X330" s="166"/>
      <c r="Y330" s="166"/>
    </row>
    <row r="331" spans="6:25"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79"/>
      <c r="T331" s="166"/>
      <c r="U331" s="166"/>
      <c r="V331" s="166"/>
      <c r="W331" s="166"/>
      <c r="X331" s="166"/>
      <c r="Y331" s="166"/>
    </row>
    <row r="332" spans="6:25"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79"/>
      <c r="T332" s="166"/>
      <c r="U332" s="166"/>
      <c r="V332" s="166"/>
      <c r="W332" s="166"/>
      <c r="X332" s="166"/>
      <c r="Y332" s="166"/>
    </row>
    <row r="333" spans="6:25"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79"/>
      <c r="T333" s="166"/>
      <c r="U333" s="166"/>
      <c r="V333" s="166"/>
      <c r="W333" s="166"/>
      <c r="X333" s="166"/>
      <c r="Y333" s="166"/>
    </row>
    <row r="334" spans="6:25"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79"/>
      <c r="T334" s="166"/>
      <c r="U334" s="166"/>
      <c r="V334" s="166"/>
      <c r="W334" s="166"/>
      <c r="X334" s="166"/>
      <c r="Y334" s="166"/>
    </row>
    <row r="335" spans="6:25"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79"/>
      <c r="T335" s="166"/>
      <c r="U335" s="166"/>
      <c r="V335" s="166"/>
      <c r="W335" s="166"/>
      <c r="X335" s="166"/>
      <c r="Y335" s="166"/>
    </row>
    <row r="336" spans="6:25"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79"/>
      <c r="T336" s="166"/>
      <c r="U336" s="166"/>
      <c r="V336" s="166"/>
      <c r="W336" s="166"/>
      <c r="X336" s="166"/>
      <c r="Y336" s="166"/>
    </row>
    <row r="337" spans="6:25"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79"/>
      <c r="T337" s="166"/>
      <c r="U337" s="166"/>
      <c r="V337" s="166"/>
      <c r="W337" s="166"/>
      <c r="X337" s="166"/>
      <c r="Y337" s="166"/>
    </row>
    <row r="338" spans="6:25"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79"/>
      <c r="T338" s="166"/>
      <c r="U338" s="166"/>
      <c r="V338" s="166"/>
      <c r="W338" s="166"/>
      <c r="X338" s="166"/>
      <c r="Y338" s="166"/>
    </row>
    <row r="339" spans="6:25"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79"/>
      <c r="T339" s="166"/>
      <c r="U339" s="166"/>
      <c r="V339" s="166"/>
      <c r="W339" s="166"/>
      <c r="X339" s="166"/>
      <c r="Y339" s="166"/>
    </row>
    <row r="340" spans="6:25"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79"/>
      <c r="T340" s="166"/>
      <c r="U340" s="166"/>
      <c r="V340" s="166"/>
      <c r="W340" s="166"/>
      <c r="X340" s="166"/>
      <c r="Y340" s="166"/>
    </row>
    <row r="341" spans="6:25"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79"/>
      <c r="T341" s="166"/>
      <c r="U341" s="166"/>
      <c r="V341" s="166"/>
      <c r="W341" s="166"/>
      <c r="X341" s="166"/>
      <c r="Y341" s="166"/>
    </row>
    <row r="342" spans="6:25"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79"/>
      <c r="T342" s="166"/>
      <c r="U342" s="166"/>
      <c r="V342" s="166"/>
      <c r="W342" s="166"/>
      <c r="X342" s="166"/>
      <c r="Y342" s="166"/>
    </row>
    <row r="343" spans="6:25"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79"/>
      <c r="T343" s="166"/>
      <c r="U343" s="166"/>
      <c r="V343" s="166"/>
      <c r="W343" s="166"/>
      <c r="X343" s="166"/>
      <c r="Y343" s="166"/>
    </row>
    <row r="344" spans="6:25"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79"/>
      <c r="T344" s="166"/>
      <c r="U344" s="166"/>
      <c r="V344" s="166"/>
      <c r="W344" s="166"/>
      <c r="X344" s="166"/>
      <c r="Y344" s="166"/>
    </row>
    <row r="345" spans="6:25"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79"/>
      <c r="T345" s="166"/>
      <c r="U345" s="166"/>
      <c r="V345" s="166"/>
      <c r="W345" s="166"/>
      <c r="X345" s="166"/>
      <c r="Y345" s="166"/>
    </row>
    <row r="346" spans="6:25"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79"/>
      <c r="T346" s="166"/>
      <c r="U346" s="166"/>
      <c r="V346" s="166"/>
      <c r="W346" s="166"/>
      <c r="X346" s="166"/>
      <c r="Y346" s="166"/>
    </row>
    <row r="347" spans="6:25"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79"/>
      <c r="T347" s="166"/>
      <c r="U347" s="166"/>
      <c r="V347" s="166"/>
      <c r="W347" s="166"/>
      <c r="X347" s="166"/>
      <c r="Y347" s="166"/>
    </row>
    <row r="348" spans="6:25"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79"/>
      <c r="T348" s="166"/>
      <c r="U348" s="166"/>
      <c r="V348" s="166"/>
      <c r="W348" s="166"/>
      <c r="X348" s="166"/>
      <c r="Y348" s="166"/>
    </row>
    <row r="349" spans="6:25"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79"/>
      <c r="T349" s="166"/>
      <c r="U349" s="166"/>
      <c r="V349" s="166"/>
      <c r="W349" s="166"/>
      <c r="X349" s="166"/>
      <c r="Y349" s="166"/>
    </row>
    <row r="350" spans="6:25"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79"/>
      <c r="T350" s="166"/>
      <c r="U350" s="166"/>
      <c r="V350" s="166"/>
      <c r="W350" s="166"/>
      <c r="X350" s="166"/>
      <c r="Y350" s="166"/>
    </row>
    <row r="351" spans="6:25"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79"/>
      <c r="T351" s="166"/>
      <c r="U351" s="166"/>
      <c r="V351" s="166"/>
      <c r="W351" s="166"/>
      <c r="X351" s="166"/>
      <c r="Y351" s="166"/>
    </row>
    <row r="352" spans="6:25"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79"/>
      <c r="T352" s="166"/>
      <c r="U352" s="166"/>
      <c r="V352" s="166"/>
      <c r="W352" s="166"/>
      <c r="X352" s="166"/>
      <c r="Y352" s="166"/>
    </row>
    <row r="353" spans="6:25"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79"/>
      <c r="T353" s="166"/>
      <c r="U353" s="166"/>
      <c r="V353" s="166"/>
      <c r="W353" s="166"/>
      <c r="X353" s="166"/>
      <c r="Y353" s="166"/>
    </row>
    <row r="354" spans="6:25"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79"/>
      <c r="T354" s="166"/>
      <c r="U354" s="166"/>
      <c r="V354" s="166"/>
      <c r="W354" s="166"/>
      <c r="X354" s="166"/>
      <c r="Y354" s="166"/>
    </row>
    <row r="355" spans="6:25"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79"/>
      <c r="T355" s="166"/>
      <c r="U355" s="166"/>
      <c r="V355" s="166"/>
      <c r="W355" s="166"/>
      <c r="X355" s="166"/>
      <c r="Y355" s="166"/>
    </row>
    <row r="356" spans="6:25"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79"/>
      <c r="T356" s="166"/>
      <c r="U356" s="166"/>
      <c r="V356" s="166"/>
      <c r="W356" s="166"/>
      <c r="X356" s="166"/>
      <c r="Y356" s="166"/>
    </row>
    <row r="357" spans="6:25"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79"/>
      <c r="T357" s="166"/>
      <c r="U357" s="166"/>
      <c r="V357" s="166"/>
      <c r="W357" s="166"/>
      <c r="X357" s="166"/>
      <c r="Y357" s="166"/>
    </row>
    <row r="358" spans="6:25"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79"/>
      <c r="T358" s="166"/>
      <c r="U358" s="166"/>
      <c r="V358" s="166"/>
      <c r="W358" s="166"/>
      <c r="X358" s="166"/>
      <c r="Y358" s="166"/>
    </row>
    <row r="359" spans="6:25"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79"/>
      <c r="T359" s="166"/>
      <c r="U359" s="166"/>
      <c r="V359" s="166"/>
      <c r="W359" s="166"/>
      <c r="X359" s="166"/>
      <c r="Y359" s="166"/>
    </row>
    <row r="360" spans="6:25"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79"/>
      <c r="T360" s="166"/>
      <c r="U360" s="166"/>
      <c r="V360" s="166"/>
      <c r="W360" s="166"/>
      <c r="X360" s="166"/>
      <c r="Y360" s="166"/>
    </row>
    <row r="361" spans="6:25"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79"/>
      <c r="T361" s="166"/>
      <c r="U361" s="166"/>
      <c r="V361" s="166"/>
      <c r="W361" s="166"/>
      <c r="X361" s="166"/>
      <c r="Y361" s="166"/>
    </row>
    <row r="362" spans="6:25"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79"/>
      <c r="T362" s="166"/>
      <c r="U362" s="166"/>
      <c r="V362" s="166"/>
      <c r="W362" s="166"/>
      <c r="X362" s="166"/>
      <c r="Y362" s="166"/>
    </row>
    <row r="363" spans="6:25"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79"/>
      <c r="T363" s="166"/>
      <c r="U363" s="166"/>
      <c r="V363" s="166"/>
      <c r="W363" s="166"/>
      <c r="X363" s="166"/>
      <c r="Y363" s="166"/>
    </row>
    <row r="364" spans="6:25"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79"/>
      <c r="T364" s="166"/>
      <c r="U364" s="166"/>
      <c r="V364" s="166"/>
      <c r="W364" s="166"/>
      <c r="X364" s="166"/>
      <c r="Y364" s="166"/>
    </row>
    <row r="365" spans="6:25"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79"/>
      <c r="T365" s="166"/>
      <c r="U365" s="166"/>
      <c r="V365" s="166"/>
      <c r="W365" s="166"/>
      <c r="X365" s="166"/>
      <c r="Y365" s="166"/>
    </row>
    <row r="366" spans="6:25"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79"/>
      <c r="T366" s="166"/>
      <c r="U366" s="166"/>
      <c r="V366" s="166"/>
      <c r="W366" s="166"/>
      <c r="X366" s="166"/>
      <c r="Y366" s="166"/>
    </row>
    <row r="367" spans="6:25"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79"/>
      <c r="T367" s="166"/>
      <c r="U367" s="166"/>
      <c r="V367" s="166"/>
      <c r="W367" s="166"/>
      <c r="X367" s="166"/>
      <c r="Y367" s="166"/>
    </row>
    <row r="368" spans="6:25"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79"/>
      <c r="T368" s="166"/>
      <c r="U368" s="166"/>
      <c r="V368" s="166"/>
      <c r="W368" s="166"/>
      <c r="X368" s="166"/>
      <c r="Y368" s="166"/>
    </row>
    <row r="369" spans="6:25"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79"/>
      <c r="T369" s="166"/>
      <c r="U369" s="166"/>
      <c r="V369" s="166"/>
      <c r="W369" s="166"/>
      <c r="X369" s="166"/>
      <c r="Y369" s="166"/>
    </row>
    <row r="370" spans="6:25"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79"/>
      <c r="T370" s="166"/>
      <c r="U370" s="166"/>
      <c r="V370" s="166"/>
      <c r="W370" s="166"/>
      <c r="X370" s="166"/>
      <c r="Y370" s="166"/>
    </row>
    <row r="371" spans="6:25"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79"/>
      <c r="T371" s="166"/>
      <c r="U371" s="166"/>
      <c r="V371" s="166"/>
      <c r="W371" s="166"/>
      <c r="X371" s="166"/>
      <c r="Y371" s="166"/>
    </row>
    <row r="372" spans="6:25"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79"/>
      <c r="T372" s="166"/>
      <c r="U372" s="166"/>
      <c r="V372" s="166"/>
      <c r="W372" s="166"/>
      <c r="X372" s="166"/>
      <c r="Y372" s="166"/>
    </row>
    <row r="373" spans="6:25"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79"/>
      <c r="T373" s="166"/>
      <c r="U373" s="166"/>
      <c r="V373" s="166"/>
      <c r="W373" s="166"/>
      <c r="X373" s="166"/>
      <c r="Y373" s="166"/>
    </row>
    <row r="374" spans="6:25"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79"/>
      <c r="T374" s="166"/>
      <c r="U374" s="166"/>
      <c r="V374" s="166"/>
      <c r="W374" s="166"/>
      <c r="X374" s="166"/>
      <c r="Y374" s="166"/>
    </row>
    <row r="375" spans="6:25"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79"/>
      <c r="T375" s="166"/>
      <c r="U375" s="166"/>
      <c r="V375" s="166"/>
      <c r="W375" s="166"/>
      <c r="X375" s="166"/>
      <c r="Y375" s="166"/>
    </row>
    <row r="376" spans="6:25"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79"/>
      <c r="T376" s="166"/>
      <c r="U376" s="166"/>
      <c r="V376" s="166"/>
      <c r="W376" s="166"/>
      <c r="X376" s="166"/>
      <c r="Y376" s="166"/>
    </row>
    <row r="377" spans="6:25"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79"/>
      <c r="T377" s="166"/>
      <c r="U377" s="166"/>
      <c r="V377" s="166"/>
      <c r="W377" s="166"/>
      <c r="X377" s="166"/>
      <c r="Y377" s="166"/>
    </row>
    <row r="378" spans="6:25"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79"/>
      <c r="T378" s="166"/>
      <c r="U378" s="166"/>
      <c r="V378" s="166"/>
      <c r="W378" s="166"/>
      <c r="X378" s="166"/>
      <c r="Y378" s="166"/>
    </row>
    <row r="379" spans="6:25"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79"/>
      <c r="T379" s="166"/>
      <c r="U379" s="166"/>
      <c r="V379" s="166"/>
      <c r="W379" s="166"/>
      <c r="X379" s="166"/>
      <c r="Y379" s="166"/>
    </row>
    <row r="380" spans="6:25"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79"/>
      <c r="T380" s="166"/>
      <c r="U380" s="166"/>
      <c r="V380" s="166"/>
      <c r="W380" s="166"/>
      <c r="X380" s="166"/>
      <c r="Y380" s="166"/>
    </row>
    <row r="381" spans="6:25"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79"/>
      <c r="T381" s="166"/>
      <c r="U381" s="166"/>
      <c r="V381" s="166"/>
      <c r="W381" s="166"/>
      <c r="X381" s="166"/>
      <c r="Y381" s="166"/>
    </row>
    <row r="382" spans="6:25"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79"/>
      <c r="T382" s="166"/>
      <c r="U382" s="166"/>
      <c r="V382" s="166"/>
      <c r="W382" s="166"/>
      <c r="X382" s="166"/>
      <c r="Y382" s="166"/>
    </row>
    <row r="383" spans="6:25"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79"/>
      <c r="T383" s="166"/>
      <c r="U383" s="166"/>
      <c r="V383" s="166"/>
      <c r="W383" s="166"/>
      <c r="X383" s="166"/>
      <c r="Y383" s="166"/>
    </row>
    <row r="384" spans="6:25"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79"/>
      <c r="T384" s="166"/>
      <c r="U384" s="166"/>
      <c r="V384" s="166"/>
      <c r="W384" s="166"/>
      <c r="X384" s="166"/>
      <c r="Y384" s="166"/>
    </row>
    <row r="385" spans="6:25"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79"/>
      <c r="T385" s="166"/>
      <c r="U385" s="166"/>
      <c r="V385" s="166"/>
      <c r="W385" s="166"/>
      <c r="X385" s="166"/>
      <c r="Y385" s="166"/>
    </row>
    <row r="386" spans="6:25"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79"/>
      <c r="T386" s="166"/>
      <c r="U386" s="166"/>
      <c r="V386" s="166"/>
      <c r="W386" s="166"/>
      <c r="X386" s="166"/>
      <c r="Y386" s="166"/>
    </row>
    <row r="387" spans="6:25"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79"/>
      <c r="T387" s="166"/>
      <c r="U387" s="166"/>
      <c r="V387" s="166"/>
      <c r="W387" s="166"/>
      <c r="X387" s="166"/>
      <c r="Y387" s="166"/>
    </row>
    <row r="388" spans="6:25"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79"/>
      <c r="T388" s="166"/>
      <c r="U388" s="166"/>
      <c r="V388" s="166"/>
      <c r="W388" s="166"/>
      <c r="X388" s="166"/>
      <c r="Y388" s="166"/>
    </row>
    <row r="389" spans="6:25"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79"/>
      <c r="T389" s="166"/>
      <c r="U389" s="166"/>
      <c r="V389" s="166"/>
      <c r="W389" s="166"/>
      <c r="X389" s="166"/>
      <c r="Y389" s="166"/>
    </row>
    <row r="390" spans="6:25"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79"/>
      <c r="T390" s="166"/>
      <c r="U390" s="166"/>
      <c r="V390" s="166"/>
      <c r="W390" s="166"/>
      <c r="X390" s="166"/>
      <c r="Y390" s="166"/>
    </row>
    <row r="391" spans="6:25"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79"/>
      <c r="T391" s="166"/>
      <c r="U391" s="166"/>
      <c r="V391" s="166"/>
      <c r="W391" s="166"/>
      <c r="X391" s="166"/>
      <c r="Y391" s="166"/>
    </row>
    <row r="392" spans="6:25"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79"/>
      <c r="T392" s="166"/>
      <c r="U392" s="166"/>
      <c r="V392" s="166"/>
      <c r="W392" s="166"/>
      <c r="X392" s="166"/>
      <c r="Y392" s="166"/>
    </row>
    <row r="393" spans="6:25"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79"/>
      <c r="T393" s="166"/>
      <c r="U393" s="166"/>
      <c r="V393" s="166"/>
      <c r="W393" s="166"/>
      <c r="X393" s="166"/>
      <c r="Y393" s="166"/>
    </row>
    <row r="394" spans="6:25"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79"/>
      <c r="T394" s="166"/>
      <c r="U394" s="166"/>
      <c r="V394" s="166"/>
      <c r="W394" s="166"/>
      <c r="X394" s="166"/>
      <c r="Y394" s="166"/>
    </row>
    <row r="395" spans="6:25"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79"/>
      <c r="T395" s="166"/>
      <c r="U395" s="166"/>
      <c r="V395" s="166"/>
      <c r="W395" s="166"/>
      <c r="X395" s="166"/>
      <c r="Y395" s="166"/>
    </row>
    <row r="396" spans="6:25"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79"/>
      <c r="T396" s="166"/>
      <c r="U396" s="166"/>
      <c r="V396" s="166"/>
      <c r="W396" s="166"/>
      <c r="X396" s="166"/>
      <c r="Y396" s="166"/>
    </row>
    <row r="397" spans="6:25"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79"/>
      <c r="T397" s="166"/>
      <c r="U397" s="166"/>
      <c r="V397" s="166"/>
      <c r="W397" s="166"/>
      <c r="X397" s="166"/>
      <c r="Y397" s="166"/>
    </row>
    <row r="398" spans="6:25"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79"/>
      <c r="T398" s="166"/>
      <c r="U398" s="166"/>
      <c r="V398" s="166"/>
      <c r="W398" s="166"/>
      <c r="X398" s="166"/>
      <c r="Y398" s="166"/>
    </row>
    <row r="399" spans="6:25"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79"/>
      <c r="T399" s="166"/>
      <c r="U399" s="166"/>
      <c r="V399" s="166"/>
      <c r="W399" s="166"/>
      <c r="X399" s="166"/>
      <c r="Y399" s="166"/>
    </row>
    <row r="400" spans="6:25"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79"/>
      <c r="T400" s="166"/>
      <c r="U400" s="166"/>
      <c r="V400" s="166"/>
      <c r="W400" s="166"/>
      <c r="X400" s="166"/>
      <c r="Y400" s="166"/>
    </row>
    <row r="401" spans="6:25"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79"/>
      <c r="T401" s="166"/>
      <c r="U401" s="166"/>
      <c r="V401" s="166"/>
      <c r="W401" s="166"/>
      <c r="X401" s="166"/>
      <c r="Y401" s="166"/>
    </row>
    <row r="402" spans="6:25"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79"/>
      <c r="T402" s="166"/>
      <c r="U402" s="166"/>
      <c r="V402" s="166"/>
      <c r="W402" s="166"/>
      <c r="X402" s="166"/>
      <c r="Y402" s="166"/>
    </row>
    <row r="403" spans="6:25"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79"/>
      <c r="T403" s="166"/>
      <c r="U403" s="166"/>
      <c r="V403" s="166"/>
      <c r="W403" s="166"/>
      <c r="X403" s="166"/>
      <c r="Y403" s="166"/>
    </row>
    <row r="404" spans="6:25"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79"/>
      <c r="T404" s="166"/>
      <c r="U404" s="166"/>
      <c r="V404" s="166"/>
      <c r="W404" s="166"/>
      <c r="X404" s="166"/>
      <c r="Y404" s="166"/>
    </row>
    <row r="405" spans="6:25"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79"/>
      <c r="T405" s="166"/>
      <c r="U405" s="166"/>
      <c r="V405" s="166"/>
      <c r="W405" s="166"/>
      <c r="X405" s="166"/>
      <c r="Y405" s="166"/>
    </row>
    <row r="406" spans="6:25"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79"/>
      <c r="T406" s="166"/>
      <c r="U406" s="166"/>
      <c r="V406" s="166"/>
      <c r="W406" s="166"/>
      <c r="X406" s="166"/>
      <c r="Y406" s="166"/>
    </row>
    <row r="407" spans="6:25"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79"/>
      <c r="T407" s="166"/>
      <c r="U407" s="166"/>
      <c r="V407" s="166"/>
      <c r="W407" s="166"/>
      <c r="X407" s="166"/>
      <c r="Y407" s="166"/>
    </row>
    <row r="408" spans="6:25"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79"/>
      <c r="T408" s="166"/>
      <c r="U408" s="166"/>
      <c r="V408" s="166"/>
      <c r="W408" s="166"/>
      <c r="X408" s="166"/>
      <c r="Y408" s="166"/>
    </row>
    <row r="409" spans="6:25"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79"/>
      <c r="T409" s="166"/>
      <c r="U409" s="166"/>
      <c r="V409" s="166"/>
      <c r="W409" s="166"/>
      <c r="X409" s="166"/>
      <c r="Y409" s="166"/>
    </row>
    <row r="410" spans="6:25"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79"/>
      <c r="T410" s="166"/>
      <c r="U410" s="166"/>
      <c r="V410" s="166"/>
      <c r="W410" s="166"/>
      <c r="X410" s="166"/>
      <c r="Y410" s="166"/>
    </row>
    <row r="411" spans="6:25"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79"/>
      <c r="T411" s="166"/>
      <c r="U411" s="166"/>
      <c r="V411" s="166"/>
      <c r="W411" s="166"/>
      <c r="X411" s="166"/>
      <c r="Y411" s="166"/>
    </row>
    <row r="412" spans="6:25"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79"/>
      <c r="T412" s="166"/>
      <c r="U412" s="166"/>
      <c r="V412" s="166"/>
      <c r="W412" s="166"/>
      <c r="X412" s="166"/>
      <c r="Y412" s="166"/>
    </row>
    <row r="413" spans="6:25"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79"/>
      <c r="T413" s="166"/>
      <c r="U413" s="166"/>
      <c r="V413" s="166"/>
      <c r="W413" s="166"/>
      <c r="X413" s="166"/>
      <c r="Y413" s="166"/>
    </row>
    <row r="414" spans="6:25"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79"/>
      <c r="T414" s="166"/>
      <c r="U414" s="166"/>
      <c r="V414" s="166"/>
      <c r="W414" s="166"/>
      <c r="X414" s="166"/>
      <c r="Y414" s="166"/>
    </row>
    <row r="415" spans="6:25"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79"/>
      <c r="T415" s="166"/>
      <c r="U415" s="166"/>
      <c r="V415" s="166"/>
      <c r="W415" s="166"/>
      <c r="X415" s="166"/>
      <c r="Y415" s="166"/>
    </row>
    <row r="416" spans="6:25"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79"/>
      <c r="T416" s="166"/>
      <c r="U416" s="166"/>
      <c r="V416" s="166"/>
      <c r="W416" s="166"/>
      <c r="X416" s="166"/>
      <c r="Y416" s="166"/>
    </row>
    <row r="417" spans="6:25"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79"/>
      <c r="T417" s="166"/>
      <c r="U417" s="166"/>
      <c r="V417" s="166"/>
      <c r="W417" s="166"/>
      <c r="X417" s="166"/>
      <c r="Y417" s="166"/>
    </row>
    <row r="418" spans="6:25"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79"/>
      <c r="T418" s="166"/>
      <c r="U418" s="166"/>
      <c r="V418" s="166"/>
      <c r="W418" s="166"/>
      <c r="X418" s="166"/>
      <c r="Y418" s="166"/>
    </row>
    <row r="419" spans="6:25"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79"/>
      <c r="T419" s="166"/>
      <c r="U419" s="166"/>
      <c r="V419" s="166"/>
      <c r="W419" s="166"/>
      <c r="X419" s="166"/>
      <c r="Y419" s="166"/>
    </row>
    <row r="420" spans="6:25"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79"/>
      <c r="T420" s="166"/>
      <c r="U420" s="166"/>
      <c r="V420" s="166"/>
      <c r="W420" s="166"/>
      <c r="X420" s="166"/>
      <c r="Y420" s="166"/>
    </row>
    <row r="421" spans="6:25"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79"/>
      <c r="T421" s="166"/>
      <c r="U421" s="166"/>
      <c r="V421" s="166"/>
      <c r="W421" s="166"/>
      <c r="X421" s="166"/>
      <c r="Y421" s="166"/>
    </row>
    <row r="422" spans="6:25"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79"/>
      <c r="T422" s="166"/>
      <c r="U422" s="166"/>
      <c r="V422" s="166"/>
      <c r="W422" s="166"/>
      <c r="X422" s="166"/>
      <c r="Y422" s="166"/>
    </row>
    <row r="423" spans="6:25"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79"/>
      <c r="T423" s="166"/>
      <c r="U423" s="166"/>
      <c r="V423" s="166"/>
      <c r="W423" s="166"/>
      <c r="X423" s="166"/>
      <c r="Y423" s="166"/>
    </row>
    <row r="424" spans="6:25"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79"/>
      <c r="T424" s="166"/>
      <c r="U424" s="166"/>
      <c r="V424" s="166"/>
      <c r="W424" s="166"/>
      <c r="X424" s="166"/>
      <c r="Y424" s="166"/>
    </row>
    <row r="425" spans="6:25"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79"/>
      <c r="T425" s="166"/>
      <c r="U425" s="166"/>
      <c r="V425" s="166"/>
      <c r="W425" s="166"/>
      <c r="X425" s="166"/>
      <c r="Y425" s="166"/>
    </row>
    <row r="426" spans="6:25"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79"/>
      <c r="T426" s="166"/>
      <c r="U426" s="166"/>
      <c r="V426" s="166"/>
      <c r="W426" s="166"/>
      <c r="X426" s="166"/>
      <c r="Y426" s="166"/>
    </row>
    <row r="427" spans="6:25"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79"/>
      <c r="T427" s="166"/>
      <c r="U427" s="166"/>
      <c r="V427" s="166"/>
      <c r="W427" s="166"/>
      <c r="X427" s="166"/>
      <c r="Y427" s="166"/>
    </row>
    <row r="428" spans="6:25"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79"/>
      <c r="T428" s="166"/>
      <c r="U428" s="166"/>
      <c r="V428" s="166"/>
      <c r="W428" s="166"/>
      <c r="X428" s="166"/>
      <c r="Y428" s="166"/>
    </row>
    <row r="429" spans="6:25"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79"/>
      <c r="T429" s="166"/>
      <c r="U429" s="166"/>
      <c r="V429" s="166"/>
      <c r="W429" s="166"/>
      <c r="X429" s="166"/>
      <c r="Y429" s="166"/>
    </row>
    <row r="430" spans="6:25"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79"/>
      <c r="T430" s="166"/>
      <c r="U430" s="166"/>
      <c r="V430" s="166"/>
      <c r="W430" s="166"/>
      <c r="X430" s="166"/>
      <c r="Y430" s="166"/>
    </row>
    <row r="431" spans="6:25"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79"/>
      <c r="T431" s="166"/>
      <c r="U431" s="166"/>
      <c r="V431" s="166"/>
      <c r="W431" s="166"/>
      <c r="X431" s="166"/>
      <c r="Y431" s="166"/>
    </row>
    <row r="432" spans="6:25"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79"/>
      <c r="T432" s="166"/>
      <c r="U432" s="166"/>
      <c r="V432" s="166"/>
      <c r="W432" s="166"/>
      <c r="X432" s="166"/>
      <c r="Y432" s="166"/>
    </row>
    <row r="433" spans="6:25"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79"/>
      <c r="T433" s="166"/>
      <c r="U433" s="166"/>
      <c r="V433" s="166"/>
      <c r="W433" s="166"/>
      <c r="X433" s="166"/>
      <c r="Y433" s="166"/>
    </row>
    <row r="434" spans="6:25"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79"/>
      <c r="T434" s="166"/>
      <c r="U434" s="166"/>
      <c r="V434" s="166"/>
      <c r="W434" s="166"/>
      <c r="X434" s="166"/>
      <c r="Y434" s="166"/>
    </row>
    <row r="435" spans="6:25"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79"/>
      <c r="T435" s="166"/>
      <c r="U435" s="166"/>
      <c r="V435" s="166"/>
      <c r="W435" s="166"/>
      <c r="X435" s="166"/>
      <c r="Y435" s="166"/>
    </row>
    <row r="436" spans="6:25"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79"/>
      <c r="T436" s="166"/>
      <c r="U436" s="166"/>
      <c r="V436" s="166"/>
      <c r="W436" s="166"/>
      <c r="X436" s="166"/>
      <c r="Y436" s="166"/>
    </row>
    <row r="437" spans="6:25"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79"/>
      <c r="T437" s="166"/>
      <c r="U437" s="166"/>
      <c r="V437" s="166"/>
      <c r="W437" s="166"/>
      <c r="X437" s="166"/>
      <c r="Y437" s="166"/>
    </row>
    <row r="438" spans="6:25"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79"/>
      <c r="T438" s="166"/>
      <c r="U438" s="166"/>
      <c r="V438" s="166"/>
      <c r="W438" s="166"/>
      <c r="X438" s="166"/>
      <c r="Y438" s="166"/>
    </row>
    <row r="439" spans="6:25"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79"/>
      <c r="T439" s="166"/>
      <c r="U439" s="166"/>
      <c r="V439" s="166"/>
      <c r="W439" s="166"/>
      <c r="X439" s="166"/>
      <c r="Y439" s="166"/>
    </row>
    <row r="440" spans="6:25"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79"/>
      <c r="T440" s="166"/>
      <c r="U440" s="166"/>
      <c r="V440" s="166"/>
      <c r="W440" s="166"/>
      <c r="X440" s="166"/>
      <c r="Y440" s="166"/>
    </row>
    <row r="441" spans="6:25"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79"/>
      <c r="T441" s="166"/>
      <c r="U441" s="166"/>
      <c r="V441" s="166"/>
      <c r="W441" s="166"/>
      <c r="X441" s="166"/>
      <c r="Y441" s="166"/>
    </row>
    <row r="442" spans="6:25"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79"/>
      <c r="T442" s="166"/>
      <c r="U442" s="166"/>
      <c r="V442" s="166"/>
      <c r="W442" s="166"/>
      <c r="X442" s="166"/>
      <c r="Y442" s="166"/>
    </row>
    <row r="443" spans="6:25"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79"/>
      <c r="T443" s="166"/>
      <c r="U443" s="166"/>
      <c r="V443" s="166"/>
      <c r="W443" s="166"/>
      <c r="X443" s="166"/>
      <c r="Y443" s="166"/>
    </row>
    <row r="444" spans="6:25"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79"/>
      <c r="T444" s="166"/>
      <c r="U444" s="166"/>
      <c r="V444" s="166"/>
      <c r="W444" s="166"/>
      <c r="X444" s="166"/>
      <c r="Y444" s="166"/>
    </row>
    <row r="445" spans="6:25"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79"/>
      <c r="T445" s="166"/>
      <c r="U445" s="166"/>
      <c r="V445" s="166"/>
      <c r="W445" s="166"/>
      <c r="X445" s="166"/>
      <c r="Y445" s="166"/>
    </row>
    <row r="446" spans="6:25"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79"/>
      <c r="T446" s="166"/>
      <c r="U446" s="166"/>
      <c r="V446" s="166"/>
      <c r="W446" s="166"/>
      <c r="X446" s="166"/>
      <c r="Y446" s="166"/>
    </row>
    <row r="447" spans="6:25"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79"/>
      <c r="T447" s="166"/>
      <c r="U447" s="166"/>
      <c r="V447" s="166"/>
      <c r="W447" s="166"/>
      <c r="X447" s="166"/>
      <c r="Y447" s="166"/>
    </row>
    <row r="448" spans="6:25"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79"/>
      <c r="T448" s="166"/>
      <c r="U448" s="166"/>
      <c r="V448" s="166"/>
      <c r="W448" s="166"/>
      <c r="X448" s="166"/>
      <c r="Y448" s="166"/>
    </row>
    <row r="449" spans="6:25"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79"/>
      <c r="T449" s="166"/>
      <c r="U449" s="166"/>
      <c r="V449" s="166"/>
      <c r="W449" s="166"/>
      <c r="X449" s="166"/>
      <c r="Y449" s="166"/>
    </row>
    <row r="450" spans="6:25"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79"/>
      <c r="T450" s="166"/>
      <c r="U450" s="166"/>
      <c r="V450" s="166"/>
      <c r="W450" s="166"/>
      <c r="X450" s="166"/>
      <c r="Y450" s="166"/>
    </row>
    <row r="451" spans="6:25"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79"/>
      <c r="T451" s="166"/>
      <c r="U451" s="166"/>
      <c r="V451" s="166"/>
      <c r="W451" s="166"/>
      <c r="X451" s="166"/>
      <c r="Y451" s="166"/>
    </row>
    <row r="452" spans="6:25"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79"/>
      <c r="T452" s="166"/>
      <c r="U452" s="166"/>
      <c r="V452" s="166"/>
      <c r="W452" s="166"/>
      <c r="X452" s="166"/>
      <c r="Y452" s="166"/>
    </row>
    <row r="453" spans="6:25"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79"/>
      <c r="T453" s="166"/>
      <c r="U453" s="166"/>
      <c r="V453" s="166"/>
      <c r="W453" s="166"/>
      <c r="X453" s="166"/>
      <c r="Y453" s="166"/>
    </row>
    <row r="454" spans="6:25"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79"/>
      <c r="T454" s="166"/>
      <c r="U454" s="166"/>
      <c r="V454" s="166"/>
      <c r="W454" s="166"/>
      <c r="X454" s="166"/>
      <c r="Y454" s="166"/>
    </row>
    <row r="455" spans="6:25"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79"/>
      <c r="T455" s="166"/>
      <c r="U455" s="166"/>
      <c r="V455" s="166"/>
      <c r="W455" s="166"/>
      <c r="X455" s="166"/>
      <c r="Y455" s="166"/>
    </row>
    <row r="456" spans="6:25"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79"/>
      <c r="T456" s="166"/>
      <c r="U456" s="166"/>
      <c r="V456" s="166"/>
      <c r="W456" s="166"/>
      <c r="X456" s="166"/>
      <c r="Y456" s="166"/>
    </row>
    <row r="457" spans="6:25"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79"/>
      <c r="T457" s="166"/>
      <c r="U457" s="166"/>
      <c r="V457" s="166"/>
      <c r="W457" s="166"/>
      <c r="X457" s="166"/>
      <c r="Y457" s="166"/>
    </row>
    <row r="458" spans="6:25"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79"/>
      <c r="T458" s="166"/>
      <c r="U458" s="166"/>
      <c r="V458" s="166"/>
      <c r="W458" s="166"/>
      <c r="X458" s="166"/>
      <c r="Y458" s="166"/>
    </row>
    <row r="459" spans="6:25"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79"/>
      <c r="T459" s="166"/>
      <c r="U459" s="166"/>
      <c r="V459" s="166"/>
      <c r="W459" s="166"/>
      <c r="X459" s="166"/>
      <c r="Y459" s="166"/>
    </row>
    <row r="460" spans="6:25"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79"/>
      <c r="T460" s="166"/>
      <c r="U460" s="166"/>
      <c r="V460" s="166"/>
      <c r="W460" s="166"/>
      <c r="X460" s="166"/>
      <c r="Y460" s="166"/>
    </row>
    <row r="461" spans="6:25"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79"/>
      <c r="T461" s="166"/>
      <c r="U461" s="166"/>
      <c r="V461" s="166"/>
      <c r="W461" s="166"/>
      <c r="X461" s="166"/>
      <c r="Y461" s="166"/>
    </row>
    <row r="462" spans="6:25"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79"/>
      <c r="T462" s="166"/>
      <c r="U462" s="166"/>
      <c r="V462" s="166"/>
      <c r="W462" s="166"/>
      <c r="X462" s="166"/>
      <c r="Y462" s="166"/>
    </row>
    <row r="463" spans="6:25"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79"/>
      <c r="T463" s="166"/>
      <c r="U463" s="166"/>
      <c r="V463" s="166"/>
      <c r="W463" s="166"/>
      <c r="X463" s="166"/>
      <c r="Y463" s="166"/>
    </row>
    <row r="464" spans="6:25"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79"/>
      <c r="T464" s="166"/>
      <c r="U464" s="166"/>
      <c r="V464" s="166"/>
      <c r="W464" s="166"/>
      <c r="X464" s="166"/>
      <c r="Y464" s="166"/>
    </row>
  </sheetData>
  <mergeCells count="2">
    <mergeCell ref="A1:E1"/>
    <mergeCell ref="C3:D3"/>
  </mergeCells>
  <pageMargins left="0.25" right="0.25" top="0.75" bottom="0.75" header="0.3" footer="0.3"/>
  <pageSetup scale="40" fitToHeight="0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2023-12-12T08:00:00+00:00</OpenedDate>
    <SignificantOrder xmlns="dc463f71-b30c-4ab2-9473-d307f9d35888">false</SignificantOrder>
    <Date1 xmlns="dc463f71-b30c-4ab2-9473-d307f9d35888">2023-12-12T08:00:00+00:00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Kent-Meridian Disposal Company  </CaseCompanyNames>
    <Nickname xmlns="http://schemas.microsoft.com/sharepoint/v3" xsi:nil="true"/>
    <DocketNumber xmlns="dc463f71-b30c-4ab2-9473-d307f9d35888">231015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39BDBB1C5E59488035BA154759FDC7" ma:contentTypeVersion="24" ma:contentTypeDescription="" ma:contentTypeScope="" ma:versionID="b8ae36a7d8747917dc1dbfa0d6ef4a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29f450-94b4-4416-870d-2c140728156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8E69D-767D-4609-A613-CE53B88EDCDB}"/>
</file>

<file path=customXml/itemProps4.xml><?xml version="1.0" encoding="utf-8"?>
<ds:datastoreItem xmlns:ds="http://schemas.openxmlformats.org/officeDocument/2006/customXml" ds:itemID="{0B3FEECF-41EC-4D4A-96B2-FBC401D35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Calcs </vt:lpstr>
      <vt:lpstr>References</vt:lpstr>
      <vt:lpstr>Disposal Summary (with IC)</vt:lpstr>
      <vt:lpstr>'Disposal Summary (with IC)'!Print_Titles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Calcualtions</dc:title>
  <dc:creator>Mike Young</dc:creator>
  <cp:lastModifiedBy>Easley, Maria</cp:lastModifiedBy>
  <cp:lastPrinted>2016-12-19T19:27:45Z</cp:lastPrinted>
  <dcterms:created xsi:type="dcterms:W3CDTF">2013-10-29T22:33:54Z</dcterms:created>
  <dcterms:modified xsi:type="dcterms:W3CDTF">2023-12-12T21:58:22Z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0x0101006E56B4D1795A2E4DB2F0B01679ED314A00CD39BDBB1C5E59488035BA154759FDC7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