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Schedules\Schedule 137 - REC Revenues (2012 and forward)\Jan 2024 rate\"/>
    </mc:Choice>
  </mc:AlternateContent>
  <bookViews>
    <workbookView xWindow="-15" yWindow="45" windowWidth="14520" windowHeight="13545" tabRatio="762"/>
  </bookViews>
  <sheets>
    <sheet name="Revenue Requirement" sheetId="1" r:id="rId1"/>
    <sheet name="Tracking Accounts" sheetId="2" r:id="rId2"/>
    <sheet name="Intrst Rev &amp; Tfr Bal Jan 23" sheetId="15" r:id="rId3"/>
    <sheet name="Def, COC, ConvF" sheetId="16" r:id="rId4"/>
    <sheet name="Conv F UE-190529 + filing fee" sheetId="1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Testyear">'[1]KJB-6,13 Cmn Adj'!$B$7</definedName>
    <definedName name="CASE_E">'[2]Named Ranges E'!$C$4</definedName>
    <definedName name="Company">'[5]Named Ranges E'!$B$2</definedName>
    <definedName name="FIT">'[5]Named Ranges E'!$B$10</definedName>
    <definedName name="FIT_E">'[2]Named Ranges E'!$C$3</definedName>
    <definedName name="k_FITrate" localSheetId="2">'[3]Conv Factor'!$L$20</definedName>
    <definedName name="k_FITrate">#REF!</definedName>
    <definedName name="_xlnm.Print_Area" localSheetId="0">'Revenue Requirement'!$A$1:$D$16</definedName>
    <definedName name="RateCase">'[5]Named Ranges E'!$B$7</definedName>
    <definedName name="TestYear">'[5]Named Ranges E'!$B$3</definedName>
    <definedName name="TESTYEAR_E">'[2]Named Ranges E'!$C$5</definedName>
  </definedNames>
  <calcPr calcId="162913"/>
</workbook>
</file>

<file path=xl/calcChain.xml><?xml version="1.0" encoding="utf-8"?>
<calcChain xmlns="http://schemas.openxmlformats.org/spreadsheetml/2006/main">
  <c r="B14" i="1" l="1"/>
  <c r="B12" i="1" l="1"/>
  <c r="B11" i="1"/>
  <c r="B10" i="1"/>
  <c r="B9" i="1"/>
  <c r="Q19" i="15"/>
  <c r="H19" i="15" l="1"/>
  <c r="O7" i="15"/>
  <c r="E7" i="15"/>
  <c r="E18" i="15"/>
  <c r="E17" i="15"/>
  <c r="E16" i="15"/>
  <c r="E15" i="15"/>
  <c r="E14" i="15"/>
  <c r="E13" i="15"/>
  <c r="E12" i="15"/>
  <c r="E11" i="15"/>
  <c r="E10" i="15"/>
  <c r="E9" i="15"/>
  <c r="E8" i="15"/>
  <c r="O18" i="15" l="1"/>
  <c r="O17" i="15"/>
  <c r="O16" i="15"/>
  <c r="O15" i="15"/>
  <c r="O14" i="15"/>
  <c r="O13" i="15"/>
  <c r="O12" i="15"/>
  <c r="O11" i="15"/>
  <c r="O10" i="15"/>
  <c r="O9" i="15"/>
  <c r="O8" i="15"/>
  <c r="O6" i="15"/>
  <c r="O5" i="15"/>
  <c r="A4" i="16" l="1"/>
  <c r="F4" i="16"/>
  <c r="A5" i="16"/>
  <c r="F5" i="16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F12" i="16"/>
  <c r="E13" i="16"/>
  <c r="F13" i="16"/>
  <c r="E14" i="16"/>
  <c r="F14" i="16"/>
  <c r="F15" i="16" s="1"/>
  <c r="F16" i="16" s="1"/>
  <c r="F17" i="16" s="1"/>
  <c r="J14" i="16"/>
  <c r="G14" i="16" s="1"/>
  <c r="C15" i="16"/>
  <c r="J16" i="16"/>
  <c r="J20" i="16" s="1"/>
  <c r="C17" i="16"/>
  <c r="D17" i="16"/>
  <c r="E17" i="16"/>
  <c r="C18" i="16"/>
  <c r="E18" i="16" s="1"/>
  <c r="D18" i="16"/>
  <c r="G19" i="16"/>
  <c r="E22" i="16"/>
  <c r="E24" i="16" s="1"/>
  <c r="E23" i="16"/>
  <c r="C24" i="16"/>
  <c r="C26" i="16"/>
  <c r="D26" i="16"/>
  <c r="E26" i="16"/>
  <c r="C27" i="16"/>
  <c r="D27" i="16"/>
  <c r="E27" i="16"/>
  <c r="C28" i="16"/>
  <c r="E28" i="16"/>
  <c r="C31" i="16"/>
  <c r="E31" i="16"/>
  <c r="E35" i="16" s="1"/>
  <c r="E37" i="16" s="1"/>
  <c r="C32" i="16"/>
  <c r="C36" i="16" s="1"/>
  <c r="E36" i="16" s="1"/>
  <c r="E32" i="16"/>
  <c r="E33" i="16" s="1"/>
  <c r="C35" i="16"/>
  <c r="C37" i="16" s="1"/>
  <c r="D35" i="16"/>
  <c r="D36" i="16"/>
  <c r="A58" i="16"/>
  <c r="A59" i="16"/>
  <c r="A62" i="16" s="1"/>
  <c r="A60" i="16"/>
  <c r="A61" i="16"/>
  <c r="A66" i="16"/>
  <c r="A67" i="16"/>
  <c r="A68" i="16"/>
  <c r="A69" i="16"/>
  <c r="A70" i="16"/>
  <c r="A71" i="16"/>
  <c r="A72" i="16"/>
  <c r="A74" i="16"/>
  <c r="E15" i="16" l="1"/>
  <c r="E19" i="16"/>
  <c r="C19" i="16"/>
  <c r="F18" i="16"/>
  <c r="G18" i="16"/>
  <c r="C33" i="16"/>
  <c r="J18" i="16"/>
  <c r="F19" i="16" l="1"/>
  <c r="F20" i="16" s="1"/>
  <c r="G20" i="16" l="1"/>
  <c r="A63" i="16" l="1"/>
  <c r="B8" i="15" l="1"/>
  <c r="B9" i="15"/>
  <c r="B10" i="15"/>
  <c r="B11" i="15"/>
  <c r="B12" i="15"/>
  <c r="B13" i="15"/>
  <c r="B14" i="15"/>
  <c r="B15" i="15"/>
  <c r="B16" i="15"/>
  <c r="B6" i="15"/>
  <c r="B7" i="15"/>
  <c r="C4" i="15" l="1"/>
  <c r="D4" i="15" s="1"/>
  <c r="M4" i="15"/>
  <c r="N4" i="15" s="1"/>
  <c r="C5" i="15"/>
  <c r="D5" i="15" s="1"/>
  <c r="E5" i="15"/>
  <c r="M5" i="15"/>
  <c r="N5" i="15" s="1"/>
  <c r="P5" i="15"/>
  <c r="C6" i="15"/>
  <c r="D6" i="15" s="1"/>
  <c r="E6" i="15"/>
  <c r="M6" i="15"/>
  <c r="N6" i="15" s="1"/>
  <c r="P6" i="15"/>
  <c r="C7" i="15"/>
  <c r="D7" i="15" s="1"/>
  <c r="M7" i="15"/>
  <c r="N7" i="15" s="1"/>
  <c r="P7" i="15"/>
  <c r="C8" i="15"/>
  <c r="D8" i="15"/>
  <c r="M8" i="15"/>
  <c r="N8" i="15" s="1"/>
  <c r="P8" i="15"/>
  <c r="C9" i="15"/>
  <c r="D9" i="15" s="1"/>
  <c r="M9" i="15"/>
  <c r="N9" i="15"/>
  <c r="P9" i="15"/>
  <c r="C10" i="15"/>
  <c r="D10" i="15"/>
  <c r="M10" i="15"/>
  <c r="N10" i="15" s="1"/>
  <c r="P10" i="15"/>
  <c r="C11" i="15"/>
  <c r="D11" i="15" s="1"/>
  <c r="M11" i="15"/>
  <c r="N11" i="15" s="1"/>
  <c r="P11" i="15"/>
  <c r="C12" i="15"/>
  <c r="D12" i="15"/>
  <c r="M12" i="15"/>
  <c r="N12" i="15" s="1"/>
  <c r="P12" i="15"/>
  <c r="C13" i="15"/>
  <c r="D13" i="15"/>
  <c r="M13" i="15"/>
  <c r="N13" i="15" s="1"/>
  <c r="P13" i="15"/>
  <c r="C14" i="15"/>
  <c r="D14" i="15"/>
  <c r="M14" i="15"/>
  <c r="N14" i="15" s="1"/>
  <c r="P14" i="15"/>
  <c r="C15" i="15"/>
  <c r="D15" i="15" s="1"/>
  <c r="G15" i="15" s="1"/>
  <c r="I15" i="15" s="1"/>
  <c r="M15" i="15"/>
  <c r="N15" i="15" s="1"/>
  <c r="P15" i="15"/>
  <c r="C16" i="15"/>
  <c r="D16" i="15" s="1"/>
  <c r="M16" i="15"/>
  <c r="N16" i="15"/>
  <c r="P16" i="15"/>
  <c r="C17" i="15"/>
  <c r="D17" i="15"/>
  <c r="M17" i="15"/>
  <c r="N17" i="15"/>
  <c r="Q18" i="15" s="1"/>
  <c r="P17" i="15"/>
  <c r="C18" i="15"/>
  <c r="D18" i="15"/>
  <c r="M18" i="15"/>
  <c r="N18" i="15"/>
  <c r="P18" i="15"/>
  <c r="G10" i="15" l="1"/>
  <c r="I10" i="15" s="1"/>
  <c r="Q16" i="15"/>
  <c r="S16" i="15" s="1"/>
  <c r="Q13" i="15"/>
  <c r="S13" i="15" s="1"/>
  <c r="Q5" i="15"/>
  <c r="S5" i="15" s="1"/>
  <c r="G8" i="15"/>
  <c r="I8" i="15" s="1"/>
  <c r="Q9" i="15"/>
  <c r="S9" i="15" s="1"/>
  <c r="Q11" i="15"/>
  <c r="S11" i="15" s="1"/>
  <c r="Q6" i="15"/>
  <c r="S6" i="15" s="1"/>
  <c r="G13" i="15"/>
  <c r="I13" i="15" s="1"/>
  <c r="Q14" i="15"/>
  <c r="S14" i="15" s="1"/>
  <c r="G5" i="15"/>
  <c r="I5" i="15" s="1"/>
  <c r="Q8" i="15"/>
  <c r="S8" i="15" s="1"/>
  <c r="Q7" i="15"/>
  <c r="S7" i="15" s="1"/>
  <c r="R18" i="15"/>
  <c r="S18" i="15" s="1"/>
  <c r="G6" i="15"/>
  <c r="I6" i="15" s="1"/>
  <c r="G7" i="15"/>
  <c r="I7" i="15" s="1"/>
  <c r="G12" i="15"/>
  <c r="I12" i="15" s="1"/>
  <c r="G11" i="15"/>
  <c r="I11" i="15" s="1"/>
  <c r="G16" i="15"/>
  <c r="Q10" i="15"/>
  <c r="S10" i="15" s="1"/>
  <c r="Q12" i="15"/>
  <c r="S12" i="15" s="1"/>
  <c r="G9" i="15"/>
  <c r="I9" i="15" s="1"/>
  <c r="Q15" i="15"/>
  <c r="S15" i="15" s="1"/>
  <c r="G14" i="15"/>
  <c r="I14" i="15" s="1"/>
  <c r="I19" i="15" l="1"/>
  <c r="R17" i="15"/>
  <c r="S17" i="15" s="1"/>
  <c r="S19" i="15" s="1"/>
  <c r="C11" i="1" l="1"/>
  <c r="G18" i="12" l="1"/>
  <c r="D17" i="12"/>
  <c r="D16" i="12"/>
  <c r="C16" i="12"/>
  <c r="J14" i="12"/>
  <c r="G14" i="12" s="1"/>
  <c r="F14" i="12"/>
  <c r="F15" i="12" s="1"/>
  <c r="F16" i="12" s="1"/>
  <c r="F17" i="12" s="1"/>
  <c r="F18" i="12" s="1"/>
  <c r="F13" i="12"/>
  <c r="E13" i="12"/>
  <c r="A13" i="12"/>
  <c r="A14" i="12" s="1"/>
  <c r="A15" i="12" s="1"/>
  <c r="A16" i="12" s="1"/>
  <c r="A17" i="12" s="1"/>
  <c r="A18" i="12" s="1"/>
  <c r="C14" i="12"/>
  <c r="F19" i="12" l="1"/>
  <c r="F20" i="12" s="1"/>
  <c r="J16" i="12"/>
  <c r="J18" i="12" s="1"/>
  <c r="C17" i="12"/>
  <c r="E17" i="12" s="1"/>
  <c r="E12" i="12"/>
  <c r="J19" i="12" l="1"/>
  <c r="J20" i="12" s="1"/>
  <c r="C18" i="12"/>
  <c r="G20" i="12"/>
  <c r="E14" i="12"/>
  <c r="E16" i="12"/>
  <c r="E18" i="12" s="1"/>
  <c r="B13" i="1" l="1"/>
  <c r="C9" i="1"/>
  <c r="C13" i="1" s="1"/>
  <c r="D11" i="1" l="1"/>
  <c r="B15" i="1" l="1"/>
  <c r="B19" i="1" s="1"/>
  <c r="D9" i="1"/>
  <c r="D13" i="1" s="1"/>
</calcChain>
</file>

<file path=xl/sharedStrings.xml><?xml version="1.0" encoding="utf-8"?>
<sst xmlns="http://schemas.openxmlformats.org/spreadsheetml/2006/main" count="195" uniqueCount="95">
  <si>
    <t>Gross up for revenue sensitive items</t>
  </si>
  <si>
    <t>Over / under pass back of proceeds from prior rate period</t>
  </si>
  <si>
    <t>Over / under pass back of interest from prior rate period</t>
  </si>
  <si>
    <t>Description</t>
  </si>
  <si>
    <t>New net proceeds to be passed back</t>
  </si>
  <si>
    <t>Period</t>
  </si>
  <si>
    <t>Debit</t>
  </si>
  <si>
    <t>Credit</t>
  </si>
  <si>
    <t>Balance</t>
  </si>
  <si>
    <t>Cumulative balance</t>
  </si>
  <si>
    <t>Balance Carryforward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</si>
  <si>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</si>
  <si>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</si>
  <si>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</si>
  <si>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</si>
  <si>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</si>
  <si>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</si>
  <si>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</si>
  <si>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</si>
  <si>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</si>
  <si>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</si>
  <si>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</si>
  <si>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</si>
  <si>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</si>
  <si>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</si>
  <si>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</si>
  <si>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</si>
  <si>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</si>
  <si>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>25400291 Proceeds Already Set in Rates - Currently Amortizing</t>
  </si>
  <si>
    <t>25400221 REC Current Proceeds Not in Rates</t>
  </si>
  <si>
    <t>Revenue Requirement for Schedule 137</t>
  </si>
  <si>
    <t>REC</t>
  </si>
  <si>
    <t>Sched 137</t>
  </si>
  <si>
    <t>Allocation b/w</t>
  </si>
  <si>
    <t>Prin and Int</t>
  </si>
  <si>
    <t>25400301 Interest on RECs IN RATES</t>
  </si>
  <si>
    <t>25400311 Interest on RECs NOT In Rates</t>
  </si>
  <si>
    <t>Interest Review for REC proceeds in and not-yet-in rates:  Account # 25400221 and 25400291</t>
  </si>
  <si>
    <t>Date</t>
  </si>
  <si>
    <t>Accumulated DFIT</t>
  </si>
  <si>
    <t>Proceeds net of DFIT</t>
  </si>
  <si>
    <t>FIT Grossup Factor</t>
  </si>
  <si>
    <t>Monthly Interest on 25400221 S/B CR to 25400311 DR to 43100181</t>
  </si>
  <si>
    <t>Difference S/B recorded to 25400301</t>
  </si>
  <si>
    <t>Net Balance</t>
  </si>
  <si>
    <t>Monthly Interest on 25400291 S/B  CR to 25400301 DR to 43100141</t>
  </si>
  <si>
    <t>COST</t>
  </si>
  <si>
    <t>CAPITAL</t>
  </si>
  <si>
    <t>EQUITY</t>
  </si>
  <si>
    <t>TOTAL AFTER TAX COST OF CAPITAL</t>
  </si>
  <si>
    <t>Based on actual balance using authorized ROR and FIT rate</t>
  </si>
  <si>
    <r>
      <t xml:space="preserve">Balance Proceeds </t>
    </r>
    <r>
      <rPr>
        <sz val="11"/>
        <color rgb="FF0000FF"/>
        <rFont val="Calibri"/>
        <family val="2"/>
      </rPr>
      <t>Not In Rates</t>
    </r>
    <r>
      <rPr>
        <sz val="11"/>
        <color theme="1"/>
        <rFont val="Calibri"/>
        <family val="2"/>
        <scheme val="minor"/>
      </rPr>
      <t xml:space="preserve"> 25400221</t>
    </r>
  </si>
  <si>
    <r>
      <t xml:space="preserve">Balance Proceeds </t>
    </r>
    <r>
      <rPr>
        <sz val="11"/>
        <color rgb="FF0000FF"/>
        <rFont val="Calibri"/>
        <family val="2"/>
      </rPr>
      <t>In Rates</t>
    </r>
    <r>
      <rPr>
        <sz val="11"/>
        <color theme="1"/>
        <rFont val="Calibri"/>
        <family val="2"/>
        <scheme val="minor"/>
      </rPr>
      <t xml:space="preserve"> 25400291</t>
    </r>
  </si>
  <si>
    <t>Difference S/B recorded to 25400311</t>
  </si>
  <si>
    <t>After Tax Interest % UE-180282</t>
  </si>
  <si>
    <t>EXH. SEF-18E page 2 of 6</t>
  </si>
  <si>
    <t>EXH. SEF-18E page 3 of 6</t>
  </si>
  <si>
    <t xml:space="preserve">PUGET SOUND ENERGY </t>
  </si>
  <si>
    <t>ELECTRIC RESULTS OF OPERATIONS</t>
  </si>
  <si>
    <t>COST OF CAPITAL - GRC</t>
  </si>
  <si>
    <t>WEIGHTED</t>
  </si>
  <si>
    <t>STRUCTURE</t>
  </si>
  <si>
    <t>SHORT AND LONG TERM DEBT</t>
  </si>
  <si>
    <t>TOTAL</t>
  </si>
  <si>
    <t>AFTER TAX SHORT TERM DEBT ( (LINE 1)* 79%)</t>
  </si>
  <si>
    <t>12 MONTHS ENDED DECEMBER 31, 2018</t>
  </si>
  <si>
    <t>2019 GENERAL RATE CASE</t>
  </si>
  <si>
    <t>FEDERAL INCOME TAX ( LINE 7  * 21% )</t>
  </si>
  <si>
    <t>UE-190529</t>
  </si>
  <si>
    <r>
      <t xml:space="preserve">Actually Recorded to 25400311 </t>
    </r>
    <r>
      <rPr>
        <i/>
        <sz val="11"/>
        <color theme="1"/>
        <rFont val="Calibri"/>
        <family val="2"/>
      </rPr>
      <t>excluding prior trueups</t>
    </r>
  </si>
  <si>
    <t>Transfer of Proceeds</t>
  </si>
  <si>
    <t>&lt;=Only portion updated for 2023 filing</t>
  </si>
  <si>
    <t>Revenue Requirement (credit depicts credit to customers)</t>
  </si>
  <si>
    <t>Interest not in rates to be passed back through Sept 2022</t>
  </si>
  <si>
    <t>(drill into each)</t>
  </si>
  <si>
    <t>Actually Recorded to 25400301</t>
  </si>
  <si>
    <t>&lt;=still using 19GRC</t>
  </si>
  <si>
    <t>To Be Effective January 1, 2024</t>
  </si>
  <si>
    <t>REC's 2023 Actuals for 2024 rates</t>
  </si>
  <si>
    <t>2024 Change</t>
  </si>
  <si>
    <t>% increase</t>
  </si>
  <si>
    <t>`</t>
  </si>
  <si>
    <t>Restating through December 2022</t>
  </si>
  <si>
    <t>REQUESTED COST OF CAPITAL</t>
  </si>
  <si>
    <t>PUGET SOUND ENERGY - ELECTRIC</t>
  </si>
  <si>
    <t>EXH. SEF-3 page 3 of 3</t>
  </si>
  <si>
    <t>EXH. SEF-3 page 2 of 3</t>
  </si>
  <si>
    <t>October Balance</t>
  </si>
  <si>
    <t>ties to 10.23 =&gt;</t>
  </si>
  <si>
    <t>none needed</t>
  </si>
  <si>
    <t>ZERO True-up to be booked in Oct 2023 business</t>
  </si>
  <si>
    <t>Revenue Requirement Effective January 1, 2023</t>
  </si>
  <si>
    <t>&lt;= rate to be set for Jan 1, 2024</t>
  </si>
  <si>
    <t>&lt;= rate set to zero in 2023</t>
  </si>
  <si>
    <t>Decrease to Revenue Requirement Credit (charge)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</si>
</sst>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.000000_);[Red]\(#,##0.000000\)"/>
    <numFmt numFmtId="165" formatCode="0.000000"/>
    <numFmt numFmtId="166" formatCode="0.0000%"/>
    <numFmt numFmtId="167" formatCode="_(* #,##0_);_(* \(#,##0\);_(* &quot;-&quot;??_);_(@_)"/>
    <numFmt numFmtId="169" formatCode="_(* #,##0.000000_);_(* \(#,##0.000000\);_(* &quot;-&quot;????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i/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sz val="11"/>
      <color rgb="FFFF00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/>
    <xf numFmtId="41" fontId="0" fillId="0" borderId="0" xfId="0" applyNumberFormat="1"/>
    <xf numFmtId="42" fontId="0" fillId="0" borderId="0" xfId="0" applyNumberFormat="1"/>
    <xf numFmtId="41" fontId="0" fillId="0" borderId="11" xfId="0" applyNumberFormat="1" applyBorder="1"/>
    <xf numFmtId="0" fontId="18" fillId="33" borderId="13" xfId="44" applyFont="1" applyFill="1" applyBorder="1"/>
    <xf numFmtId="0" fontId="0" fillId="0" borderId="17" xfId="0" applyBorder="1"/>
    <xf numFmtId="4" fontId="18" fillId="0" borderId="0" xfId="43" applyNumberFormat="1" applyFont="1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0" fillId="0" borderId="18" xfId="0" applyBorder="1"/>
    <xf numFmtId="0" fontId="0" fillId="0" borderId="14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8" fillId="0" borderId="0" xfId="44" applyFont="1" applyBorder="1"/>
    <xf numFmtId="4" fontId="18" fillId="0" borderId="0" xfId="44" applyNumberFormat="1" applyFont="1" applyBorder="1" applyAlignment="1">
      <alignment horizontal="right"/>
    </xf>
    <xf numFmtId="43" fontId="0" fillId="0" borderId="0" xfId="0" applyNumberFormat="1"/>
    <xf numFmtId="10" fontId="0" fillId="0" borderId="0" xfId="1" applyNumberFormat="1" applyFont="1"/>
    <xf numFmtId="0" fontId="20" fillId="0" borderId="0" xfId="0" applyFont="1"/>
    <xf numFmtId="4" fontId="0" fillId="0" borderId="0" xfId="0" applyNumberFormat="1" applyAlignment="1">
      <alignment horizontal="right" vertical="top"/>
    </xf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49" applyNumberFormat="1" applyFont="1"/>
    <xf numFmtId="43" fontId="0" fillId="0" borderId="0" xfId="49" applyNumberFormat="1" applyFont="1"/>
    <xf numFmtId="43" fontId="0" fillId="0" borderId="0" xfId="49" applyFont="1" applyFill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0" borderId="23" xfId="0" applyFont="1" applyBorder="1" applyAlignment="1">
      <alignment horizontal="centerContinuous"/>
    </xf>
    <xf numFmtId="0" fontId="21" fillId="0" borderId="24" xfId="0" applyFont="1" applyBorder="1" applyAlignment="1">
      <alignment horizontal="centerContinuous"/>
    </xf>
    <xf numFmtId="0" fontId="21" fillId="0" borderId="25" xfId="0" applyFont="1" applyBorder="1" applyAlignment="1">
      <alignment horizontal="centerContinuous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Fill="1"/>
    <xf numFmtId="0" fontId="25" fillId="0" borderId="29" xfId="0" applyFont="1" applyFill="1" applyBorder="1" applyAlignment="1">
      <alignment horizontal="centerContinuous"/>
    </xf>
    <xf numFmtId="0" fontId="25" fillId="0" borderId="30" xfId="0" applyFont="1" applyFill="1" applyBorder="1" applyAlignment="1">
      <alignment horizontal="centerContinuous"/>
    </xf>
    <xf numFmtId="0" fontId="25" fillId="0" borderId="22" xfId="0" applyFont="1" applyFill="1" applyBorder="1" applyAlignment="1">
      <alignment horizontal="centerContinuous"/>
    </xf>
    <xf numFmtId="0" fontId="26" fillId="0" borderId="0" xfId="0" applyFont="1" applyFill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10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4" fillId="0" borderId="10" xfId="0" applyFont="1" applyFill="1" applyBorder="1"/>
    <xf numFmtId="0" fontId="24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10" fontId="24" fillId="0" borderId="0" xfId="0" applyNumberFormat="1" applyFont="1" applyFill="1"/>
    <xf numFmtId="0" fontId="24" fillId="0" borderId="0" xfId="0" applyNumberFormat="1" applyFont="1" applyFill="1" applyAlignment="1">
      <alignment horizontal="left"/>
    </xf>
    <xf numFmtId="165" fontId="24" fillId="0" borderId="0" xfId="0" applyNumberFormat="1" applyFont="1" applyFill="1" applyAlignment="1"/>
    <xf numFmtId="9" fontId="24" fillId="0" borderId="11" xfId="0" applyNumberFormat="1" applyFont="1" applyFill="1" applyBorder="1"/>
    <xf numFmtId="0" fontId="24" fillId="0" borderId="11" xfId="0" applyFont="1" applyFill="1" applyBorder="1"/>
    <xf numFmtId="10" fontId="24" fillId="0" borderId="11" xfId="0" applyNumberFormat="1" applyFont="1" applyFill="1" applyBorder="1"/>
    <xf numFmtId="166" fontId="24" fillId="0" borderId="0" xfId="0" applyNumberFormat="1" applyFont="1" applyFill="1" applyAlignment="1"/>
    <xf numFmtId="165" fontId="24" fillId="0" borderId="10" xfId="0" applyNumberFormat="1" applyFont="1" applyFill="1" applyBorder="1" applyAlignment="1"/>
    <xf numFmtId="165" fontId="24" fillId="0" borderId="0" xfId="0" applyNumberFormat="1" applyFont="1" applyFill="1" applyBorder="1" applyAlignment="1"/>
    <xf numFmtId="9" fontId="24" fillId="0" borderId="0" xfId="0" applyNumberFormat="1" applyFont="1" applyFill="1" applyAlignment="1"/>
    <xf numFmtId="41" fontId="24" fillId="0" borderId="0" xfId="0" applyNumberFormat="1" applyFont="1" applyFill="1"/>
    <xf numFmtId="0" fontId="0" fillId="0" borderId="0" xfId="0" applyFont="1" applyFill="1"/>
    <xf numFmtId="0" fontId="27" fillId="0" borderId="0" xfId="0" applyFont="1" applyFill="1"/>
    <xf numFmtId="165" fontId="24" fillId="34" borderId="12" xfId="0" applyNumberFormat="1" applyFont="1" applyFill="1" applyBorder="1" applyAlignment="1" applyProtection="1">
      <protection locked="0"/>
    </xf>
    <xf numFmtId="10" fontId="24" fillId="34" borderId="11" xfId="0" applyNumberFormat="1" applyFont="1" applyFill="1" applyBorder="1"/>
    <xf numFmtId="17" fontId="0" fillId="0" borderId="0" xfId="0" applyNumberFormat="1" applyFill="1"/>
    <xf numFmtId="167" fontId="0" fillId="0" borderId="0" xfId="49" applyNumberFormat="1" applyFont="1" applyFill="1"/>
    <xf numFmtId="43" fontId="0" fillId="0" borderId="0" xfId="0" applyNumberFormat="1" applyFill="1"/>
    <xf numFmtId="10" fontId="0" fillId="0" borderId="0" xfId="1" applyNumberFormat="1" applyFont="1" applyFill="1"/>
    <xf numFmtId="0" fontId="0" fillId="0" borderId="0" xfId="0" applyFill="1"/>
    <xf numFmtId="43" fontId="0" fillId="0" borderId="0" xfId="49" applyNumberFormat="1" applyFont="1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7" fontId="0" fillId="0" borderId="11" xfId="0" applyNumberFormat="1" applyBorder="1"/>
    <xf numFmtId="9" fontId="0" fillId="0" borderId="11" xfId="0" applyNumberFormat="1" applyBorder="1"/>
    <xf numFmtId="0" fontId="29" fillId="0" borderId="0" xfId="0" applyFont="1"/>
    <xf numFmtId="43" fontId="29" fillId="0" borderId="0" xfId="49" applyNumberFormat="1" applyFont="1" applyFill="1"/>
    <xf numFmtId="43" fontId="29" fillId="0" borderId="0" xfId="0" applyNumberFormat="1" applyFont="1" applyFill="1"/>
    <xf numFmtId="43" fontId="29" fillId="0" borderId="0" xfId="49" applyNumberFormat="1" applyFont="1" applyFill="1" applyAlignment="1">
      <alignment horizontal="right"/>
    </xf>
    <xf numFmtId="167" fontId="29" fillId="0" borderId="0" xfId="0" applyNumberFormat="1" applyFont="1"/>
    <xf numFmtId="42" fontId="0" fillId="0" borderId="12" xfId="0" applyNumberFormat="1" applyFill="1" applyBorder="1"/>
    <xf numFmtId="167" fontId="1" fillId="0" borderId="0" xfId="50" applyNumberFormat="1" applyFont="1" applyFill="1" applyAlignment="1">
      <alignment horizontal="right" vertical="top"/>
    </xf>
    <xf numFmtId="43" fontId="1" fillId="0" borderId="0" xfId="50" applyFont="1" applyAlignment="1">
      <alignment horizontal="right" vertical="top"/>
    </xf>
    <xf numFmtId="167" fontId="0" fillId="0" borderId="12" xfId="0" applyNumberFormat="1" applyBorder="1"/>
    <xf numFmtId="43" fontId="29" fillId="0" borderId="0" xfId="50" applyFont="1" applyFill="1" applyAlignment="1">
      <alignment horizontal="right" vertical="top"/>
    </xf>
    <xf numFmtId="167" fontId="29" fillId="0" borderId="0" xfId="50" applyNumberFormat="1" applyFont="1" applyFill="1" applyAlignment="1">
      <alignment horizontal="right" vertical="top"/>
    </xf>
    <xf numFmtId="0" fontId="30" fillId="35" borderId="0" xfId="0" applyFont="1" applyFill="1"/>
    <xf numFmtId="0" fontId="31" fillId="35" borderId="0" xfId="0" applyFont="1" applyFill="1"/>
    <xf numFmtId="165" fontId="33" fillId="0" borderId="0" xfId="0" applyNumberFormat="1" applyFont="1" applyFill="1" applyAlignment="1"/>
    <xf numFmtId="0" fontId="14" fillId="0" borderId="0" xfId="0" applyFont="1"/>
    <xf numFmtId="0" fontId="18" fillId="36" borderId="0" xfId="44" applyFont="1" applyFill="1" applyBorder="1"/>
    <xf numFmtId="4" fontId="18" fillId="36" borderId="0" xfId="44" applyNumberFormat="1" applyFont="1" applyFill="1" applyBorder="1" applyAlignment="1">
      <alignment horizontal="right"/>
    </xf>
    <xf numFmtId="4" fontId="18" fillId="36" borderId="0" xfId="43" applyNumberFormat="1" applyFont="1" applyFill="1" applyBorder="1" applyAlignment="1">
      <alignment horizontal="right"/>
    </xf>
    <xf numFmtId="4" fontId="0" fillId="36" borderId="0" xfId="0" applyNumberFormat="1" applyFill="1" applyAlignment="1">
      <alignment horizontal="right" vertical="top"/>
    </xf>
    <xf numFmtId="42" fontId="0" fillId="36" borderId="12" xfId="0" applyNumberFormat="1" applyFill="1" applyBorder="1"/>
    <xf numFmtId="43" fontId="0" fillId="0" borderId="0" xfId="49" applyNumberFormat="1" applyFont="1" applyAlignment="1">
      <alignment horizontal="right" vertical="top"/>
    </xf>
    <xf numFmtId="43" fontId="0" fillId="0" borderId="0" xfId="49" applyNumberFormat="1" applyFont="1" applyFill="1" applyAlignment="1">
      <alignment horizontal="right" vertical="top"/>
    </xf>
    <xf numFmtId="0" fontId="32" fillId="0" borderId="0" xfId="0" applyFont="1" applyFill="1" applyAlignment="1">
      <alignment horizontal="center" vertical="center" wrapText="1"/>
    </xf>
    <xf numFmtId="42" fontId="24" fillId="0" borderId="0" xfId="0" applyNumberFormat="1" applyFont="1" applyFill="1"/>
    <xf numFmtId="42" fontId="24" fillId="0" borderId="11" xfId="0" applyNumberFormat="1" applyFont="1" applyFill="1" applyBorder="1"/>
    <xf numFmtId="0" fontId="0" fillId="0" borderId="0" xfId="0" applyFont="1" applyFill="1" applyAlignment="1">
      <alignment horizontal="center"/>
    </xf>
    <xf numFmtId="10" fontId="34" fillId="0" borderId="31" xfId="1" applyNumberFormat="1" applyFont="1" applyFill="1" applyBorder="1" applyAlignment="1">
      <alignment horizontal="center"/>
    </xf>
    <xf numFmtId="10" fontId="24" fillId="0" borderId="33" xfId="1" applyNumberFormat="1" applyFont="1" applyFill="1" applyBorder="1"/>
    <xf numFmtId="10" fontId="24" fillId="0" borderId="34" xfId="1" applyNumberFormat="1" applyFont="1" applyFill="1" applyBorder="1"/>
    <xf numFmtId="0" fontId="0" fillId="0" borderId="36" xfId="0" applyBorder="1" applyAlignment="1">
      <alignment horizontal="centerContinuous"/>
    </xf>
    <xf numFmtId="0" fontId="0" fillId="0" borderId="37" xfId="0" applyBorder="1" applyAlignment="1">
      <alignment horizontal="centerContinuous"/>
    </xf>
    <xf numFmtId="0" fontId="0" fillId="0" borderId="0" xfId="0" applyFont="1" applyFill="1" applyBorder="1"/>
    <xf numFmtId="0" fontId="35" fillId="0" borderId="0" xfId="0" applyFont="1" applyFill="1"/>
    <xf numFmtId="0" fontId="24" fillId="0" borderId="0" xfId="0" applyNumberFormat="1" applyFont="1" applyFill="1" applyBorder="1" applyAlignment="1">
      <alignment horizontal="center"/>
    </xf>
    <xf numFmtId="42" fontId="24" fillId="0" borderId="0" xfId="0" applyNumberFormat="1" applyFont="1" applyFill="1" applyBorder="1"/>
    <xf numFmtId="10" fontId="24" fillId="0" borderId="30" xfId="0" applyNumberFormat="1" applyFont="1" applyFill="1" applyBorder="1"/>
    <xf numFmtId="0" fontId="24" fillId="0" borderId="22" xfId="0" applyFont="1" applyFill="1" applyBorder="1"/>
    <xf numFmtId="9" fontId="24" fillId="0" borderId="22" xfId="0" applyNumberFormat="1" applyFont="1" applyFill="1" applyBorder="1"/>
    <xf numFmtId="0" fontId="24" fillId="0" borderId="32" xfId="0" applyNumberFormat="1" applyFont="1" applyFill="1" applyBorder="1" applyAlignment="1"/>
    <xf numFmtId="41" fontId="24" fillId="0" borderId="0" xfId="0" applyNumberFormat="1" applyFont="1" applyFill="1" applyBorder="1"/>
    <xf numFmtId="10" fontId="24" fillId="0" borderId="34" xfId="0" applyNumberFormat="1" applyFont="1" applyFill="1" applyBorder="1"/>
    <xf numFmtId="10" fontId="24" fillId="0" borderId="0" xfId="0" applyNumberFormat="1" applyFont="1" applyFill="1" applyBorder="1"/>
    <xf numFmtId="0" fontId="24" fillId="0" borderId="35" xfId="0" applyNumberFormat="1" applyFont="1" applyFill="1" applyBorder="1" applyAlignment="1"/>
    <xf numFmtId="167" fontId="24" fillId="0" borderId="0" xfId="0" applyNumberFormat="1" applyFont="1" applyFill="1"/>
    <xf numFmtId="0" fontId="24" fillId="0" borderId="34" xfId="0" applyFont="1" applyFill="1" applyBorder="1"/>
    <xf numFmtId="0" fontId="24" fillId="0" borderId="0" xfId="0" applyFont="1" applyFill="1" applyBorder="1"/>
    <xf numFmtId="43" fontId="24" fillId="0" borderId="0" xfId="0" applyNumberFormat="1" applyFont="1" applyFill="1"/>
    <xf numFmtId="166" fontId="26" fillId="0" borderId="37" xfId="0" applyNumberFormat="1" applyFont="1" applyFill="1" applyBorder="1"/>
    <xf numFmtId="167" fontId="24" fillId="0" borderId="0" xfId="0" applyNumberFormat="1" applyFont="1" applyFill="1" applyBorder="1"/>
    <xf numFmtId="0" fontId="24" fillId="0" borderId="37" xfId="0" applyFont="1" applyFill="1" applyBorder="1"/>
    <xf numFmtId="0" fontId="26" fillId="0" borderId="38" xfId="0" applyFont="1" applyFill="1" applyBorder="1" applyAlignment="1">
      <alignment horizontal="left"/>
    </xf>
    <xf numFmtId="41" fontId="24" fillId="0" borderId="0" xfId="0" applyNumberFormat="1" applyFont="1" applyFill="1" applyBorder="1" applyAlignment="1"/>
    <xf numFmtId="169" fontId="24" fillId="0" borderId="0" xfId="0" applyNumberFormat="1" applyFont="1" applyFill="1" applyBorder="1"/>
    <xf numFmtId="165" fontId="24" fillId="0" borderId="12" xfId="0" applyNumberFormat="1" applyFont="1" applyFill="1" applyBorder="1" applyAlignment="1" applyProtection="1">
      <protection locked="0"/>
    </xf>
    <xf numFmtId="10" fontId="26" fillId="0" borderId="37" xfId="0" applyNumberFormat="1" applyFont="1" applyFill="1" applyBorder="1"/>
    <xf numFmtId="0" fontId="36" fillId="0" borderId="0" xfId="0" applyFont="1" applyFill="1"/>
    <xf numFmtId="0" fontId="36" fillId="0" borderId="0" xfId="0" applyFont="1" applyFill="1" applyAlignment="1">
      <alignment horizontal="centerContinuous"/>
    </xf>
    <xf numFmtId="10" fontId="37" fillId="0" borderId="0" xfId="1" applyNumberFormat="1" applyFont="1" applyFill="1"/>
    <xf numFmtId="0" fontId="29" fillId="0" borderId="0" xfId="0" applyFont="1" applyAlignment="1">
      <alignment horizontal="right"/>
    </xf>
    <xf numFmtId="167" fontId="0" fillId="0" borderId="0" xfId="49" applyNumberFormat="1" applyFont="1" applyBorder="1" applyAlignment="1">
      <alignment horizontal="center" vertical="center" wrapText="1"/>
    </xf>
    <xf numFmtId="43" fontId="0" fillId="0" borderId="12" xfId="0" applyNumberFormat="1" applyBorder="1"/>
    <xf numFmtId="0" fontId="20" fillId="0" borderId="0" xfId="0" applyFont="1" applyAlignment="1">
      <alignment horizontal="right"/>
    </xf>
    <xf numFmtId="167" fontId="0" fillId="0" borderId="0" xfId="49" applyNumberFormat="1" applyFont="1" applyFill="1" applyBorder="1" applyAlignment="1">
      <alignment horizontal="center" vertical="center" wrapText="1"/>
    </xf>
    <xf numFmtId="165" fontId="24" fillId="37" borderId="0" xfId="0" applyNumberFormat="1" applyFont="1" applyFill="1" applyAlignment="1"/>
    <xf numFmtId="165" fontId="24" fillId="0" borderId="0" xfId="0" applyNumberFormat="1" applyFont="1" applyFill="1"/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9" builtinId="3"/>
    <cellStyle name="Comma 10" xfId="48"/>
    <cellStyle name="Comma 10 2" xfId="50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5 2" xfId="46"/>
    <cellStyle name="Normal 125" xfId="45"/>
    <cellStyle name="Normal 126" xfId="47"/>
    <cellStyle name="Normal 129" xfId="44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00FF"/>
      <color rgb="FFCCFF33"/>
      <color rgb="FFFF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537882</xdr:colOff>
      <xdr:row>24</xdr:row>
      <xdr:rowOff>156883</xdr:rowOff>
    </xdr:from>
    <xdr:to>
      <xdr:col>7</xdr:col>
      <xdr:colOff>6085</xdr:colOff>
      <xdr:row>45</xdr:row>
      <xdr:rowOff>77420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882" y="6051177"/>
          <a:ext cx="5104762" cy="368571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33617</xdr:colOff>
      <xdr:row>24</xdr:row>
      <xdr:rowOff>100854</xdr:rowOff>
    </xdr:from>
    <xdr:to>
      <xdr:col>17</xdr:col>
      <xdr:colOff>44748</xdr:colOff>
      <xdr:row>44</xdr:row>
      <xdr:rowOff>173796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6676" y="5995148"/>
          <a:ext cx="5076190" cy="36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2018\2018%20Tax%20Reform%20WP\RevReq%20WP\%23Electric%20Model%20Tax%20Reform%202017%20GRC%20(SETTLEMEN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E-ELECTRIC-MODEL-REBUTTAL-19GRC-01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Schedules\Schedule%20137%20-%20REC%20Revenues%20(2012%20and%20forward)\Jan%202019%20rate\Dirty%20Set%20Schedule%20137%20REC%20Rev%20Req%202019%20Workpap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chedules/Schedule%20137%20-%20REC%20Revenues%20(2012%20and%20forward)/Jan%202023%20rate%20(set%20to%20zero)/Interest%20Review%20and%20Transfer%20for%20Jan%202023%20Busine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/>
      <sheetData sheetId="4">
        <row r="7">
          <cell r="B7" t="str">
            <v>FOR THE TWELVE MONTHS ENDED SEPTEMBER 30,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Impacts"/>
      <sheetName val="admin n tracking==&gt;"/>
      <sheetName val="Track diff for Impa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"/>
      <sheetName val="Tracking Accounts"/>
      <sheetName val="Conv Factor"/>
      <sheetName val="Interest Review for Jan 2019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 137 Trf Entries"/>
      <sheetName val="Interest Calc for 2023"/>
      <sheetName val="Conv F and COC UE-220066"/>
      <sheetName val="Intrst Rev &amp; Tfr Bal Jan 22"/>
      <sheetName val="A0 - Recon"/>
      <sheetName val="Conv F and COC UE-190529"/>
    </sheetNames>
    <sheetDataSet>
      <sheetData sheetId="0"/>
      <sheetData sheetId="1"/>
      <sheetData sheetId="2"/>
      <sheetData sheetId="3"/>
      <sheetData sheetId="4"/>
      <sheetData sheetId="5">
        <row r="18">
          <cell r="E18">
            <v>6.8000000000000005E-2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  <row r="10">
          <cell r="A10" t="str">
            <v>FIT</v>
          </cell>
          <cell r="B10">
            <v>0.21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E15" sqref="E15"/>
    </sheetView>
  </sheetViews>
  <sheetFormatPr defaultRowHeight="15" x14ac:dyDescent="0.25"/>
  <cols>
    <col min="1" max="1" width="53" bestFit="1" customWidth="1"/>
    <col min="2" max="2" width="14.140625" customWidth="1"/>
    <col min="3" max="3" width="14" bestFit="1" customWidth="1"/>
    <col min="4" max="4" width="14.140625" bestFit="1" customWidth="1"/>
    <col min="6" max="7" width="12.28515625" bestFit="1" customWidth="1"/>
    <col min="9" max="9" width="10.7109375" bestFit="1" customWidth="1"/>
    <col min="10" max="10" width="9.7109375" bestFit="1" customWidth="1"/>
  </cols>
  <sheetData>
    <row r="1" spans="1:4" x14ac:dyDescent="0.25">
      <c r="A1" t="s">
        <v>30</v>
      </c>
    </row>
    <row r="2" spans="1:4" x14ac:dyDescent="0.25">
      <c r="A2" t="s">
        <v>77</v>
      </c>
    </row>
    <row r="6" spans="1:4" x14ac:dyDescent="0.25">
      <c r="B6" s="1" t="s">
        <v>31</v>
      </c>
    </row>
    <row r="7" spans="1:4" x14ac:dyDescent="0.25">
      <c r="A7" s="2" t="s">
        <v>3</v>
      </c>
      <c r="B7" s="2" t="s">
        <v>32</v>
      </c>
      <c r="D7" s="1" t="s">
        <v>33</v>
      </c>
    </row>
    <row r="8" spans="1:4" x14ac:dyDescent="0.25">
      <c r="D8" s="1" t="s">
        <v>34</v>
      </c>
    </row>
    <row r="9" spans="1:4" x14ac:dyDescent="0.25">
      <c r="A9" t="s">
        <v>4</v>
      </c>
      <c r="B9" s="5">
        <f>'Tracking Accounts'!G18</f>
        <v>-48701.09</v>
      </c>
      <c r="C9" s="5">
        <f>+B9+B10</f>
        <v>132519.65</v>
      </c>
      <c r="D9" s="21">
        <f>+C9/C13</f>
        <v>0.97137165487217614</v>
      </c>
    </row>
    <row r="10" spans="1:4" x14ac:dyDescent="0.25">
      <c r="A10" t="s">
        <v>1</v>
      </c>
      <c r="B10" s="4">
        <f>'Tracking Accounts'!O18</f>
        <v>181220.74</v>
      </c>
      <c r="D10" s="21"/>
    </row>
    <row r="11" spans="1:4" x14ac:dyDescent="0.25">
      <c r="A11" t="s">
        <v>73</v>
      </c>
      <c r="B11" s="4">
        <f>+'Tracking Accounts'!G36</f>
        <v>97139.1</v>
      </c>
      <c r="C11" s="4">
        <f>SUM(B11:B12)</f>
        <v>3905.6300000000047</v>
      </c>
      <c r="D11" s="21">
        <f>+C11/C13</f>
        <v>2.8628345127823852E-2</v>
      </c>
    </row>
    <row r="12" spans="1:4" x14ac:dyDescent="0.25">
      <c r="A12" t="s">
        <v>2</v>
      </c>
      <c r="B12" s="4">
        <f>+'Tracking Accounts'!O36</f>
        <v>-93233.47</v>
      </c>
      <c r="C12" s="4"/>
      <c r="D12" s="21"/>
    </row>
    <row r="13" spans="1:4" x14ac:dyDescent="0.25">
      <c r="B13" s="6">
        <f>SUM(B9:B12)</f>
        <v>136425.28</v>
      </c>
      <c r="C13" s="76">
        <f>SUM(C9:C12)</f>
        <v>136425.28</v>
      </c>
      <c r="D13" s="77">
        <f>SUM(D9:D12)</f>
        <v>1</v>
      </c>
    </row>
    <row r="14" spans="1:4" x14ac:dyDescent="0.25">
      <c r="A14" t="s">
        <v>0</v>
      </c>
      <c r="B14" s="3">
        <f>+'Def, COC, ConvF'!J18</f>
        <v>0.95034799999999997</v>
      </c>
    </row>
    <row r="15" spans="1:4" ht="15.75" thickBot="1" x14ac:dyDescent="0.3">
      <c r="A15" t="s">
        <v>72</v>
      </c>
      <c r="B15" s="97">
        <f>B13/B14</f>
        <v>143552.97217440349</v>
      </c>
      <c r="C15" s="22" t="s">
        <v>92</v>
      </c>
    </row>
    <row r="16" spans="1:4" ht="15.75" thickTop="1" x14ac:dyDescent="0.25">
      <c r="B16" s="4"/>
    </row>
    <row r="18" spans="1:4" ht="15.75" thickBot="1" x14ac:dyDescent="0.3">
      <c r="A18" s="72" t="s">
        <v>91</v>
      </c>
      <c r="B18" s="83">
        <v>0</v>
      </c>
      <c r="C18" s="22" t="s">
        <v>93</v>
      </c>
      <c r="D18" s="72"/>
    </row>
    <row r="19" spans="1:4" ht="16.5" thickTop="1" thickBot="1" x14ac:dyDescent="0.3">
      <c r="A19" s="72" t="s">
        <v>94</v>
      </c>
      <c r="B19" s="83">
        <f>+B15-B18</f>
        <v>143552.97217440349</v>
      </c>
      <c r="C19" s="72"/>
      <c r="D19" s="72"/>
    </row>
    <row r="20" spans="1:4" ht="15.75" thickTop="1" x14ac:dyDescent="0.25"/>
  </sheetData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zoomScale="85" zoomScaleNormal="85" workbookViewId="0">
      <pane ySplit="1" topLeftCell="A2" activePane="bottomLeft" state="frozen"/>
      <selection activeCell="B12" sqref="B12:H14"/>
      <selection pane="bottomLeft" activeCell="O18" sqref="O18"/>
    </sheetView>
  </sheetViews>
  <sheetFormatPr defaultRowHeight="15" x14ac:dyDescent="0.25"/>
  <cols>
    <col min="3" max="3" width="20.85546875" customWidth="1"/>
    <col min="4" max="5" width="11.7109375" bestFit="1" customWidth="1"/>
    <col min="6" max="6" width="20.140625" customWidth="1"/>
    <col min="7" max="7" width="17.28515625" bestFit="1" customWidth="1"/>
    <col min="11" max="11" width="20" customWidth="1"/>
    <col min="12" max="12" width="10.28515625" bestFit="1" customWidth="1"/>
    <col min="13" max="13" width="11.7109375" bestFit="1" customWidth="1"/>
    <col min="14" max="14" width="12.28515625" bestFit="1" customWidth="1"/>
    <col min="15" max="15" width="17.28515625" bestFit="1" customWidth="1"/>
  </cols>
  <sheetData>
    <row r="1" spans="2:16" x14ac:dyDescent="0.25">
      <c r="B1" s="22" t="s">
        <v>78</v>
      </c>
    </row>
    <row r="4" spans="2:16" x14ac:dyDescent="0.25">
      <c r="B4" s="13"/>
      <c r="C4" s="11"/>
      <c r="D4" s="11"/>
      <c r="E4" s="11"/>
      <c r="F4" s="11"/>
      <c r="G4" s="11"/>
      <c r="H4" s="10"/>
      <c r="J4" s="13"/>
      <c r="K4" s="11"/>
      <c r="L4" s="11"/>
      <c r="M4" s="11"/>
      <c r="N4" s="11"/>
      <c r="O4" s="11"/>
      <c r="P4" s="10"/>
    </row>
    <row r="5" spans="2:16" x14ac:dyDescent="0.25">
      <c r="B5" s="8"/>
      <c r="C5" s="14" t="s">
        <v>29</v>
      </c>
      <c r="D5" s="14"/>
      <c r="E5" s="14"/>
      <c r="F5" s="14"/>
      <c r="G5" s="14"/>
      <c r="H5" s="12"/>
      <c r="J5" s="8"/>
      <c r="K5" s="14" t="s">
        <v>28</v>
      </c>
      <c r="L5" s="14"/>
      <c r="M5" s="14"/>
      <c r="N5" s="14"/>
      <c r="O5" s="14"/>
      <c r="P5" s="12"/>
    </row>
    <row r="6" spans="2:16" x14ac:dyDescent="0.25">
      <c r="B6" s="8"/>
      <c r="C6" s="14"/>
      <c r="D6" s="14"/>
      <c r="E6" s="14"/>
      <c r="F6" s="14"/>
      <c r="G6" s="14"/>
      <c r="H6" s="12"/>
      <c r="J6" s="8"/>
      <c r="K6" s="14"/>
      <c r="L6" s="14"/>
      <c r="M6" s="14"/>
      <c r="N6" s="14"/>
      <c r="O6" s="14"/>
      <c r="P6" s="12"/>
    </row>
    <row r="7" spans="2:16" x14ac:dyDescent="0.25">
      <c r="B7" s="8"/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12"/>
      <c r="J7" s="8"/>
      <c r="K7" s="7" t="s">
        <v>5</v>
      </c>
      <c r="L7" s="7" t="s">
        <v>6</v>
      </c>
      <c r="M7" s="7" t="s">
        <v>7</v>
      </c>
      <c r="N7" s="7" t="s">
        <v>8</v>
      </c>
      <c r="O7" s="7" t="s">
        <v>9</v>
      </c>
      <c r="P7" s="12"/>
    </row>
    <row r="8" spans="2:16" x14ac:dyDescent="0.25">
      <c r="B8" s="8"/>
      <c r="C8" s="18" t="s">
        <v>10</v>
      </c>
      <c r="D8" s="19">
        <v>0</v>
      </c>
      <c r="E8" s="19">
        <v>0</v>
      </c>
      <c r="F8" s="19">
        <v>0</v>
      </c>
      <c r="G8" s="23">
        <v>-63682.8</v>
      </c>
      <c r="H8" s="12"/>
      <c r="J8" s="8"/>
      <c r="K8" s="18" t="s">
        <v>10</v>
      </c>
      <c r="L8" s="19">
        <v>0</v>
      </c>
      <c r="M8" s="19">
        <v>0</v>
      </c>
      <c r="N8" s="19">
        <v>0</v>
      </c>
      <c r="O8" s="23">
        <v>183679.5</v>
      </c>
      <c r="P8" s="12"/>
    </row>
    <row r="9" spans="2:16" x14ac:dyDescent="0.25">
      <c r="B9" s="8"/>
      <c r="C9" s="18" t="s">
        <v>11</v>
      </c>
      <c r="D9" s="19">
        <v>604.4</v>
      </c>
      <c r="E9" s="19">
        <v>0</v>
      </c>
      <c r="F9" s="9">
        <v>604.4</v>
      </c>
      <c r="G9" s="9">
        <v>-63078.400000000001</v>
      </c>
      <c r="H9" s="12"/>
      <c r="J9" s="8"/>
      <c r="K9" s="18" t="s">
        <v>11</v>
      </c>
      <c r="L9" s="19">
        <v>25691.64</v>
      </c>
      <c r="M9" s="19">
        <v>30505.74</v>
      </c>
      <c r="N9" s="23">
        <v>-4814.1000000000004</v>
      </c>
      <c r="O9" s="9">
        <v>178865.4</v>
      </c>
      <c r="P9" s="12"/>
    </row>
    <row r="10" spans="2:16" x14ac:dyDescent="0.25">
      <c r="B10" s="8"/>
      <c r="C10" s="18" t="s">
        <v>12</v>
      </c>
      <c r="D10" s="19">
        <v>122410.51</v>
      </c>
      <c r="E10" s="19">
        <v>131750</v>
      </c>
      <c r="F10" s="9">
        <v>-9339.49</v>
      </c>
      <c r="G10" s="9">
        <v>-72417.89</v>
      </c>
      <c r="H10" s="12"/>
      <c r="J10" s="8"/>
      <c r="K10" s="18" t="s">
        <v>12</v>
      </c>
      <c r="L10" s="19">
        <v>1703.68</v>
      </c>
      <c r="M10" s="19">
        <v>0</v>
      </c>
      <c r="N10" s="23">
        <v>1703.68</v>
      </c>
      <c r="O10" s="9">
        <v>180569.08</v>
      </c>
      <c r="P10" s="12"/>
    </row>
    <row r="11" spans="2:16" x14ac:dyDescent="0.25">
      <c r="B11" s="8"/>
      <c r="C11" s="18" t="s">
        <v>13</v>
      </c>
      <c r="D11" s="19">
        <v>0</v>
      </c>
      <c r="E11" s="19">
        <v>0</v>
      </c>
      <c r="F11" s="9">
        <v>0</v>
      </c>
      <c r="G11" s="9">
        <v>-72417.89</v>
      </c>
      <c r="H11" s="12"/>
      <c r="J11" s="8"/>
      <c r="K11" s="18" t="s">
        <v>13</v>
      </c>
      <c r="L11" s="19">
        <v>446.52</v>
      </c>
      <c r="M11" s="19">
        <v>0</v>
      </c>
      <c r="N11" s="23">
        <v>446.52</v>
      </c>
      <c r="O11" s="9">
        <v>181015.6</v>
      </c>
      <c r="P11" s="12"/>
    </row>
    <row r="12" spans="2:16" x14ac:dyDescent="0.25">
      <c r="B12" s="8"/>
      <c r="C12" s="18" t="s">
        <v>14</v>
      </c>
      <c r="D12" s="19">
        <v>481.23</v>
      </c>
      <c r="E12" s="19">
        <v>0</v>
      </c>
      <c r="F12" s="9">
        <v>481.23</v>
      </c>
      <c r="G12" s="9">
        <v>-71936.66</v>
      </c>
      <c r="H12" s="12"/>
      <c r="J12" s="8"/>
      <c r="K12" s="18" t="s">
        <v>14</v>
      </c>
      <c r="L12" s="19">
        <v>42.7</v>
      </c>
      <c r="M12" s="19">
        <v>0</v>
      </c>
      <c r="N12" s="23">
        <v>42.7</v>
      </c>
      <c r="O12" s="9">
        <v>181058.3</v>
      </c>
      <c r="P12" s="12"/>
    </row>
    <row r="13" spans="2:16" x14ac:dyDescent="0.25">
      <c r="B13" s="8"/>
      <c r="C13" s="18" t="s">
        <v>15</v>
      </c>
      <c r="D13" s="19">
        <v>3155.05</v>
      </c>
      <c r="E13" s="19">
        <v>0</v>
      </c>
      <c r="F13" s="9">
        <v>3155.05</v>
      </c>
      <c r="G13" s="9">
        <v>-68781.61</v>
      </c>
      <c r="H13" s="12"/>
      <c r="J13" s="8"/>
      <c r="K13" s="18" t="s">
        <v>15</v>
      </c>
      <c r="L13" s="19">
        <v>18.52</v>
      </c>
      <c r="M13" s="19">
        <v>0</v>
      </c>
      <c r="N13" s="23">
        <v>18.52</v>
      </c>
      <c r="O13" s="9">
        <v>181076.82</v>
      </c>
      <c r="P13" s="12"/>
    </row>
    <row r="14" spans="2:16" x14ac:dyDescent="0.25">
      <c r="B14" s="8"/>
      <c r="C14" s="18" t="s">
        <v>16</v>
      </c>
      <c r="D14" s="19">
        <v>2051.14</v>
      </c>
      <c r="E14" s="19">
        <v>0</v>
      </c>
      <c r="F14" s="9">
        <v>2051.14</v>
      </c>
      <c r="G14" s="9">
        <v>-66730.47</v>
      </c>
      <c r="H14" s="12"/>
      <c r="J14" s="8"/>
      <c r="K14" s="18" t="s">
        <v>16</v>
      </c>
      <c r="L14" s="19">
        <v>22.79</v>
      </c>
      <c r="M14" s="19">
        <v>0</v>
      </c>
      <c r="N14" s="23">
        <v>22.79</v>
      </c>
      <c r="O14" s="9">
        <v>181099.61</v>
      </c>
      <c r="P14" s="12"/>
    </row>
    <row r="15" spans="2:16" x14ac:dyDescent="0.25">
      <c r="B15" s="8"/>
      <c r="C15" s="18" t="s">
        <v>17</v>
      </c>
      <c r="D15" s="19">
        <v>14724.33</v>
      </c>
      <c r="E15" s="19">
        <v>0</v>
      </c>
      <c r="F15" s="9">
        <v>14724.33</v>
      </c>
      <c r="G15" s="9">
        <v>-52006.14</v>
      </c>
      <c r="H15" s="12"/>
      <c r="J15" s="8"/>
      <c r="K15" s="18" t="s">
        <v>17</v>
      </c>
      <c r="L15" s="19">
        <v>0</v>
      </c>
      <c r="M15" s="19">
        <v>25.57</v>
      </c>
      <c r="N15" s="23">
        <v>-25.57</v>
      </c>
      <c r="O15" s="9">
        <v>181074.04</v>
      </c>
      <c r="P15" s="12"/>
    </row>
    <row r="16" spans="2:16" x14ac:dyDescent="0.25">
      <c r="B16" s="8"/>
      <c r="C16" s="18" t="s">
        <v>18</v>
      </c>
      <c r="D16" s="19">
        <v>2033.59</v>
      </c>
      <c r="E16" s="19">
        <v>0</v>
      </c>
      <c r="F16" s="9">
        <v>2033.59</v>
      </c>
      <c r="G16" s="9">
        <v>-49972.55</v>
      </c>
      <c r="H16" s="12"/>
      <c r="J16" s="8"/>
      <c r="K16" s="18" t="s">
        <v>18</v>
      </c>
      <c r="L16" s="19">
        <v>0</v>
      </c>
      <c r="M16" s="19">
        <v>4.75</v>
      </c>
      <c r="N16" s="23">
        <v>-4.75</v>
      </c>
      <c r="O16" s="9">
        <v>181069.29</v>
      </c>
      <c r="P16" s="12"/>
    </row>
    <row r="17" spans="2:16" x14ac:dyDescent="0.25">
      <c r="B17" s="8"/>
      <c r="C17" s="18" t="s">
        <v>19</v>
      </c>
      <c r="D17" s="19">
        <v>687.02</v>
      </c>
      <c r="E17" s="19">
        <v>0</v>
      </c>
      <c r="F17" s="9">
        <v>687.02</v>
      </c>
      <c r="G17" s="9">
        <v>-49285.53</v>
      </c>
      <c r="H17" s="12"/>
      <c r="J17" s="8"/>
      <c r="K17" s="18" t="s">
        <v>19</v>
      </c>
      <c r="L17" s="19">
        <v>35.93</v>
      </c>
      <c r="M17" s="19">
        <v>0</v>
      </c>
      <c r="N17" s="23">
        <v>35.93</v>
      </c>
      <c r="O17" s="9">
        <v>181105.22</v>
      </c>
      <c r="P17" s="12"/>
    </row>
    <row r="18" spans="2:16" x14ac:dyDescent="0.25">
      <c r="B18" s="8"/>
      <c r="C18" s="93" t="s">
        <v>20</v>
      </c>
      <c r="D18" s="94">
        <v>584.44000000000005</v>
      </c>
      <c r="E18" s="94">
        <v>0</v>
      </c>
      <c r="F18" s="95">
        <v>584.44000000000005</v>
      </c>
      <c r="G18" s="95">
        <v>-48701.09</v>
      </c>
      <c r="H18" s="12"/>
      <c r="J18" s="8"/>
      <c r="K18" s="93" t="s">
        <v>20</v>
      </c>
      <c r="L18" s="94">
        <v>115.52</v>
      </c>
      <c r="M18" s="94">
        <v>0</v>
      </c>
      <c r="N18" s="96">
        <v>115.52</v>
      </c>
      <c r="O18" s="95">
        <v>181220.74</v>
      </c>
      <c r="P18" s="12"/>
    </row>
    <row r="19" spans="2:16" x14ac:dyDescent="0.25">
      <c r="B19" s="8"/>
      <c r="C19" s="18"/>
      <c r="D19" s="19"/>
      <c r="E19" s="19"/>
      <c r="F19" s="9"/>
      <c r="G19" s="9"/>
      <c r="H19" s="12"/>
      <c r="J19" s="8"/>
      <c r="K19" s="18"/>
      <c r="L19" s="19"/>
      <c r="M19" s="19"/>
      <c r="N19" s="9"/>
      <c r="O19" s="9"/>
      <c r="P19" s="12"/>
    </row>
    <row r="20" spans="2:16" x14ac:dyDescent="0.25">
      <c r="B20" s="15"/>
      <c r="C20" s="16"/>
      <c r="D20" s="16"/>
      <c r="E20" s="16"/>
      <c r="F20" s="16"/>
      <c r="G20" s="16"/>
      <c r="H20" s="17"/>
      <c r="J20" s="15"/>
      <c r="K20" s="16"/>
      <c r="L20" s="16"/>
      <c r="M20" s="16"/>
      <c r="N20" s="16"/>
      <c r="O20" s="16"/>
      <c r="P20" s="17"/>
    </row>
    <row r="22" spans="2:16" x14ac:dyDescent="0.25">
      <c r="B22" s="13"/>
      <c r="C22" s="11"/>
      <c r="D22" s="11"/>
      <c r="E22" s="11"/>
      <c r="F22" s="11"/>
      <c r="G22" s="11"/>
      <c r="H22" s="10"/>
      <c r="J22" s="13"/>
      <c r="K22" s="11"/>
      <c r="L22" s="11"/>
      <c r="M22" s="11"/>
      <c r="N22" s="11"/>
      <c r="O22" s="11"/>
      <c r="P22" s="10"/>
    </row>
    <row r="23" spans="2:16" x14ac:dyDescent="0.25">
      <c r="B23" s="8"/>
      <c r="C23" s="14" t="s">
        <v>36</v>
      </c>
      <c r="D23" s="14"/>
      <c r="E23" s="14"/>
      <c r="F23" s="14"/>
      <c r="G23" s="14"/>
      <c r="H23" s="12"/>
      <c r="J23" s="8"/>
      <c r="K23" s="14" t="s">
        <v>35</v>
      </c>
      <c r="L23" s="14"/>
      <c r="M23" s="14"/>
      <c r="N23" s="14"/>
      <c r="O23" s="14"/>
      <c r="P23" s="12"/>
    </row>
    <row r="24" spans="2:16" x14ac:dyDescent="0.25">
      <c r="B24" s="8"/>
      <c r="C24" s="14"/>
      <c r="D24" s="14"/>
      <c r="E24" s="14"/>
      <c r="F24" s="14"/>
      <c r="G24" s="14"/>
      <c r="H24" s="12"/>
      <c r="J24" s="8"/>
      <c r="K24" s="14"/>
      <c r="L24" s="14"/>
      <c r="M24" s="14"/>
      <c r="N24" s="14"/>
      <c r="O24" s="14"/>
      <c r="P24" s="12"/>
    </row>
    <row r="25" spans="2:16" x14ac:dyDescent="0.25">
      <c r="B25" s="8"/>
      <c r="C25" s="7" t="s">
        <v>5</v>
      </c>
      <c r="D25" s="7" t="s">
        <v>6</v>
      </c>
      <c r="E25" s="7" t="s">
        <v>7</v>
      </c>
      <c r="F25" s="7" t="s">
        <v>8</v>
      </c>
      <c r="G25" s="7" t="s">
        <v>9</v>
      </c>
      <c r="H25" s="12"/>
      <c r="J25" s="8"/>
      <c r="K25" s="7" t="s">
        <v>5</v>
      </c>
      <c r="L25" s="7" t="s">
        <v>6</v>
      </c>
      <c r="M25" s="7" t="s">
        <v>7</v>
      </c>
      <c r="N25" s="7" t="s">
        <v>8</v>
      </c>
      <c r="O25" s="7" t="s">
        <v>9</v>
      </c>
      <c r="P25" s="12"/>
    </row>
    <row r="26" spans="2:16" x14ac:dyDescent="0.25">
      <c r="B26" s="8"/>
      <c r="C26" s="18" t="s">
        <v>10</v>
      </c>
      <c r="D26" s="19">
        <v>0</v>
      </c>
      <c r="E26" s="19">
        <v>0</v>
      </c>
      <c r="F26" s="19">
        <v>0</v>
      </c>
      <c r="G26" s="23">
        <v>100578.07</v>
      </c>
      <c r="H26" s="12"/>
      <c r="J26" s="8"/>
      <c r="K26" s="18" t="s">
        <v>10</v>
      </c>
      <c r="L26" s="19">
        <v>0</v>
      </c>
      <c r="M26" s="19">
        <v>0</v>
      </c>
      <c r="N26" s="19">
        <v>0</v>
      </c>
      <c r="O26" s="23">
        <v>-103084.67</v>
      </c>
      <c r="P26" s="12"/>
    </row>
    <row r="27" spans="2:16" x14ac:dyDescent="0.25">
      <c r="B27" s="8"/>
      <c r="C27" s="18" t="s">
        <v>11</v>
      </c>
      <c r="D27" s="23">
        <v>0</v>
      </c>
      <c r="E27" s="23">
        <v>352.72</v>
      </c>
      <c r="F27" s="23">
        <v>-352.72</v>
      </c>
      <c r="G27" s="9">
        <v>100225.35</v>
      </c>
      <c r="H27" s="12"/>
      <c r="J27" s="8"/>
      <c r="K27" s="18" t="s">
        <v>11</v>
      </c>
      <c r="L27" s="23">
        <v>2464.81</v>
      </c>
      <c r="M27" s="23">
        <v>1728.85</v>
      </c>
      <c r="N27" s="23">
        <v>735.96</v>
      </c>
      <c r="O27" s="9">
        <v>-102348.71</v>
      </c>
      <c r="P27" s="12"/>
    </row>
    <row r="28" spans="2:16" x14ac:dyDescent="0.25">
      <c r="B28" s="8"/>
      <c r="C28" s="18" t="s">
        <v>12</v>
      </c>
      <c r="D28" s="23">
        <v>0</v>
      </c>
      <c r="E28" s="23">
        <v>373.74</v>
      </c>
      <c r="F28" s="23">
        <v>-373.74</v>
      </c>
      <c r="G28" s="9">
        <v>99851.61</v>
      </c>
      <c r="H28" s="12"/>
      <c r="J28" s="8"/>
      <c r="K28" s="18" t="s">
        <v>12</v>
      </c>
      <c r="L28" s="23">
        <v>1087.99</v>
      </c>
      <c r="M28" s="23">
        <v>0</v>
      </c>
      <c r="N28" s="23">
        <v>1087.99</v>
      </c>
      <c r="O28" s="9">
        <v>-101260.72</v>
      </c>
      <c r="P28" s="12"/>
    </row>
    <row r="29" spans="2:16" x14ac:dyDescent="0.25">
      <c r="B29" s="8"/>
      <c r="C29" s="18" t="s">
        <v>13</v>
      </c>
      <c r="D29" s="23">
        <v>0</v>
      </c>
      <c r="E29" s="23">
        <v>399.51</v>
      </c>
      <c r="F29" s="23">
        <v>-399.51</v>
      </c>
      <c r="G29" s="9">
        <v>99452.1</v>
      </c>
      <c r="H29" s="12"/>
      <c r="J29" s="8"/>
      <c r="K29" s="18" t="s">
        <v>13</v>
      </c>
      <c r="L29" s="23">
        <v>1022.68</v>
      </c>
      <c r="M29" s="23">
        <v>0</v>
      </c>
      <c r="N29" s="23">
        <v>1022.68</v>
      </c>
      <c r="O29" s="9">
        <v>-100238.04</v>
      </c>
      <c r="P29" s="12"/>
    </row>
    <row r="30" spans="2:16" x14ac:dyDescent="0.25">
      <c r="B30" s="8"/>
      <c r="C30" s="18" t="s">
        <v>14</v>
      </c>
      <c r="D30" s="23">
        <v>0</v>
      </c>
      <c r="E30" s="23">
        <v>398.18</v>
      </c>
      <c r="F30" s="23">
        <v>-398.18</v>
      </c>
      <c r="G30" s="9">
        <v>99053.92</v>
      </c>
      <c r="H30" s="12"/>
      <c r="J30" s="8"/>
      <c r="K30" s="18" t="s">
        <v>14</v>
      </c>
      <c r="L30" s="23">
        <v>1001.14</v>
      </c>
      <c r="M30" s="23">
        <v>0</v>
      </c>
      <c r="N30" s="23">
        <v>1001.14</v>
      </c>
      <c r="O30" s="9">
        <v>-99236.9</v>
      </c>
      <c r="P30" s="12"/>
    </row>
    <row r="31" spans="2:16" x14ac:dyDescent="0.25">
      <c r="B31" s="8"/>
      <c r="C31" s="18" t="s">
        <v>15</v>
      </c>
      <c r="D31" s="23">
        <v>0</v>
      </c>
      <c r="E31" s="23">
        <v>388.15</v>
      </c>
      <c r="F31" s="23">
        <v>-388.15</v>
      </c>
      <c r="G31" s="9">
        <v>98665.77</v>
      </c>
      <c r="H31" s="12"/>
      <c r="J31" s="8"/>
      <c r="K31" s="18" t="s">
        <v>15</v>
      </c>
      <c r="L31" s="23">
        <v>999.94</v>
      </c>
      <c r="M31" s="23">
        <v>0</v>
      </c>
      <c r="N31" s="23">
        <v>999.94</v>
      </c>
      <c r="O31" s="9">
        <v>-98236.96</v>
      </c>
      <c r="P31" s="12"/>
    </row>
    <row r="32" spans="2:16" x14ac:dyDescent="0.25">
      <c r="B32" s="8"/>
      <c r="C32" s="18" t="s">
        <v>16</v>
      </c>
      <c r="D32" s="23">
        <v>0</v>
      </c>
      <c r="E32" s="23">
        <v>373.79</v>
      </c>
      <c r="F32" s="23">
        <v>-373.79</v>
      </c>
      <c r="G32" s="9">
        <v>98291.98</v>
      </c>
      <c r="H32" s="12"/>
      <c r="J32" s="8"/>
      <c r="K32" s="18" t="s">
        <v>16</v>
      </c>
      <c r="L32" s="23">
        <v>1000.29</v>
      </c>
      <c r="M32" s="23">
        <v>0</v>
      </c>
      <c r="N32" s="23">
        <v>1000.29</v>
      </c>
      <c r="O32" s="9">
        <v>-97236.67</v>
      </c>
      <c r="P32" s="12"/>
    </row>
    <row r="33" spans="2:16" x14ac:dyDescent="0.25">
      <c r="B33" s="8"/>
      <c r="C33" s="18" t="s">
        <v>17</v>
      </c>
      <c r="D33" s="23">
        <v>0</v>
      </c>
      <c r="E33" s="23">
        <v>327.52</v>
      </c>
      <c r="F33" s="23">
        <v>-327.52</v>
      </c>
      <c r="G33" s="9">
        <v>97964.46</v>
      </c>
      <c r="H33" s="12"/>
      <c r="J33" s="8"/>
      <c r="K33" s="18" t="s">
        <v>17</v>
      </c>
      <c r="L33" s="23">
        <v>999</v>
      </c>
      <c r="M33" s="23">
        <v>1.45</v>
      </c>
      <c r="N33" s="23">
        <v>997.55</v>
      </c>
      <c r="O33" s="9">
        <v>-96239.12</v>
      </c>
      <c r="P33" s="12"/>
    </row>
    <row r="34" spans="2:16" x14ac:dyDescent="0.25">
      <c r="B34" s="8"/>
      <c r="C34" s="18" t="s">
        <v>18</v>
      </c>
      <c r="D34" s="23">
        <v>0</v>
      </c>
      <c r="E34" s="23">
        <v>281.29000000000002</v>
      </c>
      <c r="F34" s="23">
        <v>-281.29000000000002</v>
      </c>
      <c r="G34" s="9">
        <v>97683.17</v>
      </c>
      <c r="H34" s="12"/>
      <c r="J34" s="8"/>
      <c r="K34" s="18" t="s">
        <v>18</v>
      </c>
      <c r="L34" s="23">
        <v>998.91</v>
      </c>
      <c r="M34" s="23">
        <v>0.27</v>
      </c>
      <c r="N34" s="23">
        <v>998.64</v>
      </c>
      <c r="O34" s="9">
        <v>-95240.48</v>
      </c>
      <c r="P34" s="12"/>
    </row>
    <row r="35" spans="2:16" x14ac:dyDescent="0.25">
      <c r="B35" s="8"/>
      <c r="C35" s="18" t="s">
        <v>19</v>
      </c>
      <c r="D35" s="23">
        <v>0</v>
      </c>
      <c r="E35" s="23">
        <v>273.79000000000002</v>
      </c>
      <c r="F35" s="23">
        <v>-273.79000000000002</v>
      </c>
      <c r="G35" s="9">
        <v>97409.38</v>
      </c>
      <c r="H35" s="12"/>
      <c r="J35" s="8"/>
      <c r="K35" s="18" t="s">
        <v>19</v>
      </c>
      <c r="L35" s="23">
        <v>1001.04</v>
      </c>
      <c r="M35" s="23">
        <v>0</v>
      </c>
      <c r="N35" s="23">
        <v>1001.04</v>
      </c>
      <c r="O35" s="9">
        <v>-94239.44</v>
      </c>
      <c r="P35" s="12"/>
    </row>
    <row r="36" spans="2:16" x14ac:dyDescent="0.25">
      <c r="B36" s="8"/>
      <c r="C36" s="93" t="s">
        <v>20</v>
      </c>
      <c r="D36" s="96">
        <v>0</v>
      </c>
      <c r="E36" s="96">
        <v>270.27999999999997</v>
      </c>
      <c r="F36" s="96">
        <v>-270.27999999999997</v>
      </c>
      <c r="G36" s="95">
        <v>97139.1</v>
      </c>
      <c r="H36" s="12"/>
      <c r="J36" s="8"/>
      <c r="K36" s="93" t="s">
        <v>20</v>
      </c>
      <c r="L36" s="96">
        <v>1005.97</v>
      </c>
      <c r="M36" s="96">
        <v>0</v>
      </c>
      <c r="N36" s="96">
        <v>1005.97</v>
      </c>
      <c r="O36" s="95">
        <v>-93233.47</v>
      </c>
      <c r="P36" s="12"/>
    </row>
    <row r="37" spans="2:16" x14ac:dyDescent="0.25">
      <c r="B37" s="8"/>
      <c r="C37" s="18"/>
      <c r="D37" s="19"/>
      <c r="E37" s="19"/>
      <c r="F37" s="9"/>
      <c r="G37" s="9"/>
      <c r="H37" s="12"/>
      <c r="J37" s="8"/>
      <c r="K37" s="18"/>
      <c r="L37" s="19"/>
      <c r="M37" s="19"/>
      <c r="N37" s="9"/>
      <c r="O37" s="9"/>
      <c r="P37" s="12"/>
    </row>
    <row r="38" spans="2:16" x14ac:dyDescent="0.25">
      <c r="B38" s="15"/>
      <c r="C38" s="16"/>
      <c r="D38" s="16"/>
      <c r="E38" s="16"/>
      <c r="F38" s="16"/>
      <c r="G38" s="16"/>
      <c r="H38" s="17"/>
      <c r="J38" s="15"/>
      <c r="K38" s="16"/>
      <c r="L38" s="16"/>
      <c r="M38" s="16"/>
      <c r="N38" s="16"/>
      <c r="O38" s="16"/>
      <c r="P38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5" zoomScaleNormal="85" workbookViewId="0">
      <selection activeCell="V46" sqref="V46"/>
    </sheetView>
  </sheetViews>
  <sheetFormatPr defaultRowHeight="15" x14ac:dyDescent="0.25"/>
  <cols>
    <col min="1" max="1" width="9.7109375" customWidth="1"/>
    <col min="2" max="2" width="14" bestFit="1" customWidth="1"/>
    <col min="3" max="3" width="12.28515625" bestFit="1" customWidth="1"/>
    <col min="4" max="4" width="14" bestFit="1" customWidth="1"/>
    <col min="5" max="5" width="14.7109375" customWidth="1"/>
    <col min="6" max="6" width="8.140625" bestFit="1" customWidth="1"/>
    <col min="7" max="7" width="11.7109375" customWidth="1"/>
    <col min="8" max="8" width="12.28515625" customWidth="1"/>
    <col min="9" max="9" width="14" bestFit="1" customWidth="1"/>
    <col min="10" max="10" width="10.85546875" customWidth="1"/>
    <col min="12" max="12" width="14" bestFit="1" customWidth="1"/>
    <col min="13" max="13" width="9" bestFit="1" customWidth="1"/>
    <col min="14" max="14" width="13" bestFit="1" customWidth="1"/>
    <col min="15" max="15" width="8" bestFit="1" customWidth="1"/>
    <col min="16" max="16" width="10.7109375" customWidth="1"/>
    <col min="17" max="17" width="12.140625" bestFit="1" customWidth="1"/>
    <col min="18" max="18" width="11.7109375" bestFit="1" customWidth="1"/>
    <col min="19" max="20" width="14" bestFit="1" customWidth="1"/>
  </cols>
  <sheetData>
    <row r="1" spans="1:20" ht="15.75" thickBot="1" x14ac:dyDescent="0.3">
      <c r="A1" s="24" t="s">
        <v>37</v>
      </c>
    </row>
    <row r="2" spans="1:20" ht="15.75" thickBot="1" x14ac:dyDescent="0.3">
      <c r="B2" s="36" t="s">
        <v>50</v>
      </c>
      <c r="C2" s="37"/>
      <c r="D2" s="37"/>
      <c r="E2" s="37"/>
      <c r="F2" s="37"/>
      <c r="G2" s="38"/>
      <c r="L2" s="36" t="s">
        <v>50</v>
      </c>
      <c r="M2" s="37"/>
      <c r="N2" s="37"/>
      <c r="O2" s="37"/>
      <c r="P2" s="37"/>
      <c r="Q2" s="38"/>
    </row>
    <row r="3" spans="1:20" s="25" customFormat="1" ht="105.75" thickBot="1" x14ac:dyDescent="0.3">
      <c r="A3" s="25" t="s">
        <v>38</v>
      </c>
      <c r="B3" s="33" t="s">
        <v>51</v>
      </c>
      <c r="C3" s="34" t="s">
        <v>39</v>
      </c>
      <c r="D3" s="34" t="s">
        <v>40</v>
      </c>
      <c r="E3" s="34" t="s">
        <v>54</v>
      </c>
      <c r="F3" s="34" t="s">
        <v>41</v>
      </c>
      <c r="G3" s="35" t="s">
        <v>42</v>
      </c>
      <c r="H3" s="26" t="s">
        <v>69</v>
      </c>
      <c r="I3" s="28" t="s">
        <v>53</v>
      </c>
      <c r="J3" s="29"/>
      <c r="L3" s="26" t="s">
        <v>52</v>
      </c>
      <c r="M3" s="27" t="s">
        <v>39</v>
      </c>
      <c r="N3" s="27" t="s">
        <v>44</v>
      </c>
      <c r="O3" s="34" t="s">
        <v>54</v>
      </c>
      <c r="P3" s="27" t="s">
        <v>41</v>
      </c>
      <c r="Q3" s="28" t="s">
        <v>45</v>
      </c>
      <c r="R3" s="26" t="s">
        <v>75</v>
      </c>
      <c r="S3" s="28" t="s">
        <v>43</v>
      </c>
    </row>
    <row r="4" spans="1:20" s="25" customFormat="1" ht="24.75" customHeight="1" x14ac:dyDescent="0.25">
      <c r="A4" s="68">
        <v>44835</v>
      </c>
      <c r="B4" s="98">
        <v>-64790.51</v>
      </c>
      <c r="C4" s="69">
        <f t="shared" ref="C4:C18" si="0">-B4*0.21</f>
        <v>13606.007100000001</v>
      </c>
      <c r="D4" s="70">
        <f t="shared" ref="D4:D18" si="1">+B4+C4</f>
        <v>-51184.502899999999</v>
      </c>
      <c r="E4" s="21"/>
      <c r="F4" s="29"/>
      <c r="G4" s="29"/>
      <c r="H4" s="137">
        <v>101302.95</v>
      </c>
      <c r="I4" s="29"/>
      <c r="J4" s="29"/>
      <c r="K4" s="68">
        <v>44835</v>
      </c>
      <c r="L4" s="98">
        <v>102404.8</v>
      </c>
      <c r="M4" s="69">
        <f t="shared" ref="M4:M18" si="2">-L4*0.21</f>
        <v>-21505.008000000002</v>
      </c>
      <c r="N4" s="70">
        <f t="shared" ref="N4:N18" si="3">+L4+M4</f>
        <v>80899.792000000001</v>
      </c>
      <c r="O4" s="71"/>
      <c r="P4" s="74"/>
      <c r="Q4" s="140">
        <v>-109302.95</v>
      </c>
      <c r="R4" s="100" t="s">
        <v>74</v>
      </c>
      <c r="S4" s="75"/>
    </row>
    <row r="5" spans="1:20" s="25" customFormat="1" x14ac:dyDescent="0.25">
      <c r="A5" s="68">
        <v>44866</v>
      </c>
      <c r="B5" s="73">
        <v>-63682.8</v>
      </c>
      <c r="C5" s="69">
        <f t="shared" si="0"/>
        <v>13373.388000000001</v>
      </c>
      <c r="D5" s="70">
        <f t="shared" si="1"/>
        <v>-50309.412000000004</v>
      </c>
      <c r="E5" s="71">
        <f>'[4]Conv F and COC UE-190529'!$E$18</f>
        <v>6.8000000000000005E-2</v>
      </c>
      <c r="F5" s="72">
        <v>0.79</v>
      </c>
      <c r="G5" s="73">
        <f t="shared" ref="G5:G18" si="4">(D5+D4)/2*E5/12/F5</f>
        <v>-364.00771166666675</v>
      </c>
      <c r="H5" s="84">
        <v>-364.01</v>
      </c>
      <c r="I5" s="84">
        <f t="shared" ref="I5:I15" si="5">+G5-H5</f>
        <v>2.2883333332401889E-3</v>
      </c>
      <c r="J5" s="39"/>
      <c r="K5" s="68">
        <v>44866</v>
      </c>
      <c r="L5" s="73">
        <v>141464.6</v>
      </c>
      <c r="M5" s="69">
        <f t="shared" si="2"/>
        <v>-29707.565999999999</v>
      </c>
      <c r="N5" s="70">
        <f t="shared" si="3"/>
        <v>111757.03400000001</v>
      </c>
      <c r="O5" s="71">
        <f>'[4]Conv F and COC UE-190529'!$E$18</f>
        <v>6.8000000000000005E-2</v>
      </c>
      <c r="P5" s="72">
        <f t="shared" ref="P5:P18" si="6">F5</f>
        <v>0.79</v>
      </c>
      <c r="Q5" s="73">
        <f t="shared" ref="Q5:R18" si="7">(N5+N4)/2*O5/12/P5</f>
        <v>690.96330000000012</v>
      </c>
      <c r="R5" s="73">
        <v>690.96330000000012</v>
      </c>
      <c r="S5" s="84">
        <f t="shared" ref="S5:S18" si="8">+Q5-R5</f>
        <v>0</v>
      </c>
      <c r="T5" s="39"/>
    </row>
    <row r="6" spans="1:20" s="25" customFormat="1" x14ac:dyDescent="0.25">
      <c r="A6" s="68">
        <v>44896</v>
      </c>
      <c r="B6" s="98">
        <f>+'Tracking Accounts'!G8</f>
        <v>-63682.8</v>
      </c>
      <c r="C6" s="69">
        <f t="shared" si="0"/>
        <v>13373.388000000001</v>
      </c>
      <c r="D6" s="70">
        <f t="shared" si="1"/>
        <v>-50309.412000000004</v>
      </c>
      <c r="E6" s="71">
        <f>'[4]Conv F and COC UE-190529'!$E$18</f>
        <v>6.8000000000000005E-2</v>
      </c>
      <c r="F6" s="72">
        <v>0.79</v>
      </c>
      <c r="G6" s="73">
        <f t="shared" si="4"/>
        <v>-360.86920000000003</v>
      </c>
      <c r="H6" s="84">
        <v>-360.87</v>
      </c>
      <c r="I6" s="84">
        <f t="shared" si="5"/>
        <v>7.9999999996971383E-4</v>
      </c>
      <c r="J6" s="39"/>
      <c r="K6" s="68">
        <v>44896</v>
      </c>
      <c r="L6" s="73">
        <v>183679.5</v>
      </c>
      <c r="M6" s="69">
        <f t="shared" si="2"/>
        <v>-38572.695</v>
      </c>
      <c r="N6" s="70">
        <f t="shared" si="3"/>
        <v>145106.80499999999</v>
      </c>
      <c r="O6" s="71">
        <f>'[4]Conv F and COC UE-190529'!$E$18</f>
        <v>6.8000000000000005E-2</v>
      </c>
      <c r="P6" s="72">
        <f t="shared" si="6"/>
        <v>0.79</v>
      </c>
      <c r="Q6" s="73">
        <f t="shared" si="7"/>
        <v>921.24161666666669</v>
      </c>
      <c r="R6" s="73">
        <v>921.24161666666669</v>
      </c>
      <c r="S6" s="84">
        <f t="shared" si="8"/>
        <v>0</v>
      </c>
      <c r="T6" s="39"/>
    </row>
    <row r="7" spans="1:20" x14ac:dyDescent="0.25">
      <c r="A7" s="68">
        <v>44927</v>
      </c>
      <c r="B7" s="98">
        <f>+'Tracking Accounts'!G9</f>
        <v>-63078.400000000001</v>
      </c>
      <c r="C7" s="69">
        <f t="shared" si="0"/>
        <v>13246.464</v>
      </c>
      <c r="D7" s="70">
        <f t="shared" si="1"/>
        <v>-49831.936000000002</v>
      </c>
      <c r="E7" s="135">
        <f>+E6*0.32258064516129+E8*0.67741935483871</f>
        <v>6.6780645161290328E-2</v>
      </c>
      <c r="F7" s="72">
        <v>0.79</v>
      </c>
      <c r="G7" s="73">
        <f t="shared" si="4"/>
        <v>-352.7164465591398</v>
      </c>
      <c r="H7" s="84">
        <v>-352.7164465591398</v>
      </c>
      <c r="I7" s="84">
        <f t="shared" si="5"/>
        <v>0</v>
      </c>
      <c r="J7" s="85"/>
      <c r="K7" s="68">
        <v>44927</v>
      </c>
      <c r="L7" s="98">
        <v>178865.4</v>
      </c>
      <c r="M7" s="30">
        <f t="shared" si="2"/>
        <v>-37561.733999999997</v>
      </c>
      <c r="N7" s="20">
        <f t="shared" si="3"/>
        <v>141303.666</v>
      </c>
      <c r="O7" s="135">
        <f>+O6*0.32258064516129+O8*0.67741935483871</f>
        <v>6.6780645161290328E-2</v>
      </c>
      <c r="P7">
        <f t="shared" si="6"/>
        <v>0.79</v>
      </c>
      <c r="Q7" s="31">
        <f t="shared" si="7"/>
        <v>1008.7909300806452</v>
      </c>
      <c r="R7" s="32">
        <v>1008.7909300806452</v>
      </c>
      <c r="S7" s="84">
        <f t="shared" si="8"/>
        <v>0</v>
      </c>
      <c r="T7" s="20"/>
    </row>
    <row r="8" spans="1:20" x14ac:dyDescent="0.25">
      <c r="A8" s="68">
        <v>44958</v>
      </c>
      <c r="B8" s="98">
        <f>+'Tracking Accounts'!G10</f>
        <v>-72417.89</v>
      </c>
      <c r="C8" s="69">
        <f t="shared" si="0"/>
        <v>15207.756899999998</v>
      </c>
      <c r="D8" s="70">
        <f t="shared" si="1"/>
        <v>-57210.133099999999</v>
      </c>
      <c r="E8" s="71">
        <f>+'Def, COC, ConvF'!$E$28</f>
        <v>6.6200000000000009E-2</v>
      </c>
      <c r="F8" s="72">
        <v>0.79</v>
      </c>
      <c r="G8" s="73">
        <f t="shared" si="4"/>
        <v>-373.74393325000005</v>
      </c>
      <c r="H8" s="84">
        <v>-373.74393325000005</v>
      </c>
      <c r="I8" s="84">
        <f t="shared" si="5"/>
        <v>0</v>
      </c>
      <c r="J8" s="85"/>
      <c r="K8" s="68">
        <v>44958</v>
      </c>
      <c r="L8" s="98">
        <v>180569.08</v>
      </c>
      <c r="M8" s="30">
        <f t="shared" si="2"/>
        <v>-37919.506799999996</v>
      </c>
      <c r="N8" s="20">
        <f t="shared" si="3"/>
        <v>142649.57319999998</v>
      </c>
      <c r="O8" s="71">
        <f>+'Def, COC, ConvF'!$E$28</f>
        <v>6.6200000000000009E-2</v>
      </c>
      <c r="P8">
        <f t="shared" si="6"/>
        <v>0.79</v>
      </c>
      <c r="Q8" s="31">
        <f t="shared" si="7"/>
        <v>991.44010733333323</v>
      </c>
      <c r="R8" s="32">
        <v>991.44010733333323</v>
      </c>
      <c r="S8" s="84">
        <f t="shared" si="8"/>
        <v>0</v>
      </c>
      <c r="T8" s="20"/>
    </row>
    <row r="9" spans="1:20" x14ac:dyDescent="0.25">
      <c r="A9" s="68">
        <v>44986</v>
      </c>
      <c r="B9" s="98">
        <f>+'Tracking Accounts'!G11</f>
        <v>-72417.89</v>
      </c>
      <c r="C9" s="69">
        <f t="shared" si="0"/>
        <v>15207.756899999998</v>
      </c>
      <c r="D9" s="70">
        <f t="shared" si="1"/>
        <v>-57210.133099999999</v>
      </c>
      <c r="E9" s="71">
        <f>+'Def, COC, ConvF'!$E$28</f>
        <v>6.6200000000000009E-2</v>
      </c>
      <c r="F9" s="72">
        <v>0.79</v>
      </c>
      <c r="G9" s="73">
        <f t="shared" si="4"/>
        <v>-399.50535983333333</v>
      </c>
      <c r="H9" s="84">
        <v>-399.50535983333333</v>
      </c>
      <c r="I9" s="84">
        <f t="shared" si="5"/>
        <v>0</v>
      </c>
      <c r="J9" s="85"/>
      <c r="K9" s="68">
        <v>44986</v>
      </c>
      <c r="L9" s="98">
        <v>181015.6</v>
      </c>
      <c r="M9" s="30">
        <f t="shared" si="2"/>
        <v>-38013.275999999998</v>
      </c>
      <c r="N9" s="20">
        <f t="shared" si="3"/>
        <v>143002.32400000002</v>
      </c>
      <c r="O9" s="71">
        <f>+'Def, COC, ConvF'!$E$28</f>
        <v>6.6200000000000009E-2</v>
      </c>
      <c r="P9">
        <f t="shared" si="6"/>
        <v>0.79</v>
      </c>
      <c r="Q9" s="31">
        <f t="shared" si="7"/>
        <v>997.3710756666668</v>
      </c>
      <c r="R9" s="32">
        <v>997.3710756666668</v>
      </c>
      <c r="S9" s="84">
        <f t="shared" si="8"/>
        <v>0</v>
      </c>
      <c r="T9" s="20"/>
    </row>
    <row r="10" spans="1:20" x14ac:dyDescent="0.25">
      <c r="A10" s="68">
        <v>45017</v>
      </c>
      <c r="B10" s="98">
        <f>+'Tracking Accounts'!G12</f>
        <v>-71936.66</v>
      </c>
      <c r="C10" s="69">
        <f t="shared" si="0"/>
        <v>15106.6986</v>
      </c>
      <c r="D10" s="70">
        <f t="shared" si="1"/>
        <v>-56829.9614</v>
      </c>
      <c r="E10" s="71">
        <f>+'Def, COC, ConvF'!$E$28</f>
        <v>6.6200000000000009E-2</v>
      </c>
      <c r="F10" s="72">
        <v>0.79</v>
      </c>
      <c r="G10" s="73">
        <f t="shared" si="4"/>
        <v>-398.17796708333333</v>
      </c>
      <c r="H10" s="84">
        <v>-398.17796708333333</v>
      </c>
      <c r="I10" s="84">
        <f t="shared" si="5"/>
        <v>0</v>
      </c>
      <c r="J10" s="85"/>
      <c r="K10" s="68">
        <v>45017</v>
      </c>
      <c r="L10" s="98">
        <v>181058.3</v>
      </c>
      <c r="M10" s="30">
        <f t="shared" si="2"/>
        <v>-38022.242999999995</v>
      </c>
      <c r="N10" s="20">
        <f t="shared" si="3"/>
        <v>143036.057</v>
      </c>
      <c r="O10" s="71">
        <f>+'Def, COC, ConvF'!$E$28</f>
        <v>6.6200000000000009E-2</v>
      </c>
      <c r="P10">
        <f t="shared" si="6"/>
        <v>0.79</v>
      </c>
      <c r="Q10" s="31">
        <f t="shared" si="7"/>
        <v>998.72050750000017</v>
      </c>
      <c r="R10" s="32">
        <v>998.72050750000017</v>
      </c>
      <c r="S10" s="84">
        <f t="shared" si="8"/>
        <v>0</v>
      </c>
      <c r="T10" s="20"/>
    </row>
    <row r="11" spans="1:20" x14ac:dyDescent="0.25">
      <c r="A11" s="68">
        <v>45047</v>
      </c>
      <c r="B11" s="98">
        <f>+'Tracking Accounts'!G13</f>
        <v>-68781.61</v>
      </c>
      <c r="C11" s="69">
        <f t="shared" si="0"/>
        <v>14444.1381</v>
      </c>
      <c r="D11" s="70">
        <f t="shared" si="1"/>
        <v>-54337.471900000004</v>
      </c>
      <c r="E11" s="71">
        <f>+'Def, COC, ConvF'!$E$28</f>
        <v>6.6200000000000009E-2</v>
      </c>
      <c r="F11" s="72">
        <v>0.79</v>
      </c>
      <c r="G11" s="73">
        <f t="shared" si="4"/>
        <v>-388.14789475000003</v>
      </c>
      <c r="H11" s="84">
        <v>-388.14789475000003</v>
      </c>
      <c r="I11" s="84">
        <f t="shared" si="5"/>
        <v>0</v>
      </c>
      <c r="J11" s="85"/>
      <c r="K11" s="68">
        <v>45047</v>
      </c>
      <c r="L11" s="98">
        <v>181076.82</v>
      </c>
      <c r="M11" s="30">
        <f t="shared" si="2"/>
        <v>-38026.1322</v>
      </c>
      <c r="N11" s="20">
        <f t="shared" si="3"/>
        <v>143050.68780000001</v>
      </c>
      <c r="O11" s="71">
        <f>+'Def, COC, ConvF'!$E$28</f>
        <v>6.6200000000000009E-2</v>
      </c>
      <c r="P11">
        <f t="shared" si="6"/>
        <v>0.79</v>
      </c>
      <c r="Q11" s="31">
        <f t="shared" si="7"/>
        <v>998.88937266666665</v>
      </c>
      <c r="R11" s="32">
        <v>998.88937266666665</v>
      </c>
      <c r="S11" s="84">
        <f t="shared" si="8"/>
        <v>0</v>
      </c>
      <c r="T11" s="20"/>
    </row>
    <row r="12" spans="1:20" x14ac:dyDescent="0.25">
      <c r="A12" s="68">
        <v>45078</v>
      </c>
      <c r="B12" s="98">
        <f>+'Tracking Accounts'!G14</f>
        <v>-66730.47</v>
      </c>
      <c r="C12" s="69">
        <f t="shared" si="0"/>
        <v>14013.3987</v>
      </c>
      <c r="D12" s="70">
        <f t="shared" si="1"/>
        <v>-52717.071300000003</v>
      </c>
      <c r="E12" s="71">
        <f>+'Def, COC, ConvF'!$E$28</f>
        <v>6.6200000000000009E-2</v>
      </c>
      <c r="F12" s="72">
        <v>0.79</v>
      </c>
      <c r="G12" s="73">
        <f t="shared" si="4"/>
        <v>-373.78748733333344</v>
      </c>
      <c r="H12" s="84">
        <v>-373.78748733333344</v>
      </c>
      <c r="I12" s="84">
        <f t="shared" si="5"/>
        <v>0</v>
      </c>
      <c r="J12" s="85"/>
      <c r="K12" s="68">
        <v>45078</v>
      </c>
      <c r="L12" s="98">
        <v>181099.61</v>
      </c>
      <c r="M12" s="30">
        <f t="shared" si="2"/>
        <v>-38030.918099999995</v>
      </c>
      <c r="N12" s="20">
        <f t="shared" si="3"/>
        <v>143068.69189999998</v>
      </c>
      <c r="O12" s="71">
        <f>+'Def, COC, ConvF'!$E$28</f>
        <v>6.6200000000000009E-2</v>
      </c>
      <c r="P12">
        <f t="shared" si="6"/>
        <v>0.79</v>
      </c>
      <c r="Q12" s="31">
        <f t="shared" si="7"/>
        <v>999.00331941666684</v>
      </c>
      <c r="R12" s="32">
        <v>999.00331941666684</v>
      </c>
      <c r="S12" s="84">
        <f t="shared" si="8"/>
        <v>0</v>
      </c>
      <c r="T12" s="20"/>
    </row>
    <row r="13" spans="1:20" x14ac:dyDescent="0.25">
      <c r="A13" s="68">
        <v>45108</v>
      </c>
      <c r="B13" s="98">
        <f>+'Tracking Accounts'!G15</f>
        <v>-52006.14</v>
      </c>
      <c r="C13" s="69">
        <f t="shared" si="0"/>
        <v>10921.2894</v>
      </c>
      <c r="D13" s="70">
        <f t="shared" si="1"/>
        <v>-41084.850599999998</v>
      </c>
      <c r="E13" s="71">
        <f>+'Def, COC, ConvF'!$E$28</f>
        <v>6.6200000000000009E-2</v>
      </c>
      <c r="F13" s="72">
        <v>0.79</v>
      </c>
      <c r="G13" s="73">
        <f t="shared" si="4"/>
        <v>-327.51514925000004</v>
      </c>
      <c r="H13" s="84">
        <v>-327.51514925000004</v>
      </c>
      <c r="I13" s="84">
        <f t="shared" si="5"/>
        <v>0</v>
      </c>
      <c r="J13" s="85"/>
      <c r="K13" s="68">
        <v>45108</v>
      </c>
      <c r="L13" s="98">
        <v>181074.04</v>
      </c>
      <c r="M13" s="30">
        <f t="shared" si="2"/>
        <v>-38025.5484</v>
      </c>
      <c r="N13" s="20">
        <f t="shared" si="3"/>
        <v>143048.49160000001</v>
      </c>
      <c r="O13" s="71">
        <f>+'Def, COC, ConvF'!$E$28</f>
        <v>6.6200000000000009E-2</v>
      </c>
      <c r="P13">
        <f t="shared" si="6"/>
        <v>0.79</v>
      </c>
      <c r="Q13" s="31">
        <f t="shared" si="7"/>
        <v>998.99565125000004</v>
      </c>
      <c r="R13" s="32">
        <v>998.99565125000004</v>
      </c>
      <c r="S13" s="84">
        <f t="shared" si="8"/>
        <v>0</v>
      </c>
      <c r="T13" s="20"/>
    </row>
    <row r="14" spans="1:20" x14ac:dyDescent="0.25">
      <c r="A14" s="68">
        <v>45139</v>
      </c>
      <c r="B14" s="98">
        <f>+'Tracking Accounts'!G16</f>
        <v>-49972.55</v>
      </c>
      <c r="C14" s="69">
        <f t="shared" si="0"/>
        <v>10494.235500000001</v>
      </c>
      <c r="D14" s="70">
        <f t="shared" si="1"/>
        <v>-39478.3145</v>
      </c>
      <c r="E14" s="71">
        <f>+'Def, COC, ConvF'!$E$28</f>
        <v>6.6200000000000009E-2</v>
      </c>
      <c r="F14" s="72">
        <v>0.79</v>
      </c>
      <c r="G14" s="73">
        <f t="shared" si="4"/>
        <v>-281.29121991666671</v>
      </c>
      <c r="H14" s="84">
        <v>-281.29121991666671</v>
      </c>
      <c r="I14" s="84">
        <f t="shared" si="5"/>
        <v>0</v>
      </c>
      <c r="J14" s="85"/>
      <c r="K14" s="68">
        <v>45139</v>
      </c>
      <c r="L14" s="98">
        <v>181069.29</v>
      </c>
      <c r="M14" s="30">
        <f t="shared" si="2"/>
        <v>-38024.550900000002</v>
      </c>
      <c r="N14" s="20">
        <f t="shared" si="3"/>
        <v>143044.73910000001</v>
      </c>
      <c r="O14" s="71">
        <f>+'Def, COC, ConvF'!$E$28</f>
        <v>6.6200000000000009E-2</v>
      </c>
      <c r="P14">
        <f t="shared" si="6"/>
        <v>0.79</v>
      </c>
      <c r="Q14" s="31">
        <f t="shared" si="7"/>
        <v>998.91201858333352</v>
      </c>
      <c r="R14" s="32">
        <v>998.91201858333352</v>
      </c>
      <c r="S14" s="84">
        <f t="shared" si="8"/>
        <v>0</v>
      </c>
      <c r="T14" s="20"/>
    </row>
    <row r="15" spans="1:20" x14ac:dyDescent="0.25">
      <c r="A15" s="68">
        <v>45170</v>
      </c>
      <c r="B15" s="98">
        <f>+'Tracking Accounts'!G17</f>
        <v>-49285.53</v>
      </c>
      <c r="C15" s="69">
        <f t="shared" si="0"/>
        <v>10349.961299999999</v>
      </c>
      <c r="D15" s="70">
        <f t="shared" si="1"/>
        <v>-38935.568700000003</v>
      </c>
      <c r="E15" s="71">
        <f>+'Def, COC, ConvF'!$E$28</f>
        <v>6.6200000000000009E-2</v>
      </c>
      <c r="F15" s="72">
        <v>0.79</v>
      </c>
      <c r="G15" s="73">
        <f t="shared" si="4"/>
        <v>-273.78687066666674</v>
      </c>
      <c r="H15" s="84">
        <v>-273.78687066666674</v>
      </c>
      <c r="I15" s="84">
        <f t="shared" si="5"/>
        <v>0</v>
      </c>
      <c r="J15" s="85"/>
      <c r="K15" s="68">
        <v>45170</v>
      </c>
      <c r="L15" s="99">
        <v>181105.22</v>
      </c>
      <c r="M15" s="30">
        <f t="shared" si="2"/>
        <v>-38032.0962</v>
      </c>
      <c r="N15" s="20">
        <f t="shared" si="3"/>
        <v>143073.1238</v>
      </c>
      <c r="O15" s="71">
        <f>+'Def, COC, ConvF'!$E$28</f>
        <v>6.6200000000000009E-2</v>
      </c>
      <c r="P15">
        <f t="shared" si="6"/>
        <v>0.79</v>
      </c>
      <c r="Q15" s="31">
        <f t="shared" si="7"/>
        <v>998.99802341666668</v>
      </c>
      <c r="R15" s="32">
        <v>998.99802341666668</v>
      </c>
      <c r="S15" s="84">
        <f t="shared" si="8"/>
        <v>0</v>
      </c>
      <c r="T15" s="20"/>
    </row>
    <row r="16" spans="1:20" x14ac:dyDescent="0.25">
      <c r="A16" s="68">
        <v>45200</v>
      </c>
      <c r="B16" s="98">
        <f>+'Tracking Accounts'!G18</f>
        <v>-48701.09</v>
      </c>
      <c r="C16" s="69">
        <f t="shared" si="0"/>
        <v>10227.228899999998</v>
      </c>
      <c r="D16" s="70">
        <f t="shared" si="1"/>
        <v>-38473.861099999995</v>
      </c>
      <c r="E16" s="71">
        <f>+'Def, COC, ConvF'!$E$28</f>
        <v>6.6200000000000009E-2</v>
      </c>
      <c r="F16" s="72">
        <v>0.79</v>
      </c>
      <c r="G16" s="73">
        <f t="shared" si="4"/>
        <v>-270.27976016666668</v>
      </c>
      <c r="H16" s="84">
        <v>-270.27976016666668</v>
      </c>
      <c r="I16" s="84"/>
      <c r="J16" s="85"/>
      <c r="K16" s="68">
        <v>45200</v>
      </c>
      <c r="L16" s="98">
        <v>181220.74</v>
      </c>
      <c r="M16" s="30">
        <f t="shared" si="2"/>
        <v>-38056.355399999993</v>
      </c>
      <c r="N16" s="20">
        <f t="shared" si="3"/>
        <v>143164.38459999999</v>
      </c>
      <c r="O16" s="71">
        <f>+'Def, COC, ConvF'!$E$28</f>
        <v>6.6200000000000009E-2</v>
      </c>
      <c r="P16">
        <f t="shared" si="6"/>
        <v>0.79</v>
      </c>
      <c r="Q16" s="31">
        <f t="shared" si="7"/>
        <v>999.41577300000006</v>
      </c>
      <c r="R16" s="32">
        <v>999.41577300000006</v>
      </c>
      <c r="S16" s="84">
        <f t="shared" si="8"/>
        <v>0</v>
      </c>
      <c r="T16" s="20"/>
    </row>
    <row r="17" spans="1:19" x14ac:dyDescent="0.25">
      <c r="A17" s="68">
        <v>45231</v>
      </c>
      <c r="B17" s="69"/>
      <c r="C17" s="69">
        <f t="shared" si="0"/>
        <v>0</v>
      </c>
      <c r="D17" s="70">
        <f t="shared" si="1"/>
        <v>0</v>
      </c>
      <c r="E17" s="71">
        <f>+'Def, COC, ConvF'!$E$28</f>
        <v>6.6200000000000009E-2</v>
      </c>
      <c r="F17" s="72">
        <v>0.79</v>
      </c>
      <c r="G17" s="73"/>
      <c r="H17" s="84"/>
      <c r="I17" s="84"/>
      <c r="J17" s="85"/>
      <c r="K17" s="68">
        <v>45231</v>
      </c>
      <c r="L17" s="98"/>
      <c r="M17" s="30">
        <f t="shared" si="2"/>
        <v>0</v>
      </c>
      <c r="N17" s="20">
        <f t="shared" si="3"/>
        <v>0</v>
      </c>
      <c r="O17" s="71">
        <f>+'Def, COC, ConvF'!$E$28</f>
        <v>6.6200000000000009E-2</v>
      </c>
      <c r="P17">
        <f t="shared" si="6"/>
        <v>0.79</v>
      </c>
      <c r="Q17" s="31"/>
      <c r="R17" s="32">
        <f>+Q17</f>
        <v>0</v>
      </c>
      <c r="S17" s="84">
        <f t="shared" si="8"/>
        <v>0</v>
      </c>
    </row>
    <row r="18" spans="1:19" x14ac:dyDescent="0.25">
      <c r="A18" s="68">
        <v>45261</v>
      </c>
      <c r="B18" s="69"/>
      <c r="C18" s="69">
        <f t="shared" si="0"/>
        <v>0</v>
      </c>
      <c r="D18" s="70">
        <f t="shared" si="1"/>
        <v>0</v>
      </c>
      <c r="E18" s="71">
        <f>+'Def, COC, ConvF'!$E$28</f>
        <v>6.6200000000000009E-2</v>
      </c>
      <c r="F18" s="72">
        <v>0.79</v>
      </c>
      <c r="G18" s="73"/>
      <c r="H18" s="84"/>
      <c r="I18" s="84"/>
      <c r="J18" s="85"/>
      <c r="K18" s="68">
        <v>45261</v>
      </c>
      <c r="L18" s="98"/>
      <c r="M18" s="30">
        <f t="shared" si="2"/>
        <v>0</v>
      </c>
      <c r="N18" s="20">
        <f t="shared" si="3"/>
        <v>0</v>
      </c>
      <c r="O18" s="71">
        <f>+'Def, COC, ConvF'!$E$28</f>
        <v>6.6200000000000009E-2</v>
      </c>
      <c r="P18">
        <f t="shared" si="6"/>
        <v>0.79</v>
      </c>
      <c r="Q18" s="31">
        <f t="shared" si="7"/>
        <v>0</v>
      </c>
      <c r="R18" s="32">
        <f>+Q18</f>
        <v>0</v>
      </c>
      <c r="S18" s="84">
        <f t="shared" si="8"/>
        <v>0</v>
      </c>
    </row>
    <row r="19" spans="1:19" ht="15.75" thickBot="1" x14ac:dyDescent="0.3">
      <c r="C19" s="78"/>
      <c r="G19" s="139" t="s">
        <v>88</v>
      </c>
      <c r="H19" s="138">
        <f>SUM(H4:H18)</f>
        <v>97139.117911190871</v>
      </c>
      <c r="I19" s="86">
        <f>SUM(I5:I18)</f>
        <v>3.0883333332099028E-3</v>
      </c>
      <c r="O19" s="139"/>
      <c r="P19" s="139"/>
      <c r="Q19" s="138">
        <f>SUM(Q4:Q18)</f>
        <v>-97700.208304419342</v>
      </c>
      <c r="S19" s="86">
        <f>SUM(S5:S18)</f>
        <v>0</v>
      </c>
    </row>
    <row r="20" spans="1:19" ht="15.75" thickTop="1" x14ac:dyDescent="0.25">
      <c r="C20" s="78"/>
      <c r="D20" s="79"/>
      <c r="E20" s="80"/>
      <c r="F20" s="81" t="s">
        <v>90</v>
      </c>
      <c r="G20" s="78">
        <v>43100181</v>
      </c>
      <c r="H20" s="87" t="s">
        <v>89</v>
      </c>
      <c r="I20" s="88"/>
      <c r="P20" s="136">
        <v>43100141</v>
      </c>
      <c r="Q20" s="87" t="s">
        <v>89</v>
      </c>
      <c r="S20" s="72"/>
    </row>
    <row r="21" spans="1:19" x14ac:dyDescent="0.25">
      <c r="D21" s="78"/>
      <c r="E21" s="78"/>
      <c r="F21" s="136" t="s">
        <v>87</v>
      </c>
      <c r="G21" s="78">
        <v>25400311</v>
      </c>
      <c r="H21" s="87" t="s">
        <v>89</v>
      </c>
      <c r="I21" s="82"/>
      <c r="P21" s="136">
        <v>25400301</v>
      </c>
      <c r="Q21" s="87" t="s">
        <v>89</v>
      </c>
      <c r="S21" s="72"/>
    </row>
    <row r="23" spans="1:19" x14ac:dyDescent="0.25">
      <c r="A23" s="89" t="s">
        <v>70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6" spans="1:19" ht="11.25" customHeight="1" x14ac:dyDescent="0.25"/>
    <row r="27" spans="1:19" hidden="1" x14ac:dyDescent="0.25"/>
  </sheetData>
  <pageMargins left="0.7" right="0.7" top="0.75" bottom="0.75" header="0.3" footer="0.3"/>
  <pageSetup scale="57" fitToHeight="2" orientation="landscape" r:id="rId1"/>
  <rowBreaks count="1" manualBreakCount="1"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1"/>
  <sheetViews>
    <sheetView zoomScale="85" zoomScaleNormal="85" workbookViewId="0">
      <pane ySplit="10" topLeftCell="A11" activePane="bottomLeft" state="frozen"/>
      <selection activeCell="S23" sqref="S23"/>
      <selection pane="bottomLeft" activeCell="K21" sqref="K21"/>
    </sheetView>
  </sheetViews>
  <sheetFormatPr defaultColWidth="9.28515625" defaultRowHeight="12.75" outlineLevelRow="1" x14ac:dyDescent="0.2"/>
  <cols>
    <col min="1" max="1" width="12.42578125" style="40" bestFit="1" customWidth="1"/>
    <col min="2" max="2" width="41.7109375" style="40" customWidth="1"/>
    <col min="3" max="5" width="12.28515625" style="40" customWidth="1"/>
    <col min="6" max="6" width="5" style="40" customWidth="1"/>
    <col min="7" max="7" width="61.7109375" style="40" customWidth="1"/>
    <col min="8" max="8" width="11.5703125" style="40" customWidth="1"/>
    <col min="9" max="9" width="9.28515625" style="40" customWidth="1"/>
    <col min="10" max="10" width="11.7109375" style="40" customWidth="1"/>
    <col min="11" max="11" width="9.28515625" style="40" customWidth="1"/>
    <col min="12" max="13" width="9.28515625" style="40"/>
    <col min="14" max="14" width="15.28515625" style="40" bestFit="1" customWidth="1"/>
    <col min="15" max="15" width="19.42578125" style="40" customWidth="1"/>
    <col min="16" max="16" width="12.28515625" style="40" bestFit="1" customWidth="1"/>
    <col min="17" max="17" width="15.28515625" style="40" bestFit="1" customWidth="1"/>
    <col min="18" max="20" width="9.28515625" style="40"/>
    <col min="21" max="21" width="16.7109375" style="40" customWidth="1"/>
    <col min="22" max="16384" width="9.28515625" style="40"/>
  </cols>
  <sheetData>
    <row r="1" spans="1:22" ht="14.25" x14ac:dyDescent="0.2">
      <c r="D1" s="41" t="s">
        <v>86</v>
      </c>
      <c r="E1" s="42"/>
      <c r="H1" s="41" t="s">
        <v>85</v>
      </c>
      <c r="I1" s="43"/>
      <c r="J1" s="42"/>
    </row>
    <row r="2" spans="1:22" x14ac:dyDescent="0.2">
      <c r="A2" s="44" t="s">
        <v>84</v>
      </c>
      <c r="B2" s="44"/>
      <c r="C2" s="44"/>
      <c r="D2" s="44"/>
      <c r="E2" s="44"/>
      <c r="F2" s="44" t="s">
        <v>84</v>
      </c>
      <c r="G2" s="44"/>
      <c r="H2" s="45"/>
      <c r="I2" s="45"/>
      <c r="J2" s="45"/>
    </row>
    <row r="3" spans="1:22" x14ac:dyDescent="0.2">
      <c r="A3" s="44" t="s">
        <v>58</v>
      </c>
      <c r="B3" s="44"/>
      <c r="C3" s="44"/>
      <c r="D3" s="44"/>
      <c r="E3" s="44"/>
      <c r="F3" s="44" t="s">
        <v>58</v>
      </c>
      <c r="G3" s="44"/>
      <c r="H3" s="45"/>
      <c r="I3" s="45"/>
      <c r="J3" s="45"/>
    </row>
    <row r="4" spans="1:22" x14ac:dyDescent="0.2">
      <c r="A4" s="44" t="e">
        <f>#REF!</f>
        <v>#REF!</v>
      </c>
      <c r="B4" s="44"/>
      <c r="C4" s="44"/>
      <c r="D4" s="44"/>
      <c r="E4" s="44"/>
      <c r="F4" s="44" t="e">
        <f>#REF!</f>
        <v>#REF!</v>
      </c>
      <c r="G4" s="44"/>
      <c r="H4" s="45"/>
      <c r="I4" s="45"/>
      <c r="J4" s="45"/>
    </row>
    <row r="5" spans="1:22" x14ac:dyDescent="0.2">
      <c r="A5" s="44" t="e">
        <f>#REF!</f>
        <v>#REF!</v>
      </c>
      <c r="B5" s="44"/>
      <c r="C5" s="44"/>
      <c r="D5" s="44"/>
      <c r="E5" s="44"/>
      <c r="F5" s="44" t="e">
        <f>#REF!</f>
        <v>#REF!</v>
      </c>
      <c r="G5" s="44"/>
      <c r="H5" s="45"/>
      <c r="I5" s="45"/>
      <c r="J5" s="45"/>
    </row>
    <row r="6" spans="1:22" s="133" customFormat="1" x14ac:dyDescent="0.2">
      <c r="A6" s="134" t="s">
        <v>83</v>
      </c>
      <c r="B6" s="134"/>
      <c r="C6" s="134"/>
      <c r="D6" s="134"/>
      <c r="E6" s="134"/>
      <c r="F6" s="134" t="s">
        <v>21</v>
      </c>
      <c r="G6" s="134"/>
      <c r="H6" s="134"/>
      <c r="I6" s="134"/>
      <c r="J6" s="134"/>
    </row>
    <row r="7" spans="1:22" x14ac:dyDescent="0.2">
      <c r="B7" s="45"/>
      <c r="C7" s="45"/>
      <c r="D7" s="45"/>
      <c r="E7" s="45"/>
      <c r="F7" s="45"/>
      <c r="G7" s="45"/>
      <c r="H7" s="45"/>
      <c r="I7" s="45"/>
      <c r="J7" s="45"/>
    </row>
    <row r="8" spans="1:22" x14ac:dyDescent="0.2">
      <c r="F8" s="45"/>
      <c r="G8" s="45"/>
      <c r="H8" s="45"/>
      <c r="I8" s="45"/>
    </row>
    <row r="9" spans="1:22" x14ac:dyDescent="0.2">
      <c r="A9" s="46" t="s">
        <v>22</v>
      </c>
      <c r="B9" s="46"/>
      <c r="C9" s="47" t="s">
        <v>47</v>
      </c>
      <c r="E9" s="47" t="s">
        <v>60</v>
      </c>
      <c r="F9" s="46" t="s">
        <v>22</v>
      </c>
      <c r="G9" s="46"/>
      <c r="H9" s="46"/>
    </row>
    <row r="10" spans="1:22" ht="15" x14ac:dyDescent="0.25">
      <c r="A10" s="48" t="s">
        <v>23</v>
      </c>
      <c r="B10" s="48" t="s">
        <v>24</v>
      </c>
      <c r="C10" s="49" t="s">
        <v>61</v>
      </c>
      <c r="D10" s="49" t="s">
        <v>46</v>
      </c>
      <c r="E10" s="49" t="s">
        <v>46</v>
      </c>
      <c r="F10" s="48" t="s">
        <v>23</v>
      </c>
      <c r="G10" s="48" t="s">
        <v>24</v>
      </c>
      <c r="H10" s="48"/>
      <c r="I10" s="50"/>
      <c r="J10" s="50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1:22" ht="15" x14ac:dyDescent="0.25">
      <c r="A11"/>
      <c r="B11" s="72"/>
      <c r="C11" s="72"/>
      <c r="D11" s="72"/>
      <c r="E11" s="72"/>
      <c r="M11" s="123"/>
      <c r="N11" s="112"/>
      <c r="O11" s="123"/>
      <c r="P11" s="64"/>
      <c r="Q11" s="64"/>
      <c r="R11" s="64"/>
      <c r="S11" s="64"/>
      <c r="T11" s="64"/>
      <c r="U11" s="64"/>
      <c r="V11" s="64"/>
    </row>
    <row r="12" spans="1:22" ht="15" x14ac:dyDescent="0.25">
      <c r="A12" s="51">
        <f>ROW()</f>
        <v>12</v>
      </c>
      <c r="B12" s="128" t="s">
        <v>82</v>
      </c>
      <c r="C12" s="57"/>
      <c r="D12" s="57"/>
      <c r="E12" s="127"/>
      <c r="F12" s="51">
        <f>ROW()</f>
        <v>12</v>
      </c>
      <c r="G12" s="54" t="s">
        <v>25</v>
      </c>
      <c r="H12" s="52"/>
      <c r="I12" s="52"/>
      <c r="J12" s="55">
        <v>7.1970000000000003E-3</v>
      </c>
      <c r="M12" s="111"/>
      <c r="N12" s="112"/>
      <c r="O12" s="112"/>
      <c r="P12" s="64"/>
      <c r="Q12" s="64"/>
      <c r="R12" s="64"/>
      <c r="S12" s="64"/>
      <c r="T12" s="64"/>
      <c r="U12" s="64"/>
      <c r="V12" s="64"/>
    </row>
    <row r="13" spans="1:22" ht="15" x14ac:dyDescent="0.25">
      <c r="A13" s="111">
        <f>+A12+1</f>
        <v>13</v>
      </c>
      <c r="B13" s="120" t="s">
        <v>62</v>
      </c>
      <c r="C13" s="119">
        <v>0.51039999999999996</v>
      </c>
      <c r="D13" s="119">
        <v>5.1332288401253916E-2</v>
      </c>
      <c r="E13" s="118">
        <f>ROUND(C13*D13,4)</f>
        <v>2.6200000000000001E-2</v>
      </c>
      <c r="F13" s="51">
        <f>F12+1</f>
        <v>13</v>
      </c>
      <c r="G13" s="54" t="s">
        <v>26</v>
      </c>
      <c r="H13" s="52"/>
      <c r="I13" s="52"/>
      <c r="J13" s="55">
        <v>4.0000000000000001E-3</v>
      </c>
      <c r="M13" s="111"/>
      <c r="N13" s="119"/>
      <c r="O13" s="112"/>
      <c r="P13" s="64"/>
      <c r="Q13" s="64"/>
      <c r="R13" s="64"/>
      <c r="S13" s="64"/>
      <c r="T13" s="64"/>
      <c r="U13" s="64"/>
      <c r="V13" s="64"/>
    </row>
    <row r="14" spans="1:22" ht="15" x14ac:dyDescent="0.25">
      <c r="A14" s="111">
        <f>+A13+1</f>
        <v>14</v>
      </c>
      <c r="B14" s="120" t="s">
        <v>48</v>
      </c>
      <c r="C14" s="119">
        <v>0.48959999999999998</v>
      </c>
      <c r="D14" s="119">
        <v>9.4252054794520562E-2</v>
      </c>
      <c r="E14" s="118">
        <f>ROUND(C14*D14,4)</f>
        <v>4.6100000000000002E-2</v>
      </c>
      <c r="F14" s="51">
        <f>F13+1</f>
        <v>14</v>
      </c>
      <c r="G14" s="54" t="str">
        <f>"STATE UTILITY TAX ( "&amp;J14*100&amp;"% - ( LINE 1 * "&amp;J14*100&amp;"% )  )"</f>
        <v>STATE UTILITY TAX ( 3.8455% - ( LINE 1 * 3.8455% )  )</v>
      </c>
      <c r="I14" s="59">
        <v>3.8733999999999998E-2</v>
      </c>
      <c r="J14" s="60">
        <f>ROUND(I14-(I14*J12),6)</f>
        <v>3.8455000000000003E-2</v>
      </c>
      <c r="M14" s="111"/>
      <c r="N14" s="123"/>
      <c r="O14" s="112"/>
      <c r="P14" s="64"/>
      <c r="Q14" s="64"/>
      <c r="R14" s="64"/>
      <c r="S14" s="64"/>
      <c r="T14" s="64"/>
      <c r="U14" s="64"/>
      <c r="V14" s="64"/>
    </row>
    <row r="15" spans="1:22" ht="15" x14ac:dyDescent="0.25">
      <c r="A15" s="111">
        <f>+A14+1</f>
        <v>15</v>
      </c>
      <c r="B15" s="120" t="s">
        <v>63</v>
      </c>
      <c r="C15" s="56">
        <f>SUM(C13:C14)</f>
        <v>1</v>
      </c>
      <c r="D15" s="57"/>
      <c r="E15" s="132">
        <f>SUM(E13:E14)</f>
        <v>7.2300000000000003E-2</v>
      </c>
      <c r="F15" s="51">
        <f>F14+1</f>
        <v>15</v>
      </c>
      <c r="G15" s="54"/>
      <c r="H15" s="52"/>
      <c r="I15" s="52"/>
      <c r="J15" s="61"/>
      <c r="M15" s="111"/>
      <c r="N15" s="126"/>
      <c r="O15" s="112"/>
      <c r="P15" s="64"/>
      <c r="Q15" s="64"/>
      <c r="R15" s="64"/>
      <c r="S15" s="64"/>
      <c r="T15" s="64"/>
      <c r="U15" s="64"/>
      <c r="V15" s="64"/>
    </row>
    <row r="16" spans="1:22" ht="15" x14ac:dyDescent="0.25">
      <c r="A16" s="111">
        <f>+A15+1</f>
        <v>16</v>
      </c>
      <c r="B16" s="120"/>
      <c r="C16" s="123"/>
      <c r="D16" s="123"/>
      <c r="E16" s="122"/>
      <c r="F16" s="51">
        <f>F15+1</f>
        <v>16</v>
      </c>
      <c r="G16" s="54" t="s">
        <v>27</v>
      </c>
      <c r="H16" s="52"/>
      <c r="I16" s="52"/>
      <c r="J16" s="55">
        <f>ROUND(SUM(J12:J14),6)</f>
        <v>4.9652000000000002E-2</v>
      </c>
      <c r="M16" s="111"/>
      <c r="N16" s="123"/>
      <c r="O16" s="112"/>
      <c r="P16" s="64"/>
      <c r="Q16" s="64"/>
      <c r="R16" s="64"/>
      <c r="S16" s="64"/>
      <c r="T16" s="64"/>
      <c r="U16" s="64"/>
      <c r="V16" s="64"/>
    </row>
    <row r="17" spans="1:22" ht="15" x14ac:dyDescent="0.25">
      <c r="A17" s="111">
        <f>+A16+1</f>
        <v>17</v>
      </c>
      <c r="B17" s="120" t="s">
        <v>64</v>
      </c>
      <c r="C17" s="119">
        <f>+C13</f>
        <v>0.51039999999999996</v>
      </c>
      <c r="D17" s="119">
        <f>D13*0.79</f>
        <v>4.0552507836990596E-2</v>
      </c>
      <c r="E17" s="118">
        <f>ROUND(E13*0.79,4)</f>
        <v>2.07E-2</v>
      </c>
      <c r="F17" s="51">
        <f>F16+1</f>
        <v>17</v>
      </c>
      <c r="G17" s="52"/>
      <c r="H17" s="52"/>
      <c r="I17" s="52"/>
      <c r="J17" s="55"/>
      <c r="M17" s="111"/>
      <c r="N17" s="126"/>
      <c r="O17" s="112"/>
      <c r="P17" s="64"/>
      <c r="Q17" s="64"/>
      <c r="R17" s="64"/>
      <c r="S17" s="64"/>
      <c r="T17" s="64"/>
      <c r="U17" s="64"/>
      <c r="V17" s="64"/>
    </row>
    <row r="18" spans="1:22" ht="15" x14ac:dyDescent="0.25">
      <c r="A18" s="111">
        <f>+A17+1</f>
        <v>18</v>
      </c>
      <c r="B18" s="120" t="s">
        <v>48</v>
      </c>
      <c r="C18" s="119">
        <f>+C14</f>
        <v>0.48959999999999998</v>
      </c>
      <c r="D18" s="119">
        <f>+D14</f>
        <v>9.4252054794520562E-2</v>
      </c>
      <c r="E18" s="118">
        <f>ROUND(C18*D18,4)</f>
        <v>4.6100000000000002E-2</v>
      </c>
      <c r="F18" s="51">
        <f>F17+1</f>
        <v>18</v>
      </c>
      <c r="G18" s="52" t="str">
        <f>"CONVERSION FACTOR EXCLUDING FEDERAL INCOME TAX ( 1 - LINE "&amp;$F$17&amp;" )"</f>
        <v>CONVERSION FACTOR EXCLUDING FEDERAL INCOME TAX ( 1 - LINE 17 )</v>
      </c>
      <c r="H18" s="52"/>
      <c r="I18" s="52"/>
      <c r="J18" s="141">
        <f>ROUND(1-J16,6)</f>
        <v>0.95034799999999997</v>
      </c>
      <c r="K18" s="142"/>
      <c r="M18" s="111"/>
      <c r="N18" s="126"/>
      <c r="O18" s="112"/>
      <c r="P18" s="64"/>
      <c r="Q18" s="64"/>
      <c r="R18" s="64"/>
      <c r="S18" s="64"/>
      <c r="T18" s="64"/>
      <c r="U18" s="64"/>
      <c r="V18" s="64"/>
    </row>
    <row r="19" spans="1:22" ht="15" x14ac:dyDescent="0.25">
      <c r="A19" s="111">
        <f>+A18+1</f>
        <v>19</v>
      </c>
      <c r="B19" s="116" t="s">
        <v>49</v>
      </c>
      <c r="C19" s="115">
        <f>SUM(C17:C18)</f>
        <v>1</v>
      </c>
      <c r="D19" s="114"/>
      <c r="E19" s="113">
        <f>SUM(E17:E18)</f>
        <v>6.6799999999999998E-2</v>
      </c>
      <c r="F19" s="51">
        <f>F18+1</f>
        <v>19</v>
      </c>
      <c r="G19" s="54" t="str">
        <f>+'[5]Named Ranges E'!A10</f>
        <v>FIT</v>
      </c>
      <c r="H19" s="52"/>
      <c r="I19" s="62">
        <v>0.21</v>
      </c>
      <c r="J19" s="55">
        <v>0.199993</v>
      </c>
      <c r="M19" s="111"/>
      <c r="N19" s="123"/>
      <c r="O19" s="112"/>
      <c r="P19" s="64"/>
      <c r="Q19" s="64"/>
      <c r="R19" s="64"/>
      <c r="S19" s="64"/>
      <c r="T19" s="64"/>
      <c r="U19" s="64"/>
      <c r="V19" s="64"/>
    </row>
    <row r="20" spans="1:22" ht="15.75" thickBot="1" x14ac:dyDescent="0.3">
      <c r="A20" s="111">
        <f>+A19+1</f>
        <v>20</v>
      </c>
      <c r="B20" s="123"/>
      <c r="C20" s="123"/>
      <c r="D20" s="123"/>
      <c r="E20" s="123"/>
      <c r="F20" s="51">
        <f>F19+1</f>
        <v>20</v>
      </c>
      <c r="G20" s="54" t="str">
        <f>"CONVERSION FACTOR INCL FEDERAL INCOME TAX ( LINE "&amp;F18&amp;" - LINE "&amp;F19&amp;" ) "</f>
        <v xml:space="preserve">CONVERSION FACTOR INCL FEDERAL INCOME TAX ( LINE 18 - LINE 19 ) </v>
      </c>
      <c r="H20" s="52"/>
      <c r="I20" s="52"/>
      <c r="J20" s="131">
        <f>ROUND(1-J19-J16,6)</f>
        <v>0.75035499999999999</v>
      </c>
      <c r="M20" s="111"/>
      <c r="N20" s="130"/>
      <c r="O20" s="112"/>
      <c r="P20" s="64"/>
      <c r="Q20" s="64"/>
      <c r="R20" s="64"/>
      <c r="S20" s="64"/>
      <c r="T20" s="64"/>
      <c r="U20" s="64"/>
      <c r="V20" s="64"/>
    </row>
    <row r="21" spans="1:22" ht="15.75" thickTop="1" x14ac:dyDescent="0.25">
      <c r="A21" s="111">
        <f>+A20+1</f>
        <v>21</v>
      </c>
      <c r="B21" s="128">
        <v>2023</v>
      </c>
      <c r="C21" s="57"/>
      <c r="D21" s="57"/>
      <c r="E21" s="127"/>
      <c r="F21" s="51"/>
      <c r="H21" s="52"/>
      <c r="I21" s="52"/>
      <c r="J21" s="52"/>
      <c r="M21" s="111"/>
      <c r="N21" s="129"/>
      <c r="O21" s="112"/>
      <c r="P21" s="64"/>
      <c r="Q21" s="64"/>
      <c r="R21" s="64"/>
      <c r="S21" s="64"/>
      <c r="T21" s="64"/>
      <c r="U21" s="64"/>
      <c r="V21" s="64"/>
    </row>
    <row r="22" spans="1:22" ht="15" x14ac:dyDescent="0.25">
      <c r="A22" s="111">
        <f>+A21+1</f>
        <v>22</v>
      </c>
      <c r="B22" s="120" t="s">
        <v>62</v>
      </c>
      <c r="C22" s="119">
        <v>0.51</v>
      </c>
      <c r="D22" s="119">
        <v>0.05</v>
      </c>
      <c r="E22" s="118">
        <f>ROUND(C22*D22,4)</f>
        <v>2.5499999999999998E-2</v>
      </c>
      <c r="F22" s="51"/>
      <c r="H22" s="52"/>
      <c r="I22" s="52"/>
      <c r="J22" s="55"/>
      <c r="M22" s="111"/>
      <c r="N22" s="123"/>
      <c r="O22" s="112"/>
      <c r="P22" s="64"/>
      <c r="Q22" s="64"/>
      <c r="R22" s="64"/>
      <c r="S22" s="64"/>
      <c r="T22" s="64"/>
      <c r="U22" s="64"/>
      <c r="V22" s="64"/>
    </row>
    <row r="23" spans="1:22" ht="15" x14ac:dyDescent="0.25">
      <c r="A23" s="111">
        <f>+A22+1</f>
        <v>23</v>
      </c>
      <c r="B23" s="120" t="s">
        <v>48</v>
      </c>
      <c r="C23" s="119">
        <v>0.49</v>
      </c>
      <c r="D23" s="119">
        <v>9.4E-2</v>
      </c>
      <c r="E23" s="118">
        <f>ROUND(C23*D23,4)</f>
        <v>4.6100000000000002E-2</v>
      </c>
      <c r="M23" s="111"/>
      <c r="N23" s="126"/>
      <c r="O23" s="112"/>
      <c r="P23" s="64"/>
      <c r="Q23" s="64"/>
      <c r="R23" s="64"/>
      <c r="S23" s="64"/>
      <c r="T23" s="64"/>
      <c r="U23" s="64"/>
      <c r="V23" s="64"/>
    </row>
    <row r="24" spans="1:22" ht="15" x14ac:dyDescent="0.25">
      <c r="A24" s="111">
        <f>+A23+1</f>
        <v>24</v>
      </c>
      <c r="B24" s="120" t="s">
        <v>63</v>
      </c>
      <c r="C24" s="56">
        <f>SUM(C22:C23)</f>
        <v>1</v>
      </c>
      <c r="D24" s="57"/>
      <c r="E24" s="125">
        <f>SUM(E22:E23)</f>
        <v>7.1599999999999997E-2</v>
      </c>
      <c r="M24" s="111"/>
      <c r="N24" s="126"/>
      <c r="O24" s="112"/>
      <c r="P24" s="64"/>
      <c r="Q24" s="64"/>
      <c r="R24" s="64"/>
      <c r="S24" s="64"/>
      <c r="T24" s="64"/>
      <c r="U24" s="64"/>
      <c r="V24" s="64"/>
    </row>
    <row r="25" spans="1:22" ht="15" x14ac:dyDescent="0.25">
      <c r="A25" s="111">
        <f>+A24+1</f>
        <v>25</v>
      </c>
      <c r="B25" s="120"/>
      <c r="C25" s="123"/>
      <c r="D25" s="123"/>
      <c r="E25" s="122"/>
      <c r="G25" s="40" t="s">
        <v>81</v>
      </c>
      <c r="M25" s="111"/>
      <c r="N25" s="126"/>
      <c r="O25" s="112"/>
      <c r="P25" s="64"/>
      <c r="Q25" s="64"/>
      <c r="R25" s="64"/>
      <c r="S25" s="64"/>
      <c r="T25" s="64"/>
      <c r="U25" s="64"/>
      <c r="V25" s="64"/>
    </row>
    <row r="26" spans="1:22" ht="15" x14ac:dyDescent="0.25">
      <c r="A26" s="111">
        <f>+A25+1</f>
        <v>26</v>
      </c>
      <c r="B26" s="120" t="s">
        <v>64</v>
      </c>
      <c r="C26" s="119">
        <f>+C22</f>
        <v>0.51</v>
      </c>
      <c r="D26" s="119">
        <f>D22*0.79</f>
        <v>3.9500000000000007E-2</v>
      </c>
      <c r="E26" s="118">
        <f>ROUND(E22*0.79,4)</f>
        <v>2.01E-2</v>
      </c>
      <c r="M26" s="111"/>
      <c r="N26" s="126"/>
      <c r="O26" s="112"/>
      <c r="P26" s="64"/>
      <c r="Q26" s="64"/>
      <c r="R26" s="64"/>
      <c r="S26" s="64"/>
      <c r="T26" s="64"/>
      <c r="U26" s="64"/>
      <c r="V26" s="64"/>
    </row>
    <row r="27" spans="1:22" ht="15" x14ac:dyDescent="0.25">
      <c r="A27" s="111">
        <f>+A26+1</f>
        <v>27</v>
      </c>
      <c r="B27" s="120" t="s">
        <v>48</v>
      </c>
      <c r="C27" s="119">
        <f>+C23</f>
        <v>0.49</v>
      </c>
      <c r="D27" s="119">
        <f>+D23</f>
        <v>9.4E-2</v>
      </c>
      <c r="E27" s="118">
        <f>ROUND(C27*D27,4)</f>
        <v>4.6100000000000002E-2</v>
      </c>
      <c r="F27"/>
      <c r="M27" s="111"/>
      <c r="N27" s="126"/>
      <c r="O27" s="112"/>
      <c r="P27" s="64"/>
      <c r="Q27" s="64"/>
      <c r="R27" s="64"/>
      <c r="S27" s="64"/>
      <c r="T27" s="64"/>
      <c r="U27" s="64"/>
      <c r="V27" s="64"/>
    </row>
    <row r="28" spans="1:22" ht="15" x14ac:dyDescent="0.25">
      <c r="A28" s="111">
        <f>+A27+1</f>
        <v>28</v>
      </c>
      <c r="B28" s="116" t="s">
        <v>49</v>
      </c>
      <c r="C28" s="115">
        <f>SUM(C26:C27)</f>
        <v>1</v>
      </c>
      <c r="D28" s="114"/>
      <c r="E28" s="113">
        <f>SUM(E26:E27)</f>
        <v>6.6200000000000009E-2</v>
      </c>
      <c r="M28" s="111"/>
      <c r="N28" s="126"/>
      <c r="O28" s="112"/>
      <c r="P28" s="64"/>
      <c r="Q28" s="64"/>
      <c r="R28" s="64"/>
      <c r="S28" s="64"/>
      <c r="T28" s="64"/>
      <c r="U28" s="64"/>
      <c r="V28" s="64"/>
    </row>
    <row r="29" spans="1:22" ht="15" x14ac:dyDescent="0.25">
      <c r="A29" s="111">
        <f>+A28+1</f>
        <v>29</v>
      </c>
      <c r="B29" s="123"/>
      <c r="C29" s="123"/>
      <c r="D29" s="123"/>
      <c r="E29" s="123"/>
      <c r="M29" s="111"/>
      <c r="N29" s="126"/>
      <c r="O29" s="112"/>
      <c r="P29" s="64"/>
      <c r="Q29" s="64"/>
      <c r="R29" s="64"/>
      <c r="S29" s="64"/>
      <c r="T29" s="64"/>
      <c r="U29" s="64"/>
      <c r="V29" s="64"/>
    </row>
    <row r="30" spans="1:22" ht="15" x14ac:dyDescent="0.25">
      <c r="A30" s="111">
        <f>+A29+1</f>
        <v>30</v>
      </c>
      <c r="B30" s="128">
        <v>2024</v>
      </c>
      <c r="C30" s="57"/>
      <c r="D30" s="57"/>
      <c r="E30" s="127"/>
      <c r="M30" s="111"/>
      <c r="N30" s="126"/>
      <c r="O30" s="112"/>
      <c r="P30" s="64"/>
      <c r="Q30" s="64"/>
      <c r="R30" s="64"/>
      <c r="S30" s="64"/>
      <c r="T30" s="64"/>
      <c r="U30" s="64"/>
      <c r="V30" s="64"/>
    </row>
    <row r="31" spans="1:22" ht="15" x14ac:dyDescent="0.25">
      <c r="A31" s="111">
        <f>+A30+1</f>
        <v>31</v>
      </c>
      <c r="B31" s="120" t="s">
        <v>62</v>
      </c>
      <c r="C31" s="119">
        <f>+C22</f>
        <v>0.51</v>
      </c>
      <c r="D31" s="119">
        <v>0.05</v>
      </c>
      <c r="E31" s="118">
        <f>ROUND(C31*D31,4)</f>
        <v>2.5499999999999998E-2</v>
      </c>
      <c r="G31" s="124"/>
      <c r="M31" s="111"/>
      <c r="N31" s="123"/>
      <c r="O31" s="112"/>
      <c r="P31" s="64"/>
      <c r="Q31" s="64"/>
      <c r="R31" s="64"/>
      <c r="S31" s="64"/>
      <c r="T31" s="64"/>
      <c r="U31" s="64"/>
      <c r="V31" s="64"/>
    </row>
    <row r="32" spans="1:22" ht="15" x14ac:dyDescent="0.25">
      <c r="A32" s="111">
        <f>+A31+1</f>
        <v>32</v>
      </c>
      <c r="B32" s="120" t="s">
        <v>48</v>
      </c>
      <c r="C32" s="119">
        <f>+C23</f>
        <v>0.49</v>
      </c>
      <c r="D32" s="119">
        <v>9.4E-2</v>
      </c>
      <c r="E32" s="118">
        <f>ROUND(C32*D32,4)</f>
        <v>4.6100000000000002E-2</v>
      </c>
      <c r="G32" s="124"/>
      <c r="H32" s="63"/>
      <c r="M32" s="111"/>
      <c r="N32" s="117"/>
      <c r="O32" s="112"/>
      <c r="P32" s="64"/>
      <c r="Q32" s="64"/>
      <c r="R32" s="64"/>
      <c r="S32" s="64"/>
      <c r="T32" s="64"/>
      <c r="U32" s="64"/>
      <c r="V32" s="64"/>
    </row>
    <row r="33" spans="1:22" ht="15" x14ac:dyDescent="0.25">
      <c r="A33" s="111">
        <f>+A32+1</f>
        <v>33</v>
      </c>
      <c r="B33" s="120" t="s">
        <v>63</v>
      </c>
      <c r="C33" s="56">
        <f>SUM(C31:C32)</f>
        <v>1</v>
      </c>
      <c r="D33" s="57"/>
      <c r="E33" s="125">
        <f>SUM(E31:E32)</f>
        <v>7.1599999999999997E-2</v>
      </c>
      <c r="G33" s="124"/>
      <c r="M33" s="111"/>
      <c r="N33" s="117"/>
      <c r="O33" s="112"/>
      <c r="P33" s="64"/>
      <c r="Q33" s="64"/>
      <c r="R33" s="64"/>
      <c r="S33" s="64"/>
      <c r="T33" s="64"/>
      <c r="U33" s="64"/>
      <c r="V33" s="64"/>
    </row>
    <row r="34" spans="1:22" ht="15" x14ac:dyDescent="0.25">
      <c r="A34" s="111">
        <f>+A33+1</f>
        <v>34</v>
      </c>
      <c r="B34" s="120"/>
      <c r="C34" s="123"/>
      <c r="D34" s="123"/>
      <c r="E34" s="122"/>
      <c r="G34" s="121"/>
      <c r="M34" s="111"/>
      <c r="N34" s="117"/>
      <c r="O34" s="112"/>
      <c r="P34" s="64"/>
      <c r="Q34" s="64"/>
      <c r="R34" s="64"/>
      <c r="S34" s="64"/>
      <c r="T34" s="64"/>
      <c r="U34" s="64"/>
      <c r="V34" s="64"/>
    </row>
    <row r="35" spans="1:22" ht="15" x14ac:dyDescent="0.25">
      <c r="A35" s="111">
        <f>+A34+1</f>
        <v>35</v>
      </c>
      <c r="B35" s="120" t="s">
        <v>64</v>
      </c>
      <c r="C35" s="119">
        <f>+C31</f>
        <v>0.51</v>
      </c>
      <c r="D35" s="119">
        <f>D31*0.79</f>
        <v>3.9500000000000007E-2</v>
      </c>
      <c r="E35" s="118">
        <f>ROUND(E31*0.79,4)</f>
        <v>2.01E-2</v>
      </c>
      <c r="M35" s="111"/>
      <c r="N35" s="117"/>
      <c r="O35" s="112"/>
      <c r="P35" s="64"/>
      <c r="Q35" s="64"/>
      <c r="R35" s="64"/>
      <c r="S35" s="64"/>
      <c r="T35" s="64"/>
      <c r="U35" s="64"/>
      <c r="V35" s="64"/>
    </row>
    <row r="36" spans="1:22" ht="15" x14ac:dyDescent="0.25">
      <c r="A36" s="111">
        <f>+A35+1</f>
        <v>36</v>
      </c>
      <c r="B36" s="120" t="s">
        <v>48</v>
      </c>
      <c r="C36" s="119">
        <f>+C32</f>
        <v>0.49</v>
      </c>
      <c r="D36" s="119">
        <f>+D32</f>
        <v>9.4E-2</v>
      </c>
      <c r="E36" s="118">
        <f>ROUND(C36*D36,4)</f>
        <v>4.6100000000000002E-2</v>
      </c>
      <c r="M36" s="111"/>
      <c r="N36" s="117"/>
      <c r="O36" s="112"/>
      <c r="P36" s="64"/>
      <c r="Q36" s="64"/>
      <c r="R36" s="64"/>
      <c r="S36" s="64"/>
      <c r="T36" s="64"/>
      <c r="U36" s="64"/>
      <c r="V36" s="64"/>
    </row>
    <row r="37" spans="1:22" ht="15" x14ac:dyDescent="0.25">
      <c r="A37" s="111">
        <f>+A36+1</f>
        <v>37</v>
      </c>
      <c r="B37" s="116" t="s">
        <v>49</v>
      </c>
      <c r="C37" s="115">
        <f>SUM(C35:C36)</f>
        <v>1</v>
      </c>
      <c r="D37" s="114"/>
      <c r="E37" s="113">
        <f>SUM(E35:E36)</f>
        <v>6.6200000000000009E-2</v>
      </c>
      <c r="M37" s="111"/>
      <c r="N37" s="112"/>
      <c r="O37" s="112"/>
      <c r="P37" s="64"/>
      <c r="Q37" s="64"/>
      <c r="R37" s="64"/>
      <c r="S37" s="64"/>
      <c r="T37" s="64"/>
      <c r="U37" s="64"/>
      <c r="V37" s="64"/>
    </row>
    <row r="38" spans="1:22" ht="15" x14ac:dyDescent="0.25">
      <c r="A38" s="111">
        <f>+A37+1</f>
        <v>38</v>
      </c>
      <c r="B38" s="110"/>
      <c r="C38" s="109"/>
      <c r="D38" s="109"/>
      <c r="E38" s="109"/>
      <c r="M38" s="109"/>
      <c r="N38" s="109"/>
      <c r="O38" s="109"/>
      <c r="P38" s="64"/>
      <c r="Q38" s="64"/>
      <c r="R38" s="64"/>
      <c r="S38" s="64"/>
      <c r="T38" s="64"/>
      <c r="U38" s="64"/>
      <c r="V38" s="64"/>
    </row>
    <row r="39" spans="1:22" ht="15" x14ac:dyDescent="0.25">
      <c r="A39"/>
      <c r="B39"/>
      <c r="C39"/>
      <c r="D39"/>
      <c r="E39"/>
      <c r="F39"/>
      <c r="M39" s="109"/>
      <c r="N39" s="109"/>
      <c r="O39" s="109"/>
      <c r="P39" s="64"/>
      <c r="Q39" s="64"/>
      <c r="R39" s="64"/>
      <c r="S39" s="64"/>
      <c r="T39" s="64"/>
      <c r="U39" s="64"/>
      <c r="V39" s="64"/>
    </row>
    <row r="40" spans="1:22" ht="15" x14ac:dyDescent="0.25">
      <c r="A40"/>
      <c r="B40"/>
      <c r="C40"/>
      <c r="D40"/>
      <c r="E40"/>
      <c r="F40"/>
      <c r="G40" s="64"/>
      <c r="M40" s="109"/>
      <c r="N40" s="109"/>
      <c r="O40" s="109"/>
      <c r="P40" s="64"/>
      <c r="Q40" s="64"/>
      <c r="R40" s="64"/>
      <c r="S40" s="64"/>
      <c r="T40" s="64"/>
      <c r="U40" s="64"/>
      <c r="V40" s="64"/>
    </row>
    <row r="41" spans="1:22" ht="15" x14ac:dyDescent="0.25">
      <c r="A41"/>
      <c r="B41"/>
      <c r="C41"/>
      <c r="D41"/>
      <c r="E41"/>
      <c r="F41"/>
      <c r="G41" s="64"/>
      <c r="M41" s="109"/>
      <c r="N41" s="109"/>
      <c r="O41" s="109"/>
      <c r="P41" s="64"/>
      <c r="Q41" s="64"/>
      <c r="R41" s="64"/>
      <c r="S41" s="64"/>
      <c r="T41" s="64"/>
      <c r="U41" s="64"/>
      <c r="V41" s="64"/>
    </row>
    <row r="42" spans="1:22" ht="15" x14ac:dyDescent="0.25">
      <c r="A42"/>
      <c r="B42"/>
      <c r="C42"/>
      <c r="D42"/>
      <c r="E42"/>
      <c r="F42"/>
      <c r="G42" s="64"/>
      <c r="M42" s="109"/>
      <c r="N42" s="109"/>
      <c r="O42" s="109"/>
      <c r="P42" s="64"/>
      <c r="Q42" s="64"/>
      <c r="R42" s="64"/>
      <c r="S42" s="64"/>
      <c r="T42" s="64"/>
      <c r="U42" s="64"/>
      <c r="V42" s="64"/>
    </row>
    <row r="43" spans="1:22" ht="15" x14ac:dyDescent="0.25">
      <c r="A43"/>
      <c r="B43"/>
      <c r="C43"/>
      <c r="D43"/>
      <c r="E43"/>
      <c r="F43"/>
      <c r="G43" s="64"/>
      <c r="M43" s="109"/>
      <c r="N43" s="109"/>
      <c r="O43" s="109"/>
      <c r="P43" s="64"/>
      <c r="Q43" s="64"/>
      <c r="R43" s="64"/>
      <c r="S43" s="64"/>
      <c r="T43" s="64"/>
      <c r="U43" s="64"/>
      <c r="V43" s="64"/>
    </row>
    <row r="44" spans="1:22" ht="15" x14ac:dyDescent="0.25">
      <c r="A44"/>
      <c r="B44"/>
      <c r="C44"/>
      <c r="D44"/>
      <c r="E44"/>
      <c r="F44"/>
      <c r="G44" s="64"/>
      <c r="M44" s="109"/>
      <c r="N44" s="109"/>
      <c r="O44" s="109"/>
      <c r="P44" s="64"/>
      <c r="Q44" s="64"/>
      <c r="R44" s="64"/>
      <c r="S44" s="64"/>
      <c r="T44" s="64"/>
      <c r="U44" s="64"/>
      <c r="V44" s="64"/>
    </row>
    <row r="45" spans="1:22" ht="15" x14ac:dyDescent="0.25">
      <c r="A45"/>
      <c r="B45"/>
      <c r="C45"/>
      <c r="D45"/>
      <c r="E45"/>
      <c r="F45"/>
      <c r="G45" s="64"/>
      <c r="M45" s="109"/>
      <c r="N45" s="109"/>
      <c r="O45" s="109"/>
      <c r="P45" s="64"/>
      <c r="Q45" s="64"/>
      <c r="R45" s="64"/>
      <c r="S45" s="64"/>
      <c r="T45" s="64"/>
      <c r="U45" s="64"/>
      <c r="V45" s="64"/>
    </row>
    <row r="46" spans="1:22" ht="15" x14ac:dyDescent="0.25">
      <c r="A46"/>
      <c r="B46"/>
      <c r="C46"/>
      <c r="D46"/>
      <c r="E46"/>
      <c r="F46"/>
      <c r="G46" s="64"/>
      <c r="M46" s="64"/>
      <c r="N46" s="64"/>
      <c r="O46" s="64"/>
      <c r="P46" s="64"/>
      <c r="Q46" s="64"/>
      <c r="R46" s="64"/>
      <c r="S46" s="64"/>
      <c r="T46" s="64"/>
      <c r="U46" s="64"/>
      <c r="V46" s="64"/>
    </row>
    <row r="47" spans="1:22" customFormat="1" ht="15" x14ac:dyDescent="0.25"/>
    <row r="48" spans="1:22" ht="15" x14ac:dyDescent="0.25">
      <c r="A48"/>
      <c r="B48"/>
      <c r="C48"/>
      <c r="D48"/>
      <c r="E48"/>
      <c r="F48"/>
      <c r="G48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15" x14ac:dyDescent="0.25">
      <c r="A49"/>
      <c r="B49"/>
      <c r="C49"/>
      <c r="D49"/>
      <c r="E49"/>
      <c r="F49"/>
      <c r="G49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ht="15" x14ac:dyDescent="0.25">
      <c r="A50"/>
      <c r="B50"/>
      <c r="C50"/>
      <c r="D50"/>
      <c r="E50"/>
      <c r="F50"/>
      <c r="G50"/>
      <c r="M50" s="64"/>
      <c r="N50" s="64"/>
      <c r="O50" s="64"/>
      <c r="P50" s="64"/>
      <c r="Q50" s="64"/>
      <c r="R50" s="64"/>
      <c r="S50" s="64"/>
      <c r="T50" s="64"/>
      <c r="U50" s="64"/>
      <c r="V50" s="64"/>
    </row>
    <row r="51" spans="1:22" ht="15" x14ac:dyDescent="0.25">
      <c r="A51"/>
      <c r="B51"/>
      <c r="C51"/>
      <c r="D51"/>
      <c r="E51"/>
      <c r="F51"/>
      <c r="G51"/>
      <c r="M51" s="64"/>
      <c r="N51" s="64"/>
      <c r="O51" s="64"/>
      <c r="P51" s="64"/>
      <c r="Q51" s="64"/>
      <c r="R51" s="64"/>
      <c r="S51" s="64"/>
      <c r="T51" s="64"/>
      <c r="U51" s="64"/>
      <c r="V51" s="64"/>
    </row>
    <row r="52" spans="1:22" ht="15" x14ac:dyDescent="0.25">
      <c r="A52"/>
      <c r="B52"/>
      <c r="C52"/>
      <c r="D52"/>
      <c r="E52"/>
      <c r="F52"/>
      <c r="G52"/>
      <c r="M52" s="64"/>
      <c r="N52" s="64"/>
      <c r="O52" s="64"/>
      <c r="P52" s="64"/>
      <c r="Q52" s="64"/>
      <c r="R52" s="64"/>
      <c r="S52" s="64"/>
      <c r="T52" s="64"/>
      <c r="U52" s="64"/>
      <c r="V52" s="64"/>
    </row>
    <row r="53" spans="1:22" ht="15" x14ac:dyDescent="0.25">
      <c r="A53"/>
      <c r="B53"/>
      <c r="C53"/>
      <c r="D53"/>
      <c r="E53"/>
      <c r="F53"/>
      <c r="G53"/>
      <c r="M53" s="64"/>
      <c r="N53" s="64"/>
      <c r="O53" s="64"/>
      <c r="P53" s="64"/>
      <c r="Q53" s="64"/>
      <c r="R53" s="64"/>
      <c r="S53" s="64"/>
      <c r="T53" s="64"/>
      <c r="U53" s="64"/>
      <c r="V53" s="64"/>
    </row>
    <row r="54" spans="1:22" ht="15" x14ac:dyDescent="0.25">
      <c r="A54"/>
      <c r="B54"/>
      <c r="C54"/>
      <c r="D54"/>
      <c r="E54"/>
      <c r="F54"/>
      <c r="G54"/>
      <c r="M54" s="64"/>
      <c r="N54" s="64"/>
      <c r="O54" s="64"/>
      <c r="P54" s="64"/>
      <c r="Q54" s="64"/>
      <c r="R54" s="64"/>
      <c r="S54" s="64"/>
      <c r="T54" s="64"/>
      <c r="U54" s="64"/>
      <c r="V54" s="64"/>
    </row>
    <row r="55" spans="1:22" ht="15" x14ac:dyDescent="0.25">
      <c r="A55"/>
      <c r="B55"/>
      <c r="C55"/>
      <c r="D55"/>
      <c r="E55"/>
      <c r="F55"/>
      <c r="G55"/>
      <c r="M55" s="64"/>
      <c r="N55" s="64"/>
      <c r="O55" s="64"/>
      <c r="P55" s="64"/>
      <c r="Q55" s="64"/>
      <c r="R55" s="64"/>
      <c r="S55" s="64"/>
      <c r="T55" s="64"/>
      <c r="U55" s="64"/>
      <c r="V55" s="64"/>
    </row>
    <row r="56" spans="1:22" ht="15" x14ac:dyDescent="0.25">
      <c r="A56" s="108"/>
      <c r="B56"/>
      <c r="C56"/>
      <c r="D56"/>
      <c r="E56"/>
      <c r="F56"/>
      <c r="G56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ht="15" x14ac:dyDescent="0.25">
      <c r="A57" s="107" t="s">
        <v>80</v>
      </c>
      <c r="B57"/>
      <c r="C57"/>
      <c r="D57"/>
      <c r="E57"/>
      <c r="F57"/>
      <c r="G57"/>
      <c r="M57" s="64"/>
      <c r="N57" s="64"/>
      <c r="O57" s="64"/>
      <c r="P57" s="64"/>
      <c r="Q57" s="64"/>
      <c r="R57" s="64"/>
      <c r="S57" s="64"/>
      <c r="T57" s="64"/>
      <c r="U57" s="64"/>
      <c r="V57" s="64"/>
    </row>
    <row r="58" spans="1:22" ht="15" x14ac:dyDescent="0.25">
      <c r="A58" s="106" t="e">
        <f>#REF!/#REF!</f>
        <v>#REF!</v>
      </c>
      <c r="B58"/>
      <c r="C58"/>
      <c r="D58"/>
      <c r="E58"/>
      <c r="F58" s="64"/>
      <c r="G58" s="64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1:22" ht="15" x14ac:dyDescent="0.25">
      <c r="A59" s="106" t="e">
        <f>#REF!/#REF!</f>
        <v>#REF!</v>
      </c>
      <c r="B59"/>
      <c r="C59"/>
      <c r="D59"/>
      <c r="E59"/>
      <c r="F59" s="64"/>
      <c r="G59" s="64"/>
      <c r="M59" s="64"/>
      <c r="N59" s="64"/>
      <c r="O59" s="64"/>
      <c r="P59" s="64"/>
      <c r="Q59" s="64"/>
      <c r="R59" s="64"/>
      <c r="S59" s="64"/>
      <c r="T59" s="64"/>
      <c r="U59" s="64"/>
      <c r="V59" s="64"/>
    </row>
    <row r="60" spans="1:22" ht="15" x14ac:dyDescent="0.25">
      <c r="A60" s="106" t="e">
        <f>#REF!/#REF!</f>
        <v>#REF!</v>
      </c>
      <c r="B60"/>
      <c r="C60"/>
      <c r="D60"/>
      <c r="E60"/>
      <c r="F60" s="64"/>
      <c r="G60" s="64"/>
      <c r="M60" s="64"/>
      <c r="N60" s="64"/>
      <c r="O60" s="64"/>
      <c r="P60" s="64"/>
      <c r="Q60" s="64"/>
      <c r="R60" s="64"/>
      <c r="S60" s="64"/>
      <c r="T60" s="64"/>
      <c r="U60" s="64"/>
      <c r="V60" s="64"/>
    </row>
    <row r="61" spans="1:22" ht="15" x14ac:dyDescent="0.25">
      <c r="A61" s="106" t="e">
        <f>#REF!/#REF!</f>
        <v>#REF!</v>
      </c>
      <c r="B61"/>
      <c r="C61"/>
      <c r="D61"/>
      <c r="E61"/>
      <c r="F61" s="64"/>
      <c r="G61" s="64"/>
      <c r="M61" s="64"/>
      <c r="N61" s="64"/>
      <c r="O61" s="64"/>
      <c r="P61" s="64"/>
      <c r="Q61" s="64"/>
      <c r="R61" s="64"/>
      <c r="S61" s="64"/>
      <c r="T61" s="64"/>
      <c r="U61" s="64"/>
      <c r="V61" s="64"/>
    </row>
    <row r="62" spans="1:22" ht="15.75" thickBot="1" x14ac:dyDescent="0.3">
      <c r="A62" s="105" t="e">
        <f>SUM(A58:A61)</f>
        <v>#REF!</v>
      </c>
      <c r="B62"/>
      <c r="C62"/>
      <c r="D62"/>
      <c r="E62"/>
      <c r="F62" s="64"/>
      <c r="G62" s="64"/>
      <c r="M62" s="64"/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15.75" thickTop="1" x14ac:dyDescent="0.25">
      <c r="A63" s="104" t="e">
        <f>+A62-#REF!</f>
        <v>#REF!</v>
      </c>
      <c r="B63"/>
      <c r="C63"/>
      <c r="D63"/>
      <c r="E63"/>
      <c r="F63" s="64"/>
      <c r="G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2" ht="15" x14ac:dyDescent="0.25">
      <c r="A64" s="72"/>
      <c r="B64"/>
      <c r="C64"/>
      <c r="D64"/>
      <c r="E64"/>
      <c r="F64" s="64"/>
      <c r="G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15" hidden="1" outlineLevel="1" x14ac:dyDescent="0.25">
      <c r="A65" s="103" t="s">
        <v>79</v>
      </c>
      <c r="B65"/>
      <c r="C65"/>
      <c r="D65"/>
      <c r="E65"/>
      <c r="F65" s="64"/>
      <c r="G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15" hidden="1" outlineLevel="1" x14ac:dyDescent="0.25">
      <c r="A66" s="101" t="e">
        <f>#REF!-#REF!</f>
        <v>#REF!</v>
      </c>
      <c r="B66"/>
      <c r="C66"/>
      <c r="D66"/>
      <c r="E66"/>
      <c r="F66" s="64"/>
      <c r="G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ht="15" hidden="1" outlineLevel="1" x14ac:dyDescent="0.25">
      <c r="A67" s="101" t="e">
        <f>#REF!-#REF!</f>
        <v>#REF!</v>
      </c>
      <c r="B67"/>
      <c r="C67"/>
      <c r="D67"/>
      <c r="E67"/>
      <c r="F67" s="64"/>
      <c r="G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ht="15" hidden="1" outlineLevel="1" x14ac:dyDescent="0.25">
      <c r="A68" s="101" t="e">
        <f>#REF!-#REF!</f>
        <v>#REF!</v>
      </c>
      <c r="B68"/>
      <c r="C68"/>
      <c r="D68"/>
      <c r="E68"/>
      <c r="F68" s="64"/>
      <c r="G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ht="15" hidden="1" outlineLevel="1" x14ac:dyDescent="0.25">
      <c r="A69" s="101" t="e">
        <f>#REF!-#REF!</f>
        <v>#REF!</v>
      </c>
      <c r="B69"/>
      <c r="C69"/>
      <c r="D69"/>
      <c r="E69"/>
      <c r="F69" s="64"/>
      <c r="G69" s="64"/>
      <c r="M69" s="64"/>
      <c r="N69" s="64"/>
      <c r="O69" s="64"/>
      <c r="P69" s="64"/>
      <c r="Q69" s="64"/>
      <c r="R69" s="64"/>
      <c r="S69" s="64"/>
      <c r="T69" s="64"/>
      <c r="U69" s="64"/>
      <c r="V69" s="64"/>
    </row>
    <row r="70" spans="1:22" ht="15" hidden="1" outlineLevel="1" x14ac:dyDescent="0.25">
      <c r="A70" s="101" t="e">
        <f>#REF!-#REF!</f>
        <v>#REF!</v>
      </c>
      <c r="B70"/>
      <c r="C70"/>
      <c r="D70"/>
      <c r="E70"/>
      <c r="F70" s="64"/>
      <c r="G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ht="15" hidden="1" outlineLevel="1" x14ac:dyDescent="0.25">
      <c r="A71" s="101" t="e">
        <f>#REF!-#REF!</f>
        <v>#REF!</v>
      </c>
      <c r="B71"/>
      <c r="C71"/>
      <c r="D71"/>
      <c r="E71"/>
      <c r="F71" s="64"/>
      <c r="G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1:22" ht="15" hidden="1" outlineLevel="1" x14ac:dyDescent="0.25">
      <c r="A72" s="101" t="e">
        <f>#REF!-#REF!</f>
        <v>#REF!</v>
      </c>
      <c r="B72"/>
      <c r="C72"/>
      <c r="D72"/>
      <c r="E72"/>
      <c r="F72" s="64"/>
      <c r="G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ht="15" hidden="1" outlineLevel="1" x14ac:dyDescent="0.25">
      <c r="A73" s="101">
        <v>-1</v>
      </c>
      <c r="B73"/>
      <c r="C73"/>
      <c r="D73"/>
      <c r="E73"/>
      <c r="F73" s="64"/>
      <c r="G73" s="64"/>
      <c r="M73" s="64"/>
      <c r="N73" s="64"/>
      <c r="O73" s="64"/>
      <c r="P73" s="64"/>
      <c r="Q73" s="64"/>
      <c r="R73" s="64"/>
      <c r="S73" s="64"/>
      <c r="T73" s="64"/>
      <c r="U73" s="64"/>
      <c r="V73" s="64"/>
    </row>
    <row r="74" spans="1:22" ht="15" hidden="1" outlineLevel="1" x14ac:dyDescent="0.25">
      <c r="A74" s="102" t="e">
        <f>SUM(A66:A73)</f>
        <v>#REF!</v>
      </c>
      <c r="B74"/>
      <c r="C74"/>
      <c r="D74"/>
      <c r="E74"/>
      <c r="F74" s="64"/>
      <c r="G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ht="15" hidden="1" outlineLevel="1" x14ac:dyDescent="0.25">
      <c r="A75" s="64"/>
      <c r="B75" s="64"/>
      <c r="C75" s="64"/>
      <c r="D75" s="64"/>
      <c r="E75" s="64"/>
      <c r="F75" s="64"/>
      <c r="G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ht="15" hidden="1" outlineLevel="1" x14ac:dyDescent="0.25">
      <c r="A76" s="64"/>
      <c r="B76" s="64"/>
      <c r="C76" s="64"/>
      <c r="D76" s="64"/>
      <c r="E76" s="64"/>
      <c r="F76" s="64"/>
      <c r="G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ht="15" hidden="1" outlineLevel="1" x14ac:dyDescent="0.25">
      <c r="A77" s="64"/>
      <c r="B77" s="64"/>
      <c r="C77" s="64"/>
      <c r="D77" s="64"/>
      <c r="E77" s="64"/>
      <c r="F77" s="64"/>
      <c r="G77" s="64"/>
      <c r="M77" s="64"/>
      <c r="N77" s="64"/>
      <c r="O77" s="64"/>
      <c r="P77" s="64"/>
      <c r="Q77" s="64"/>
      <c r="R77" s="64"/>
      <c r="S77" s="64"/>
      <c r="T77" s="64"/>
      <c r="U77" s="64"/>
      <c r="V77" s="64"/>
    </row>
    <row r="78" spans="1:22" ht="15" hidden="1" outlineLevel="1" x14ac:dyDescent="0.25">
      <c r="A78" s="64"/>
      <c r="B78" s="64"/>
      <c r="C78" s="64"/>
      <c r="D78" s="64"/>
      <c r="E78" s="64"/>
      <c r="F78" s="64"/>
      <c r="G78" s="64"/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ht="15" hidden="1" outlineLevel="1" x14ac:dyDescent="0.25">
      <c r="A79" s="64"/>
      <c r="B79" s="64"/>
      <c r="C79" s="64"/>
      <c r="D79" s="64"/>
      <c r="E79" s="64"/>
      <c r="F79" s="64"/>
      <c r="G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ht="15" hidden="1" outlineLevel="1" x14ac:dyDescent="0.25">
      <c r="A80" s="64"/>
      <c r="B80" s="64"/>
      <c r="C80" s="64"/>
      <c r="D80" s="64"/>
      <c r="E80" s="64"/>
      <c r="F80" s="64"/>
      <c r="G80" s="64"/>
      <c r="M80" s="64"/>
      <c r="N80" s="64"/>
      <c r="O80" s="64"/>
      <c r="P80" s="64"/>
      <c r="Q80" s="64"/>
      <c r="R80" s="64"/>
      <c r="S80" s="64"/>
      <c r="T80" s="64"/>
      <c r="U80" s="64"/>
      <c r="V80" s="64"/>
    </row>
    <row r="81" spans="1:22" ht="15" hidden="1" outlineLevel="1" x14ac:dyDescent="0.25">
      <c r="A81" s="64"/>
      <c r="B81" s="64"/>
      <c r="C81" s="64"/>
      <c r="D81" s="64"/>
      <c r="E81" s="64"/>
      <c r="F81" s="64"/>
      <c r="G81" s="64"/>
      <c r="M81" s="64"/>
      <c r="N81" s="64"/>
      <c r="O81" s="64"/>
      <c r="P81" s="64"/>
      <c r="Q81" s="64"/>
      <c r="R81" s="64"/>
      <c r="S81" s="64"/>
      <c r="T81" s="64"/>
      <c r="U81" s="64"/>
      <c r="V81" s="64"/>
    </row>
    <row r="82" spans="1:22" ht="15" collapsed="1" x14ac:dyDescent="0.25">
      <c r="A82" s="64"/>
      <c r="B82" s="64"/>
      <c r="C82" s="64"/>
      <c r="D82" s="64"/>
      <c r="E82" s="64"/>
      <c r="F82" s="64"/>
      <c r="G82" s="64"/>
      <c r="M82" s="64"/>
      <c r="N82" s="64"/>
      <c r="O82" s="64"/>
      <c r="P82" s="64"/>
      <c r="Q82" s="64"/>
      <c r="R82" s="64"/>
      <c r="S82" s="64"/>
      <c r="T82" s="64"/>
      <c r="U82" s="64"/>
      <c r="V82" s="64"/>
    </row>
    <row r="83" spans="1:22" ht="15" x14ac:dyDescent="0.25">
      <c r="A83" s="64"/>
      <c r="B83" s="64"/>
      <c r="C83" s="64"/>
      <c r="D83" s="64"/>
      <c r="E83" s="64"/>
      <c r="F83" s="64"/>
      <c r="G83" s="64"/>
      <c r="M83" s="64"/>
      <c r="N83" s="64"/>
      <c r="O83" s="64"/>
      <c r="P83" s="64"/>
      <c r="Q83" s="64"/>
      <c r="R83" s="64"/>
      <c r="S83" s="64"/>
      <c r="T83" s="64"/>
      <c r="U83" s="64"/>
      <c r="V83" s="64"/>
    </row>
    <row r="84" spans="1:22" ht="15" x14ac:dyDescent="0.25">
      <c r="A84" s="64"/>
      <c r="B84" s="64"/>
      <c r="C84" s="64"/>
      <c r="D84" s="64"/>
      <c r="E84" s="64"/>
      <c r="F84" s="64"/>
      <c r="G84" s="64"/>
      <c r="M84" s="64"/>
      <c r="N84" s="64"/>
      <c r="O84" s="64"/>
      <c r="P84" s="64"/>
      <c r="Q84" s="64"/>
      <c r="R84" s="64"/>
      <c r="S84" s="64"/>
      <c r="T84" s="64"/>
      <c r="U84" s="64"/>
      <c r="V84" s="64"/>
    </row>
    <row r="85" spans="1:22" ht="15" x14ac:dyDescent="0.25">
      <c r="A85" s="64"/>
      <c r="B85" s="64"/>
      <c r="C85" s="64"/>
      <c r="D85" s="64"/>
      <c r="E85" s="64"/>
      <c r="F85" s="64"/>
      <c r="G85" s="64"/>
      <c r="M85" s="64"/>
      <c r="N85" s="64"/>
      <c r="O85" s="64"/>
      <c r="P85" s="64"/>
      <c r="Q85" s="64"/>
      <c r="R85" s="64"/>
      <c r="S85" s="64"/>
      <c r="T85" s="64"/>
      <c r="U85" s="64"/>
      <c r="V85" s="64"/>
    </row>
    <row r="86" spans="1:22" ht="15" x14ac:dyDescent="0.25">
      <c r="A86" s="64"/>
      <c r="B86" s="64"/>
      <c r="C86" s="64"/>
      <c r="D86" s="64"/>
      <c r="E86" s="64"/>
      <c r="F86" s="64"/>
      <c r="G86" s="64"/>
      <c r="M86" s="64"/>
      <c r="N86" s="64"/>
      <c r="O86" s="64"/>
      <c r="P86" s="64"/>
      <c r="Q86" s="64"/>
      <c r="R86" s="64"/>
      <c r="S86" s="64"/>
      <c r="T86" s="64"/>
      <c r="U86" s="64"/>
      <c r="V86" s="64"/>
    </row>
    <row r="87" spans="1:22" ht="15" x14ac:dyDescent="0.25">
      <c r="A87" s="64"/>
      <c r="B87" s="64"/>
      <c r="C87" s="64"/>
      <c r="D87" s="64"/>
      <c r="E87" s="64"/>
      <c r="F87" s="64"/>
      <c r="G87" s="64"/>
      <c r="M87" s="64"/>
      <c r="N87" s="64"/>
      <c r="O87" s="64"/>
      <c r="P87" s="64"/>
      <c r="Q87" s="64"/>
      <c r="R87" s="64"/>
      <c r="S87" s="64"/>
      <c r="T87" s="64"/>
      <c r="U87" s="64"/>
      <c r="V87" s="64"/>
    </row>
    <row r="88" spans="1:22" ht="15" x14ac:dyDescent="0.25">
      <c r="A88" s="64"/>
      <c r="B88" s="64"/>
      <c r="C88" s="64"/>
      <c r="D88" s="64"/>
      <c r="E88" s="64"/>
      <c r="F88" s="64"/>
      <c r="G88" s="64"/>
      <c r="M88" s="64"/>
      <c r="N88" s="64"/>
      <c r="O88" s="64"/>
      <c r="P88" s="64"/>
      <c r="Q88" s="64"/>
      <c r="R88" s="64"/>
      <c r="S88" s="64"/>
      <c r="T88" s="64"/>
      <c r="U88" s="64"/>
      <c r="V88" s="64"/>
    </row>
    <row r="89" spans="1:22" ht="15" x14ac:dyDescent="0.25">
      <c r="A89" s="64"/>
      <c r="B89" s="64"/>
      <c r="C89" s="64"/>
      <c r="D89" s="64"/>
      <c r="E89" s="64"/>
      <c r="F89" s="64"/>
      <c r="G89" s="64"/>
      <c r="M89" s="64"/>
      <c r="N89" s="64"/>
      <c r="O89" s="64"/>
      <c r="P89" s="64"/>
      <c r="Q89" s="64"/>
      <c r="R89" s="64"/>
      <c r="S89" s="64"/>
      <c r="T89" s="64"/>
      <c r="U89" s="64"/>
      <c r="V89" s="64"/>
    </row>
    <row r="90" spans="1:22" ht="15" x14ac:dyDescent="0.25">
      <c r="A90" s="64"/>
      <c r="B90" s="64"/>
      <c r="C90" s="64"/>
      <c r="D90" s="64"/>
      <c r="E90" s="64"/>
      <c r="F90" s="64"/>
      <c r="G90" s="64"/>
      <c r="M90" s="64"/>
      <c r="N90" s="64"/>
      <c r="O90" s="64"/>
      <c r="P90" s="64"/>
      <c r="Q90" s="64"/>
      <c r="R90" s="64"/>
      <c r="S90" s="64"/>
      <c r="T90" s="64"/>
      <c r="U90" s="64"/>
      <c r="V90" s="64"/>
    </row>
    <row r="91" spans="1:22" ht="15" x14ac:dyDescent="0.25">
      <c r="A91" s="64"/>
      <c r="B91" s="64"/>
      <c r="C91" s="64"/>
      <c r="D91" s="64"/>
      <c r="E91" s="64"/>
      <c r="F91" s="64"/>
      <c r="G91" s="64"/>
      <c r="M91" s="64"/>
      <c r="N91" s="64"/>
      <c r="O91" s="64"/>
      <c r="P91" s="64"/>
      <c r="Q91" s="64"/>
      <c r="R91" s="64"/>
      <c r="S91" s="64"/>
      <c r="T91" s="64"/>
      <c r="U91" s="64"/>
      <c r="V91" s="64"/>
    </row>
    <row r="92" spans="1:22" ht="15" x14ac:dyDescent="0.25">
      <c r="A92" s="64"/>
      <c r="B92" s="64"/>
      <c r="C92" s="64"/>
      <c r="D92" s="64"/>
      <c r="E92" s="64"/>
      <c r="F92" s="64"/>
      <c r="G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5" x14ac:dyDescent="0.25">
      <c r="A93" s="64"/>
      <c r="B93" s="64"/>
      <c r="C93" s="64"/>
      <c r="D93" s="64"/>
      <c r="E93" s="64"/>
      <c r="F93" s="64"/>
      <c r="G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ht="15" x14ac:dyDescent="0.25">
      <c r="A94" s="64"/>
      <c r="B94" s="64"/>
      <c r="C94" s="64"/>
      <c r="D94" s="64"/>
      <c r="E94" s="64"/>
      <c r="F94" s="64"/>
      <c r="G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ht="15" x14ac:dyDescent="0.25">
      <c r="A95" s="64"/>
      <c r="B95" s="64"/>
      <c r="C95" s="64"/>
      <c r="D95" s="64"/>
      <c r="E95" s="64"/>
      <c r="F95" s="64"/>
      <c r="G95" s="64"/>
      <c r="M95" s="64"/>
      <c r="N95" s="64"/>
      <c r="O95" s="64"/>
      <c r="P95" s="64"/>
      <c r="Q95" s="64"/>
      <c r="R95" s="64"/>
      <c r="S95" s="64"/>
      <c r="T95" s="64"/>
      <c r="U95" s="64"/>
      <c r="V95" s="64"/>
    </row>
    <row r="96" spans="1:22" ht="15" x14ac:dyDescent="0.25">
      <c r="A96" s="64"/>
      <c r="B96" s="64"/>
      <c r="C96" s="64"/>
      <c r="D96" s="64"/>
      <c r="E96" s="64"/>
      <c r="F96" s="64"/>
      <c r="G96" s="64"/>
      <c r="M96" s="64"/>
      <c r="N96" s="64"/>
      <c r="O96" s="64"/>
      <c r="P96" s="64"/>
      <c r="Q96" s="64"/>
      <c r="R96" s="64"/>
      <c r="S96" s="64"/>
      <c r="T96" s="64"/>
      <c r="U96" s="64"/>
      <c r="V96" s="64"/>
    </row>
    <row r="97" spans="1:22" ht="15" x14ac:dyDescent="0.25">
      <c r="A97" s="64"/>
      <c r="B97" s="64"/>
      <c r="C97" s="64"/>
      <c r="D97" s="64"/>
      <c r="E97" s="64"/>
      <c r="F97" s="64"/>
      <c r="G97" s="64"/>
      <c r="M97" s="64"/>
      <c r="N97" s="64"/>
      <c r="O97" s="64"/>
      <c r="P97" s="64"/>
      <c r="Q97" s="64"/>
      <c r="R97" s="64"/>
      <c r="S97" s="64"/>
      <c r="T97" s="64"/>
      <c r="U97" s="64"/>
      <c r="V97" s="64"/>
    </row>
    <row r="98" spans="1:22" ht="15" x14ac:dyDescent="0.25">
      <c r="A98" s="64"/>
      <c r="B98" s="64"/>
      <c r="C98" s="64"/>
      <c r="D98" s="64"/>
      <c r="E98" s="64"/>
      <c r="F98" s="64"/>
      <c r="G98" s="64"/>
      <c r="M98" s="64"/>
      <c r="N98" s="64"/>
      <c r="O98" s="64"/>
      <c r="P98" s="64"/>
      <c r="Q98" s="64"/>
      <c r="R98" s="64"/>
      <c r="S98" s="64"/>
      <c r="T98" s="64"/>
      <c r="U98" s="64"/>
      <c r="V98" s="64"/>
    </row>
    <row r="99" spans="1:22" ht="15" x14ac:dyDescent="0.25">
      <c r="A99" s="64"/>
      <c r="B99" s="64"/>
      <c r="C99" s="64"/>
      <c r="D99" s="64"/>
      <c r="E99" s="64"/>
      <c r="F99" s="64"/>
      <c r="G99" s="64"/>
      <c r="M99" s="64"/>
      <c r="N99" s="64"/>
      <c r="O99" s="64"/>
      <c r="P99" s="64"/>
      <c r="Q99" s="64"/>
      <c r="R99" s="64"/>
      <c r="S99" s="64"/>
      <c r="T99" s="64"/>
      <c r="U99" s="64"/>
      <c r="V99" s="64"/>
    </row>
    <row r="100" spans="1:22" ht="15" x14ac:dyDescent="0.25">
      <c r="A100" s="64"/>
      <c r="B100" s="64"/>
      <c r="C100" s="64"/>
      <c r="D100" s="64"/>
      <c r="E100" s="64"/>
      <c r="F100" s="64"/>
      <c r="G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</row>
    <row r="101" spans="1:22" ht="15" x14ac:dyDescent="0.25">
      <c r="A101" s="64"/>
      <c r="B101" s="64"/>
      <c r="C101" s="64"/>
      <c r="D101" s="64"/>
      <c r="E101" s="64"/>
      <c r="F101" s="64"/>
      <c r="G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ht="15" x14ac:dyDescent="0.25">
      <c r="A102" s="64"/>
      <c r="B102" s="64"/>
      <c r="C102" s="64"/>
      <c r="D102" s="64"/>
      <c r="E102" s="64"/>
      <c r="F102" s="64"/>
      <c r="G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ht="15" x14ac:dyDescent="0.25">
      <c r="A103" s="64"/>
      <c r="B103" s="64"/>
      <c r="C103" s="64"/>
      <c r="D103" s="64"/>
      <c r="E103" s="64"/>
      <c r="F103" s="64"/>
      <c r="G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ht="15" x14ac:dyDescent="0.25">
      <c r="A104" s="64"/>
      <c r="B104" s="64"/>
      <c r="C104" s="64"/>
      <c r="D104" s="64"/>
      <c r="E104" s="64"/>
      <c r="F104" s="64"/>
      <c r="G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</row>
    <row r="105" spans="1:22" ht="15" x14ac:dyDescent="0.25">
      <c r="A105" s="64"/>
      <c r="B105" s="64"/>
      <c r="C105" s="64"/>
      <c r="D105" s="64"/>
      <c r="E105" s="64"/>
      <c r="F105" s="64"/>
      <c r="G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</row>
    <row r="106" spans="1:22" ht="15" x14ac:dyDescent="0.25">
      <c r="A106" s="64"/>
      <c r="B106" s="64"/>
      <c r="C106" s="64"/>
      <c r="D106" s="64"/>
      <c r="E106" s="64"/>
      <c r="F106" s="64"/>
      <c r="G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</row>
    <row r="107" spans="1:22" ht="15" x14ac:dyDescent="0.25">
      <c r="A107" s="64"/>
      <c r="B107" s="64"/>
      <c r="C107" s="64"/>
      <c r="D107" s="64"/>
      <c r="E107" s="64"/>
      <c r="F107" s="64"/>
      <c r="G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</row>
    <row r="108" spans="1:22" ht="15" x14ac:dyDescent="0.25">
      <c r="A108" s="64"/>
      <c r="B108" s="64"/>
      <c r="C108" s="64"/>
      <c r="D108" s="64"/>
      <c r="E108" s="64"/>
      <c r="F108" s="64"/>
      <c r="G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</row>
    <row r="109" spans="1:22" ht="15" x14ac:dyDescent="0.25">
      <c r="A109" s="64"/>
      <c r="B109" s="64"/>
      <c r="C109" s="64"/>
      <c r="D109" s="64"/>
      <c r="E109" s="64"/>
      <c r="F109" s="64"/>
      <c r="G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</row>
    <row r="110" spans="1:22" ht="15" x14ac:dyDescent="0.25">
      <c r="A110" s="64"/>
      <c r="B110" s="64"/>
      <c r="C110" s="64"/>
      <c r="D110" s="64"/>
      <c r="E110" s="64"/>
      <c r="F110" s="64"/>
      <c r="G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ht="15" x14ac:dyDescent="0.25">
      <c r="A111" s="64"/>
      <c r="B111" s="64"/>
      <c r="C111" s="64"/>
      <c r="D111" s="64"/>
      <c r="E111" s="64"/>
      <c r="F111" s="64"/>
      <c r="G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spans="1:22" ht="15" x14ac:dyDescent="0.25">
      <c r="A112" s="64"/>
      <c r="B112" s="64"/>
      <c r="C112" s="64"/>
      <c r="D112" s="64"/>
      <c r="E112" s="64"/>
      <c r="F112" s="64"/>
      <c r="G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spans="1:22" ht="15" x14ac:dyDescent="0.25">
      <c r="A113" s="64"/>
      <c r="B113" s="64"/>
      <c r="C113" s="64"/>
      <c r="D113" s="64"/>
      <c r="E113" s="64"/>
      <c r="F113" s="64"/>
      <c r="G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</row>
    <row r="114" spans="1:22" ht="15" x14ac:dyDescent="0.25">
      <c r="A114" s="64"/>
      <c r="B114" s="64"/>
      <c r="C114" s="64"/>
      <c r="D114" s="64"/>
      <c r="E114" s="64"/>
      <c r="F114" s="64"/>
      <c r="G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</row>
    <row r="115" spans="1:22" ht="15" x14ac:dyDescent="0.25">
      <c r="A115" s="64"/>
      <c r="B115" s="64"/>
      <c r="C115" s="64"/>
      <c r="D115" s="64"/>
      <c r="E115" s="64"/>
      <c r="F115" s="64"/>
      <c r="G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</row>
    <row r="116" spans="1:22" ht="15" x14ac:dyDescent="0.25">
      <c r="A116" s="64"/>
      <c r="B116" s="64"/>
      <c r="C116" s="64"/>
      <c r="D116" s="64"/>
      <c r="E116" s="64"/>
      <c r="F116" s="64"/>
      <c r="G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</row>
    <row r="117" spans="1:22" ht="15" x14ac:dyDescent="0.25">
      <c r="A117" s="64"/>
      <c r="B117" s="64"/>
      <c r="C117" s="64"/>
      <c r="D117" s="64"/>
      <c r="E117" s="64"/>
      <c r="F117" s="64"/>
      <c r="G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</row>
    <row r="118" spans="1:22" ht="15" x14ac:dyDescent="0.25">
      <c r="A118" s="64"/>
      <c r="B118" s="64"/>
      <c r="C118" s="64"/>
      <c r="D118" s="64"/>
      <c r="E118" s="64"/>
      <c r="F118" s="64"/>
      <c r="G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</row>
    <row r="119" spans="1:22" ht="15" x14ac:dyDescent="0.25">
      <c r="A119" s="64"/>
      <c r="B119" s="64"/>
      <c r="C119" s="64"/>
      <c r="D119" s="64"/>
      <c r="E119" s="64"/>
      <c r="F119" s="64"/>
      <c r="G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pans="1:22" ht="15" x14ac:dyDescent="0.25">
      <c r="A120" s="64"/>
      <c r="B120" s="64"/>
      <c r="C120" s="64"/>
      <c r="D120" s="64"/>
      <c r="E120" s="64"/>
      <c r="F120" s="64"/>
      <c r="G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pans="1:22" ht="15" x14ac:dyDescent="0.25">
      <c r="A121" s="64"/>
      <c r="B121" s="64"/>
      <c r="C121" s="64"/>
      <c r="D121" s="64"/>
      <c r="E121" s="64"/>
      <c r="F121" s="64"/>
      <c r="G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pans="1:22" ht="15" x14ac:dyDescent="0.25">
      <c r="A122" s="64"/>
      <c r="B122" s="64"/>
      <c r="C122" s="64"/>
      <c r="D122" s="64"/>
      <c r="E122" s="64"/>
      <c r="F122" s="64"/>
      <c r="G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</row>
    <row r="123" spans="1:22" ht="15" x14ac:dyDescent="0.25">
      <c r="A123" s="64"/>
      <c r="B123" s="64"/>
      <c r="C123" s="64"/>
      <c r="D123" s="64"/>
      <c r="E123" s="64"/>
      <c r="F123" s="64"/>
      <c r="G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</row>
    <row r="124" spans="1:22" ht="15" x14ac:dyDescent="0.25">
      <c r="A124" s="64"/>
      <c r="B124" s="64"/>
      <c r="C124" s="64"/>
      <c r="D124" s="64"/>
      <c r="E124" s="64"/>
      <c r="F124" s="64"/>
      <c r="G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</row>
    <row r="125" spans="1:22" ht="15" x14ac:dyDescent="0.25">
      <c r="A125" s="64"/>
      <c r="B125" s="64"/>
      <c r="C125" s="64"/>
      <c r="D125" s="64"/>
      <c r="E125" s="64"/>
      <c r="F125" s="64"/>
      <c r="G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spans="1:22" ht="15" x14ac:dyDescent="0.25">
      <c r="A126" s="64"/>
      <c r="B126" s="64"/>
      <c r="C126" s="64"/>
      <c r="D126" s="64"/>
      <c r="E126" s="64"/>
      <c r="F126" s="64"/>
      <c r="G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</row>
    <row r="127" spans="1:22" ht="15" x14ac:dyDescent="0.25">
      <c r="A127" s="64"/>
      <c r="B127" s="64"/>
      <c r="C127" s="64"/>
      <c r="D127" s="64"/>
      <c r="E127" s="64"/>
      <c r="F127" s="64"/>
      <c r="G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</row>
    <row r="128" spans="1:22" ht="15" x14ac:dyDescent="0.25">
      <c r="A128" s="64"/>
      <c r="B128" s="64"/>
      <c r="C128" s="64"/>
      <c r="D128" s="64"/>
      <c r="E128" s="64"/>
      <c r="F128" s="64"/>
      <c r="G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ht="15" x14ac:dyDescent="0.25">
      <c r="A129" s="64"/>
      <c r="B129" s="64"/>
      <c r="C129" s="64"/>
      <c r="D129" s="64"/>
      <c r="E129" s="64"/>
      <c r="F129" s="64"/>
      <c r="G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ht="15" x14ac:dyDescent="0.25">
      <c r="A130" s="64"/>
      <c r="B130" s="64"/>
      <c r="C130" s="64"/>
      <c r="D130" s="64"/>
      <c r="E130" s="64"/>
      <c r="F130" s="64"/>
      <c r="G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ht="15" x14ac:dyDescent="0.25">
      <c r="A131" s="64"/>
      <c r="B131" s="64"/>
      <c r="C131" s="64"/>
      <c r="D131" s="64"/>
      <c r="E131" s="64"/>
      <c r="F131" s="64"/>
      <c r="G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</row>
    <row r="132" spans="1:22" ht="15" x14ac:dyDescent="0.25">
      <c r="A132" s="64"/>
      <c r="B132" s="64"/>
      <c r="C132" s="64"/>
      <c r="D132" s="64"/>
      <c r="E132" s="64"/>
      <c r="F132" s="64"/>
      <c r="G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</row>
    <row r="133" spans="1:22" ht="15" x14ac:dyDescent="0.25">
      <c r="F133" s="64"/>
      <c r="G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</row>
    <row r="134" spans="1:22" ht="15" x14ac:dyDescent="0.25">
      <c r="A134" s="64"/>
      <c r="B134" s="64"/>
      <c r="C134" s="64"/>
      <c r="D134" s="64"/>
      <c r="E134" s="64"/>
      <c r="F134" s="64"/>
      <c r="G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</row>
    <row r="135" spans="1:22" ht="15" x14ac:dyDescent="0.25">
      <c r="A135" s="64"/>
      <c r="B135" s="64"/>
      <c r="C135" s="64"/>
      <c r="D135" s="64"/>
      <c r="E135" s="64"/>
      <c r="F135" s="64"/>
      <c r="G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  <row r="136" spans="1:22" ht="15" x14ac:dyDescent="0.25">
      <c r="A136" s="64"/>
      <c r="B136" s="64"/>
      <c r="C136" s="64"/>
      <c r="D136" s="64"/>
      <c r="E136" s="64"/>
      <c r="F136" s="64"/>
      <c r="G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</row>
    <row r="137" spans="1:22" ht="15" x14ac:dyDescent="0.25">
      <c r="A137" s="64"/>
      <c r="B137" s="64"/>
      <c r="C137" s="64"/>
      <c r="D137" s="64"/>
      <c r="E137" s="64"/>
      <c r="F137" s="64"/>
      <c r="G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ht="15" x14ac:dyDescent="0.25">
      <c r="A138" s="64"/>
      <c r="B138" s="64"/>
      <c r="C138" s="64"/>
      <c r="D138" s="64"/>
      <c r="E138" s="64"/>
      <c r="F138" s="64"/>
      <c r="G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ht="15" x14ac:dyDescent="0.25">
      <c r="A139" s="64"/>
      <c r="B139" s="64"/>
      <c r="C139" s="64"/>
      <c r="D139" s="64"/>
      <c r="E139" s="64"/>
      <c r="F139" s="64"/>
      <c r="G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ht="15" x14ac:dyDescent="0.25">
      <c r="A140" s="64"/>
      <c r="B140" s="64"/>
      <c r="C140" s="64"/>
      <c r="D140" s="64"/>
      <c r="E140" s="64"/>
      <c r="F140" s="64"/>
      <c r="G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</row>
    <row r="141" spans="1:22" ht="15" x14ac:dyDescent="0.25">
      <c r="A141" s="64"/>
      <c r="B141" s="64"/>
      <c r="C141" s="64"/>
      <c r="D141" s="64"/>
      <c r="E141" s="64"/>
      <c r="F141" s="64"/>
      <c r="G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</row>
    <row r="142" spans="1:22" ht="15" x14ac:dyDescent="0.25">
      <c r="A142" s="64"/>
      <c r="B142" s="64"/>
      <c r="C142" s="64"/>
      <c r="D142" s="64"/>
      <c r="E142" s="64"/>
      <c r="F142" s="64"/>
      <c r="G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</row>
    <row r="143" spans="1:22" ht="15" x14ac:dyDescent="0.25">
      <c r="A143" s="64"/>
      <c r="B143" s="64"/>
      <c r="C143" s="64"/>
      <c r="D143" s="64"/>
      <c r="E143" s="64"/>
      <c r="F143" s="64"/>
      <c r="G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</row>
    <row r="144" spans="1:22" ht="15" x14ac:dyDescent="0.25">
      <c r="A144" s="64"/>
      <c r="B144" s="64"/>
      <c r="C144" s="64"/>
      <c r="D144" s="64"/>
      <c r="E144" s="64"/>
      <c r="F144" s="64"/>
      <c r="G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</row>
    <row r="145" spans="1:22" ht="15" x14ac:dyDescent="0.25">
      <c r="A145" s="64"/>
      <c r="B145" s="64"/>
      <c r="C145" s="64"/>
      <c r="D145" s="64"/>
      <c r="E145" s="64"/>
      <c r="F145" s="64"/>
      <c r="G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</row>
    <row r="146" spans="1:22" ht="15" x14ac:dyDescent="0.25">
      <c r="A146" s="64"/>
      <c r="B146" s="64"/>
      <c r="C146" s="64"/>
      <c r="D146" s="64"/>
      <c r="E146" s="64"/>
      <c r="F146" s="64"/>
      <c r="G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</row>
    <row r="147" spans="1:22" ht="15" x14ac:dyDescent="0.25">
      <c r="A147" s="64"/>
      <c r="B147" s="64"/>
      <c r="C147" s="64"/>
      <c r="D147" s="64"/>
      <c r="E147" s="64"/>
      <c r="F147" s="64"/>
      <c r="G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</row>
    <row r="148" spans="1:22" ht="15" x14ac:dyDescent="0.25">
      <c r="A148" s="64"/>
      <c r="B148" s="64"/>
      <c r="C148" s="64"/>
      <c r="D148" s="64"/>
      <c r="E148" s="64"/>
      <c r="F148" s="64"/>
      <c r="G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</row>
    <row r="149" spans="1:22" ht="15" x14ac:dyDescent="0.25">
      <c r="A149" s="64"/>
      <c r="B149" s="64"/>
      <c r="C149" s="64"/>
      <c r="D149" s="64"/>
      <c r="E149" s="64"/>
      <c r="F149" s="64"/>
      <c r="G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</row>
    <row r="150" spans="1:22" ht="15" x14ac:dyDescent="0.25">
      <c r="A150" s="64"/>
      <c r="B150" s="64"/>
      <c r="C150" s="64"/>
      <c r="D150" s="64"/>
      <c r="E150" s="64"/>
      <c r="F150" s="64"/>
      <c r="G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</row>
    <row r="151" spans="1:22" ht="15" x14ac:dyDescent="0.25">
      <c r="A151" s="64"/>
      <c r="B151" s="64"/>
      <c r="C151" s="64"/>
      <c r="D151" s="64"/>
      <c r="E151" s="64"/>
      <c r="F151" s="64"/>
      <c r="G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</row>
    <row r="152" spans="1:22" ht="15" x14ac:dyDescent="0.25">
      <c r="A152" s="64"/>
      <c r="B152" s="64"/>
      <c r="C152" s="64"/>
      <c r="D152" s="64"/>
      <c r="E152" s="64"/>
      <c r="F152" s="64"/>
      <c r="G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</row>
    <row r="153" spans="1:22" ht="15" x14ac:dyDescent="0.25">
      <c r="A153" s="64"/>
      <c r="B153" s="64"/>
      <c r="C153" s="64"/>
      <c r="D153" s="64"/>
      <c r="E153" s="64"/>
      <c r="F153" s="64"/>
      <c r="G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</row>
    <row r="154" spans="1:22" ht="15" x14ac:dyDescent="0.25">
      <c r="A154" s="64"/>
      <c r="B154" s="64"/>
      <c r="C154" s="64"/>
      <c r="D154" s="64"/>
      <c r="E154" s="64"/>
      <c r="F154" s="64"/>
      <c r="G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</row>
    <row r="155" spans="1:22" ht="15" x14ac:dyDescent="0.25">
      <c r="A155" s="64"/>
      <c r="B155" s="64"/>
      <c r="C155" s="64"/>
      <c r="D155" s="64"/>
      <c r="E155" s="64"/>
      <c r="F155" s="64"/>
      <c r="G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</row>
    <row r="156" spans="1:22" ht="15" x14ac:dyDescent="0.25">
      <c r="A156" s="64"/>
      <c r="B156" s="64"/>
      <c r="C156" s="64"/>
      <c r="D156" s="64"/>
      <c r="E156" s="64"/>
      <c r="F156" s="64"/>
      <c r="G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</row>
    <row r="157" spans="1:22" ht="15" x14ac:dyDescent="0.25">
      <c r="A157" s="64"/>
      <c r="B157" s="64"/>
      <c r="C157" s="64"/>
      <c r="D157" s="64"/>
      <c r="E157" s="64"/>
      <c r="F157" s="64"/>
      <c r="G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</row>
    <row r="158" spans="1:22" ht="15" x14ac:dyDescent="0.25">
      <c r="A158" s="64"/>
      <c r="B158" s="64"/>
      <c r="C158" s="64"/>
      <c r="D158" s="64"/>
      <c r="E158" s="64"/>
      <c r="F158" s="64"/>
      <c r="G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</row>
    <row r="159" spans="1:22" ht="15" x14ac:dyDescent="0.25">
      <c r="A159" s="64"/>
      <c r="B159" s="64"/>
      <c r="C159" s="64"/>
      <c r="D159" s="64"/>
      <c r="E159" s="64"/>
      <c r="F159" s="64"/>
      <c r="G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</row>
    <row r="160" spans="1:22" ht="15" x14ac:dyDescent="0.25">
      <c r="A160" s="64"/>
      <c r="B160" s="64"/>
      <c r="C160" s="64"/>
      <c r="D160" s="64"/>
      <c r="E160" s="64"/>
      <c r="F160" s="64"/>
      <c r="G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</row>
    <row r="161" spans="1:22" ht="15" x14ac:dyDescent="0.25">
      <c r="A161" s="64"/>
      <c r="B161" s="64"/>
      <c r="C161" s="64"/>
      <c r="D161" s="64"/>
      <c r="E161" s="64"/>
      <c r="F161" s="64"/>
      <c r="G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</row>
    <row r="162" spans="1:22" ht="15" x14ac:dyDescent="0.25">
      <c r="A162" s="64"/>
      <c r="B162" s="64"/>
      <c r="C162" s="64"/>
      <c r="D162" s="64"/>
      <c r="E162" s="64"/>
      <c r="F162" s="64"/>
      <c r="G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</row>
    <row r="163" spans="1:22" ht="15" x14ac:dyDescent="0.25">
      <c r="A163" s="64"/>
      <c r="B163" s="64"/>
      <c r="C163" s="64"/>
      <c r="D163" s="64"/>
      <c r="E163" s="64"/>
      <c r="F163" s="64"/>
      <c r="G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</row>
    <row r="164" spans="1:22" ht="15" x14ac:dyDescent="0.25">
      <c r="A164" s="64"/>
      <c r="B164" s="64"/>
      <c r="C164" s="64"/>
      <c r="D164" s="64"/>
      <c r="E164" s="64"/>
      <c r="F164" s="64"/>
      <c r="G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</row>
    <row r="165" spans="1:22" ht="15" x14ac:dyDescent="0.25">
      <c r="A165" s="64"/>
      <c r="B165" s="64"/>
      <c r="C165" s="64"/>
      <c r="D165" s="64"/>
      <c r="E165" s="64"/>
      <c r="F165" s="64"/>
      <c r="G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</row>
    <row r="166" spans="1:22" ht="15" x14ac:dyDescent="0.25">
      <c r="A166" s="64"/>
      <c r="B166" s="64"/>
      <c r="C166" s="64"/>
      <c r="D166" s="64"/>
      <c r="E166" s="64"/>
      <c r="F166" s="64"/>
      <c r="G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</row>
    <row r="167" spans="1:22" ht="15" x14ac:dyDescent="0.25">
      <c r="A167" s="64"/>
      <c r="B167" s="64"/>
      <c r="C167" s="64"/>
      <c r="D167" s="64"/>
      <c r="E167" s="64"/>
      <c r="F167" s="64"/>
      <c r="G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</row>
    <row r="168" spans="1:22" ht="15" x14ac:dyDescent="0.25">
      <c r="A168" s="64"/>
      <c r="B168" s="64"/>
      <c r="C168" s="64"/>
      <c r="D168" s="64"/>
      <c r="E168" s="64"/>
      <c r="F168" s="64"/>
      <c r="G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</row>
    <row r="169" spans="1:22" ht="15" x14ac:dyDescent="0.25">
      <c r="A169" s="64"/>
      <c r="B169" s="64"/>
      <c r="C169" s="64"/>
      <c r="D169" s="64"/>
      <c r="E169" s="64"/>
      <c r="F169" s="64"/>
      <c r="G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</row>
    <row r="170" spans="1:22" ht="15" x14ac:dyDescent="0.25">
      <c r="A170" s="64"/>
      <c r="B170" s="64"/>
      <c r="C170" s="64"/>
      <c r="D170" s="64"/>
      <c r="E170" s="64"/>
      <c r="F170" s="64"/>
      <c r="G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</row>
    <row r="171" spans="1:22" ht="15" x14ac:dyDescent="0.25">
      <c r="A171" s="64"/>
      <c r="B171" s="64"/>
      <c r="C171" s="64"/>
      <c r="D171" s="64"/>
      <c r="E171" s="64"/>
      <c r="F171" s="64"/>
      <c r="G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</row>
    <row r="172" spans="1:22" ht="15" x14ac:dyDescent="0.25">
      <c r="A172" s="64"/>
      <c r="B172" s="64"/>
      <c r="C172" s="64"/>
      <c r="D172" s="64"/>
      <c r="E172" s="64"/>
      <c r="F172" s="64"/>
      <c r="G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</row>
    <row r="173" spans="1:22" ht="15" x14ac:dyDescent="0.25">
      <c r="A173" s="64"/>
      <c r="B173" s="64"/>
      <c r="C173" s="64"/>
      <c r="D173" s="64"/>
      <c r="E173" s="64"/>
      <c r="F173" s="64"/>
      <c r="G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</row>
    <row r="174" spans="1:22" ht="15" x14ac:dyDescent="0.25">
      <c r="A174" s="64"/>
      <c r="B174" s="64"/>
      <c r="C174" s="64"/>
      <c r="D174" s="64"/>
      <c r="E174" s="64"/>
      <c r="F174" s="64"/>
      <c r="G174" s="64"/>
    </row>
    <row r="175" spans="1:22" ht="15" x14ac:dyDescent="0.25">
      <c r="A175" s="64"/>
      <c r="B175" s="64"/>
      <c r="C175" s="64"/>
      <c r="D175" s="64"/>
      <c r="E175" s="64"/>
      <c r="F175" s="64"/>
      <c r="G175" s="64"/>
    </row>
    <row r="176" spans="1:22" ht="15" x14ac:dyDescent="0.25">
      <c r="A176" s="64"/>
      <c r="B176" s="64"/>
      <c r="C176" s="64"/>
      <c r="D176" s="64"/>
      <c r="E176" s="64"/>
      <c r="F176" s="64"/>
      <c r="G176" s="64"/>
    </row>
    <row r="177" spans="1:7" ht="15" x14ac:dyDescent="0.25">
      <c r="A177" s="64"/>
      <c r="B177" s="64"/>
      <c r="C177" s="64"/>
      <c r="D177" s="64"/>
      <c r="E177" s="64"/>
      <c r="F177" s="64"/>
      <c r="G177" s="64"/>
    </row>
    <row r="178" spans="1:7" ht="15" x14ac:dyDescent="0.25">
      <c r="A178" s="64"/>
      <c r="B178" s="64"/>
      <c r="C178" s="64"/>
      <c r="D178" s="64"/>
      <c r="E178" s="64"/>
      <c r="F178" s="64"/>
      <c r="G178" s="64"/>
    </row>
    <row r="179" spans="1:7" ht="15" x14ac:dyDescent="0.25">
      <c r="A179" s="64"/>
      <c r="B179" s="64"/>
      <c r="C179" s="64"/>
      <c r="D179" s="64"/>
      <c r="E179" s="64"/>
      <c r="F179" s="64"/>
      <c r="G179" s="64"/>
    </row>
    <row r="180" spans="1:7" ht="15" x14ac:dyDescent="0.25">
      <c r="A180" s="64"/>
      <c r="B180" s="64"/>
      <c r="C180" s="64"/>
      <c r="D180" s="64"/>
      <c r="E180" s="64"/>
      <c r="F180" s="64"/>
      <c r="G180" s="64"/>
    </row>
    <row r="181" spans="1:7" ht="15" x14ac:dyDescent="0.25">
      <c r="A181" s="64"/>
      <c r="B181" s="64"/>
      <c r="C181" s="64"/>
      <c r="D181" s="64"/>
      <c r="E181" s="64"/>
      <c r="F181" s="64"/>
      <c r="G181" s="64"/>
    </row>
    <row r="182" spans="1:7" ht="15" x14ac:dyDescent="0.25">
      <c r="A182" s="64"/>
      <c r="B182" s="64"/>
      <c r="C182" s="64"/>
      <c r="D182" s="64"/>
      <c r="E182" s="64"/>
      <c r="F182" s="64"/>
      <c r="G182" s="64"/>
    </row>
    <row r="183" spans="1:7" ht="15" x14ac:dyDescent="0.25">
      <c r="A183" s="64"/>
      <c r="B183" s="64"/>
      <c r="C183" s="64"/>
      <c r="D183" s="64"/>
      <c r="E183" s="64"/>
      <c r="F183" s="64"/>
      <c r="G183" s="64"/>
    </row>
    <row r="184" spans="1:7" ht="15" x14ac:dyDescent="0.25">
      <c r="A184" s="64"/>
      <c r="B184" s="64"/>
      <c r="C184" s="64"/>
      <c r="D184" s="64"/>
      <c r="E184" s="64"/>
      <c r="F184" s="64"/>
      <c r="G184" s="64"/>
    </row>
    <row r="185" spans="1:7" ht="15" x14ac:dyDescent="0.25">
      <c r="A185" s="64"/>
      <c r="B185" s="64"/>
      <c r="C185" s="64"/>
      <c r="D185" s="64"/>
      <c r="E185" s="64"/>
      <c r="F185" s="64"/>
      <c r="G185" s="64"/>
    </row>
    <row r="186" spans="1:7" ht="15" x14ac:dyDescent="0.25">
      <c r="A186" s="64"/>
      <c r="B186" s="64"/>
      <c r="C186" s="64"/>
      <c r="D186" s="64"/>
      <c r="E186" s="64"/>
      <c r="F186" s="64"/>
      <c r="G186" s="64"/>
    </row>
    <row r="187" spans="1:7" ht="15" x14ac:dyDescent="0.25">
      <c r="A187" s="64"/>
      <c r="B187" s="64"/>
      <c r="C187" s="64"/>
      <c r="D187" s="64"/>
      <c r="E187" s="64"/>
      <c r="F187" s="64"/>
      <c r="G187" s="64"/>
    </row>
    <row r="188" spans="1:7" ht="15" x14ac:dyDescent="0.25">
      <c r="A188" s="64"/>
      <c r="B188" s="64"/>
      <c r="C188" s="64"/>
      <c r="D188" s="64"/>
      <c r="E188" s="64"/>
      <c r="F188" s="64"/>
      <c r="G188" s="64"/>
    </row>
    <row r="189" spans="1:7" ht="15" x14ac:dyDescent="0.25">
      <c r="A189" s="64"/>
      <c r="B189" s="64"/>
      <c r="C189" s="64"/>
      <c r="D189" s="64"/>
      <c r="E189" s="64"/>
      <c r="F189" s="64"/>
      <c r="G189" s="64"/>
    </row>
    <row r="190" spans="1:7" ht="15" x14ac:dyDescent="0.25">
      <c r="A190" s="64"/>
      <c r="B190" s="64"/>
      <c r="C190" s="64"/>
      <c r="D190" s="64"/>
      <c r="E190" s="64"/>
      <c r="F190" s="64"/>
      <c r="G190" s="64"/>
    </row>
    <row r="191" spans="1:7" ht="15" x14ac:dyDescent="0.25">
      <c r="A191" s="64"/>
      <c r="B191" s="64"/>
      <c r="C191" s="64"/>
      <c r="D191" s="64"/>
      <c r="E191" s="64"/>
      <c r="F191" s="64"/>
      <c r="G191" s="64"/>
    </row>
    <row r="192" spans="1:7" ht="15" x14ac:dyDescent="0.25">
      <c r="A192" s="64"/>
      <c r="B192" s="64"/>
      <c r="C192" s="64"/>
      <c r="D192" s="64"/>
      <c r="E192" s="64"/>
      <c r="F192" s="64"/>
      <c r="G192" s="64"/>
    </row>
    <row r="193" spans="1:7" ht="15" x14ac:dyDescent="0.25">
      <c r="A193" s="64"/>
      <c r="B193" s="64"/>
      <c r="C193" s="64"/>
      <c r="D193" s="64"/>
      <c r="E193" s="64"/>
      <c r="F193" s="64"/>
      <c r="G193" s="64"/>
    </row>
    <row r="194" spans="1:7" ht="15" x14ac:dyDescent="0.25">
      <c r="A194" s="64"/>
      <c r="B194" s="64"/>
      <c r="C194" s="64"/>
      <c r="D194" s="64"/>
      <c r="E194" s="64"/>
      <c r="F194" s="64"/>
      <c r="G194" s="64"/>
    </row>
    <row r="195" spans="1:7" ht="15" x14ac:dyDescent="0.25">
      <c r="A195" s="64"/>
      <c r="B195" s="64"/>
      <c r="C195" s="64"/>
      <c r="D195" s="64"/>
      <c r="E195" s="64"/>
      <c r="F195" s="64"/>
      <c r="G195" s="64"/>
    </row>
    <row r="196" spans="1:7" ht="15" x14ac:dyDescent="0.25">
      <c r="A196" s="64"/>
      <c r="B196" s="64"/>
      <c r="C196" s="64"/>
      <c r="D196" s="64"/>
      <c r="E196" s="64"/>
      <c r="F196" s="64"/>
      <c r="G196" s="64"/>
    </row>
    <row r="197" spans="1:7" ht="15" x14ac:dyDescent="0.25">
      <c r="A197" s="64"/>
      <c r="B197" s="64"/>
      <c r="C197" s="64"/>
      <c r="D197" s="64"/>
      <c r="E197" s="64"/>
      <c r="F197" s="64"/>
      <c r="G197" s="64"/>
    </row>
    <row r="198" spans="1:7" ht="15" x14ac:dyDescent="0.25">
      <c r="A198" s="64"/>
      <c r="B198" s="64"/>
      <c r="C198" s="64"/>
      <c r="D198" s="64"/>
      <c r="E198" s="64"/>
      <c r="F198" s="64"/>
      <c r="G198" s="64"/>
    </row>
    <row r="199" spans="1:7" ht="15" x14ac:dyDescent="0.25">
      <c r="A199" s="64"/>
      <c r="B199" s="64"/>
      <c r="C199" s="64"/>
      <c r="D199" s="64"/>
      <c r="E199" s="64"/>
      <c r="F199" s="64"/>
      <c r="G199" s="64"/>
    </row>
    <row r="200" spans="1:7" ht="15" x14ac:dyDescent="0.25">
      <c r="A200" s="64"/>
      <c r="B200" s="64"/>
      <c r="C200" s="64"/>
      <c r="D200" s="64"/>
      <c r="E200" s="64"/>
      <c r="F200" s="64"/>
      <c r="G200" s="64"/>
    </row>
    <row r="201" spans="1:7" ht="15" x14ac:dyDescent="0.25">
      <c r="A201" s="64"/>
      <c r="B201" s="64"/>
      <c r="C201" s="64"/>
      <c r="D201" s="64"/>
      <c r="E201" s="64"/>
      <c r="F201" s="64"/>
      <c r="G201" s="64"/>
    </row>
  </sheetData>
  <pageMargins left="0.2" right="0.2" top="0.75" bottom="0.75" header="0.3" footer="0.3"/>
  <pageSetup scale="33" orientation="portrait" horizontalDpi="4294967293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8" sqref="J18"/>
    </sheetView>
  </sheetViews>
  <sheetFormatPr defaultRowHeight="15" x14ac:dyDescent="0.25"/>
  <cols>
    <col min="2" max="2" width="41.7109375" bestFit="1" customWidth="1"/>
    <col min="6" max="6" width="6" customWidth="1"/>
    <col min="7" max="7" width="60.85546875" bestFit="1" customWidth="1"/>
    <col min="8" max="8" width="3.140625" customWidth="1"/>
  </cols>
  <sheetData>
    <row r="1" spans="1:11" ht="18.75" x14ac:dyDescent="0.3">
      <c r="A1" s="65" t="s">
        <v>68</v>
      </c>
      <c r="B1" s="40"/>
      <c r="C1" s="40"/>
      <c r="D1" s="41" t="s">
        <v>55</v>
      </c>
      <c r="E1" s="42"/>
      <c r="F1" s="40"/>
      <c r="G1" s="40"/>
      <c r="H1" s="41" t="s">
        <v>56</v>
      </c>
      <c r="I1" s="43"/>
      <c r="J1" s="42"/>
    </row>
    <row r="2" spans="1:11" x14ac:dyDescent="0.25">
      <c r="A2" s="44" t="s">
        <v>57</v>
      </c>
      <c r="B2" s="44"/>
      <c r="C2" s="44"/>
      <c r="D2" s="44"/>
      <c r="E2" s="44"/>
      <c r="F2" s="44"/>
      <c r="G2" s="44" t="s">
        <v>57</v>
      </c>
      <c r="H2" s="45"/>
      <c r="I2" s="45"/>
      <c r="J2" s="45"/>
    </row>
    <row r="3" spans="1:11" x14ac:dyDescent="0.25">
      <c r="A3" s="44" t="s">
        <v>58</v>
      </c>
      <c r="B3" s="44"/>
      <c r="C3" s="44"/>
      <c r="D3" s="44"/>
      <c r="E3" s="44"/>
      <c r="F3" s="44"/>
      <c r="G3" s="44" t="s">
        <v>58</v>
      </c>
      <c r="H3" s="45"/>
      <c r="I3" s="45"/>
      <c r="J3" s="45"/>
    </row>
    <row r="4" spans="1:11" x14ac:dyDescent="0.25">
      <c r="A4" s="44" t="s">
        <v>66</v>
      </c>
      <c r="B4" s="44"/>
      <c r="C4" s="44"/>
      <c r="D4" s="44"/>
      <c r="E4" s="44"/>
      <c r="F4" s="44"/>
      <c r="G4" s="44" t="s">
        <v>66</v>
      </c>
      <c r="H4" s="45"/>
      <c r="I4" s="45"/>
      <c r="J4" s="45"/>
    </row>
    <row r="5" spans="1:11" x14ac:dyDescent="0.25">
      <c r="A5" s="44" t="s">
        <v>65</v>
      </c>
      <c r="B5" s="44"/>
      <c r="C5" s="44"/>
      <c r="D5" s="44"/>
      <c r="E5" s="44"/>
      <c r="F5" s="44"/>
      <c r="G5" s="44" t="s">
        <v>65</v>
      </c>
      <c r="H5" s="45"/>
      <c r="I5" s="45"/>
      <c r="J5" s="45"/>
    </row>
    <row r="6" spans="1:11" x14ac:dyDescent="0.25">
      <c r="A6" s="44" t="s">
        <v>59</v>
      </c>
      <c r="B6" s="44"/>
      <c r="C6" s="44"/>
      <c r="D6" s="44"/>
      <c r="E6" s="44"/>
      <c r="F6" s="44"/>
      <c r="G6" s="44" t="s">
        <v>21</v>
      </c>
      <c r="H6" s="44"/>
      <c r="I6" s="44"/>
      <c r="J6" s="44"/>
    </row>
    <row r="7" spans="1:11" x14ac:dyDescent="0.25">
      <c r="A7" s="40"/>
      <c r="B7" s="45"/>
      <c r="C7" s="45"/>
      <c r="D7" s="45"/>
      <c r="E7" s="45"/>
      <c r="F7" s="45"/>
      <c r="G7" s="45"/>
      <c r="H7" s="45"/>
      <c r="I7" s="45"/>
      <c r="J7" s="45"/>
    </row>
    <row r="8" spans="1:11" x14ac:dyDescent="0.25">
      <c r="A8" s="40"/>
      <c r="B8" s="40"/>
      <c r="C8" s="40"/>
      <c r="D8" s="40"/>
      <c r="E8" s="40"/>
      <c r="F8" s="45"/>
      <c r="G8" s="45"/>
      <c r="H8" s="45"/>
      <c r="I8" s="45"/>
      <c r="J8" s="40"/>
    </row>
    <row r="9" spans="1:11" x14ac:dyDescent="0.25">
      <c r="A9" s="46" t="s">
        <v>22</v>
      </c>
      <c r="B9" s="46"/>
      <c r="C9" s="47" t="s">
        <v>47</v>
      </c>
      <c r="D9" s="40"/>
      <c r="E9" s="47" t="s">
        <v>60</v>
      </c>
      <c r="F9" s="46" t="s">
        <v>22</v>
      </c>
      <c r="G9" s="46"/>
      <c r="H9" s="46"/>
      <c r="I9" s="40"/>
      <c r="J9" s="40"/>
    </row>
    <row r="10" spans="1:11" x14ac:dyDescent="0.25">
      <c r="A10" s="48" t="s">
        <v>23</v>
      </c>
      <c r="B10" s="48" t="s">
        <v>24</v>
      </c>
      <c r="C10" s="49" t="s">
        <v>61</v>
      </c>
      <c r="D10" s="49" t="s">
        <v>46</v>
      </c>
      <c r="E10" s="49" t="s">
        <v>46</v>
      </c>
      <c r="F10" s="48" t="s">
        <v>23</v>
      </c>
      <c r="G10" s="48" t="s">
        <v>24</v>
      </c>
      <c r="H10" s="48"/>
      <c r="I10" s="50"/>
      <c r="J10" s="50"/>
    </row>
    <row r="11" spans="1:1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1" x14ac:dyDescent="0.25">
      <c r="A12" s="51">
        <v>1</v>
      </c>
      <c r="B12" s="52" t="s">
        <v>62</v>
      </c>
      <c r="C12" s="53">
        <v>0.51500000000000001</v>
      </c>
      <c r="D12" s="53">
        <v>5.4951456310679617E-2</v>
      </c>
      <c r="E12" s="53">
        <f>ROUND(C12*D12,4)</f>
        <v>2.8299999999999999E-2</v>
      </c>
      <c r="F12" s="51">
        <v>1</v>
      </c>
      <c r="G12" s="54" t="s">
        <v>25</v>
      </c>
      <c r="H12" s="52"/>
      <c r="I12" s="52"/>
      <c r="J12" s="55">
        <v>8.4790000000000004E-3</v>
      </c>
      <c r="K12" s="92" t="s">
        <v>76</v>
      </c>
    </row>
    <row r="13" spans="1:11" x14ac:dyDescent="0.25">
      <c r="A13" s="51">
        <f t="shared" ref="A13:A18" si="0">A12+1</f>
        <v>2</v>
      </c>
      <c r="B13" s="52" t="s">
        <v>48</v>
      </c>
      <c r="C13" s="53">
        <v>0.48499999999999999</v>
      </c>
      <c r="D13" s="53">
        <v>9.4E-2</v>
      </c>
      <c r="E13" s="53">
        <f>ROUND(C13*D13,4)</f>
        <v>4.5600000000000002E-2</v>
      </c>
      <c r="F13" s="51">
        <f t="shared" ref="F13:F20" si="1">F12+1</f>
        <v>2</v>
      </c>
      <c r="G13" s="54" t="s">
        <v>26</v>
      </c>
      <c r="H13" s="52"/>
      <c r="I13" s="52"/>
      <c r="J13" s="91">
        <v>4.0000000000000001E-3</v>
      </c>
      <c r="K13" s="92" t="s">
        <v>71</v>
      </c>
    </row>
    <row r="14" spans="1:11" x14ac:dyDescent="0.25">
      <c r="A14" s="51">
        <f t="shared" si="0"/>
        <v>3</v>
      </c>
      <c r="B14" s="52" t="s">
        <v>63</v>
      </c>
      <c r="C14" s="56">
        <f>SUM(C12:C13)</f>
        <v>1</v>
      </c>
      <c r="D14" s="57"/>
      <c r="E14" s="58">
        <f>SUM(E12:E13)</f>
        <v>7.3899999999999993E-2</v>
      </c>
      <c r="F14" s="51">
        <f t="shared" si="1"/>
        <v>3</v>
      </c>
      <c r="G14" s="54" t="str">
        <f>"STATE UTILITY TAX ( "&amp;J14*100&amp;"% - ( LINE 1 * "&amp;J14*100&amp;"% )  )"</f>
        <v>STATE UTILITY TAX ( 3.8406% - ( LINE 1 * 3.8406% )  )</v>
      </c>
      <c r="H14" s="40"/>
      <c r="I14" s="59">
        <v>3.8733999999999998E-2</v>
      </c>
      <c r="J14" s="60">
        <f>ROUND(I14-(I14*J12),6)</f>
        <v>3.8406000000000003E-2</v>
      </c>
    </row>
    <row r="15" spans="1:11" x14ac:dyDescent="0.25">
      <c r="A15" s="51">
        <f t="shared" si="0"/>
        <v>4</v>
      </c>
      <c r="B15" s="52"/>
      <c r="C15" s="40"/>
      <c r="D15" s="40"/>
      <c r="E15" s="40"/>
      <c r="F15" s="51">
        <f t="shared" si="1"/>
        <v>4</v>
      </c>
      <c r="G15" s="54"/>
      <c r="H15" s="52"/>
      <c r="I15" s="52"/>
      <c r="J15" s="61"/>
    </row>
    <row r="16" spans="1:11" x14ac:dyDescent="0.25">
      <c r="A16" s="51">
        <f t="shared" si="0"/>
        <v>5</v>
      </c>
      <c r="B16" s="52" t="s">
        <v>64</v>
      </c>
      <c r="C16" s="53">
        <f>+C12</f>
        <v>0.51500000000000001</v>
      </c>
      <c r="D16" s="53">
        <f>D12*0.79</f>
        <v>4.3411650485436902E-2</v>
      </c>
      <c r="E16" s="53">
        <f>ROUND(E12*0.79,4)</f>
        <v>2.24E-2</v>
      </c>
      <c r="F16" s="51">
        <f t="shared" si="1"/>
        <v>5</v>
      </c>
      <c r="G16" s="54" t="s">
        <v>27</v>
      </c>
      <c r="H16" s="52"/>
      <c r="I16" s="52"/>
      <c r="J16" s="55">
        <f>ROUND(SUM(J12:J14),6)</f>
        <v>5.0885E-2</v>
      </c>
    </row>
    <row r="17" spans="1:10" x14ac:dyDescent="0.25">
      <c r="A17" s="51">
        <f t="shared" si="0"/>
        <v>6</v>
      </c>
      <c r="B17" s="52" t="s">
        <v>48</v>
      </c>
      <c r="C17" s="53">
        <f>+C13</f>
        <v>0.48499999999999999</v>
      </c>
      <c r="D17" s="53">
        <f>+D13</f>
        <v>9.4E-2</v>
      </c>
      <c r="E17" s="53">
        <f>ROUND(C17*D17,4)</f>
        <v>4.5600000000000002E-2</v>
      </c>
      <c r="F17" s="51">
        <f t="shared" si="1"/>
        <v>6</v>
      </c>
      <c r="G17" s="52"/>
      <c r="H17" s="52"/>
      <c r="I17" s="52"/>
      <c r="J17" s="55"/>
    </row>
    <row r="18" spans="1:10" x14ac:dyDescent="0.25">
      <c r="A18" s="51">
        <f t="shared" si="0"/>
        <v>7</v>
      </c>
      <c r="B18" s="52" t="s">
        <v>49</v>
      </c>
      <c r="C18" s="56">
        <f>SUM(C16:C17)</f>
        <v>1</v>
      </c>
      <c r="D18" s="57"/>
      <c r="E18" s="67">
        <f>SUM(E16:E17)</f>
        <v>6.8000000000000005E-2</v>
      </c>
      <c r="F18" s="51">
        <f t="shared" si="1"/>
        <v>7</v>
      </c>
      <c r="G18" s="52" t="str">
        <f>"CONVERSION FACTOR EXCLUDING FEDERAL INCOME TAX ( 1 - LINE "&amp;$I$17&amp;" )"</f>
        <v>CONVERSION FACTOR EXCLUDING FEDERAL INCOME TAX ( 1 - LINE  )</v>
      </c>
      <c r="H18" s="52"/>
      <c r="I18" s="52"/>
      <c r="J18" s="55">
        <f>ROUND(1-J16,6)</f>
        <v>0.94911500000000004</v>
      </c>
    </row>
    <row r="19" spans="1:10" x14ac:dyDescent="0.25">
      <c r="A19" s="51"/>
      <c r="B19" s="40"/>
      <c r="C19" s="40"/>
      <c r="D19" s="40"/>
      <c r="E19" s="40"/>
      <c r="F19" s="51">
        <f t="shared" si="1"/>
        <v>8</v>
      </c>
      <c r="G19" s="54" t="s">
        <v>67</v>
      </c>
      <c r="H19" s="52"/>
      <c r="I19" s="62">
        <v>0.21</v>
      </c>
      <c r="J19" s="55">
        <f>ROUND((J18)*I19,6)</f>
        <v>0.19931399999999999</v>
      </c>
    </row>
    <row r="20" spans="1:10" ht="15.75" thickBot="1" x14ac:dyDescent="0.3">
      <c r="A20" s="51"/>
      <c r="B20" s="40"/>
      <c r="C20" s="40"/>
      <c r="D20" s="40"/>
      <c r="E20" s="40"/>
      <c r="F20" s="51">
        <f t="shared" si="1"/>
        <v>9</v>
      </c>
      <c r="G20" s="54" t="str">
        <f>"CONVERSION FACTOR INCL FEDERAL INCOME TAX ( LINE "&amp;F18&amp;" - LINE "&amp;F19&amp;" ) "</f>
        <v xml:space="preserve">CONVERSION FACTOR INCL FEDERAL INCOME TAX ( LINE 7 - LINE 8 ) </v>
      </c>
      <c r="H20" s="52"/>
      <c r="I20" s="52"/>
      <c r="J20" s="66">
        <f>ROUND(1-J19-J16,6)</f>
        <v>0.74980100000000005</v>
      </c>
    </row>
    <row r="21" spans="1:10" ht="15.75" thickTop="1" x14ac:dyDescent="0.25">
      <c r="A21" s="51"/>
      <c r="B21" s="63"/>
      <c r="C21" s="64"/>
      <c r="D21" s="40"/>
      <c r="E21" s="40"/>
      <c r="F21" s="51"/>
      <c r="G21" s="40"/>
      <c r="H21" s="52"/>
      <c r="I21" s="52"/>
      <c r="J21" s="5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356605A481B4F96FB356840D8C30B" ma:contentTypeVersion="24" ma:contentTypeDescription="" ma:contentTypeScope="" ma:versionID="c97a8b5e8b7f3e5a1c6d1b7c1c0aef3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2023-11-30T08:00:00+00:00</OpenedDate>
    <SignificantOrder xmlns="dc463f71-b30c-4ab2-9473-d307f9d35888">false</SignificantOrder>
    <Date1 xmlns="dc463f71-b30c-4ab2-9473-d307f9d35888">2023-11-30T08:00:00+00:00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230984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E21D90-95DE-42C5-BB10-AB5ECFD29139}"/>
</file>

<file path=customXml/itemProps2.xml><?xml version="1.0" encoding="utf-8"?>
<ds:datastoreItem xmlns:ds="http://schemas.openxmlformats.org/officeDocument/2006/customXml" ds:itemID="{D7A9D1CF-552F-4DD1-B21D-9E6FA7F67816}"/>
</file>

<file path=customXml/itemProps3.xml><?xml version="1.0" encoding="utf-8"?>
<ds:datastoreItem xmlns:ds="http://schemas.openxmlformats.org/officeDocument/2006/customXml" ds:itemID="{F688B382-249F-4D0E-958F-B4887FFD4F10}"/>
</file>

<file path=customXml/itemProps4.xml><?xml version="1.0" encoding="utf-8"?>
<ds:datastoreItem xmlns:ds="http://schemas.openxmlformats.org/officeDocument/2006/customXml" ds:itemID="{D686D9DF-7581-442C-8115-6F500E6E8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Revenue Requirement</vt:lpstr>
      <vt:lpstr>Tracking Accounts</vt:lpstr>
      <vt:lpstr>Intrst Rev &amp; Tfr Bal Jan 23</vt:lpstr>
      <vt:lpstr>Def, COC, ConvF</vt:lpstr>
      <vt:lpstr>Conv F UE-190529 + filing fee</vt:lpstr>
      <vt:lpstr>'Revenue Requirement'!Print_Area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2018-11-09T22:24:05Z</cp:lastPrinted>
  <dcterms:created xsi:type="dcterms:W3CDTF">2017-11-21T20:51:05Z</dcterms:created>
  <dcterms:modified xsi:type="dcterms:W3CDTF">2023-11-07T22:46:44Z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0x0101006E56B4D1795A2E4DB2F0B01679ED314A00D21356605A481B4F96FB356840D8C30B</vt:lpwstr>
  </property>
  <property fmtid="{D5CDD505-2E9C-101B-9397-08002B2CF9AE}" pid="3" name="_docset_NoMedatataSyncRequired">
    <vt:lpwstr>False</vt:lpwstr>
  </property>
</Properties>
</file>