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externalLinks/externalLink9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 II\WUTC Filings\Other Rate Cases\2024 Disposal Increase\4172\"/>
    </mc:Choice>
  </mc:AlternateContent>
  <xr:revisionPtr revIDLastSave="0" documentId="13_ncr:1_{15696A50-4046-4A5A-9B1D-609B1E313CD4}" xr6:coauthVersionLast="47" xr6:coauthVersionMax="47" xr10:uidLastSave="{00000000-0000-0000-0000-000000000000}"/>
  <bookViews>
    <workbookView xWindow="-108" yWindow="-108" windowWidth="23256" windowHeight="12576" tabRatio="730" xr2:uid="{00000000-000D-0000-FFFF-FFFF00000000}"/>
  </bookViews>
  <sheets>
    <sheet name="Tariff Changes" sheetId="16" r:id="rId1"/>
    <sheet name="Price Out Rates" sheetId="7" r:id="rId2"/>
    <sheet name="References" sheetId="4" r:id="rId3"/>
    <sheet name="Disposal Summary (with IC)" sheetId="1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ACT1">[2]Hidden!#REF!</definedName>
    <definedName name="_ACT2">[2]Hidden!#REF!</definedName>
    <definedName name="_ACT3">[2]Hidden!#REF!</definedName>
    <definedName name="_BUN1">'[6]2008 West Group IS'!$AJ$5</definedName>
    <definedName name="_BUN3">'[6]2008 Group Office IS'!$AJ$5</definedName>
    <definedName name="_COS1" localSheetId="3">#REF!</definedName>
    <definedName name="_COS1">#REF!</definedName>
    <definedName name="_COS2" localSheetId="3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Key1" localSheetId="3" hidden="1">#REF!</definedName>
    <definedName name="_Key1" hidden="1">#REF!</definedName>
    <definedName name="_Key2" hidden="1">'[7]GL Codes'!$G$3:$G$3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Order1" hidden="1">255</definedName>
    <definedName name="_Order2" hidden="1">255</definedName>
    <definedName name="_Order3" hidden="1">0</definedName>
    <definedName name="_PER1">[6]WTB!$DC$8</definedName>
    <definedName name="_PER2">'[6]2008 West Group IS'!$AH$8</definedName>
    <definedName name="_PER3">'[6]2008 West Group IS'!$AI$5</definedName>
    <definedName name="_PER4">'[6]2008 Group Office IS'!$AH$8</definedName>
    <definedName name="_PER5">'[6]2008 Group Office IS'!$AI$5</definedName>
    <definedName name="_Regression_Int">0</definedName>
    <definedName name="_SFD1">'[6]2008 West Group IS'!$AK$5</definedName>
    <definedName name="_SFD3">'[6]2008 Group Office IS'!$AK$5</definedName>
    <definedName name="_SFV1">'[6]2008 West Group IS'!$AK$4</definedName>
    <definedName name="_SFV4">'[6]2008 Group Office IS'!$AK$4</definedName>
    <definedName name="_Sort" localSheetId="3" hidden="1">#REF!</definedName>
    <definedName name="_Sort" hidden="1">#REF!</definedName>
    <definedName name="_Sort1" hidden="1">'[4]#REF'!$A$10:$Z$281</definedName>
    <definedName name="_sort3" hidden="1">[5]XXXXXX!$G$10:$J$11</definedName>
    <definedName name="a">#REF!</definedName>
    <definedName name="aa">#REF!</definedName>
    <definedName name="aaa">#REF!</definedName>
    <definedName name="aaaaa">#REF!</definedName>
    <definedName name="aaaaa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Angie" localSheetId="3" hidden="1">#REF!</definedName>
    <definedName name="Angie" hidden="1">#REF!</definedName>
    <definedName name="AprSun1" localSheetId="3">DATEVALUE("4/1/"&amp;TheYear)-WEEKDAY(DATEVALUE("4/1/"&amp;TheYear))+1</definedName>
    <definedName name="AprSun1">DATEVALUE("4/1/"&amp;TheYear)-WEEKDAY(DATEVALUE("4/1/"&amp;TheYear))+1</definedName>
    <definedName name="AugSun1" localSheetId="3">DATEVALUE("8/1/"&amp;TheYear)-WEEKDAY(DATEVALUE("8/1/"&amp;TheYear))+1</definedName>
    <definedName name="AugSun1">DATEVALUE("8/1/"&amp;TheYear)-WEEKDAY(DATEVALUE("8/1/"&amp;TheYear))+1</definedName>
    <definedName name="autemplate" localSheetId="3">'[8]AU Mapping TEMPLATE'!$A$1:$B$335</definedName>
    <definedName name="autemplate">'[9]AU Mapping TEMPLATE'!$A$1:$B$335</definedName>
    <definedName name="averaging">#REF!</definedName>
    <definedName name="BREMAIR_COST_of_SERVICE_STUDY">#REF!</definedName>
    <definedName name="BUD_CUR">[2]Hidden!#REF!</definedName>
    <definedName name="BUD_YTD">[2]Hidden!#REF!</definedName>
    <definedName name="BUN">[6]WTB!$DD$5</definedName>
    <definedName name="Calc">[6]WTB!#REF!</definedName>
    <definedName name="Calc0">[6]WTB!#REF!</definedName>
    <definedName name="Calc1">[6]WTB!#REF!</definedName>
    <definedName name="Calc10">[6]WTB!#REF!</definedName>
    <definedName name="Calc11">[6]WTB!#REF!</definedName>
    <definedName name="Calc12">[6]WTB!#REF!</definedName>
    <definedName name="Calc13">[6]WTB!#REF!</definedName>
    <definedName name="Calc14">[6]WTB!#REF!</definedName>
    <definedName name="Calc15">[6]WTB!#REF!</definedName>
    <definedName name="Calc16">[6]WTB!#REF!</definedName>
    <definedName name="Calc17">[6]WTB!#REF!</definedName>
    <definedName name="Calc18">[6]WTB!#REF!</definedName>
    <definedName name="Calc2">[6]WTB!#REF!</definedName>
    <definedName name="Calc3">[6]WTB!#REF!</definedName>
    <definedName name="Calc4">[6]WTB!#REF!</definedName>
    <definedName name="Calc5">[6]WTB!#REF!</definedName>
    <definedName name="Calc6">[6]WTB!#REF!</definedName>
    <definedName name="Calc7">[6]WTB!#REF!</definedName>
    <definedName name="Calc8">[6]WTB!#REF!</definedName>
    <definedName name="Calc9">[6]WTB!#REF!</definedName>
    <definedName name="CanCartTons">[10]CanCartTonsAllocate!$E$3</definedName>
    <definedName name="CheckTotals">#REF!</definedName>
    <definedName name="coa" localSheetId="3">'[11]lawson extract'!$D$2:$E$2761</definedName>
    <definedName name="coa">'[12]lawson extract'!$D$2:$E$2761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ist" localSheetId="3">'[8]AW Co''s - Mapped only 10-23-08'!$A$2:$L$2107</definedName>
    <definedName name="colist">'[9]AW Co''s - Mapped only 10-23-08'!$A$2:$L$2107</definedName>
    <definedName name="color" localSheetId="3">#REF!</definedName>
    <definedName name="color">#REF!</definedName>
    <definedName name="colsegment">[1]Orientation!$F$6</definedName>
    <definedName name="CommlStaffPriceOut" localSheetId="3">'[14]Price Out-Reg EASTSIDE-Resi'!#REF!</definedName>
    <definedName name="CommlStaffPriceOut">'[14]Price Out-Reg EASTSIDE-Resi'!#REF!</definedName>
    <definedName name="CoMultiYd">'[13]Gross Yardage Worksheet'!$L$31</definedName>
    <definedName name="ContainerTons">[10]ContainerTonsAllocation!$E$2</definedName>
    <definedName name="COST_OF_SERVICE_STUDY">#REF!</definedName>
    <definedName name="CoXtraYds">#REF!</definedName>
    <definedName name="CR">#REF!</definedName>
    <definedName name="CRCTable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CY">'[6]Balance Sheet'!$AD$8</definedName>
    <definedName name="Cutomers">#REF!</definedName>
    <definedName name="Database1">#REF!</definedName>
    <definedName name="DateFrom">'[16]Finance Charges'!$I$12</definedName>
    <definedName name="DateTo">'[16]Finance Charges'!$I$13</definedName>
    <definedName name="DBxStaffPriceOut" localSheetId="3">'[14]Price Out-Reg EASTSIDE-Resi'!#REF!</definedName>
    <definedName name="DBxStaffPriceOut">'[14]Price Out-Reg EASTSIDE-Resi'!#REF!</definedName>
    <definedName name="debtP">#REF!</definedName>
    <definedName name="DecSun1" localSheetId="3">DATEVALUE("12/1/"&amp;TheYear)-WEEKDAY(DATEVALUE("12/1/"&amp;TheYear))+1</definedName>
    <definedName name="DecSun1">DATEVALUE("12/1/"&amp;TheYear)-WEEKDAY(DATEVALUE("12/1/"&amp;TheYear))+1</definedName>
    <definedName name="delete">'[17]Excluded divisions'!$C$2:$C$108</definedName>
    <definedName name="DEPT">[2]Hidden!#REF!</definedName>
    <definedName name="DetailBudYear">#REF!</definedName>
    <definedName name="DetailDistrict">#REF!</definedName>
    <definedName name="DistrictNum">#REF!</definedName>
    <definedName name="Division_Number" localSheetId="3">#REF!</definedName>
    <definedName name="Division_Number">#REF!</definedName>
    <definedName name="DivName">[18]Start!$G$2</definedName>
    <definedName name="DivNo" localSheetId="3">'[19]Cont Count Data'!#REF!</definedName>
    <definedName name="DivNo">'[20]Cont Count Data'!#REF!</definedName>
    <definedName name="drlFilter">[1]Settings!$D$27</definedName>
    <definedName name="End">#REF!</definedName>
    <definedName name="EntrieShownLimit">'[16]Finance Charges'!$D$6</definedName>
    <definedName name="EXT" localSheetId="3">#REF!</definedName>
    <definedName name="EXT">#REF!</definedName>
    <definedName name="FBTable">#REF!</definedName>
    <definedName name="FBTableOld">#REF!</definedName>
    <definedName name="fences">#REF!</definedName>
    <definedName name="FICA">'[21]Tax &amp; Ben'!$H$6</definedName>
    <definedName name="filter">[1]Settings!$B$14:$H$25</definedName>
    <definedName name="Financial">[6]WTB!#REF!</definedName>
    <definedName name="FirstColCriteria">[6]WTB!#REF!</definedName>
    <definedName name="FirstHeaderCriteria">[6]WTB!#REF!</definedName>
    <definedName name="flag">[6]WTB!#REF!</definedName>
    <definedName name="g">#REF!</definedName>
    <definedName name="gg">#REF!</definedName>
    <definedName name="ggg">#REF!</definedName>
    <definedName name="ggggg">#REF!</definedName>
    <definedName name="gggggg">#REF!</definedName>
    <definedName name="GLMappingStart">#REF!</definedName>
    <definedName name="GRETABLE">[22]Gresham!$E$12:$AI$261</definedName>
    <definedName name="Hazardous_Stops" localSheetId="3">#REF!</definedName>
    <definedName name="Hazardous_Stops">#REF!</definedName>
    <definedName name="helpp" localSheetId="3">#REF!,#REF!,#REF!,#REF!</definedName>
    <definedName name="helpp">#REF!,#REF!,#REF!,#REF!</definedName>
    <definedName name="IncomeStmnt">#REF!</definedName>
    <definedName name="infopro" localSheetId="3">#REF!,#REF!,#REF!,#REF!</definedName>
    <definedName name="infopro">#REF!,#REF!,#REF!,#REF!</definedName>
    <definedName name="INPUT" localSheetId="3">#REF!</definedName>
    <definedName name="INPUT">#REF!</definedName>
    <definedName name="INPUT1">#REF!</definedName>
    <definedName name="INPUTc" localSheetId="3">#REF!</definedName>
    <definedName name="INPUTc">#REF!</definedName>
    <definedName name="InsertColRange">[6]WTB!#REF!</definedName>
    <definedName name="Insurance">#REF!</definedName>
    <definedName name="inter2">'[23]LG Nonpublic 2018 V5.0'!$W$55</definedName>
    <definedName name="intercep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4C">'[24]5. BDI Gen Ledger Table'!$J$2:$J$4682</definedName>
    <definedName name="IS_Lines">'[24]6. V Lookup Tables'!$B$3:$D$401</definedName>
    <definedName name="JEDate">[18]Start!$B$3</definedName>
    <definedName name="JEDetail">#REF!</definedName>
    <definedName name="JEInitials">[18]Start!$B$7</definedName>
    <definedName name="JEType">#REF!</definedName>
    <definedName name="JulSun1" localSheetId="3">DATEVALUE("7/1/"&amp;TheYear)-WEEKDAY(DATEVALUE("7/1/"&amp;TheYear))+1</definedName>
    <definedName name="JulSun1">DATEVALUE("7/1/"&amp;TheYear)-WEEKDAY(DATEVALUE("7/1/"&amp;TheYear))+1</definedName>
    <definedName name="Juris1CanCount">[10]Cust_Count1!$C$60</definedName>
    <definedName name="Juris1CanTons">[10]Cust_Count1!$C$30</definedName>
    <definedName name="Juris1ComYd">'[10]Gross Yardage Worksheet'!$L$16</definedName>
    <definedName name="Juris1CustCnt">[10]Cust_Count2!$E$39</definedName>
    <definedName name="Juris1MultiYd">'[10]Gross Yardage Worksheet'!$X$16</definedName>
    <definedName name="Juris1SeasonalYds">'[10]Gross Yardage Worksheet'!$R$18</definedName>
    <definedName name="Juris1XtraYds">[10]Cust_Count2!$E$28</definedName>
    <definedName name="Juris2CanCount">[10]Cust_Count1!$D$60</definedName>
    <definedName name="Juris2CanTons">[10]Cust_Count1!$D$30</definedName>
    <definedName name="Juris2ComYd">'[10]Gross Yardage Worksheet'!$L$33</definedName>
    <definedName name="Juris2CustCnt">[10]Cust_Count2!$F$39</definedName>
    <definedName name="Juris2MultiYd">'[10]Gross Yardage Worksheet'!$X$33</definedName>
    <definedName name="Juris2SeasonalYds">'[10]Gross Yardage Worksheet'!$R$35</definedName>
    <definedName name="Juris2XtraYds">[10]Cust_Count2!$F$28</definedName>
    <definedName name="Juris3CanCount">[10]Cust_Count1!$E$60</definedName>
    <definedName name="Juris3CanTons">[10]Cust_Count1!$E$30</definedName>
    <definedName name="Juris3ComYd">'[10]Gross Yardage Worksheet'!$L$51</definedName>
    <definedName name="Juris3CustCnt">[10]Cust_Count2!$G$39</definedName>
    <definedName name="Juris3MultiYd">'[10]Gross Yardage Worksheet'!$X$51</definedName>
    <definedName name="Juris3SeasonalYds">'[10]Gross Yardage Worksheet'!$R$53</definedName>
    <definedName name="Juris3XtraYds">[10]Cust_Count2!$G$28</definedName>
    <definedName name="Juris4CanCount">[10]Cust_Count1!$F$60</definedName>
    <definedName name="Juris4CanTons">[10]Cust_Count1!$F$30</definedName>
    <definedName name="Juris4ComYd">'[10]Gross Yardage Worksheet'!$L$68</definedName>
    <definedName name="Juris4CustCnt">[10]Cust_Count2!$H$39</definedName>
    <definedName name="Juris4MultiYd">'[10]Gross Yardage Worksheet'!$X$68</definedName>
    <definedName name="Juris4SeasonalYds">'[10]Gross Yardage Worksheet'!$R$70</definedName>
    <definedName name="Juris4XtraYds">[10]Cust_Count2!$H$28</definedName>
    <definedName name="Juris5CanCount">[10]Cust_Count1!$G$60</definedName>
    <definedName name="Juris5CanTons">[10]Cust_Count1!$G$30</definedName>
    <definedName name="Juris5ComYD">'[10]Gross Yardage Worksheet'!$L$85</definedName>
    <definedName name="Juris5CustCnt">[10]Cust_Count2!$I$39</definedName>
    <definedName name="Juris5MultiYd">'[10]Gross Yardage Worksheet'!$X$85</definedName>
    <definedName name="Juris5SeasonalYds">'[10]Gross Yardage Worksheet'!$R$87</definedName>
    <definedName name="Juris5XtraYds">[10]Cust_Count2!$I$28</definedName>
    <definedName name="Jurisdiction_1">'[10]Title Inputs'!$C$5</definedName>
    <definedName name="Jurisdiction_2">'[10]Title Inputs'!$C$6</definedName>
    <definedName name="Jurisdiction_3">'[10]Title Inputs'!$C$7</definedName>
    <definedName name="Jurisdiction_4">'[10]Title Inputs'!$C$8</definedName>
    <definedName name="Jurisdiction_5">'[10]Title Inputs'!$C$9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evel">#REF!</definedName>
    <definedName name="lllllllllllllllllllll">#REF!</definedName>
    <definedName name="LU_Line">#REF!</definedName>
    <definedName name="MainDataEnd">#REF!</definedName>
    <definedName name="MainDataStart">#REF!</definedName>
    <definedName name="MapKeyStart">#REF!</definedName>
    <definedName name="master_def">#REF!</definedName>
    <definedName name="MATRIX" localSheetId="3">#REF!</definedName>
    <definedName name="MATRIX">#REF!</definedName>
    <definedName name="MEDate">[25]Calcuation!$I$3</definedName>
    <definedName name="MetaSet">[1]Orientation!$C$22</definedName>
    <definedName name="MFStaffPriceOut" localSheetId="3">'[14]Price Out-Reg EASTSIDE-Resi'!#REF!</definedName>
    <definedName name="MFStaffPriceOut">'[14]Price Out-Reg EASTSIDE-Resi'!#REF!</definedName>
    <definedName name="Month">#REF!</definedName>
    <definedName name="NewOnlyOrg">#N/A</definedName>
    <definedName name="NOTES">#REF!</definedName>
    <definedName name="NovSun1" localSheetId="3">DATEVALUE("11/1/"&amp;TheYear)-WEEKDAY(DATEVALUE("11/1/"&amp;TheYear))+1</definedName>
    <definedName name="NovSun1">DATEVALUE("11/1/"&amp;TheYear)-WEEKDAY(DATEVALUE("11/1/"&amp;TheYear))+1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bservations">#REF!</definedName>
    <definedName name="OctSun1" localSheetId="3">DATEVALUE("10/1/"&amp;TheYear)-WEEKDAY(DATEVALUE("10/1/"&amp;TheYear))+1</definedName>
    <definedName name="OctSun1">DATEVALUE("10/1/"&amp;TheYear)-WEEKDAY(DATEVALUE("10/1/"&amp;TheYear))+1</definedName>
    <definedName name="OfficerSalary">#N/A</definedName>
    <definedName name="OffsetAcctBil">[26]JEexport!$L$10</definedName>
    <definedName name="OffsetAcctPmt">[26]JEexport!$L$9</definedName>
    <definedName name="OPRD" localSheetId="3">#REF!</definedName>
    <definedName name="OPRD">#REF!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outliercut">#REF!</definedName>
    <definedName name="p">#REF!</definedName>
    <definedName name="Page10">#REF!</definedName>
    <definedName name="Page10a">#REF!</definedName>
    <definedName name="page11">#REF!</definedName>
    <definedName name="page12">#REF!</definedName>
    <definedName name="Page20">#REF!</definedName>
    <definedName name="page7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">[6]WTB!$DC$5</definedName>
    <definedName name="Period">#REF!</definedName>
    <definedName name="pMonth">#REF!</definedName>
    <definedName name="pOnlyShowLastTranx">#REF!</definedName>
    <definedName name="ppemeasurement">#REF!</definedName>
    <definedName name="primtbl">[1]Orientation!$C$23</definedName>
    <definedName name="Print_Area_MI" localSheetId="3">#REF!</definedName>
    <definedName name="Print_Area_MI">#REF!</definedName>
    <definedName name="Print_Area_MIc" localSheetId="3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3">'Disposal Summary (with IC)'!$3:$3</definedName>
    <definedName name="Print1">#REF!</definedName>
    <definedName name="Print2">#REF!</definedName>
    <definedName name="Print5">#REF!</definedName>
    <definedName name="ProF">'[24]5. BDI Gen Ledger Table'!$K$2:$K$4682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ange">#REF!</definedName>
    <definedName name="RCW_81.04.080">#N/A</definedName>
    <definedName name="RecyDisposal">#N/A</definedName>
    <definedName name="RefType">[18]Start!$B$5</definedName>
    <definedName name="RelatedSalary">#N/A</definedName>
    <definedName name="report" localSheetId="3">[27]ST97TONS!#REF!</definedName>
    <definedName name="report">[27]ST97TONS!#REF!</definedName>
    <definedName name="report_type">[1]Orientation!$C$24</definedName>
    <definedName name="Reporting_Jurisdiction">'[10]Title Inputs'!$C$4</definedName>
    <definedName name="ReportNames">[28]ControlPanel!$S$2:$S$16</definedName>
    <definedName name="ReportVersion">[1]Settings!$D$5</definedName>
    <definedName name="ReslStaffPriceOut" localSheetId="3">'[14]Price Out-Reg EASTSIDE-Resi'!#REF!</definedName>
    <definedName name="ReslStaffPriceOut">'[14]Price Out-Reg EASTSIDE-Resi'!#REF!</definedName>
    <definedName name="RetainedEarnings">#REF!</definedName>
    <definedName name="RevCust">[29]RevenuesCust!#REF!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arch1" localSheetId="3" hidden="1">#REF!</definedName>
    <definedName name="search1" hidden="1">#REF!</definedName>
    <definedName name="search2" localSheetId="3" hidden="1">#REF!</definedName>
    <definedName name="search2" hidden="1">#REF!</definedName>
    <definedName name="SectorNme">[25]Calcuation!$I$5</definedName>
    <definedName name="SepSun1" localSheetId="3">DATEVALUE("9/1/"&amp;TheYear)-WEEKDAY(DATEVALUE("9/1/"&amp;TheYear))+1</definedName>
    <definedName name="SepSun1">DATEVALUE("9/1/"&amp;TheYear)-WEEKDAY(DATEVALUE("9/1/"&amp;TheYear))+1</definedName>
    <definedName name="Sequential_Group">[1]Settings!$J$6</definedName>
    <definedName name="Sequential_Segment">[1]Settings!$I$6</definedName>
    <definedName name="Sequential_sort">[1]Settings!$I$10:$J$11</definedName>
    <definedName name="SFD">[6]WTB!$DE$5</definedName>
    <definedName name="SFV">[6]WTB!$DE$4</definedName>
    <definedName name="SFV_CUR1">'[6]2008 West Group IS'!$AM$9</definedName>
    <definedName name="SFV_CUR5">'[6]2008 Group Office IS'!$AM$9</definedName>
    <definedName name="SIC_Table">#REF!</definedName>
    <definedName name="sics">#REF!</definedName>
    <definedName name="slope" localSheetId="3">'[30]LG Nonpublic 2018 V5.0'!$X$58</definedName>
    <definedName name="slope">'[31]LG Nonpublic 2018 V5.0'!$X$58</definedName>
    <definedName name="SLOPE1">'[23]LG Nonpublic 2018 V5.0'!$X$58</definedName>
    <definedName name="sort1" localSheetId="3">#REF!</definedName>
    <definedName name="sort1">#REF!</definedName>
    <definedName name="sortcol">#REF!</definedName>
    <definedName name="SPECIAL1" localSheetId="3" hidden="1">#REF!</definedName>
    <definedName name="SPECIAL1" hidden="1">#REF!</definedName>
    <definedName name="SPECIAL2" localSheetId="3" hidden="1">#REF!</definedName>
    <definedName name="SPECIAL2" hidden="1">#REF!</definedName>
    <definedName name="SPWS_WBID">"115966228744984"</definedName>
    <definedName name="sSRCDate">'[32]Feb''12 FAR Data'!#REF!</definedName>
    <definedName name="ssssss">#REF!</definedName>
    <definedName name="SubSystem">#REF!</definedName>
    <definedName name="Supplemental_filter">[1]Settings!$C$31</definedName>
    <definedName name="SWDisposal">#N/A</definedName>
    <definedName name="System">[33]BS_Close!$V$8</definedName>
    <definedName name="Table_SIC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Interest">'[34]Amortization Table'!$F$18</definedName>
    <definedName name="TotalYards">'[13]Gross Yardage Worksheet'!$N$101</definedName>
    <definedName name="TOTCONT">'[22]Sorted Master'!$K$9</definedName>
    <definedName name="TOTCRECCONT">'[22]Sorted Master'!$Z$9</definedName>
    <definedName name="TOTCRECCUST">'[35]Master IS (C)'!#REF!</definedName>
    <definedName name="TOTCRECDH">'[35]Master IS (C)'!#REF!</definedName>
    <definedName name="TOTCRECREV">'[35]Master IS (C)'!#REF!</definedName>
    <definedName name="TOTCRECTDEP">'[35]Master IS (C)'!#REF!</definedName>
    <definedName name="TOTCRECTH">'[22]Sorted Master'!$Z$8</definedName>
    <definedName name="TOTCRECTV">'[35]Master IS (C)'!#REF!</definedName>
    <definedName name="TOTCUST">'[35]Master IS (C)'!#REF!</definedName>
    <definedName name="TOTDBCONT">'[35]Master IS (C)'!#REF!</definedName>
    <definedName name="TOTDBCUST">'[35]Master IS (C)'!#REF!</definedName>
    <definedName name="TOTDBDH">'[35]Master IS (C)'!#REF!</definedName>
    <definedName name="TOTDBREV">'[35]Master IS (C)'!#REF!</definedName>
    <definedName name="TOTDBTDEP">'[35]Master IS (C)'!#REF!</definedName>
    <definedName name="TOTDBTH">'[35]Master IS (C)'!#REF!</definedName>
    <definedName name="TOTDBTV">'[35]Master IS (C)'!#REF!</definedName>
    <definedName name="TOTDEBCONT">'[35]Master IS (C)'!#REF!</definedName>
    <definedName name="TOTDEBCUST">'[35]Master IS (C)'!#REF!</definedName>
    <definedName name="TOTDEBDH">'[35]Master IS (C)'!#REF!</definedName>
    <definedName name="TOTDEBREV">'[35]Master IS (C)'!#REF!</definedName>
    <definedName name="TOTDEBTH">'[22]Sorted Master'!$AD$8</definedName>
    <definedName name="TOTDH">'[35]Master IS (C)'!#REF!</definedName>
    <definedName name="TOTFELCONT">'[35]Master IS (C)'!#REF!</definedName>
    <definedName name="TOTFELCUST">'[35]Master IS (C)'!#REF!</definedName>
    <definedName name="TOTFELDH">'[35]Master IS (C)'!#REF!</definedName>
    <definedName name="TOTFELREV">'[35]Master IS (C)'!#REF!</definedName>
    <definedName name="TOTFELTDEP">'[35]Master IS (C)'!#REF!</definedName>
    <definedName name="TOTFELTH">'[35]Master IS (C)'!#REF!</definedName>
    <definedName name="TOTFELTV">'[35]Master IS (C)'!#REF!</definedName>
    <definedName name="TOTRESCONT">'[35]Master IS (C)'!#REF!</definedName>
    <definedName name="TOTRESCUST">'[35]Master IS (C)'!#REF!</definedName>
    <definedName name="TOTRESDH">'[35]Master IS (C)'!#REF!</definedName>
    <definedName name="TOTRESRCONT">'[35]Master IS (C)'!#REF!</definedName>
    <definedName name="TOTRESRCUST">'[35]Master IS (C)'!#REF!</definedName>
    <definedName name="TOTRESRDH">'[35]Master IS (C)'!#REF!</definedName>
    <definedName name="TOTRESREV">'[35]Master IS (C)'!#REF!</definedName>
    <definedName name="TOTRESRREV">'[35]Master IS (C)'!#REF!</definedName>
    <definedName name="TOTRESRTDEP">'[35]Master IS (C)'!#REF!</definedName>
    <definedName name="TOTRESRTH">'[35]Master IS (C)'!#REF!</definedName>
    <definedName name="TOTRESRTV">'[35]Master IS (C)'!#REF!</definedName>
    <definedName name="TOTRESTDEP">'[35]Master IS (C)'!#REF!</definedName>
    <definedName name="TOTRESTH">'[35]Master IS (C)'!#REF!</definedName>
    <definedName name="TOTRESTV">'[35]Master IS (C)'!#REF!</definedName>
    <definedName name="TOTREV">'[35]Master IS (C)'!#REF!</definedName>
    <definedName name="TOTTDEP">'[35]Master IS (C)'!#REF!</definedName>
    <definedName name="TOTTH">'[35]Master IS (C)'!#REF!</definedName>
    <definedName name="TOTTV">'[35]Master IS (C)'!#REF!</definedName>
    <definedName name="Transactions">#REF!</definedName>
    <definedName name="trx_total">'[24]5. BDI Gen Ledger Table'!$N$2:$N$4682</definedName>
    <definedName name="Tukwila_Report" localSheetId="3">[27]ST97TONS!#REF!</definedName>
    <definedName name="Tukwila_Report">[27]ST97TONS!#REF!</definedName>
    <definedName name="Tukwila_Report1" localSheetId="3">[27]ST97TONS!#REF!</definedName>
    <definedName name="Tukwila_Report1">[27]ST97TONS!#REF!</definedName>
    <definedName name="UnformattedIS">#REF!</definedName>
    <definedName name="ValidFormats">[3]Delivery!$AA$4:$AA$10</definedName>
    <definedName name="WksInYr">#REF!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Table">#REF!</definedName>
    <definedName name="WTableOld">#REF!</definedName>
    <definedName name="xperiod">[1]Orientation!$G$15</definedName>
    <definedName name="xtabin">[2]Hidden!#REF!</definedName>
    <definedName name="xx">#REF!</definedName>
    <definedName name="y_inter1" localSheetId="3">'[30]LG Nonpublic 2018 V5.0'!$W$55</definedName>
    <definedName name="y_inter1">'[31]LG Nonpublic 2018 V5.0'!$W$55</definedName>
    <definedName name="y_inter2" localSheetId="3">'[30]LG Nonpublic 2018 V5.0'!$W$56</definedName>
    <definedName name="y_inter2">'[31]LG Nonpublic 2018 V5.0'!$W$56</definedName>
    <definedName name="y_inter3" localSheetId="3">'[30]LG Nonpublic 2018 V5.0'!$Y$55</definedName>
    <definedName name="y_inter3">'[31]LG Nonpublic 2018 V5.0'!$Y$55</definedName>
    <definedName name="y_inter4" localSheetId="3">'[30]LG Nonpublic 2018 V5.0'!$Y$56</definedName>
    <definedName name="y_inter4">'[31]LG Nonpublic 2018 V5.0'!$Y$56</definedName>
    <definedName name="Year" localSheetId="3">#REF!</definedName>
    <definedName name="Year">#REF!</definedName>
    <definedName name="Year_of_Review">'[10]Title Inputs'!$C$3</definedName>
    <definedName name="years">#REF!</definedName>
    <definedName name="YR_PD">'[24]5. BDI Gen Ledger Table'!$Q$2:$Q$4682</definedName>
    <definedName name="YWMedWasteDisp">#N/A</definedName>
    <definedName name="Z_2D4BA4D8_9810_4CD8_BC99_BAF8C6DC6FDE_.wvu.PrintTitles" localSheetId="3" hidden="1">'Disposal Summary (with IC)'!$3:$3</definedName>
    <definedName name="Z_E9505D05_5738_4953_8422_9EB6E0EB24BD_.wvu.PrintTitles" localSheetId="3" hidden="1">'Disposal Summary (with IC)'!$3:$3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16" l="1"/>
  <c r="D120" i="16"/>
  <c r="D87" i="16"/>
  <c r="D86" i="16"/>
  <c r="C87" i="16"/>
  <c r="E87" i="16" s="1"/>
  <c r="C86" i="16"/>
  <c r="E86" i="16" s="1"/>
  <c r="A87" i="16"/>
  <c r="A86" i="16"/>
  <c r="C117" i="16"/>
  <c r="A117" i="16"/>
  <c r="C112" i="16"/>
  <c r="A112" i="16"/>
  <c r="C106" i="16"/>
  <c r="A106" i="16"/>
  <c r="C104" i="16"/>
  <c r="A104" i="16"/>
  <c r="C77" i="16"/>
  <c r="A77" i="16"/>
  <c r="C39" i="16"/>
  <c r="C37" i="16"/>
  <c r="C38" i="16"/>
  <c r="C32" i="16"/>
  <c r="A32" i="16"/>
  <c r="C18" i="16"/>
  <c r="C19" i="16"/>
  <c r="C17" i="16"/>
  <c r="B53" i="4"/>
  <c r="B50" i="4"/>
  <c r="F41" i="7"/>
  <c r="D51" i="7"/>
  <c r="D39" i="7"/>
  <c r="F104" i="7"/>
  <c r="G62" i="7"/>
  <c r="E62" i="7"/>
  <c r="F62" i="7" s="1"/>
  <c r="B48" i="4"/>
  <c r="H62" i="7" l="1"/>
  <c r="G106" i="7"/>
  <c r="G33" i="7"/>
  <c r="G34" i="7"/>
  <c r="G32" i="7"/>
  <c r="G26" i="7"/>
  <c r="F26" i="7"/>
  <c r="O26" i="7" s="1"/>
  <c r="H26" i="7" l="1"/>
  <c r="G104" i="7"/>
  <c r="F96" i="7"/>
  <c r="G96" i="7"/>
  <c r="H96" i="7" l="1"/>
  <c r="H104" i="7"/>
  <c r="F34" i="7"/>
  <c r="O34" i="7" s="1"/>
  <c r="F32" i="7"/>
  <c r="O32" i="7" s="1"/>
  <c r="D10" i="7"/>
  <c r="D9" i="7"/>
  <c r="D8" i="7"/>
  <c r="D7" i="7"/>
  <c r="D4" i="7"/>
  <c r="D3" i="7"/>
  <c r="D2" i="7"/>
  <c r="D123" i="7"/>
  <c r="D124" i="7" s="1"/>
  <c r="F122" i="17"/>
  <c r="H121" i="17"/>
  <c r="F121" i="17"/>
  <c r="H120" i="17"/>
  <c r="I113" i="17"/>
  <c r="G113" i="17"/>
  <c r="K112" i="17"/>
  <c r="I112" i="17"/>
  <c r="F107" i="17"/>
  <c r="D105" i="17"/>
  <c r="C105" i="17"/>
  <c r="B105" i="17"/>
  <c r="A105" i="17"/>
  <c r="A107" i="17" s="1"/>
  <c r="C102" i="17"/>
  <c r="A102" i="17"/>
  <c r="F101" i="17"/>
  <c r="Q94" i="17"/>
  <c r="O94" i="17"/>
  <c r="K94" i="17"/>
  <c r="J94" i="17"/>
  <c r="M94" i="17"/>
  <c r="L94" i="17"/>
  <c r="T93" i="17"/>
  <c r="R94" i="17"/>
  <c r="P94" i="17"/>
  <c r="N94" i="17"/>
  <c r="I94" i="17"/>
  <c r="H94" i="17"/>
  <c r="G94" i="17"/>
  <c r="I88" i="17"/>
  <c r="J88" i="17" s="1"/>
  <c r="K88" i="17" s="1"/>
  <c r="L88" i="17" s="1"/>
  <c r="M88" i="17" s="1"/>
  <c r="N88" i="17" s="1"/>
  <c r="O88" i="17" s="1"/>
  <c r="P88" i="17" s="1"/>
  <c r="Q88" i="17" s="1"/>
  <c r="R88" i="17" s="1"/>
  <c r="R122" i="17" s="1"/>
  <c r="G88" i="17"/>
  <c r="H88" i="17" s="1"/>
  <c r="F88" i="17"/>
  <c r="H87" i="17"/>
  <c r="I87" i="17" s="1"/>
  <c r="J87" i="17" s="1"/>
  <c r="K87" i="17" s="1"/>
  <c r="L87" i="17" s="1"/>
  <c r="M87" i="17" s="1"/>
  <c r="N87" i="17" s="1"/>
  <c r="O87" i="17" s="1"/>
  <c r="P87" i="17" s="1"/>
  <c r="Q87" i="17" s="1"/>
  <c r="R87" i="17" s="1"/>
  <c r="R121" i="17" s="1"/>
  <c r="F87" i="17"/>
  <c r="J86" i="17"/>
  <c r="K86" i="17" s="1"/>
  <c r="L86" i="17" s="1"/>
  <c r="M86" i="17" s="1"/>
  <c r="N86" i="17" s="1"/>
  <c r="O86" i="17" s="1"/>
  <c r="P86" i="17" s="1"/>
  <c r="Q86" i="17" s="1"/>
  <c r="R86" i="17" s="1"/>
  <c r="H86" i="17"/>
  <c r="I86" i="17" s="1"/>
  <c r="F86" i="17"/>
  <c r="F120" i="17" s="1"/>
  <c r="H85" i="17"/>
  <c r="I85" i="17" s="1"/>
  <c r="J85" i="17" s="1"/>
  <c r="F85" i="17"/>
  <c r="F119" i="17" s="1"/>
  <c r="J84" i="17"/>
  <c r="K84" i="17" s="1"/>
  <c r="L84" i="17" s="1"/>
  <c r="M84" i="17" s="1"/>
  <c r="N84" i="17" s="1"/>
  <c r="O84" i="17" s="1"/>
  <c r="P84" i="17" s="1"/>
  <c r="Q84" i="17" s="1"/>
  <c r="R84" i="17" s="1"/>
  <c r="H84" i="17"/>
  <c r="I84" i="17" s="1"/>
  <c r="G84" i="17"/>
  <c r="F84" i="17"/>
  <c r="F118" i="17" s="1"/>
  <c r="G83" i="17"/>
  <c r="H83" i="17" s="1"/>
  <c r="I83" i="17" s="1"/>
  <c r="J83" i="17" s="1"/>
  <c r="K83" i="17" s="1"/>
  <c r="L83" i="17" s="1"/>
  <c r="M83" i="17" s="1"/>
  <c r="N83" i="17" s="1"/>
  <c r="F83" i="17"/>
  <c r="F117" i="17" s="1"/>
  <c r="F82" i="17"/>
  <c r="F116" i="17" s="1"/>
  <c r="I80" i="17"/>
  <c r="J80" i="17" s="1"/>
  <c r="K80" i="17" s="1"/>
  <c r="L80" i="17" s="1"/>
  <c r="M80" i="17" s="1"/>
  <c r="N80" i="17" s="1"/>
  <c r="O80" i="17" s="1"/>
  <c r="P80" i="17" s="1"/>
  <c r="Q80" i="17" s="1"/>
  <c r="R80" i="17" s="1"/>
  <c r="H80" i="17"/>
  <c r="F80" i="17"/>
  <c r="F113" i="17" s="1"/>
  <c r="K79" i="17"/>
  <c r="J79" i="17"/>
  <c r="I79" i="17"/>
  <c r="H79" i="17"/>
  <c r="G79" i="17"/>
  <c r="F79" i="17"/>
  <c r="F112" i="17" s="1"/>
  <c r="H78" i="17"/>
  <c r="I78" i="17" s="1"/>
  <c r="J78" i="17" s="1"/>
  <c r="K78" i="17" s="1"/>
  <c r="L78" i="17" s="1"/>
  <c r="M78" i="17" s="1"/>
  <c r="G78" i="17"/>
  <c r="F78" i="17"/>
  <c r="F111" i="17" s="1"/>
  <c r="O77" i="17"/>
  <c r="P77" i="17" s="1"/>
  <c r="Q77" i="17" s="1"/>
  <c r="R77" i="17" s="1"/>
  <c r="M77" i="17"/>
  <c r="N77" i="17" s="1"/>
  <c r="I77" i="17"/>
  <c r="J77" i="17" s="1"/>
  <c r="K77" i="17" s="1"/>
  <c r="L77" i="17" s="1"/>
  <c r="H77" i="17"/>
  <c r="G77" i="17"/>
  <c r="F77" i="17"/>
  <c r="F110" i="17" s="1"/>
  <c r="F76" i="17"/>
  <c r="F109" i="17" s="1"/>
  <c r="F71" i="17"/>
  <c r="F102" i="17" s="1"/>
  <c r="L70" i="17"/>
  <c r="M70" i="17" s="1"/>
  <c r="N70" i="17" s="1"/>
  <c r="K70" i="17"/>
  <c r="J70" i="17"/>
  <c r="I70" i="17"/>
  <c r="H70" i="17"/>
  <c r="F70" i="17"/>
  <c r="R69" i="17"/>
  <c r="P69" i="17"/>
  <c r="Q69" i="17" s="1"/>
  <c r="G69" i="17"/>
  <c r="H69" i="17" s="1"/>
  <c r="I69" i="17" s="1"/>
  <c r="J69" i="17" s="1"/>
  <c r="K69" i="17" s="1"/>
  <c r="L69" i="17" s="1"/>
  <c r="M69" i="17" s="1"/>
  <c r="N69" i="17" s="1"/>
  <c r="O69" i="17" s="1"/>
  <c r="F69" i="17"/>
  <c r="F100" i="17" s="1"/>
  <c r="H68" i="17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F68" i="17"/>
  <c r="F99" i="17" s="1"/>
  <c r="F67" i="17"/>
  <c r="F98" i="17" s="1"/>
  <c r="L60" i="17"/>
  <c r="J60" i="17"/>
  <c r="O54" i="17"/>
  <c r="F54" i="17"/>
  <c r="F53" i="17"/>
  <c r="F123" i="17" s="1"/>
  <c r="F52" i="17"/>
  <c r="Q122" i="17"/>
  <c r="M122" i="17"/>
  <c r="L122" i="17"/>
  <c r="H122" i="17"/>
  <c r="I121" i="17"/>
  <c r="F49" i="17"/>
  <c r="A49" i="17"/>
  <c r="A52" i="17" s="1"/>
  <c r="I120" i="17"/>
  <c r="G120" i="17"/>
  <c r="I119" i="17"/>
  <c r="H119" i="17"/>
  <c r="G119" i="17"/>
  <c r="F46" i="17"/>
  <c r="P118" i="17"/>
  <c r="O118" i="17"/>
  <c r="M118" i="17"/>
  <c r="J118" i="17"/>
  <c r="I118" i="17"/>
  <c r="G118" i="17"/>
  <c r="N54" i="17"/>
  <c r="L40" i="17"/>
  <c r="F40" i="17"/>
  <c r="F39" i="17"/>
  <c r="F114" i="17" s="1"/>
  <c r="F38" i="17"/>
  <c r="A38" i="17"/>
  <c r="J113" i="17"/>
  <c r="H113" i="17"/>
  <c r="T37" i="17"/>
  <c r="J112" i="17"/>
  <c r="H112" i="17"/>
  <c r="G112" i="17"/>
  <c r="F35" i="17"/>
  <c r="J111" i="17"/>
  <c r="I111" i="17"/>
  <c r="H111" i="17"/>
  <c r="R40" i="17"/>
  <c r="P40" i="17"/>
  <c r="O40" i="17"/>
  <c r="N40" i="17"/>
  <c r="M40" i="17"/>
  <c r="L110" i="17"/>
  <c r="K110" i="17"/>
  <c r="J110" i="17"/>
  <c r="I40" i="17"/>
  <c r="H40" i="17"/>
  <c r="G40" i="17"/>
  <c r="F30" i="17"/>
  <c r="A30" i="17"/>
  <c r="F25" i="17"/>
  <c r="F103" i="17" s="1"/>
  <c r="G24" i="17" a="1"/>
  <c r="I24" i="17"/>
  <c r="G24" i="17"/>
  <c r="B23" i="17"/>
  <c r="F23" i="17" s="1"/>
  <c r="D21" i="17"/>
  <c r="C21" i="17"/>
  <c r="B20" i="17"/>
  <c r="F20" i="17" s="1"/>
  <c r="A20" i="17"/>
  <c r="A21" i="17" s="1"/>
  <c r="A23" i="17" s="1"/>
  <c r="G4" i="17"/>
  <c r="H3" i="17"/>
  <c r="H4" i="17" s="1"/>
  <c r="H34" i="7" l="1"/>
  <c r="H32" i="7"/>
  <c r="N78" i="17"/>
  <c r="O78" i="17" s="1"/>
  <c r="P78" i="17" s="1"/>
  <c r="Q78" i="17" s="1"/>
  <c r="R78" i="17" s="1"/>
  <c r="M111" i="17"/>
  <c r="O83" i="17"/>
  <c r="P83" i="17" s="1"/>
  <c r="N117" i="17"/>
  <c r="K85" i="17"/>
  <c r="L85" i="17" s="1"/>
  <c r="J119" i="17"/>
  <c r="N111" i="17"/>
  <c r="I117" i="17"/>
  <c r="P60" i="17"/>
  <c r="P120" i="17"/>
  <c r="L121" i="17"/>
  <c r="O70" i="17"/>
  <c r="N79" i="17"/>
  <c r="N112" i="17" s="1"/>
  <c r="O111" i="17"/>
  <c r="K113" i="17"/>
  <c r="K114" i="17" s="1"/>
  <c r="J117" i="17"/>
  <c r="J54" i="17"/>
  <c r="Q120" i="17"/>
  <c r="M121" i="17"/>
  <c r="H15" i="17"/>
  <c r="I3" i="17"/>
  <c r="R24" i="17"/>
  <c r="Q24" i="17"/>
  <c r="P24" i="17"/>
  <c r="O24" i="17"/>
  <c r="N24" i="17"/>
  <c r="M24" i="17"/>
  <c r="L24" i="17"/>
  <c r="K24" i="17"/>
  <c r="J24" i="17"/>
  <c r="H24" i="17"/>
  <c r="P111" i="17"/>
  <c r="L113" i="17"/>
  <c r="K117" i="17"/>
  <c r="K118" i="17"/>
  <c r="R60" i="17"/>
  <c r="R120" i="17"/>
  <c r="N121" i="17"/>
  <c r="N122" i="17"/>
  <c r="M110" i="17"/>
  <c r="P122" i="17"/>
  <c r="Q40" i="17"/>
  <c r="Q111" i="17"/>
  <c r="M112" i="17"/>
  <c r="M113" i="17"/>
  <c r="L117" i="17"/>
  <c r="O121" i="17"/>
  <c r="O122" i="17"/>
  <c r="O110" i="17"/>
  <c r="R111" i="17"/>
  <c r="N113" i="17"/>
  <c r="M117" i="17"/>
  <c r="P121" i="17"/>
  <c r="M79" i="17"/>
  <c r="K111" i="17"/>
  <c r="L118" i="17"/>
  <c r="T34" i="17"/>
  <c r="O113" i="17"/>
  <c r="Q121" i="17"/>
  <c r="Q54" i="17"/>
  <c r="N118" i="17"/>
  <c r="H41" i="17"/>
  <c r="P113" i="17"/>
  <c r="J40" i="17"/>
  <c r="O117" i="17"/>
  <c r="Q113" i="17"/>
  <c r="P54" i="17"/>
  <c r="K120" i="17"/>
  <c r="T50" i="17"/>
  <c r="T51" i="17"/>
  <c r="T94" i="17"/>
  <c r="T92" i="17"/>
  <c r="J114" i="17"/>
  <c r="R113" i="17"/>
  <c r="Q118" i="17"/>
  <c r="L120" i="17"/>
  <c r="R118" i="17"/>
  <c r="M120" i="17"/>
  <c r="I122" i="17"/>
  <c r="J120" i="17"/>
  <c r="T120" i="17" s="1"/>
  <c r="L111" i="17"/>
  <c r="T44" i="17"/>
  <c r="T54" i="17" s="1"/>
  <c r="T45" i="17"/>
  <c r="N120" i="17"/>
  <c r="J121" i="17"/>
  <c r="J122" i="17"/>
  <c r="H117" i="17"/>
  <c r="H123" i="17" s="1"/>
  <c r="H54" i="17"/>
  <c r="H118" i="17"/>
  <c r="T118" i="17" s="1"/>
  <c r="O120" i="17"/>
  <c r="K121" i="17"/>
  <c r="K122" i="17"/>
  <c r="T36" i="17"/>
  <c r="K40" i="17"/>
  <c r="K60" i="17"/>
  <c r="L79" i="17"/>
  <c r="L112" i="17" s="1"/>
  <c r="B102" i="17"/>
  <c r="N110" i="17"/>
  <c r="G121" i="17"/>
  <c r="T47" i="17"/>
  <c r="R54" i="17"/>
  <c r="M60" i="17"/>
  <c r="P110" i="17"/>
  <c r="G122" i="17"/>
  <c r="T48" i="17"/>
  <c r="G54" i="17"/>
  <c r="N60" i="17"/>
  <c r="Q110" i="17"/>
  <c r="O60" i="17"/>
  <c r="R110" i="17"/>
  <c r="G117" i="17"/>
  <c r="I54" i="17"/>
  <c r="G110" i="17"/>
  <c r="Q60" i="17"/>
  <c r="H110" i="17"/>
  <c r="H114" i="17" s="1"/>
  <c r="K54" i="17"/>
  <c r="I110" i="17"/>
  <c r="I114" i="17" s="1"/>
  <c r="G111" i="17"/>
  <c r="T33" i="17"/>
  <c r="T40" i="17" s="1"/>
  <c r="L54" i="17"/>
  <c r="G60" i="17"/>
  <c r="M54" i="17"/>
  <c r="H60" i="17"/>
  <c r="I60" i="17"/>
  <c r="H71" i="17" l="1"/>
  <c r="L114" i="17"/>
  <c r="H22" i="17"/>
  <c r="G101" i="17"/>
  <c r="H29" i="17"/>
  <c r="H99" i="17"/>
  <c r="H28" i="17"/>
  <c r="H73" i="17" s="1"/>
  <c r="M85" i="17"/>
  <c r="L119" i="17"/>
  <c r="L123" i="17" s="1"/>
  <c r="O79" i="17"/>
  <c r="O112" i="17" s="1"/>
  <c r="P70" i="17"/>
  <c r="H19" i="17"/>
  <c r="H100" i="17" s="1"/>
  <c r="T113" i="17"/>
  <c r="T60" i="17"/>
  <c r="I41" i="17"/>
  <c r="H26" i="17"/>
  <c r="G99" i="17"/>
  <c r="G57" i="17"/>
  <c r="G28" i="17"/>
  <c r="K123" i="17"/>
  <c r="G26" i="17"/>
  <c r="J123" i="17"/>
  <c r="G22" i="17"/>
  <c r="G71" i="17" s="1"/>
  <c r="Q83" i="17"/>
  <c r="P117" i="17"/>
  <c r="G106" i="17"/>
  <c r="T110" i="17"/>
  <c r="G114" i="17"/>
  <c r="T111" i="17"/>
  <c r="G55" i="17"/>
  <c r="G41" i="17"/>
  <c r="O114" i="17"/>
  <c r="G15" i="17"/>
  <c r="I123" i="17"/>
  <c r="J3" i="17"/>
  <c r="I4" i="17"/>
  <c r="H106" i="17"/>
  <c r="H74" i="17" s="1"/>
  <c r="G123" i="17"/>
  <c r="H55" i="17"/>
  <c r="K119" i="17"/>
  <c r="N114" i="17"/>
  <c r="G73" i="17"/>
  <c r="T122" i="17"/>
  <c r="M114" i="17"/>
  <c r="T121" i="17"/>
  <c r="G19" i="17"/>
  <c r="H59" i="17"/>
  <c r="H61" i="17" s="1"/>
  <c r="H101" i="17"/>
  <c r="P79" i="17" l="1"/>
  <c r="P112" i="17" s="1"/>
  <c r="Q70" i="17"/>
  <c r="G74" i="17"/>
  <c r="G58" i="17"/>
  <c r="N85" i="17"/>
  <c r="M119" i="17"/>
  <c r="M123" i="17" s="1"/>
  <c r="G125" i="17"/>
  <c r="I55" i="17"/>
  <c r="R83" i="17"/>
  <c r="R117" i="17" s="1"/>
  <c r="Q117" i="17"/>
  <c r="H57" i="17"/>
  <c r="G100" i="17"/>
  <c r="G103" i="17" s="1"/>
  <c r="G29" i="17"/>
  <c r="H125" i="17"/>
  <c r="H103" i="17"/>
  <c r="H127" i="17" s="1"/>
  <c r="H128" i="17" s="1"/>
  <c r="K3" i="17"/>
  <c r="J4" i="17"/>
  <c r="J55" i="17"/>
  <c r="I15" i="17"/>
  <c r="G59" i="17"/>
  <c r="G62" i="17" s="1"/>
  <c r="G127" i="17" l="1"/>
  <c r="G128" i="17" s="1"/>
  <c r="G63" i="17"/>
  <c r="J15" i="17"/>
  <c r="I22" i="17"/>
  <c r="I29" i="17"/>
  <c r="I99" i="17"/>
  <c r="I57" i="17"/>
  <c r="I28" i="17"/>
  <c r="I73" i="17"/>
  <c r="I19" i="17"/>
  <c r="I26" i="17"/>
  <c r="J41" i="17"/>
  <c r="Q79" i="17"/>
  <c r="Q112" i="17" s="1"/>
  <c r="Q114" i="17" s="1"/>
  <c r="R70" i="17"/>
  <c r="R79" i="17" s="1"/>
  <c r="R112" i="17" s="1"/>
  <c r="R114" i="17" s="1"/>
  <c r="I106" i="17"/>
  <c r="O85" i="17"/>
  <c r="N119" i="17"/>
  <c r="N123" i="17" s="1"/>
  <c r="P114" i="17"/>
  <c r="T114" i="17" s="1"/>
  <c r="J26" i="17"/>
  <c r="I71" i="17"/>
  <c r="L3" i="17"/>
  <c r="K4" i="17"/>
  <c r="H58" i="17"/>
  <c r="H62" i="17"/>
  <c r="H63" i="17" s="1"/>
  <c r="I59" i="17"/>
  <c r="I61" i="17" s="1"/>
  <c r="I101" i="17"/>
  <c r="T117" i="17"/>
  <c r="G61" i="17"/>
  <c r="K41" i="17"/>
  <c r="J71" i="17" l="1"/>
  <c r="I74" i="17"/>
  <c r="J99" i="17"/>
  <c r="J28" i="17"/>
  <c r="J29" i="17" s="1"/>
  <c r="J59" i="17"/>
  <c r="J61" i="17" s="1"/>
  <c r="J101" i="17"/>
  <c r="I100" i="17"/>
  <c r="I103" i="17" s="1"/>
  <c r="J73" i="17"/>
  <c r="K15" i="17"/>
  <c r="J22" i="17"/>
  <c r="K55" i="17"/>
  <c r="T112" i="17"/>
  <c r="J19" i="17"/>
  <c r="J100" i="17" s="1"/>
  <c r="I58" i="17"/>
  <c r="I62" i="17"/>
  <c r="I63" i="17" s="1"/>
  <c r="I125" i="17"/>
  <c r="K26" i="17"/>
  <c r="P85" i="17"/>
  <c r="O119" i="17"/>
  <c r="O123" i="17" s="1"/>
  <c r="M3" i="17"/>
  <c r="L4" i="17"/>
  <c r="L55" i="17"/>
  <c r="J106" i="17"/>
  <c r="I127" i="17" l="1"/>
  <c r="I128" i="17" s="1"/>
  <c r="J57" i="17"/>
  <c r="N3" i="17"/>
  <c r="M4" i="17"/>
  <c r="J125" i="17"/>
  <c r="J103" i="17"/>
  <c r="J127" i="17" s="1"/>
  <c r="J128" i="17" s="1"/>
  <c r="K29" i="17"/>
  <c r="K19" i="17"/>
  <c r="K100" i="17" s="1"/>
  <c r="K22" i="17"/>
  <c r="J74" i="17"/>
  <c r="L15" i="17"/>
  <c r="L41" i="17"/>
  <c r="Q85" i="17"/>
  <c r="P119" i="17"/>
  <c r="P123" i="17" s="1"/>
  <c r="K106" i="17"/>
  <c r="K101" i="17"/>
  <c r="K99" i="17"/>
  <c r="K28" i="17"/>
  <c r="K73" i="17" s="1"/>
  <c r="L71" i="17" l="1"/>
  <c r="L57" i="17"/>
  <c r="L28" i="17"/>
  <c r="L99" i="17"/>
  <c r="L101" i="17"/>
  <c r="L59" i="17"/>
  <c r="L61" i="17" s="1"/>
  <c r="L22" i="17"/>
  <c r="L73" i="17"/>
  <c r="L106" i="17"/>
  <c r="K71" i="17"/>
  <c r="M26" i="17"/>
  <c r="M55" i="17"/>
  <c r="L19" i="17"/>
  <c r="L100" i="17" s="1"/>
  <c r="K74" i="17"/>
  <c r="M41" i="17"/>
  <c r="L26" i="17"/>
  <c r="L29" i="17"/>
  <c r="K57" i="17"/>
  <c r="O3" i="17"/>
  <c r="N4" i="17"/>
  <c r="K125" i="17"/>
  <c r="K103" i="17"/>
  <c r="K127" i="17" s="1"/>
  <c r="K128" i="17" s="1"/>
  <c r="R85" i="17"/>
  <c r="R119" i="17" s="1"/>
  <c r="Q119" i="17"/>
  <c r="Q123" i="17" s="1"/>
  <c r="N55" i="17"/>
  <c r="N41" i="17"/>
  <c r="K59" i="17"/>
  <c r="J58" i="17"/>
  <c r="J62" i="17"/>
  <c r="M15" i="17"/>
  <c r="K61" i="17" l="1"/>
  <c r="L74" i="17"/>
  <c r="J63" i="17"/>
  <c r="R123" i="17"/>
  <c r="T123" i="17" s="1"/>
  <c r="T119" i="17"/>
  <c r="M19" i="17"/>
  <c r="M57" i="17" s="1"/>
  <c r="N15" i="17"/>
  <c r="K58" i="17"/>
  <c r="K62" i="17"/>
  <c r="K63" i="17" s="1"/>
  <c r="P3" i="17"/>
  <c r="O4" i="17"/>
  <c r="O15" i="17"/>
  <c r="O41" i="17"/>
  <c r="L125" i="17"/>
  <c r="L103" i="17"/>
  <c r="M101" i="17"/>
  <c r="M59" i="17"/>
  <c r="M61" i="17" s="1"/>
  <c r="M106" i="17"/>
  <c r="M71" i="17"/>
  <c r="L62" i="17"/>
  <c r="L63" i="17" s="1"/>
  <c r="L58" i="17"/>
  <c r="M28" i="17"/>
  <c r="M73" i="17" s="1"/>
  <c r="M99" i="17"/>
  <c r="M22" i="17"/>
  <c r="M62" i="17" l="1"/>
  <c r="M63" i="17" s="1"/>
  <c r="M58" i="17"/>
  <c r="O55" i="17"/>
  <c r="N106" i="17"/>
  <c r="N101" i="17"/>
  <c r="N59" i="17"/>
  <c r="N61" i="17" s="1"/>
  <c r="Q3" i="17"/>
  <c r="P4" i="17"/>
  <c r="N28" i="17"/>
  <c r="N29" i="17" s="1"/>
  <c r="N99" i="17"/>
  <c r="N22" i="17"/>
  <c r="N71" i="17" s="1"/>
  <c r="N73" i="17"/>
  <c r="P15" i="17"/>
  <c r="P41" i="17"/>
  <c r="M29" i="17"/>
  <c r="O26" i="17"/>
  <c r="L127" i="17"/>
  <c r="L128" i="17" s="1"/>
  <c r="M125" i="17"/>
  <c r="M100" i="17"/>
  <c r="M103" i="17" s="1"/>
  <c r="N19" i="17"/>
  <c r="N100" i="17" s="1"/>
  <c r="M74" i="17"/>
  <c r="N26" i="17"/>
  <c r="M127" i="17" l="1"/>
  <c r="M128" i="17" s="1"/>
  <c r="O99" i="17"/>
  <c r="O28" i="17"/>
  <c r="O29" i="17" s="1"/>
  <c r="O22" i="17"/>
  <c r="P26" i="17"/>
  <c r="R3" i="17"/>
  <c r="R4" i="17" s="1"/>
  <c r="Q4" i="17"/>
  <c r="Q41" i="17"/>
  <c r="P55" i="17"/>
  <c r="O19" i="17"/>
  <c r="O100" i="17" s="1"/>
  <c r="O101" i="17"/>
  <c r="O59" i="17"/>
  <c r="O61" i="17" s="1"/>
  <c r="N74" i="17"/>
  <c r="O71" i="17"/>
  <c r="O106" i="17"/>
  <c r="N125" i="17"/>
  <c r="N103" i="17"/>
  <c r="N127" i="17" s="1"/>
  <c r="N128" i="17" s="1"/>
  <c r="N57" i="17"/>
  <c r="N62" i="17" l="1"/>
  <c r="N63" i="17" s="1"/>
  <c r="N58" i="17"/>
  <c r="Q26" i="17"/>
  <c r="T52" i="17"/>
  <c r="T35" i="17"/>
  <c r="T49" i="17"/>
  <c r="T39" i="17"/>
  <c r="T38" i="17"/>
  <c r="T53" i="17"/>
  <c r="T46" i="17"/>
  <c r="O73" i="17"/>
  <c r="P19" i="17"/>
  <c r="P100" i="17" s="1"/>
  <c r="P106" i="17"/>
  <c r="P101" i="17"/>
  <c r="Q55" i="17"/>
  <c r="Q15" i="17"/>
  <c r="O74" i="17"/>
  <c r="O57" i="17"/>
  <c r="P99" i="17"/>
  <c r="P28" i="17"/>
  <c r="P73" i="17" s="1"/>
  <c r="O125" i="17"/>
  <c r="O103" i="17"/>
  <c r="O127" i="17" s="1"/>
  <c r="O128" i="17" s="1"/>
  <c r="P22" i="17"/>
  <c r="P71" i="17" s="1"/>
  <c r="T14" i="17"/>
  <c r="T13" i="17"/>
  <c r="T9" i="17"/>
  <c r="T11" i="17"/>
  <c r="Q101" i="17" l="1"/>
  <c r="R99" i="17"/>
  <c r="R57" i="17"/>
  <c r="R28" i="17"/>
  <c r="T28" i="17" s="1"/>
  <c r="T18" i="17"/>
  <c r="P57" i="17"/>
  <c r="R106" i="17"/>
  <c r="T107" i="17"/>
  <c r="R22" i="17"/>
  <c r="T105" i="17"/>
  <c r="R19" i="17"/>
  <c r="T20" i="17"/>
  <c r="R41" i="17"/>
  <c r="T10" i="17"/>
  <c r="T41" i="17" s="1"/>
  <c r="O62" i="17"/>
  <c r="O63" i="17" s="1"/>
  <c r="O58" i="17"/>
  <c r="R26" i="17"/>
  <c r="T25" i="17"/>
  <c r="Q99" i="17"/>
  <c r="Q57" i="17"/>
  <c r="Q28" i="17"/>
  <c r="Q29" i="17" s="1"/>
  <c r="Q19" i="17"/>
  <c r="Q100" i="17" s="1"/>
  <c r="Q22" i="17"/>
  <c r="Q59" i="17" s="1"/>
  <c r="Q61" i="17" s="1"/>
  <c r="R15" i="17"/>
  <c r="T15" i="17" s="1"/>
  <c r="V125" i="17" s="1"/>
  <c r="T8" i="17"/>
  <c r="P125" i="17"/>
  <c r="P103" i="17"/>
  <c r="P127" i="17" s="1"/>
  <c r="P128" i="17" s="1"/>
  <c r="R55" i="17"/>
  <c r="T12" i="17"/>
  <c r="T55" i="17" s="1"/>
  <c r="P29" i="17"/>
  <c r="R71" i="17"/>
  <c r="T102" i="17"/>
  <c r="R101" i="17"/>
  <c r="T101" i="17" s="1"/>
  <c r="R59" i="17"/>
  <c r="T21" i="17"/>
  <c r="P59" i="17"/>
  <c r="P61" i="17" s="1"/>
  <c r="Q71" i="17"/>
  <c r="P74" i="17"/>
  <c r="Q106" i="17"/>
  <c r="T30" i="17"/>
  <c r="Q62" i="17" l="1"/>
  <c r="Q63" i="17" s="1"/>
  <c r="Q58" i="17"/>
  <c r="R73" i="17"/>
  <c r="Q74" i="17"/>
  <c r="R62" i="17"/>
  <c r="R58" i="17"/>
  <c r="T57" i="17"/>
  <c r="T58" i="17" s="1"/>
  <c r="R125" i="17"/>
  <c r="T125" i="17" s="1"/>
  <c r="V126" i="17" s="1"/>
  <c r="R103" i="17"/>
  <c r="T99" i="17"/>
  <c r="Q73" i="17"/>
  <c r="Q125" i="17"/>
  <c r="Q103" i="17"/>
  <c r="Q127" i="17" s="1"/>
  <c r="Q128" i="17" s="1"/>
  <c r="T22" i="17"/>
  <c r="P62" i="17"/>
  <c r="P63" i="17" s="1"/>
  <c r="P58" i="17"/>
  <c r="R29" i="17"/>
  <c r="T29" i="17" s="1"/>
  <c r="T26" i="17"/>
  <c r="R74" i="17"/>
  <c r="T106" i="17"/>
  <c r="V127" i="17"/>
  <c r="R61" i="17"/>
  <c r="T59" i="17"/>
  <c r="T61" i="17" s="1"/>
  <c r="R100" i="17"/>
  <c r="T100" i="17" s="1"/>
  <c r="T19" i="17"/>
  <c r="R63" i="17" l="1"/>
  <c r="T62" i="17"/>
  <c r="T63" i="17" s="1"/>
  <c r="R127" i="17"/>
  <c r="R128" i="17" s="1"/>
  <c r="T103" i="17"/>
  <c r="T127" i="17" s="1"/>
  <c r="T128" i="17" s="1"/>
  <c r="G77" i="7" l="1"/>
  <c r="G76" i="7"/>
  <c r="G59" i="7"/>
  <c r="G58" i="7"/>
  <c r="G117" i="7"/>
  <c r="H117" i="7" s="1"/>
  <c r="G116" i="7"/>
  <c r="H116" i="7" s="1"/>
  <c r="G16" i="7" l="1"/>
  <c r="G47" i="4" l="1"/>
  <c r="E71" i="7"/>
  <c r="C43" i="16"/>
  <c r="A43" i="16"/>
  <c r="C23" i="16"/>
  <c r="A23" i="16"/>
  <c r="G64" i="7"/>
  <c r="F64" i="7"/>
  <c r="G61" i="7"/>
  <c r="F61" i="7"/>
  <c r="C74" i="16"/>
  <c r="A74" i="16"/>
  <c r="C66" i="16"/>
  <c r="C67" i="16"/>
  <c r="C68" i="16"/>
  <c r="C69" i="16"/>
  <c r="C70" i="16"/>
  <c r="C71" i="16"/>
  <c r="C72" i="16"/>
  <c r="A66" i="16"/>
  <c r="A67" i="16"/>
  <c r="A68" i="16"/>
  <c r="A69" i="16"/>
  <c r="A70" i="16"/>
  <c r="A71" i="16"/>
  <c r="A72" i="16"/>
  <c r="C123" i="16"/>
  <c r="C124" i="16"/>
  <c r="C133" i="16"/>
  <c r="C134" i="16"/>
  <c r="C132" i="16"/>
  <c r="C129" i="16"/>
  <c r="C130" i="16"/>
  <c r="C128" i="16"/>
  <c r="A133" i="16"/>
  <c r="A134" i="16"/>
  <c r="A132" i="16"/>
  <c r="A129" i="16"/>
  <c r="A130" i="16"/>
  <c r="A128" i="16"/>
  <c r="C119" i="16"/>
  <c r="C116" i="16"/>
  <c r="C114" i="16"/>
  <c r="C113" i="16"/>
  <c r="C105" i="16"/>
  <c r="C103" i="16"/>
  <c r="C118" i="16"/>
  <c r="C115" i="16"/>
  <c r="C107" i="16"/>
  <c r="C108" i="16"/>
  <c r="C109" i="16"/>
  <c r="C110" i="16"/>
  <c r="C111" i="16"/>
  <c r="C94" i="16"/>
  <c r="C95" i="16"/>
  <c r="C96" i="16"/>
  <c r="C97" i="16"/>
  <c r="C98" i="16"/>
  <c r="C99" i="16"/>
  <c r="C100" i="16"/>
  <c r="C101" i="16"/>
  <c r="C102" i="16"/>
  <c r="C93" i="16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7" i="7"/>
  <c r="F98" i="7"/>
  <c r="F99" i="7"/>
  <c r="F100" i="7"/>
  <c r="F101" i="7"/>
  <c r="F102" i="7"/>
  <c r="F103" i="7"/>
  <c r="F105" i="7"/>
  <c r="F106" i="7"/>
  <c r="F107" i="7"/>
  <c r="F108" i="7"/>
  <c r="F109" i="7"/>
  <c r="F110" i="7"/>
  <c r="F111" i="7"/>
  <c r="F112" i="7"/>
  <c r="F113" i="7"/>
  <c r="F114" i="7"/>
  <c r="F115" i="7"/>
  <c r="F60" i="7"/>
  <c r="F63" i="7"/>
  <c r="A119" i="16"/>
  <c r="A118" i="16"/>
  <c r="A116" i="16"/>
  <c r="A115" i="16"/>
  <c r="A114" i="16"/>
  <c r="A113" i="16"/>
  <c r="A107" i="16"/>
  <c r="A108" i="16"/>
  <c r="A109" i="16"/>
  <c r="A110" i="16"/>
  <c r="A111" i="16"/>
  <c r="A105" i="16"/>
  <c r="A103" i="16"/>
  <c r="A94" i="16"/>
  <c r="A95" i="16"/>
  <c r="A96" i="16"/>
  <c r="A97" i="16"/>
  <c r="A98" i="16"/>
  <c r="A99" i="16"/>
  <c r="A100" i="16"/>
  <c r="A101" i="16"/>
  <c r="A102" i="16"/>
  <c r="A93" i="16"/>
  <c r="C57" i="16"/>
  <c r="C58" i="16"/>
  <c r="C59" i="16"/>
  <c r="C60" i="16"/>
  <c r="C61" i="16"/>
  <c r="C62" i="16"/>
  <c r="C63" i="16"/>
  <c r="C64" i="16"/>
  <c r="C65" i="16"/>
  <c r="C56" i="16"/>
  <c r="C82" i="16"/>
  <c r="C83" i="16"/>
  <c r="C81" i="16"/>
  <c r="C79" i="16"/>
  <c r="C78" i="16"/>
  <c r="E90" i="16"/>
  <c r="C90" i="16"/>
  <c r="A83" i="16"/>
  <c r="A82" i="16"/>
  <c r="A81" i="16"/>
  <c r="A79" i="16"/>
  <c r="A78" i="16"/>
  <c r="G95" i="7"/>
  <c r="H95" i="7" s="1"/>
  <c r="A63" i="16"/>
  <c r="A64" i="16"/>
  <c r="A65" i="16"/>
  <c r="A57" i="16"/>
  <c r="A58" i="16"/>
  <c r="A59" i="16"/>
  <c r="A60" i="16"/>
  <c r="A61" i="16"/>
  <c r="A62" i="16"/>
  <c r="A56" i="16"/>
  <c r="C55" i="16"/>
  <c r="C53" i="16"/>
  <c r="C54" i="16"/>
  <c r="C52" i="16"/>
  <c r="C50" i="16"/>
  <c r="C51" i="16"/>
  <c r="C49" i="16"/>
  <c r="A55" i="16"/>
  <c r="A54" i="16"/>
  <c r="A53" i="16"/>
  <c r="A52" i="16"/>
  <c r="A51" i="16"/>
  <c r="A50" i="16"/>
  <c r="C47" i="16"/>
  <c r="A47" i="16"/>
  <c r="A49" i="16"/>
  <c r="C48" i="16"/>
  <c r="C46" i="16"/>
  <c r="A48" i="16"/>
  <c r="A46" i="16"/>
  <c r="C28" i="16"/>
  <c r="C29" i="16"/>
  <c r="C30" i="16"/>
  <c r="C31" i="16"/>
  <c r="C33" i="16"/>
  <c r="C34" i="16"/>
  <c r="C35" i="16"/>
  <c r="C36" i="16"/>
  <c r="C27" i="16"/>
  <c r="A38" i="16"/>
  <c r="A39" i="16"/>
  <c r="A37" i="16"/>
  <c r="A33" i="16"/>
  <c r="A34" i="16"/>
  <c r="A35" i="16"/>
  <c r="A36" i="16"/>
  <c r="A28" i="16"/>
  <c r="A29" i="16"/>
  <c r="A30" i="16"/>
  <c r="A31" i="16"/>
  <c r="A27" i="16"/>
  <c r="C12" i="16"/>
  <c r="A22" i="16"/>
  <c r="A42" i="16"/>
  <c r="C42" i="16"/>
  <c r="C22" i="16"/>
  <c r="C14" i="16"/>
  <c r="C15" i="16"/>
  <c r="C16" i="16"/>
  <c r="C13" i="16"/>
  <c r="C8" i="16"/>
  <c r="C9" i="16"/>
  <c r="C10" i="16"/>
  <c r="C11" i="16"/>
  <c r="C7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C136" i="16" l="1"/>
  <c r="O41" i="7"/>
  <c r="H61" i="7"/>
  <c r="H64" i="7"/>
  <c r="D90" i="16"/>
  <c r="G31" i="7" l="1"/>
  <c r="F31" i="7"/>
  <c r="O31" i="7" s="1"/>
  <c r="G28" i="7"/>
  <c r="F28" i="7"/>
  <c r="O28" i="7" s="1"/>
  <c r="F46" i="7"/>
  <c r="F47" i="7"/>
  <c r="F48" i="7"/>
  <c r="F49" i="7"/>
  <c r="F42" i="7"/>
  <c r="O42" i="7" s="1"/>
  <c r="F43" i="7"/>
  <c r="F44" i="7"/>
  <c r="F45" i="7"/>
  <c r="F40" i="7"/>
  <c r="F17" i="7"/>
  <c r="F18" i="7"/>
  <c r="F19" i="7"/>
  <c r="F27" i="7"/>
  <c r="O27" i="7" s="1"/>
  <c r="F20" i="7"/>
  <c r="F33" i="7"/>
  <c r="F21" i="7"/>
  <c r="F29" i="7"/>
  <c r="F22" i="7"/>
  <c r="F30" i="7"/>
  <c r="F23" i="7"/>
  <c r="F35" i="7"/>
  <c r="F24" i="7"/>
  <c r="F25" i="7"/>
  <c r="F36" i="7"/>
  <c r="O36" i="7" s="1"/>
  <c r="F16" i="7"/>
  <c r="G36" i="7"/>
  <c r="G25" i="7"/>
  <c r="E56" i="7"/>
  <c r="F56" i="7" s="1"/>
  <c r="E57" i="7"/>
  <c r="F57" i="7" s="1"/>
  <c r="E58" i="7"/>
  <c r="F58" i="7" s="1"/>
  <c r="E59" i="7"/>
  <c r="F59" i="7" s="1"/>
  <c r="E66" i="7"/>
  <c r="E67" i="7"/>
  <c r="E68" i="7"/>
  <c r="E69" i="7"/>
  <c r="E70" i="7"/>
  <c r="E72" i="7"/>
  <c r="E73" i="7"/>
  <c r="E74" i="7"/>
  <c r="E75" i="7"/>
  <c r="E76" i="7"/>
  <c r="E77" i="7"/>
  <c r="F77" i="7" s="1"/>
  <c r="F39" i="7" l="1"/>
  <c r="F51" i="7"/>
  <c r="H31" i="7"/>
  <c r="H28" i="7"/>
  <c r="H36" i="7"/>
  <c r="F76" i="7" l="1"/>
  <c r="F75" i="7"/>
  <c r="F74" i="7"/>
  <c r="F73" i="7"/>
  <c r="F72" i="7"/>
  <c r="F71" i="7"/>
  <c r="F70" i="7"/>
  <c r="F69" i="7"/>
  <c r="F68" i="7"/>
  <c r="F67" i="7"/>
  <c r="F66" i="7"/>
  <c r="D6" i="7" l="1"/>
  <c r="D5" i="7"/>
  <c r="D13" i="7" s="1"/>
  <c r="D52" i="7" s="1"/>
  <c r="G67" i="7" l="1"/>
  <c r="H67" i="7" s="1"/>
  <c r="G68" i="7"/>
  <c r="H68" i="7" s="1"/>
  <c r="G69" i="7"/>
  <c r="H69" i="7" s="1"/>
  <c r="G70" i="7"/>
  <c r="H70" i="7" s="1"/>
  <c r="G66" i="7"/>
  <c r="H66" i="7" s="1"/>
  <c r="G71" i="7" l="1"/>
  <c r="H71" i="7" s="1"/>
  <c r="G56" i="7" l="1"/>
  <c r="G101" i="7" l="1"/>
  <c r="G100" i="7"/>
  <c r="G99" i="7"/>
  <c r="G98" i="7"/>
  <c r="G97" i="7"/>
  <c r="G115" i="7"/>
  <c r="G114" i="7"/>
  <c r="G113" i="7"/>
  <c r="G112" i="7"/>
  <c r="G111" i="7"/>
  <c r="G110" i="7"/>
  <c r="G109" i="7"/>
  <c r="G103" i="7"/>
  <c r="G102" i="7"/>
  <c r="G41" i="7"/>
  <c r="G79" i="7" s="1"/>
  <c r="H79" i="7" s="1"/>
  <c r="G60" i="7"/>
  <c r="G63" i="7"/>
  <c r="H63" i="7" s="1"/>
  <c r="H77" i="7"/>
  <c r="H76" i="7"/>
  <c r="G57" i="7"/>
  <c r="G75" i="7" s="1"/>
  <c r="H75" i="7" s="1"/>
  <c r="H109" i="7" l="1"/>
  <c r="H113" i="7"/>
  <c r="H114" i="7"/>
  <c r="H97" i="7"/>
  <c r="H100" i="7"/>
  <c r="H115" i="7"/>
  <c r="H111" i="7"/>
  <c r="H112" i="7"/>
  <c r="H102" i="7"/>
  <c r="H110" i="7"/>
  <c r="H103" i="7"/>
  <c r="H99" i="7"/>
  <c r="H101" i="7"/>
  <c r="H98" i="7"/>
  <c r="H60" i="7"/>
  <c r="O33" i="7" l="1"/>
  <c r="O29" i="7"/>
  <c r="O22" i="7"/>
  <c r="O30" i="7"/>
  <c r="O23" i="7"/>
  <c r="O35" i="7"/>
  <c r="O24" i="7"/>
  <c r="O25" i="7"/>
  <c r="O17" i="7"/>
  <c r="O16" i="7"/>
  <c r="O6" i="7"/>
  <c r="G6" i="7"/>
  <c r="G44" i="7"/>
  <c r="H106" i="7" s="1"/>
  <c r="H25" i="7"/>
  <c r="G24" i="7"/>
  <c r="H24" i="7" s="1"/>
  <c r="G35" i="7"/>
  <c r="H35" i="7" s="1"/>
  <c r="G23" i="7"/>
  <c r="H23" i="7" s="1"/>
  <c r="G30" i="7"/>
  <c r="H30" i="7" s="1"/>
  <c r="G22" i="7"/>
  <c r="H22" i="7" s="1"/>
  <c r="G29" i="7"/>
  <c r="H29" i="7" s="1"/>
  <c r="G21" i="7"/>
  <c r="H21" i="7" s="1"/>
  <c r="H33" i="7"/>
  <c r="G20" i="7"/>
  <c r="G27" i="7"/>
  <c r="G19" i="7"/>
  <c r="G18" i="7"/>
  <c r="G17" i="7"/>
  <c r="G82" i="7" l="1"/>
  <c r="H82" i="7" s="1"/>
  <c r="G89" i="7"/>
  <c r="H89" i="7" s="1"/>
  <c r="O21" i="7"/>
  <c r="H18" i="7"/>
  <c r="H19" i="7"/>
  <c r="H20" i="7"/>
  <c r="H27" i="7"/>
  <c r="H17" i="7"/>
  <c r="O20" i="7"/>
  <c r="O19" i="7"/>
  <c r="O18" i="7"/>
  <c r="H16" i="7"/>
  <c r="H39" i="7" s="1"/>
  <c r="O39" i="7" l="1"/>
  <c r="B54" i="4" l="1"/>
  <c r="B55" i="4" s="1"/>
  <c r="G49" i="7" l="1"/>
  <c r="G108" i="7" s="1"/>
  <c r="H108" i="7" s="1"/>
  <c r="G48" i="7"/>
  <c r="G47" i="7"/>
  <c r="G46" i="7"/>
  <c r="G107" i="7" s="1"/>
  <c r="H107" i="7" s="1"/>
  <c r="G45" i="7"/>
  <c r="G43" i="7"/>
  <c r="G105" i="7" s="1"/>
  <c r="H105" i="7" s="1"/>
  <c r="G42" i="7"/>
  <c r="G80" i="7" s="1"/>
  <c r="H80" i="7" s="1"/>
  <c r="G40" i="7"/>
  <c r="G78" i="7" s="1"/>
  <c r="H78" i="7" s="1"/>
  <c r="G84" i="7" l="1"/>
  <c r="H84" i="7" s="1"/>
  <c r="G91" i="7"/>
  <c r="H91" i="7" s="1"/>
  <c r="G85" i="7"/>
  <c r="H85" i="7" s="1"/>
  <c r="G92" i="7"/>
  <c r="H92" i="7" s="1"/>
  <c r="G81" i="7"/>
  <c r="H81" i="7" s="1"/>
  <c r="G88" i="7"/>
  <c r="H88" i="7" s="1"/>
  <c r="G86" i="7"/>
  <c r="H86" i="7" s="1"/>
  <c r="G93" i="7"/>
  <c r="H93" i="7" s="1"/>
  <c r="G83" i="7"/>
  <c r="H83" i="7" s="1"/>
  <c r="G90" i="7"/>
  <c r="H90" i="7" s="1"/>
  <c r="G87" i="7"/>
  <c r="H87" i="7" s="1"/>
  <c r="G94" i="7"/>
  <c r="H94" i="7" s="1"/>
  <c r="O49" i="7"/>
  <c r="H49" i="7"/>
  <c r="O48" i="7"/>
  <c r="H48" i="7"/>
  <c r="G10" i="7"/>
  <c r="G74" i="7" s="1"/>
  <c r="H74" i="7" s="1"/>
  <c r="G9" i="7"/>
  <c r="G73" i="7" s="1"/>
  <c r="H73" i="7" s="1"/>
  <c r="G5" i="7"/>
  <c r="G4" i="7"/>
  <c r="G3" i="7"/>
  <c r="G8" i="7" l="1"/>
  <c r="G72" i="7" s="1"/>
  <c r="H72" i="7" s="1"/>
  <c r="G7" i="7"/>
  <c r="G2" i="7"/>
  <c r="O10" i="7" l="1"/>
  <c r="O9" i="7"/>
  <c r="O8" i="7"/>
  <c r="O7" i="7"/>
  <c r="O4" i="7"/>
  <c r="O5" i="7"/>
  <c r="O46" i="7"/>
  <c r="O3" i="7" l="1"/>
  <c r="O47" i="7" l="1"/>
  <c r="B51" i="4" l="1"/>
  <c r="H46" i="7" l="1"/>
  <c r="O2" i="7" l="1"/>
  <c r="O13" i="7" s="1"/>
  <c r="H47" i="7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C48" i="4"/>
  <c r="C47" i="4"/>
  <c r="B9" i="4"/>
  <c r="E7" i="7" s="1"/>
  <c r="F7" i="7" s="1"/>
  <c r="B8" i="4"/>
  <c r="B7" i="4"/>
  <c r="H56" i="7" s="1"/>
  <c r="B52" i="4" l="1"/>
  <c r="D49" i="4"/>
  <c r="H58" i="7"/>
  <c r="H41" i="7"/>
  <c r="H57" i="7"/>
  <c r="H59" i="7"/>
  <c r="E6" i="7"/>
  <c r="F6" i="7" s="1"/>
  <c r="H6" i="7" s="1"/>
  <c r="E9" i="7"/>
  <c r="F9" i="7" s="1"/>
  <c r="H9" i="7" s="1"/>
  <c r="E10" i="7"/>
  <c r="F10" i="7" s="1"/>
  <c r="H10" i="7" s="1"/>
  <c r="E4" i="7"/>
  <c r="F4" i="7" s="1"/>
  <c r="H4" i="7" s="1"/>
  <c r="E8" i="7"/>
  <c r="F8" i="7" s="1"/>
  <c r="H8" i="7" s="1"/>
  <c r="H7" i="7"/>
  <c r="E2" i="7"/>
  <c r="E3" i="7"/>
  <c r="E5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2" i="7" l="1"/>
  <c r="F5" i="7"/>
  <c r="H5" i="7" s="1"/>
  <c r="F3" i="7"/>
  <c r="H3" i="7" s="1"/>
  <c r="H42" i="7"/>
  <c r="H45" i="7"/>
  <c r="O45" i="7"/>
  <c r="H43" i="7"/>
  <c r="O43" i="7"/>
  <c r="F13" i="7" l="1"/>
  <c r="F52" i="7" s="1"/>
  <c r="H2" i="7"/>
  <c r="H13" i="7" s="1"/>
  <c r="D125" i="7"/>
  <c r="H40" i="7"/>
  <c r="O40" i="7"/>
  <c r="H44" i="7"/>
  <c r="O44" i="7"/>
  <c r="H51" i="7" l="1"/>
  <c r="H52" i="7" s="1"/>
  <c r="O51" i="7"/>
  <c r="O52" i="7" l="1"/>
  <c r="D126" i="7" l="1"/>
  <c r="I107" i="7"/>
  <c r="J107" i="7" s="1"/>
  <c r="K107" i="7" s="1"/>
  <c r="L107" i="7" s="1"/>
  <c r="V107" i="7" s="1"/>
  <c r="I106" i="7"/>
  <c r="J106" i="7" s="1"/>
  <c r="K106" i="7" s="1"/>
  <c r="L106" i="7" s="1"/>
  <c r="V106" i="7" s="1"/>
  <c r="I89" i="7"/>
  <c r="J89" i="7" s="1"/>
  <c r="K89" i="7" s="1"/>
  <c r="L89" i="7" s="1"/>
  <c r="V89" i="7" s="1"/>
  <c r="I91" i="7"/>
  <c r="J91" i="7" s="1"/>
  <c r="K91" i="7" s="1"/>
  <c r="L91" i="7" s="1"/>
  <c r="V91" i="7" s="1"/>
  <c r="I93" i="7"/>
  <c r="J93" i="7" s="1"/>
  <c r="K93" i="7" s="1"/>
  <c r="L93" i="7" s="1"/>
  <c r="V93" i="7" s="1"/>
  <c r="I90" i="7"/>
  <c r="J90" i="7" s="1"/>
  <c r="K90" i="7" s="1"/>
  <c r="L90" i="7" s="1"/>
  <c r="V90" i="7" s="1"/>
  <c r="I92" i="7"/>
  <c r="J92" i="7" s="1"/>
  <c r="K92" i="7" s="1"/>
  <c r="L92" i="7" s="1"/>
  <c r="V92" i="7" s="1"/>
  <c r="I94" i="7"/>
  <c r="J94" i="7" s="1"/>
  <c r="K94" i="7" s="1"/>
  <c r="L94" i="7" s="1"/>
  <c r="V94" i="7" s="1"/>
  <c r="I88" i="7"/>
  <c r="J88" i="7" s="1"/>
  <c r="K88" i="7" s="1"/>
  <c r="L88" i="7" s="1"/>
  <c r="V88" i="7" s="1"/>
  <c r="I31" i="7"/>
  <c r="J31" i="7" s="1"/>
  <c r="K31" i="7" s="1"/>
  <c r="L31" i="7" s="1"/>
  <c r="V31" i="7" s="1"/>
  <c r="I80" i="7"/>
  <c r="J80" i="7" s="1"/>
  <c r="K80" i="7" s="1"/>
  <c r="L80" i="7" s="1"/>
  <c r="V80" i="7" s="1"/>
  <c r="I83" i="7"/>
  <c r="J83" i="7" s="1"/>
  <c r="K83" i="7" s="1"/>
  <c r="L83" i="7" s="1"/>
  <c r="V83" i="7" s="1"/>
  <c r="I79" i="7"/>
  <c r="J79" i="7" s="1"/>
  <c r="K79" i="7" s="1"/>
  <c r="L79" i="7" s="1"/>
  <c r="V79" i="7" s="1"/>
  <c r="I82" i="7"/>
  <c r="J82" i="7" s="1"/>
  <c r="K82" i="7" s="1"/>
  <c r="L82" i="7" s="1"/>
  <c r="V82" i="7" s="1"/>
  <c r="I78" i="7"/>
  <c r="J78" i="7" s="1"/>
  <c r="K78" i="7" s="1"/>
  <c r="L78" i="7" s="1"/>
  <c r="V78" i="7" s="1"/>
  <c r="I86" i="7"/>
  <c r="J86" i="7" s="1"/>
  <c r="K86" i="7" s="1"/>
  <c r="L86" i="7" s="1"/>
  <c r="V86" i="7" s="1"/>
  <c r="I84" i="7"/>
  <c r="J84" i="7" s="1"/>
  <c r="K84" i="7" s="1"/>
  <c r="L84" i="7" s="1"/>
  <c r="V84" i="7" s="1"/>
  <c r="I87" i="7"/>
  <c r="J87" i="7" s="1"/>
  <c r="K87" i="7" s="1"/>
  <c r="L87" i="7" s="1"/>
  <c r="V87" i="7" s="1"/>
  <c r="I85" i="7"/>
  <c r="J85" i="7" s="1"/>
  <c r="K85" i="7" s="1"/>
  <c r="L85" i="7" s="1"/>
  <c r="V85" i="7" s="1"/>
  <c r="I81" i="7"/>
  <c r="J81" i="7" s="1"/>
  <c r="K81" i="7" s="1"/>
  <c r="L81" i="7" s="1"/>
  <c r="V81" i="7" s="1"/>
  <c r="I28" i="7"/>
  <c r="J28" i="7" s="1"/>
  <c r="K28" i="7" s="1"/>
  <c r="L28" i="7" s="1"/>
  <c r="I36" i="7"/>
  <c r="J36" i="7" s="1"/>
  <c r="K36" i="7" s="1"/>
  <c r="L36" i="7" s="1"/>
  <c r="V36" i="7" s="1"/>
  <c r="I56" i="7"/>
  <c r="J56" i="7" s="1"/>
  <c r="K56" i="7" s="1"/>
  <c r="I70" i="7"/>
  <c r="J70" i="7" s="1"/>
  <c r="K70" i="7" s="1"/>
  <c r="I73" i="7"/>
  <c r="J73" i="7" s="1"/>
  <c r="K73" i="7" s="1"/>
  <c r="I76" i="7"/>
  <c r="J76" i="7" s="1"/>
  <c r="K76" i="7" s="1"/>
  <c r="L76" i="7" s="1"/>
  <c r="I67" i="7"/>
  <c r="J67" i="7" s="1"/>
  <c r="K67" i="7" s="1"/>
  <c r="I74" i="7"/>
  <c r="J74" i="7" s="1"/>
  <c r="K74" i="7" s="1"/>
  <c r="I68" i="7"/>
  <c r="J68" i="7" s="1"/>
  <c r="K68" i="7" s="1"/>
  <c r="I71" i="7"/>
  <c r="J71" i="7" s="1"/>
  <c r="K71" i="7" s="1"/>
  <c r="L71" i="7" s="1"/>
  <c r="I75" i="7"/>
  <c r="J75" i="7" s="1"/>
  <c r="K75" i="7" s="1"/>
  <c r="I77" i="7"/>
  <c r="J77" i="7" s="1"/>
  <c r="K77" i="7" s="1"/>
  <c r="L77" i="7" s="1"/>
  <c r="I69" i="7"/>
  <c r="J69" i="7" s="1"/>
  <c r="K69" i="7" s="1"/>
  <c r="I72" i="7"/>
  <c r="J72" i="7" s="1"/>
  <c r="K72" i="7" s="1"/>
  <c r="I66" i="7"/>
  <c r="J66" i="7" s="1"/>
  <c r="K66" i="7" s="1"/>
  <c r="I109" i="7"/>
  <c r="J109" i="7" s="1"/>
  <c r="K109" i="7" s="1"/>
  <c r="I112" i="7"/>
  <c r="J112" i="7" s="1"/>
  <c r="K112" i="7" s="1"/>
  <c r="I100" i="7"/>
  <c r="J100" i="7" s="1"/>
  <c r="K100" i="7" s="1"/>
  <c r="I114" i="7"/>
  <c r="J114" i="7" s="1"/>
  <c r="K114" i="7" s="1"/>
  <c r="I115" i="7"/>
  <c r="J115" i="7" s="1"/>
  <c r="K115" i="7" s="1"/>
  <c r="I111" i="7"/>
  <c r="J111" i="7" s="1"/>
  <c r="K111" i="7" s="1"/>
  <c r="I113" i="7"/>
  <c r="J113" i="7" s="1"/>
  <c r="K113" i="7" s="1"/>
  <c r="I101" i="7"/>
  <c r="J101" i="7" s="1"/>
  <c r="K101" i="7" s="1"/>
  <c r="I99" i="7"/>
  <c r="J99" i="7" s="1"/>
  <c r="K99" i="7" s="1"/>
  <c r="I103" i="7"/>
  <c r="J103" i="7" s="1"/>
  <c r="K103" i="7" s="1"/>
  <c r="I110" i="7"/>
  <c r="J110" i="7" s="1"/>
  <c r="K110" i="7" s="1"/>
  <c r="I102" i="7"/>
  <c r="J102" i="7" s="1"/>
  <c r="K102" i="7" s="1"/>
  <c r="I60" i="7"/>
  <c r="J60" i="7" s="1"/>
  <c r="K60" i="7" s="1"/>
  <c r="L60" i="7" s="1"/>
  <c r="V60" i="7" s="1"/>
  <c r="I59" i="7"/>
  <c r="J59" i="7" s="1"/>
  <c r="K59" i="7" s="1"/>
  <c r="L59" i="7" s="1"/>
  <c r="I58" i="7"/>
  <c r="J58" i="7" s="1"/>
  <c r="K58" i="7" s="1"/>
  <c r="L58" i="7" s="1"/>
  <c r="I57" i="7"/>
  <c r="J57" i="7" s="1"/>
  <c r="K57" i="7" s="1"/>
  <c r="I98" i="7"/>
  <c r="J98" i="7" s="1"/>
  <c r="K98" i="7" s="1"/>
  <c r="I97" i="7"/>
  <c r="J97" i="7" s="1"/>
  <c r="K97" i="7" s="1"/>
  <c r="I41" i="7"/>
  <c r="J41" i="7" s="1"/>
  <c r="K41" i="7" s="1"/>
  <c r="L41" i="7" s="1"/>
  <c r="V41" i="7" s="1"/>
  <c r="I6" i="7"/>
  <c r="J6" i="7" s="1"/>
  <c r="K6" i="7" s="1"/>
  <c r="I29" i="7"/>
  <c r="J29" i="7" s="1"/>
  <c r="K29" i="7" s="1"/>
  <c r="I30" i="7"/>
  <c r="J30" i="7" s="1"/>
  <c r="K30" i="7" s="1"/>
  <c r="I35" i="7"/>
  <c r="J35" i="7" s="1"/>
  <c r="K35" i="7" s="1"/>
  <c r="I25" i="7"/>
  <c r="J25" i="7" s="1"/>
  <c r="K25" i="7" s="1"/>
  <c r="I21" i="7"/>
  <c r="J21" i="7" s="1"/>
  <c r="K21" i="7" s="1"/>
  <c r="I33" i="7"/>
  <c r="J33" i="7" s="1"/>
  <c r="K33" i="7" s="1"/>
  <c r="I22" i="7"/>
  <c r="J22" i="7" s="1"/>
  <c r="K22" i="7" s="1"/>
  <c r="I23" i="7"/>
  <c r="J23" i="7" s="1"/>
  <c r="K23" i="7" s="1"/>
  <c r="I24" i="7"/>
  <c r="J24" i="7" s="1"/>
  <c r="K24" i="7" s="1"/>
  <c r="I20" i="7"/>
  <c r="J20" i="7" s="1"/>
  <c r="K20" i="7" s="1"/>
  <c r="I18" i="7"/>
  <c r="J18" i="7" s="1"/>
  <c r="K18" i="7" s="1"/>
  <c r="I16" i="7"/>
  <c r="I19" i="7"/>
  <c r="J19" i="7" s="1"/>
  <c r="K19" i="7" s="1"/>
  <c r="I17" i="7"/>
  <c r="J17" i="7" s="1"/>
  <c r="K17" i="7" s="1"/>
  <c r="I27" i="7"/>
  <c r="J27" i="7" s="1"/>
  <c r="K27" i="7" s="1"/>
  <c r="I8" i="7"/>
  <c r="J8" i="7" s="1"/>
  <c r="K8" i="7" s="1"/>
  <c r="I4" i="7"/>
  <c r="J4" i="7" s="1"/>
  <c r="K4" i="7" s="1"/>
  <c r="L4" i="7" s="1"/>
  <c r="V4" i="7" s="1"/>
  <c r="I46" i="7"/>
  <c r="J46" i="7" s="1"/>
  <c r="K46" i="7" s="1"/>
  <c r="I44" i="7"/>
  <c r="J44" i="7" s="1"/>
  <c r="K44" i="7" s="1"/>
  <c r="I5" i="7"/>
  <c r="J5" i="7" s="1"/>
  <c r="K5" i="7" s="1"/>
  <c r="I40" i="7"/>
  <c r="I45" i="7"/>
  <c r="J45" i="7" s="1"/>
  <c r="K45" i="7" s="1"/>
  <c r="I48" i="7"/>
  <c r="J48" i="7" s="1"/>
  <c r="K48" i="7" s="1"/>
  <c r="I7" i="7"/>
  <c r="J7" i="7" s="1"/>
  <c r="K7" i="7" s="1"/>
  <c r="I49" i="7"/>
  <c r="J49" i="7" s="1"/>
  <c r="K49" i="7" s="1"/>
  <c r="I42" i="7"/>
  <c r="J42" i="7" s="1"/>
  <c r="K42" i="7" s="1"/>
  <c r="L42" i="7" s="1"/>
  <c r="I9" i="7"/>
  <c r="J9" i="7" s="1"/>
  <c r="K9" i="7" s="1"/>
  <c r="I47" i="7"/>
  <c r="J47" i="7" s="1"/>
  <c r="K47" i="7" s="1"/>
  <c r="I3" i="7"/>
  <c r="J3" i="7" s="1"/>
  <c r="K3" i="7" s="1"/>
  <c r="I10" i="7"/>
  <c r="J10" i="7" s="1"/>
  <c r="K10" i="7" s="1"/>
  <c r="L10" i="7" s="1"/>
  <c r="I43" i="7"/>
  <c r="J43" i="7" s="1"/>
  <c r="K43" i="7" s="1"/>
  <c r="D39" i="16" l="1"/>
  <c r="N77" i="7"/>
  <c r="V58" i="7"/>
  <c r="D18" i="16"/>
  <c r="V59" i="7"/>
  <c r="D19" i="16"/>
  <c r="N76" i="7"/>
  <c r="D38" i="16"/>
  <c r="E38" i="16" s="1"/>
  <c r="D33" i="16"/>
  <c r="E33" i="16" s="1"/>
  <c r="V71" i="7"/>
  <c r="E39" i="16"/>
  <c r="V77" i="7"/>
  <c r="V10" i="7"/>
  <c r="N10" i="7"/>
  <c r="W10" i="7" s="1"/>
  <c r="D48" i="16"/>
  <c r="E48" i="16" s="1"/>
  <c r="V42" i="7"/>
  <c r="V76" i="7"/>
  <c r="N28" i="7"/>
  <c r="W28" i="7" s="1"/>
  <c r="V28" i="7"/>
  <c r="I108" i="7"/>
  <c r="J108" i="7" s="1"/>
  <c r="K108" i="7" s="1"/>
  <c r="L108" i="7" s="1"/>
  <c r="V108" i="7" s="1"/>
  <c r="I26" i="7"/>
  <c r="J26" i="7" s="1"/>
  <c r="K26" i="7" s="1"/>
  <c r="L26" i="7" s="1"/>
  <c r="I51" i="7"/>
  <c r="I105" i="7"/>
  <c r="J105" i="7" s="1"/>
  <c r="K105" i="7" s="1"/>
  <c r="L105" i="7" s="1"/>
  <c r="V105" i="7" s="1"/>
  <c r="I62" i="7"/>
  <c r="J62" i="7" s="1"/>
  <c r="K62" i="7" s="1"/>
  <c r="L62" i="7" s="1"/>
  <c r="D32" i="16" s="1"/>
  <c r="D9" i="16"/>
  <c r="E9" i="16" s="1"/>
  <c r="N4" i="7"/>
  <c r="W4" i="7" s="1"/>
  <c r="I104" i="7"/>
  <c r="J104" i="7" s="1"/>
  <c r="K104" i="7" s="1"/>
  <c r="L104" i="7" s="1"/>
  <c r="D106" i="16" s="1"/>
  <c r="I95" i="7"/>
  <c r="J95" i="7" s="1"/>
  <c r="K95" i="7" s="1"/>
  <c r="L95" i="7" s="1"/>
  <c r="I96" i="7"/>
  <c r="J96" i="7" s="1"/>
  <c r="K96" i="7" s="1"/>
  <c r="I34" i="7"/>
  <c r="J34" i="7" s="1"/>
  <c r="K34" i="7" s="1"/>
  <c r="L34" i="7" s="1"/>
  <c r="D117" i="16" s="1"/>
  <c r="I2" i="7"/>
  <c r="I13" i="7" s="1"/>
  <c r="I32" i="7"/>
  <c r="J32" i="7" s="1"/>
  <c r="K32" i="7" s="1"/>
  <c r="L32" i="7" s="1"/>
  <c r="D112" i="16" s="1"/>
  <c r="I64" i="7"/>
  <c r="J64" i="7" s="1"/>
  <c r="K64" i="7" s="1"/>
  <c r="L64" i="7" s="1"/>
  <c r="I63" i="7"/>
  <c r="J63" i="7" s="1"/>
  <c r="K63" i="7" s="1"/>
  <c r="L63" i="7" s="1"/>
  <c r="I61" i="7"/>
  <c r="J61" i="7" s="1"/>
  <c r="K61" i="7" s="1"/>
  <c r="L61" i="7" s="1"/>
  <c r="I117" i="7"/>
  <c r="J117" i="7" s="1"/>
  <c r="K117" i="7" s="1"/>
  <c r="L117" i="7" s="1"/>
  <c r="I116" i="7"/>
  <c r="J116" i="7" s="1"/>
  <c r="K116" i="7" s="1"/>
  <c r="L116" i="7" s="1"/>
  <c r="N94" i="7"/>
  <c r="W94" i="7" s="1"/>
  <c r="D72" i="16"/>
  <c r="E72" i="16" s="1"/>
  <c r="N91" i="7"/>
  <c r="W91" i="7" s="1"/>
  <c r="D69" i="16"/>
  <c r="E69" i="16" s="1"/>
  <c r="D116" i="16"/>
  <c r="E116" i="16" s="1"/>
  <c r="N107" i="7"/>
  <c r="W107" i="7" s="1"/>
  <c r="N36" i="7"/>
  <c r="D123" i="16"/>
  <c r="E123" i="16" s="1"/>
  <c r="N92" i="7"/>
  <c r="W92" i="7" s="1"/>
  <c r="D70" i="16"/>
  <c r="E70" i="16" s="1"/>
  <c r="N89" i="7"/>
  <c r="W89" i="7" s="1"/>
  <c r="D67" i="16"/>
  <c r="E67" i="16" s="1"/>
  <c r="D108" i="16"/>
  <c r="E108" i="16" s="1"/>
  <c r="N31" i="7"/>
  <c r="D111" i="16"/>
  <c r="E111" i="16" s="1"/>
  <c r="N90" i="7"/>
  <c r="W90" i="7" s="1"/>
  <c r="D68" i="16"/>
  <c r="E68" i="16" s="1"/>
  <c r="E106" i="16"/>
  <c r="N88" i="7"/>
  <c r="W88" i="7" s="1"/>
  <c r="D66" i="16"/>
  <c r="E66" i="16" s="1"/>
  <c r="N93" i="7"/>
  <c r="W93" i="7" s="1"/>
  <c r="D71" i="16"/>
  <c r="E71" i="16" s="1"/>
  <c r="N106" i="7"/>
  <c r="W106" i="7" s="1"/>
  <c r="D114" i="16"/>
  <c r="E114" i="16" s="1"/>
  <c r="N87" i="7"/>
  <c r="W87" i="7" s="1"/>
  <c r="D65" i="16"/>
  <c r="E65" i="16" s="1"/>
  <c r="N82" i="7"/>
  <c r="W82" i="7" s="1"/>
  <c r="D60" i="16"/>
  <c r="E60" i="16" s="1"/>
  <c r="N84" i="7"/>
  <c r="W84" i="7" s="1"/>
  <c r="D62" i="16"/>
  <c r="E62" i="16" s="1"/>
  <c r="N79" i="7"/>
  <c r="W79" i="7" s="1"/>
  <c r="D57" i="16"/>
  <c r="E57" i="16" s="1"/>
  <c r="N81" i="7"/>
  <c r="W81" i="7" s="1"/>
  <c r="D59" i="16"/>
  <c r="E59" i="16" s="1"/>
  <c r="N86" i="7"/>
  <c r="W86" i="7" s="1"/>
  <c r="D64" i="16"/>
  <c r="E64" i="16" s="1"/>
  <c r="N83" i="7"/>
  <c r="W83" i="7" s="1"/>
  <c r="D61" i="16"/>
  <c r="E61" i="16" s="1"/>
  <c r="N85" i="7"/>
  <c r="W85" i="7" s="1"/>
  <c r="D63" i="16"/>
  <c r="E63" i="16" s="1"/>
  <c r="N78" i="7"/>
  <c r="W78" i="7" s="1"/>
  <c r="D56" i="16"/>
  <c r="E56" i="16" s="1"/>
  <c r="N80" i="7"/>
  <c r="W80" i="7" s="1"/>
  <c r="D58" i="16"/>
  <c r="E58" i="16" s="1"/>
  <c r="N59" i="7"/>
  <c r="W59" i="7" s="1"/>
  <c r="E19" i="16"/>
  <c r="N58" i="7"/>
  <c r="W58" i="7" s="1"/>
  <c r="E18" i="16"/>
  <c r="J40" i="7"/>
  <c r="K40" i="7" s="1"/>
  <c r="L40" i="7" s="1"/>
  <c r="L3" i="7"/>
  <c r="V3" i="7" s="1"/>
  <c r="L5" i="7"/>
  <c r="V5" i="7" s="1"/>
  <c r="L8" i="7"/>
  <c r="V8" i="7" s="1"/>
  <c r="L19" i="7"/>
  <c r="V19" i="7" s="1"/>
  <c r="L23" i="7"/>
  <c r="V23" i="7" s="1"/>
  <c r="L25" i="7"/>
  <c r="V25" i="7" s="1"/>
  <c r="L103" i="7"/>
  <c r="V103" i="7" s="1"/>
  <c r="L111" i="7"/>
  <c r="V111" i="7" s="1"/>
  <c r="L112" i="7"/>
  <c r="V112" i="7" s="1"/>
  <c r="L69" i="7"/>
  <c r="V69" i="7" s="1"/>
  <c r="L68" i="7"/>
  <c r="V68" i="7" s="1"/>
  <c r="L48" i="7"/>
  <c r="V48" i="7" s="1"/>
  <c r="L44" i="7"/>
  <c r="V44" i="7" s="1"/>
  <c r="L27" i="7"/>
  <c r="V27" i="7" s="1"/>
  <c r="L22" i="7"/>
  <c r="V22" i="7" s="1"/>
  <c r="L35" i="7"/>
  <c r="V35" i="7" s="1"/>
  <c r="L6" i="7"/>
  <c r="V6" i="7" s="1"/>
  <c r="L97" i="7"/>
  <c r="V97" i="7" s="1"/>
  <c r="L99" i="7"/>
  <c r="V99" i="7" s="1"/>
  <c r="L115" i="7"/>
  <c r="V115" i="7" s="1"/>
  <c r="L109" i="7"/>
  <c r="V109" i="7" s="1"/>
  <c r="L74" i="7"/>
  <c r="V74" i="7" s="1"/>
  <c r="L73" i="7"/>
  <c r="V73" i="7" s="1"/>
  <c r="L43" i="7"/>
  <c r="V43" i="7" s="1"/>
  <c r="L47" i="7"/>
  <c r="V47" i="7" s="1"/>
  <c r="L7" i="7"/>
  <c r="V7" i="7" s="1"/>
  <c r="L45" i="7"/>
  <c r="V45" i="7" s="1"/>
  <c r="L46" i="7"/>
  <c r="V46" i="7" s="1"/>
  <c r="L18" i="7"/>
  <c r="V18" i="7" s="1"/>
  <c r="L33" i="7"/>
  <c r="V33" i="7" s="1"/>
  <c r="L30" i="7"/>
  <c r="V30" i="7" s="1"/>
  <c r="L98" i="7"/>
  <c r="V98" i="7" s="1"/>
  <c r="L101" i="7"/>
  <c r="V101" i="7" s="1"/>
  <c r="L114" i="7"/>
  <c r="V114" i="7" s="1"/>
  <c r="L66" i="7"/>
  <c r="V66" i="7" s="1"/>
  <c r="L75" i="7"/>
  <c r="L70" i="7"/>
  <c r="V70" i="7" s="1"/>
  <c r="L9" i="7"/>
  <c r="V9" i="7" s="1"/>
  <c r="L49" i="7"/>
  <c r="V49" i="7" s="1"/>
  <c r="L17" i="7"/>
  <c r="V17" i="7" s="1"/>
  <c r="L20" i="7"/>
  <c r="V20" i="7" s="1"/>
  <c r="L24" i="7"/>
  <c r="L21" i="7"/>
  <c r="V21" i="7" s="1"/>
  <c r="L29" i="7"/>
  <c r="V29" i="7" s="1"/>
  <c r="L57" i="7"/>
  <c r="L102" i="7"/>
  <c r="V102" i="7" s="1"/>
  <c r="L110" i="7"/>
  <c r="V110" i="7" s="1"/>
  <c r="L113" i="7"/>
  <c r="V113" i="7" s="1"/>
  <c r="L100" i="7"/>
  <c r="V100" i="7" s="1"/>
  <c r="L72" i="7"/>
  <c r="V72" i="7" s="1"/>
  <c r="L67" i="7"/>
  <c r="V67" i="7" s="1"/>
  <c r="L56" i="7"/>
  <c r="V56" i="7" s="1"/>
  <c r="J16" i="7"/>
  <c r="K16" i="7" s="1"/>
  <c r="N42" i="7"/>
  <c r="W42" i="7" s="1"/>
  <c r="V26" i="7" l="1"/>
  <c r="D104" i="16"/>
  <c r="N105" i="7"/>
  <c r="W105" i="7" s="1"/>
  <c r="D113" i="16"/>
  <c r="E113" i="16" s="1"/>
  <c r="V57" i="7"/>
  <c r="D17" i="16"/>
  <c r="E17" i="16" s="1"/>
  <c r="D119" i="16"/>
  <c r="E119" i="16" s="1"/>
  <c r="V75" i="7"/>
  <c r="D37" i="16"/>
  <c r="E37" i="16" s="1"/>
  <c r="N108" i="7"/>
  <c r="W108" i="7" s="1"/>
  <c r="N34" i="7"/>
  <c r="P34" i="7" s="1"/>
  <c r="Q34" i="7" s="1"/>
  <c r="V34" i="7"/>
  <c r="D74" i="16"/>
  <c r="E74" i="16" s="1"/>
  <c r="V95" i="7"/>
  <c r="N24" i="7"/>
  <c r="W24" i="7" s="1"/>
  <c r="V24" i="7"/>
  <c r="N104" i="7"/>
  <c r="W104" i="7" s="1"/>
  <c r="V104" i="7"/>
  <c r="P31" i="7"/>
  <c r="Q31" i="7" s="1"/>
  <c r="W31" i="7"/>
  <c r="N116" i="7"/>
  <c r="W116" i="7" s="1"/>
  <c r="V116" i="7"/>
  <c r="D46" i="16"/>
  <c r="E46" i="16" s="1"/>
  <c r="V40" i="7"/>
  <c r="N117" i="7"/>
  <c r="W117" i="7" s="1"/>
  <c r="V117" i="7"/>
  <c r="N62" i="7"/>
  <c r="W62" i="7" s="1"/>
  <c r="V62" i="7"/>
  <c r="D23" i="16"/>
  <c r="E23" i="16" s="1"/>
  <c r="V61" i="7"/>
  <c r="N63" i="7"/>
  <c r="W63" i="7" s="1"/>
  <c r="V63" i="7"/>
  <c r="P36" i="7"/>
  <c r="Q36" i="7" s="1"/>
  <c r="W36" i="7"/>
  <c r="D43" i="16"/>
  <c r="E43" i="16" s="1"/>
  <c r="V64" i="7"/>
  <c r="N32" i="7"/>
  <c r="W32" i="7" s="1"/>
  <c r="V32" i="7"/>
  <c r="P42" i="7"/>
  <c r="Q42" i="7" s="1"/>
  <c r="R42" i="7"/>
  <c r="S42" i="7" s="1"/>
  <c r="T42" i="7" s="1"/>
  <c r="R28" i="7"/>
  <c r="S28" i="7" s="1"/>
  <c r="T28" i="7" s="1"/>
  <c r="P28" i="7"/>
  <c r="Q28" i="7" s="1"/>
  <c r="N95" i="7"/>
  <c r="W95" i="7" s="1"/>
  <c r="J2" i="7"/>
  <c r="K2" i="7" s="1"/>
  <c r="L2" i="7" s="1"/>
  <c r="N26" i="7"/>
  <c r="W26" i="7" s="1"/>
  <c r="I39" i="7"/>
  <c r="I52" i="7" s="1"/>
  <c r="L96" i="7"/>
  <c r="D77" i="16" s="1"/>
  <c r="E77" i="16" s="1"/>
  <c r="N64" i="7"/>
  <c r="W64" i="7" s="1"/>
  <c r="E117" i="16"/>
  <c r="N61" i="7"/>
  <c r="W61" i="7" s="1"/>
  <c r="R32" i="7"/>
  <c r="S32" i="7" s="1"/>
  <c r="T32" i="7" s="1"/>
  <c r="P32" i="7"/>
  <c r="Q32" i="7" s="1"/>
  <c r="R31" i="7"/>
  <c r="S31" i="7" s="1"/>
  <c r="T31" i="7" s="1"/>
  <c r="R36" i="7"/>
  <c r="S36" i="7" s="1"/>
  <c r="T36" i="7" s="1"/>
  <c r="N29" i="7"/>
  <c r="D109" i="16"/>
  <c r="E109" i="16" s="1"/>
  <c r="N115" i="7"/>
  <c r="W115" i="7" s="1"/>
  <c r="D134" i="16"/>
  <c r="E134" i="16" s="1"/>
  <c r="N25" i="7"/>
  <c r="D102" i="16"/>
  <c r="E102" i="16" s="1"/>
  <c r="N110" i="7"/>
  <c r="W110" i="7" s="1"/>
  <c r="D128" i="16"/>
  <c r="E128" i="16" s="1"/>
  <c r="N17" i="7"/>
  <c r="D94" i="16"/>
  <c r="E94" i="16" s="1"/>
  <c r="N102" i="7"/>
  <c r="W102" i="7" s="1"/>
  <c r="D103" i="16"/>
  <c r="E103" i="16" s="1"/>
  <c r="N21" i="7"/>
  <c r="D98" i="16"/>
  <c r="E98" i="16" s="1"/>
  <c r="N30" i="7"/>
  <c r="D110" i="16"/>
  <c r="E110" i="16" s="1"/>
  <c r="N35" i="7"/>
  <c r="D118" i="16"/>
  <c r="E118" i="16" s="1"/>
  <c r="N112" i="7"/>
  <c r="W112" i="7" s="1"/>
  <c r="D130" i="16"/>
  <c r="E130" i="16" s="1"/>
  <c r="N23" i="7"/>
  <c r="D100" i="16"/>
  <c r="E100" i="16" s="1"/>
  <c r="N33" i="7"/>
  <c r="D115" i="16"/>
  <c r="E115" i="16" s="1"/>
  <c r="E104" i="16"/>
  <c r="N22" i="7"/>
  <c r="D99" i="16"/>
  <c r="E99" i="16" s="1"/>
  <c r="N111" i="7"/>
  <c r="W111" i="7" s="1"/>
  <c r="D129" i="16"/>
  <c r="E129" i="16" s="1"/>
  <c r="N19" i="7"/>
  <c r="D96" i="16"/>
  <c r="E96" i="16" s="1"/>
  <c r="R24" i="7"/>
  <c r="S24" i="7" s="1"/>
  <c r="T24" i="7" s="1"/>
  <c r="D101" i="16"/>
  <c r="E101" i="16" s="1"/>
  <c r="N113" i="7"/>
  <c r="W113" i="7" s="1"/>
  <c r="D132" i="16"/>
  <c r="E132" i="16" s="1"/>
  <c r="N20" i="7"/>
  <c r="D97" i="16"/>
  <c r="E97" i="16" s="1"/>
  <c r="N114" i="7"/>
  <c r="W114" i="7" s="1"/>
  <c r="D133" i="16"/>
  <c r="E133" i="16" s="1"/>
  <c r="N18" i="7"/>
  <c r="D95" i="16"/>
  <c r="E95" i="16" s="1"/>
  <c r="N109" i="7"/>
  <c r="W109" i="7" s="1"/>
  <c r="D124" i="16"/>
  <c r="E124" i="16" s="1"/>
  <c r="N27" i="7"/>
  <c r="W27" i="7" s="1"/>
  <c r="D107" i="16"/>
  <c r="E107" i="16" s="1"/>
  <c r="N103" i="7"/>
  <c r="W103" i="7" s="1"/>
  <c r="D105" i="16"/>
  <c r="E105" i="16" s="1"/>
  <c r="E112" i="16"/>
  <c r="N100" i="7"/>
  <c r="W100" i="7" s="1"/>
  <c r="D82" i="16"/>
  <c r="E82" i="16" s="1"/>
  <c r="N98" i="7"/>
  <c r="W98" i="7" s="1"/>
  <c r="D79" i="16"/>
  <c r="E79" i="16" s="1"/>
  <c r="N97" i="7"/>
  <c r="W97" i="7" s="1"/>
  <c r="D78" i="16"/>
  <c r="E78" i="16" s="1"/>
  <c r="N101" i="7"/>
  <c r="W101" i="7" s="1"/>
  <c r="D83" i="16"/>
  <c r="E83" i="16" s="1"/>
  <c r="N99" i="7"/>
  <c r="W99" i="7" s="1"/>
  <c r="D81" i="16"/>
  <c r="E81" i="16" s="1"/>
  <c r="N45" i="7"/>
  <c r="D51" i="16"/>
  <c r="E51" i="16" s="1"/>
  <c r="N47" i="7"/>
  <c r="D53" i="16"/>
  <c r="E53" i="16" s="1"/>
  <c r="N49" i="7"/>
  <c r="D55" i="16"/>
  <c r="E55" i="16" s="1"/>
  <c r="N48" i="7"/>
  <c r="D54" i="16"/>
  <c r="E54" i="16" s="1"/>
  <c r="N46" i="7"/>
  <c r="D52" i="16"/>
  <c r="E52" i="16" s="1"/>
  <c r="N43" i="7"/>
  <c r="D49" i="16"/>
  <c r="E49" i="16" s="1"/>
  <c r="N44" i="7"/>
  <c r="D50" i="16"/>
  <c r="E50" i="16" s="1"/>
  <c r="N40" i="7"/>
  <c r="N67" i="7"/>
  <c r="W67" i="7" s="1"/>
  <c r="D28" i="16"/>
  <c r="E28" i="16" s="1"/>
  <c r="D42" i="16"/>
  <c r="E42" i="16" s="1"/>
  <c r="N72" i="7"/>
  <c r="W72" i="7" s="1"/>
  <c r="D34" i="16"/>
  <c r="E34" i="16" s="1"/>
  <c r="N75" i="7"/>
  <c r="W75" i="7" s="1"/>
  <c r="N73" i="7"/>
  <c r="W73" i="7" s="1"/>
  <c r="D35" i="16"/>
  <c r="E35" i="16" s="1"/>
  <c r="N3" i="7"/>
  <c r="D8" i="16"/>
  <c r="E8" i="16" s="1"/>
  <c r="E32" i="16"/>
  <c r="N6" i="7"/>
  <c r="D11" i="16"/>
  <c r="E11" i="16" s="1"/>
  <c r="N69" i="7"/>
  <c r="D30" i="16"/>
  <c r="E30" i="16" s="1"/>
  <c r="N5" i="7"/>
  <c r="D10" i="16"/>
  <c r="E10" i="16" s="1"/>
  <c r="N57" i="7"/>
  <c r="W57" i="7" s="1"/>
  <c r="N9" i="7"/>
  <c r="D15" i="16"/>
  <c r="E15" i="16" s="1"/>
  <c r="N66" i="7"/>
  <c r="W66" i="7" s="1"/>
  <c r="D27" i="16"/>
  <c r="E27" i="16" s="1"/>
  <c r="N60" i="7"/>
  <c r="W60" i="7" s="1"/>
  <c r="D22" i="16"/>
  <c r="E22" i="16" s="1"/>
  <c r="N7" i="7"/>
  <c r="D13" i="16"/>
  <c r="E13" i="16" s="1"/>
  <c r="N74" i="7"/>
  <c r="W74" i="7" s="1"/>
  <c r="D36" i="16"/>
  <c r="E36" i="16" s="1"/>
  <c r="R10" i="7"/>
  <c r="S10" i="7" s="1"/>
  <c r="T10" i="7" s="1"/>
  <c r="D16" i="16"/>
  <c r="E16" i="16" s="1"/>
  <c r="N56" i="7"/>
  <c r="W56" i="7" s="1"/>
  <c r="D12" i="16"/>
  <c r="E12" i="16" s="1"/>
  <c r="N41" i="7"/>
  <c r="W41" i="7" s="1"/>
  <c r="D47" i="16"/>
  <c r="E47" i="16" s="1"/>
  <c r="N70" i="7"/>
  <c r="W70" i="7" s="1"/>
  <c r="D31" i="16"/>
  <c r="E31" i="16" s="1"/>
  <c r="N68" i="7"/>
  <c r="D29" i="16"/>
  <c r="E29" i="16" s="1"/>
  <c r="N8" i="7"/>
  <c r="D14" i="16"/>
  <c r="E14" i="16" s="1"/>
  <c r="L16" i="7"/>
  <c r="P4" i="7"/>
  <c r="Q4" i="7" s="1"/>
  <c r="R4" i="7"/>
  <c r="S4" i="7" s="1"/>
  <c r="T4" i="7" s="1"/>
  <c r="N2" i="7" l="1"/>
  <c r="W2" i="7" s="1"/>
  <c r="V2" i="7"/>
  <c r="R43" i="7"/>
  <c r="S43" i="7" s="1"/>
  <c r="T43" i="7" s="1"/>
  <c r="W43" i="7"/>
  <c r="R33" i="7"/>
  <c r="S33" i="7" s="1"/>
  <c r="T33" i="7" s="1"/>
  <c r="W33" i="7"/>
  <c r="R5" i="7"/>
  <c r="S5" i="7" s="1"/>
  <c r="T5" i="7" s="1"/>
  <c r="W5" i="7"/>
  <c r="R46" i="7"/>
  <c r="S46" i="7" s="1"/>
  <c r="T46" i="7" s="1"/>
  <c r="W46" i="7"/>
  <c r="R23" i="7"/>
  <c r="S23" i="7" s="1"/>
  <c r="T23" i="7" s="1"/>
  <c r="W23" i="7"/>
  <c r="P17" i="7"/>
  <c r="Q17" i="7" s="1"/>
  <c r="W17" i="7"/>
  <c r="W76" i="7"/>
  <c r="W68" i="7"/>
  <c r="W77" i="7"/>
  <c r="W69" i="7"/>
  <c r="R48" i="7"/>
  <c r="S48" i="7" s="1"/>
  <c r="T48" i="7" s="1"/>
  <c r="W48" i="7"/>
  <c r="R19" i="7"/>
  <c r="S19" i="7" s="1"/>
  <c r="T19" i="7" s="1"/>
  <c r="W19" i="7"/>
  <c r="R49" i="7"/>
  <c r="S49" i="7" s="1"/>
  <c r="T49" i="7" s="1"/>
  <c r="W49" i="7"/>
  <c r="P29" i="7"/>
  <c r="Q29" i="7" s="1"/>
  <c r="W29" i="7"/>
  <c r="R18" i="7"/>
  <c r="S18" i="7" s="1"/>
  <c r="T18" i="7" s="1"/>
  <c r="W18" i="7"/>
  <c r="R35" i="7"/>
  <c r="S35" i="7" s="1"/>
  <c r="T35" i="7" s="1"/>
  <c r="W35" i="7"/>
  <c r="R25" i="7"/>
  <c r="S25" i="7" s="1"/>
  <c r="T25" i="7" s="1"/>
  <c r="W25" i="7"/>
  <c r="P8" i="7"/>
  <c r="Q8" i="7" s="1"/>
  <c r="W8" i="7"/>
  <c r="P7" i="7"/>
  <c r="Q7" i="7" s="1"/>
  <c r="W7" i="7"/>
  <c r="R6" i="7"/>
  <c r="S6" i="7" s="1"/>
  <c r="T6" i="7" s="1"/>
  <c r="W6" i="7"/>
  <c r="R40" i="7"/>
  <c r="S40" i="7" s="1"/>
  <c r="W40" i="7"/>
  <c r="R47" i="7"/>
  <c r="S47" i="7" s="1"/>
  <c r="T47" i="7" s="1"/>
  <c r="W47" i="7"/>
  <c r="N96" i="7"/>
  <c r="W96" i="7" s="1"/>
  <c r="V96" i="7"/>
  <c r="R21" i="7"/>
  <c r="S21" i="7" s="1"/>
  <c r="T21" i="7" s="1"/>
  <c r="W21" i="7"/>
  <c r="P3" i="7"/>
  <c r="Q3" i="7" s="1"/>
  <c r="W3" i="7"/>
  <c r="R22" i="7"/>
  <c r="S22" i="7" s="1"/>
  <c r="T22" i="7" s="1"/>
  <c r="W22" i="7"/>
  <c r="P30" i="7"/>
  <c r="Q30" i="7" s="1"/>
  <c r="W30" i="7"/>
  <c r="N16" i="7"/>
  <c r="W16" i="7" s="1"/>
  <c r="V16" i="7"/>
  <c r="R20" i="7"/>
  <c r="S20" i="7" s="1"/>
  <c r="T20" i="7" s="1"/>
  <c r="W20" i="7"/>
  <c r="P9" i="7"/>
  <c r="Q9" i="7" s="1"/>
  <c r="W9" i="7"/>
  <c r="P44" i="7"/>
  <c r="Q44" i="7" s="1"/>
  <c r="W44" i="7"/>
  <c r="R45" i="7"/>
  <c r="S45" i="7" s="1"/>
  <c r="T45" i="7" s="1"/>
  <c r="W45" i="7"/>
  <c r="R34" i="7"/>
  <c r="S34" i="7" s="1"/>
  <c r="T34" i="7" s="1"/>
  <c r="W34" i="7"/>
  <c r="P26" i="7"/>
  <c r="Q26" i="7" s="1"/>
  <c r="R26" i="7"/>
  <c r="S26" i="7" s="1"/>
  <c r="T26" i="7" s="1"/>
  <c r="P41" i="7"/>
  <c r="Q41" i="7" s="1"/>
  <c r="R41" i="7"/>
  <c r="S41" i="7" s="1"/>
  <c r="T41" i="7" s="1"/>
  <c r="R27" i="7"/>
  <c r="S27" i="7" s="1"/>
  <c r="T27" i="7" s="1"/>
  <c r="P27" i="7"/>
  <c r="Q27" i="7" s="1"/>
  <c r="P23" i="7"/>
  <c r="Q23" i="7" s="1"/>
  <c r="P18" i="7"/>
  <c r="Q18" i="7" s="1"/>
  <c r="R17" i="7"/>
  <c r="S17" i="7" s="1"/>
  <c r="T17" i="7" s="1"/>
  <c r="P24" i="7"/>
  <c r="Q24" i="7" s="1"/>
  <c r="R29" i="7"/>
  <c r="S29" i="7" s="1"/>
  <c r="T29" i="7" s="1"/>
  <c r="P25" i="7"/>
  <c r="Q25" i="7" s="1"/>
  <c r="P21" i="7"/>
  <c r="Q21" i="7" s="1"/>
  <c r="P35" i="7"/>
  <c r="Q35" i="7" s="1"/>
  <c r="P20" i="7"/>
  <c r="Q20" i="7" s="1"/>
  <c r="P46" i="7"/>
  <c r="Q46" i="7" s="1"/>
  <c r="P49" i="7"/>
  <c r="Q49" i="7" s="1"/>
  <c r="P19" i="7"/>
  <c r="Q19" i="7" s="1"/>
  <c r="P22" i="7"/>
  <c r="Q22" i="7" s="1"/>
  <c r="P33" i="7"/>
  <c r="Q33" i="7" s="1"/>
  <c r="R44" i="7"/>
  <c r="S44" i="7" s="1"/>
  <c r="T44" i="7" s="1"/>
  <c r="R30" i="7"/>
  <c r="S30" i="7" s="1"/>
  <c r="T30" i="7" s="1"/>
  <c r="P45" i="7"/>
  <c r="Q45" i="7" s="1"/>
  <c r="D93" i="16"/>
  <c r="E93" i="16" s="1"/>
  <c r="P48" i="7"/>
  <c r="Q48" i="7" s="1"/>
  <c r="P47" i="7"/>
  <c r="Q47" i="7" s="1"/>
  <c r="P43" i="7"/>
  <c r="Q43" i="7" s="1"/>
  <c r="P40" i="7"/>
  <c r="Q40" i="7" s="1"/>
  <c r="P10" i="7"/>
  <c r="Q10" i="7" s="1"/>
  <c r="N71" i="7"/>
  <c r="W71" i="7" s="1"/>
  <c r="R7" i="7"/>
  <c r="S7" i="7" s="1"/>
  <c r="T7" i="7" s="1"/>
  <c r="P5" i="7"/>
  <c r="Q5" i="7" s="1"/>
  <c r="P6" i="7"/>
  <c r="Q6" i="7" s="1"/>
  <c r="R8" i="7"/>
  <c r="S8" i="7" s="1"/>
  <c r="T8" i="7" s="1"/>
  <c r="R3" i="7"/>
  <c r="S3" i="7" s="1"/>
  <c r="T3" i="7" s="1"/>
  <c r="R9" i="7"/>
  <c r="S9" i="7" s="1"/>
  <c r="T9" i="7" s="1"/>
  <c r="P2" i="7"/>
  <c r="Q2" i="7" s="1"/>
  <c r="D7" i="16"/>
  <c r="D136" i="16" s="1"/>
  <c r="T40" i="7"/>
  <c r="R16" i="7" l="1"/>
  <c r="S16" i="7" s="1"/>
  <c r="T16" i="7" s="1"/>
  <c r="P16" i="7"/>
  <c r="Q16" i="7" s="1"/>
  <c r="Q39" i="7" s="1"/>
  <c r="S39" i="7"/>
  <c r="T39" i="7"/>
  <c r="E7" i="16"/>
  <c r="E136" i="16" s="1"/>
  <c r="T51" i="7"/>
  <c r="S51" i="7"/>
  <c r="P51" i="7"/>
  <c r="Q51" i="7"/>
  <c r="R2" i="7"/>
  <c r="S2" i="7" s="1"/>
  <c r="T2" i="7" s="1"/>
  <c r="T13" i="7" s="1"/>
  <c r="P13" i="7"/>
  <c r="P39" i="7" l="1"/>
  <c r="P52" i="7" s="1"/>
  <c r="T52" i="7"/>
  <c r="S13" i="7"/>
  <c r="S52" i="7" s="1"/>
  <c r="T53" i="7" l="1"/>
  <c r="B60" i="4"/>
  <c r="B61" i="4" s="1"/>
  <c r="Q13" i="7"/>
  <c r="Q5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tc={7AD42632-31EE-49FC-A092-B82E6D2589BB}</author>
  </authors>
  <commentList>
    <comment ref="G20" authorId="0" shapeId="0" xr:uid="{7AD42632-31EE-49FC-A092-B82E6D2589B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Staff accepts this calculation for 1.25-Yard weight. Calculation divides the increase in weight from 1-Yard to 1.5-Yard weights by 2, then adds to 1-Yard Meeks weight.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8" authorId="0" shapeId="0" xr:uid="{FF8A27EF-5D86-4C75-903A-A573466C9A06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rate per ton plus an allocation of the fixed charges per ton per the King Co FAC Allocation Schedule
</t>
        </r>
      </text>
    </comment>
  </commentList>
</comments>
</file>

<file path=xl/sharedStrings.xml><?xml version="1.0" encoding="utf-8"?>
<sst xmlns="http://schemas.openxmlformats.org/spreadsheetml/2006/main" count="583" uniqueCount="262">
  <si>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</si>
  <si>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</si>
  <si>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</si>
  <si>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</si>
  <si>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</si>
  <si>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</si>
  <si>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</si>
  <si>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</si>
  <si>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</si>
  <si>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</si>
  <si>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</si>
  <si>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</si>
  <si>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</si>
  <si>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</si>
  <si>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</si>
  <si>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</si>
  <si>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</si>
  <si>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</si>
  <si>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</si>
  <si>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</si>
  <si>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</si>
  <si>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</si>
  <si>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</si>
  <si>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</si>
  <si>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</si>
  <si>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</si>
  <si>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</si>
  <si>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</si>
  <si>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</si>
  <si>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</si>
  <si>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</si>
  <si>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</si>
  <si>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</si>
  <si>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</si>
  <si>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</si>
  <si>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</si>
  <si>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</si>
  <si>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</si>
  <si>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</si>
  <si>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</si>
  <si>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</si>
  <si>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</si>
  <si>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</si>
  <si>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</si>
  <si>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</si>
  <si>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</si>
  <si>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</si>
  <si>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</si>
  <si>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</si>
  <si>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</si>
  <si>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</si>
  <si>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</si>
  <si>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</si>
  <si>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</si>
  <si>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</si>
  <si>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</si>
  <si>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</si>
  <si>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</si>
  <si>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</si>
  <si>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</si>
  <si>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</si>
  <si>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</si>
  <si>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</si>
  <si>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</si>
  <si>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</si>
  <si>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</si>
  <si>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</si>
  <si>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</si>
  <si>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</si>
  <si>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</si>
  <si>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</si>
  <si>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</si>
  <si>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</si>
  <si>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</si>
  <si>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</si>
  <si>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</si>
  <si>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</si>
  <si>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</si>
  <si>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</si>
  <si>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</si>
  <si>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</si>
  <si>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</si>
  <si>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</si>
  <si>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</si>
  <si>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</si>
  <si>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</si>
  <si>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</si>
  <si>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</si>
  <si>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</si>
  <si>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</si>
  <si>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</si>
  <si>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</si>
  <si>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</si>
  <si>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</si>
  <si>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</si>
  <si>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</si>
  <si>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</si>
  <si>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</si>
  <si>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</si>
  <si>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1 Can wk</t>
  </si>
  <si>
    <t>2  Can wk</t>
  </si>
  <si>
    <t>3 Can wk</t>
  </si>
  <si>
    <t>4 Can wk</t>
  </si>
  <si>
    <t>32 Gal Tote wk</t>
  </si>
  <si>
    <t>60 Gal Tote wk</t>
  </si>
  <si>
    <t>Multi-Family</t>
  </si>
  <si>
    <t>King County</t>
  </si>
  <si>
    <t>Item 240, pg 40</t>
  </si>
  <si>
    <t>Item 105, pg 27</t>
  </si>
  <si>
    <t>TOTAL</t>
  </si>
  <si>
    <t>5 Can wk</t>
  </si>
  <si>
    <t>64 Gal Bear Proof Toter</t>
  </si>
  <si>
    <t>96 Gal Bear Proof Toter</t>
  </si>
  <si>
    <t>32 Gal Bear Proof Toter</t>
  </si>
  <si>
    <t>Item 100, pg 22</t>
  </si>
  <si>
    <t>32 Gal extra</t>
  </si>
  <si>
    <t>Item 100, pg 21 Appendix A</t>
  </si>
  <si>
    <t>Item 100, pg 23 Appendix B</t>
  </si>
  <si>
    <t>Item 100, pg 24</t>
  </si>
  <si>
    <t>3 yd Special Pickup</t>
  </si>
  <si>
    <t>4 yd Special Pickup</t>
  </si>
  <si>
    <t>6 yd Special Pickup</t>
  </si>
  <si>
    <t>32 Gal Can</t>
  </si>
  <si>
    <t>32 Gal Can Special Pick Up</t>
  </si>
  <si>
    <t>No Customers</t>
  </si>
  <si>
    <t>Item 245, pg 41, Cust-owned</t>
  </si>
  <si>
    <t>Item 106, pg 30 Compacted</t>
  </si>
  <si>
    <t xml:space="preserve">Item 255, pg 42, Compacted </t>
  </si>
  <si>
    <t>96 Gal Tote wk</t>
  </si>
  <si>
    <t>*Note Appendix B customers consolidated to Appendix A for disposal model ease</t>
  </si>
  <si>
    <t>64 Gal Tote wk</t>
  </si>
  <si>
    <t>LOB</t>
  </si>
  <si>
    <t>Matrl</t>
  </si>
  <si>
    <t>Rev Dist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</si>
  <si>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</si>
  <si>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</si>
  <si>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</si>
  <si>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</si>
  <si>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</si>
  <si>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</si>
  <si>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</si>
  <si>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</si>
  <si>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Residential YW</t>
  </si>
  <si>
    <t>Roll-off / Industrial</t>
  </si>
  <si>
    <t>I</t>
  </si>
  <si>
    <t>MSW</t>
  </si>
  <si>
    <t>2B</t>
  </si>
  <si>
    <t>2D</t>
  </si>
  <si>
    <t>Regulated Garbage</t>
  </si>
  <si>
    <t>SUBTRACT</t>
  </si>
  <si>
    <t>CHNC</t>
  </si>
  <si>
    <t>FANC</t>
  </si>
  <si>
    <t>HONC</t>
  </si>
  <si>
    <t>Unregulated Garbage</t>
  </si>
  <si>
    <t>RCY</t>
  </si>
  <si>
    <t>Regulated RCY (MF)</t>
  </si>
  <si>
    <t>2G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</si>
  <si>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</si>
  <si>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</si>
  <si>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</si>
  <si>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</si>
  <si>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</si>
  <si>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</si>
  <si>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</si>
  <si>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R</t>
  </si>
  <si>
    <t>U</t>
  </si>
  <si>
    <t>C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</si>
  <si>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</si>
  <si>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</si>
  <si>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</si>
  <si>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</si>
  <si>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</si>
  <si>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</si>
  <si>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</si>
  <si>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</si>
  <si>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</si>
  <si>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</si>
  <si>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</si>
  <si>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</si>
  <si>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</si>
  <si>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</si>
  <si>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</si>
  <si>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</si>
  <si>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</si>
  <si>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</si>
  <si>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</si>
  <si>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Monthly Pickups</t>
  </si>
  <si>
    <t>20 gallon can</t>
  </si>
  <si>
    <t>3 yd  Special PIckup</t>
  </si>
  <si>
    <t>32 Gal Toter Special PIckup</t>
  </si>
  <si>
    <t>96 Gal Toter Special PIckup</t>
  </si>
  <si>
    <t>8 yd Special PIckup</t>
  </si>
  <si>
    <t>2 yd Special Pickup</t>
  </si>
  <si>
    <t>Annual Frequency</t>
  </si>
  <si>
    <t>6 yd Temporary</t>
  </si>
  <si>
    <t>2 yd Temporary</t>
  </si>
  <si>
    <t>1 yd Special Pickup</t>
  </si>
  <si>
    <t>no customers</t>
  </si>
  <si>
    <t>Company</t>
  </si>
  <si>
    <t>Current</t>
  </si>
  <si>
    <t>Proposed Increase</t>
  </si>
  <si>
    <t>Proposed</t>
  </si>
  <si>
    <t>Tariff</t>
  </si>
  <si>
    <t>Each</t>
  </si>
  <si>
    <t>Item 230, pg 39</t>
  </si>
  <si>
    <t>King County TS</t>
  </si>
  <si>
    <t>Per ton</t>
  </si>
  <si>
    <t>64 Gal Toter First Pickup</t>
  </si>
  <si>
    <t>32 Gal Toter First Pickup/Additional</t>
  </si>
  <si>
    <t>96 Gal Toter First Pickup/Additional</t>
  </si>
  <si>
    <t>1.25 yd First Pickup/Additional</t>
  </si>
  <si>
    <t>2 yd First Pickup/Additional</t>
  </si>
  <si>
    <t>3 yd First Pickup/Additional</t>
  </si>
  <si>
    <t>4 yd First Pickup/Additional</t>
  </si>
  <si>
    <t>6 yd First Pickup/Additional</t>
  </si>
  <si>
    <t>8 yd First Pickup/Additional</t>
  </si>
  <si>
    <t>1 yd First Pickup/Additional</t>
  </si>
  <si>
    <t>1.25 yd Special Pickup</t>
  </si>
  <si>
    <t>1 yd Temporary</t>
  </si>
  <si>
    <t>1.25 yd Temporary</t>
  </si>
  <si>
    <t>3 yd Temporary</t>
  </si>
  <si>
    <t>4 yd Temporary</t>
  </si>
  <si>
    <t>8 yd Temporary</t>
  </si>
  <si>
    <t>3 yd Pickup/Additional</t>
  </si>
  <si>
    <t>4 yd Pickup/Additional</t>
  </si>
  <si>
    <t>6 yd Pickup/Additional</t>
  </si>
  <si>
    <t>64 Gal Toter First Pickup/Additional</t>
  </si>
  <si>
    <t>32 Gal Can First Pickup/Additional</t>
  </si>
  <si>
    <t>Item 106, pg 30</t>
  </si>
  <si>
    <t>Bag Extra</t>
  </si>
  <si>
    <t>Check</t>
  </si>
  <si>
    <t>Merged into Appendix A Customer Count</t>
  </si>
  <si>
    <t>Item 150, pg 33</t>
  </si>
  <si>
    <t>Bulky Materials, per yard</t>
  </si>
  <si>
    <t>Loose Materials, per yard</t>
  </si>
  <si>
    <t>Disposal Summary Report</t>
  </si>
  <si>
    <t>increase in disposal fees.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</si>
  <si>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</si>
  <si>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</si>
  <si>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</si>
  <si>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</si>
  <si>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</si>
  <si>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</si>
  <si>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</si>
  <si>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</si>
  <si>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</si>
  <si>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</si>
  <si>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</si>
  <si>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</si>
  <si>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From most recent general rate case effective May 1, 2023</t>
  </si>
  <si>
    <t>Disposal Increase Effective 1/1/2024</t>
  </si>
  <si>
    <t>8 yd Special Pickup</t>
  </si>
  <si>
    <t>% increase check</t>
  </si>
  <si>
    <t>Rate check</t>
  </si>
  <si>
    <t>X</t>
  </si>
  <si>
    <t>64 Gal Toter Special Pickup</t>
  </si>
  <si>
    <t>Per yard</t>
  </si>
  <si>
    <t>32 Gal Special Pickup</t>
  </si>
  <si>
    <t>64 Gal Special Pickup</t>
  </si>
  <si>
    <t>96 Gal Special Pickup</t>
  </si>
  <si>
    <t>Extra - overfilled containers</t>
  </si>
  <si>
    <t>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</si>
</sst>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7030A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9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8" fillId="39" borderId="3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8" fillId="0" borderId="0" applyFont="0" applyFill="0" applyBorder="0" applyAlignment="0" applyProtection="0"/>
  </cellStyleXfs>
  <cellXfs count="321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37" fontId="11" fillId="0" borderId="0" xfId="4" applyNumberFormat="1" applyFont="1" applyAlignment="1" applyProtection="1">
      <alignment horizontal="center"/>
    </xf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6" borderId="36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7" xfId="0" applyFont="1" applyBorder="1"/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0" fillId="0" borderId="37" xfId="0" applyFont="1" applyFill="1" applyBorder="1" applyAlignment="1">
      <alignment vertical="center" textRotation="90"/>
    </xf>
    <xf numFmtId="0" fontId="0" fillId="0" borderId="38" xfId="0" applyFont="1" applyFill="1" applyBorder="1" applyAlignment="1">
      <alignment vertical="center" textRotation="90"/>
    </xf>
    <xf numFmtId="0" fontId="0" fillId="0" borderId="1" xfId="0" applyFont="1" applyBorder="1" applyAlignment="1">
      <alignment horizontal="left"/>
    </xf>
    <xf numFmtId="0" fontId="11" fillId="0" borderId="1" xfId="274" applyFont="1" applyBorder="1" applyAlignment="1">
      <alignment horizontal="left"/>
    </xf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165" fontId="0" fillId="0" borderId="1" xfId="2" applyNumberFormat="1" applyFont="1" applyFill="1" applyBorder="1"/>
    <xf numFmtId="0" fontId="0" fillId="0" borderId="0" xfId="0" applyFont="1" applyFill="1"/>
    <xf numFmtId="165" fontId="0" fillId="0" borderId="0" xfId="2" applyNumberFormat="1" applyFont="1" applyFill="1"/>
    <xf numFmtId="44" fontId="0" fillId="0" borderId="0" xfId="2" applyFont="1" applyFill="1"/>
    <xf numFmtId="0" fontId="0" fillId="0" borderId="0" xfId="0" applyFont="1" applyFill="1" applyBorder="1" applyAlignment="1">
      <alignment horizontal="left" vertical="center" wrapText="1"/>
    </xf>
    <xf numFmtId="166" fontId="11" fillId="0" borderId="0" xfId="373" applyNumberFormat="1" applyFont="1" applyFill="1" applyBorder="1"/>
    <xf numFmtId="0" fontId="3" fillId="6" borderId="1" xfId="0" applyFont="1" applyFill="1" applyBorder="1" applyAlignment="1">
      <alignment horizontal="center"/>
    </xf>
    <xf numFmtId="167" fontId="0" fillId="40" borderId="0" xfId="1" applyNumberFormat="1" applyFont="1" applyFill="1"/>
    <xf numFmtId="167" fontId="0" fillId="40" borderId="0" xfId="1" applyNumberFormat="1" applyFont="1" applyFill="1" applyBorder="1"/>
    <xf numFmtId="167" fontId="0" fillId="40" borderId="1" xfId="1" applyNumberFormat="1" applyFont="1" applyFill="1" applyBorder="1"/>
    <xf numFmtId="0" fontId="0" fillId="6" borderId="0" xfId="0" applyFont="1" applyFill="1" applyBorder="1" applyAlignment="1">
      <alignment vertical="center" textRotation="90"/>
    </xf>
    <xf numFmtId="0" fontId="0" fillId="6" borderId="0" xfId="0" applyFont="1" applyFill="1" applyBorder="1" applyAlignment="1">
      <alignment horizontal="center" vertical="center"/>
    </xf>
    <xf numFmtId="0" fontId="12" fillId="6" borderId="0" xfId="4" applyFont="1" applyFill="1" applyBorder="1" applyAlignment="1">
      <alignment horizontal="left"/>
    </xf>
    <xf numFmtId="3" fontId="3" fillId="6" borderId="0" xfId="0" applyNumberFormat="1" applyFont="1" applyFill="1" applyBorder="1" applyAlignment="1">
      <alignment horizontal="righ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Border="1" applyAlignment="1">
      <alignment horizontal="center"/>
    </xf>
    <xf numFmtId="166" fontId="0" fillId="40" borderId="0" xfId="1" applyNumberFormat="1" applyFont="1" applyFill="1" applyBorder="1"/>
    <xf numFmtId="0" fontId="1" fillId="0" borderId="0" xfId="23"/>
    <xf numFmtId="0" fontId="3" fillId="0" borderId="0" xfId="23" applyFont="1"/>
    <xf numFmtId="172" fontId="3" fillId="39" borderId="39" xfId="404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1" fillId="0" borderId="0" xfId="405" applyNumberFormat="1" applyFont="1"/>
    <xf numFmtId="166" fontId="3" fillId="0" borderId="0" xfId="23" applyNumberFormat="1" applyFont="1"/>
    <xf numFmtId="0" fontId="1" fillId="0" borderId="1" xfId="23" applyBorder="1"/>
    <xf numFmtId="166" fontId="11" fillId="0" borderId="1" xfId="405" applyNumberFormat="1" applyFont="1" applyBorder="1"/>
    <xf numFmtId="166" fontId="3" fillId="0" borderId="1" xfId="23" applyNumberFormat="1" applyFont="1" applyBorder="1"/>
    <xf numFmtId="166" fontId="1" fillId="0" borderId="0" xfId="23" applyNumberFormat="1"/>
    <xf numFmtId="166" fontId="11" fillId="0" borderId="0" xfId="405" applyNumberFormat="1" applyFont="1" applyBorder="1"/>
    <xf numFmtId="0" fontId="11" fillId="39" borderId="39" xfId="404" applyFont="1" applyAlignment="1">
      <alignment horizontal="center"/>
    </xf>
    <xf numFmtId="0" fontId="63" fillId="0" borderId="40" xfId="23" applyFont="1" applyBorder="1" applyAlignment="1">
      <alignment horizontal="center"/>
    </xf>
    <xf numFmtId="0" fontId="1" fillId="0" borderId="40" xfId="23" applyBorder="1" applyAlignment="1">
      <alignment horizontal="center"/>
    </xf>
    <xf numFmtId="0" fontId="63" fillId="0" borderId="40" xfId="23" applyFont="1" applyBorder="1"/>
    <xf numFmtId="166" fontId="63" fillId="0" borderId="40" xfId="405" applyNumberFormat="1" applyFont="1" applyBorder="1"/>
    <xf numFmtId="166" fontId="64" fillId="0" borderId="40" xfId="23" applyNumberFormat="1" applyFont="1" applyBorder="1"/>
    <xf numFmtId="166" fontId="63" fillId="0" borderId="0" xfId="405" applyNumberFormat="1" applyFont="1"/>
    <xf numFmtId="0" fontId="63" fillId="0" borderId="0" xfId="23" applyFont="1"/>
    <xf numFmtId="171" fontId="11" fillId="0" borderId="0" xfId="407" applyNumberFormat="1" applyFont="1"/>
    <xf numFmtId="0" fontId="65" fillId="0" borderId="40" xfId="23" applyFont="1" applyBorder="1" applyAlignment="1">
      <alignment horizontal="center"/>
    </xf>
    <xf numFmtId="0" fontId="65" fillId="0" borderId="40" xfId="23" applyFont="1" applyBorder="1"/>
    <xf numFmtId="1" fontId="65" fillId="39" borderId="39" xfId="408" applyNumberFormat="1" applyFont="1" applyAlignment="1">
      <alignment horizontal="center"/>
    </xf>
    <xf numFmtId="0" fontId="65" fillId="0" borderId="0" xfId="23" applyFont="1"/>
    <xf numFmtId="166" fontId="65" fillId="0" borderId="0" xfId="405" applyNumberFormat="1" applyFont="1"/>
    <xf numFmtId="166" fontId="66" fillId="0" borderId="0" xfId="405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05" applyNumberFormat="1" applyFont="1" applyBorder="1"/>
    <xf numFmtId="166" fontId="3" fillId="0" borderId="3" xfId="23" applyNumberFormat="1" applyFont="1" applyBorder="1"/>
    <xf numFmtId="0" fontId="63" fillId="0" borderId="0" xfId="409" applyNumberFormat="1" applyFont="1"/>
    <xf numFmtId="171" fontId="63" fillId="0" borderId="0" xfId="409" applyNumberFormat="1" applyFont="1"/>
    <xf numFmtId="171" fontId="63" fillId="0" borderId="0" xfId="409" applyNumberFormat="1" applyFont="1" applyFill="1"/>
    <xf numFmtId="166" fontId="3" fillId="0" borderId="0" xfId="405" applyNumberFormat="1" applyFont="1"/>
    <xf numFmtId="0" fontId="1" fillId="0" borderId="41" xfId="23" applyBorder="1" applyAlignment="1">
      <alignment horizontal="center"/>
    </xf>
    <xf numFmtId="166" fontId="12" fillId="0" borderId="41" xfId="405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1" borderId="35" xfId="405" applyNumberFormat="1" applyFont="1" applyFill="1" applyBorder="1"/>
    <xf numFmtId="173" fontId="11" fillId="0" borderId="35" xfId="405" applyNumberFormat="1" applyFont="1" applyBorder="1"/>
    <xf numFmtId="0" fontId="11" fillId="39" borderId="42" xfId="404" applyFont="1" applyBorder="1" applyAlignment="1">
      <alignment horizontal="center"/>
    </xf>
    <xf numFmtId="0" fontId="63" fillId="2" borderId="40" xfId="23" applyFont="1" applyFill="1" applyBorder="1"/>
    <xf numFmtId="166" fontId="63" fillId="2" borderId="40" xfId="405" applyNumberFormat="1" applyFont="1" applyFill="1" applyBorder="1"/>
    <xf numFmtId="166" fontId="64" fillId="2" borderId="40" xfId="23" applyNumberFormat="1" applyFont="1" applyFill="1" applyBorder="1"/>
    <xf numFmtId="173" fontId="63" fillId="0" borderId="35" xfId="405" applyNumberFormat="1" applyFont="1" applyBorder="1"/>
    <xf numFmtId="0" fontId="63" fillId="0" borderId="43" xfId="23" applyFont="1" applyBorder="1"/>
    <xf numFmtId="166" fontId="63" fillId="0" borderId="35" xfId="405" applyNumberFormat="1" applyFont="1" applyBorder="1"/>
    <xf numFmtId="0" fontId="1" fillId="2" borderId="3" xfId="23" applyFill="1" applyBorder="1"/>
    <xf numFmtId="166" fontId="11" fillId="2" borderId="3" xfId="405" applyNumberFormat="1" applyFont="1" applyFill="1" applyBorder="1"/>
    <xf numFmtId="166" fontId="3" fillId="2" borderId="3" xfId="23" applyNumberFormat="1" applyFont="1" applyFill="1" applyBorder="1"/>
    <xf numFmtId="166" fontId="11" fillId="0" borderId="35" xfId="405" applyNumberFormat="1" applyFont="1" applyBorder="1"/>
    <xf numFmtId="173" fontId="1" fillId="41" borderId="35" xfId="23" applyNumberFormat="1" applyFill="1" applyBorder="1"/>
    <xf numFmtId="173" fontId="12" fillId="0" borderId="41" xfId="405" applyNumberFormat="1" applyFont="1" applyBorder="1"/>
    <xf numFmtId="0" fontId="9" fillId="0" borderId="0" xfId="23" applyFont="1"/>
    <xf numFmtId="0" fontId="65" fillId="0" borderId="0" xfId="409" applyNumberFormat="1" applyFont="1"/>
    <xf numFmtId="43" fontId="11" fillId="0" borderId="0" xfId="405" applyFont="1"/>
    <xf numFmtId="0" fontId="9" fillId="0" borderId="3" xfId="23" applyFont="1" applyBorder="1"/>
    <xf numFmtId="44" fontId="11" fillId="39" borderId="39" xfId="404" applyNumberFormat="1" applyFont="1"/>
    <xf numFmtId="44" fontId="11" fillId="0" borderId="0" xfId="410" applyFont="1"/>
    <xf numFmtId="44" fontId="3" fillId="0" borderId="0" xfId="410" applyFont="1"/>
    <xf numFmtId="0" fontId="67" fillId="38" borderId="34" xfId="23" applyFont="1" applyFill="1" applyBorder="1"/>
    <xf numFmtId="166" fontId="67" fillId="38" borderId="34" xfId="405" applyNumberFormat="1" applyFont="1" applyFill="1" applyBorder="1"/>
    <xf numFmtId="166" fontId="68" fillId="38" borderId="34" xfId="23" applyNumberFormat="1" applyFont="1" applyFill="1" applyBorder="1"/>
    <xf numFmtId="9" fontId="3" fillId="0" borderId="0" xfId="407" applyFont="1"/>
    <xf numFmtId="43" fontId="1" fillId="0" borderId="0" xfId="1" applyFont="1"/>
    <xf numFmtId="0" fontId="71" fillId="0" borderId="0" xfId="412" applyFont="1"/>
    <xf numFmtId="0" fontId="72" fillId="0" borderId="0" xfId="411" applyFont="1"/>
    <xf numFmtId="43" fontId="49" fillId="0" borderId="0" xfId="1" applyFont="1" applyFill="1" applyBorder="1"/>
    <xf numFmtId="43" fontId="2" fillId="0" borderId="0" xfId="1" applyFont="1"/>
    <xf numFmtId="0" fontId="2" fillId="0" borderId="0" xfId="412"/>
    <xf numFmtId="0" fontId="0" fillId="5" borderId="0" xfId="0" applyFill="1"/>
    <xf numFmtId="43" fontId="71" fillId="0" borderId="0" xfId="1" applyFont="1" applyFill="1" applyAlignment="1">
      <alignment horizontal="center"/>
    </xf>
    <xf numFmtId="43" fontId="71" fillId="0" borderId="0" xfId="1" applyFont="1" applyAlignment="1">
      <alignment horizontal="center"/>
    </xf>
    <xf numFmtId="0" fontId="2" fillId="0" borderId="0" xfId="412" applyAlignment="1">
      <alignment horizontal="center"/>
    </xf>
    <xf numFmtId="0" fontId="71" fillId="0" borderId="0" xfId="412" applyFont="1" applyAlignment="1">
      <alignment horizontal="center"/>
    </xf>
    <xf numFmtId="14" fontId="2" fillId="0" borderId="0" xfId="412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412" applyNumberFormat="1"/>
    <xf numFmtId="0" fontId="2" fillId="5" borderId="0" xfId="412" applyFill="1"/>
    <xf numFmtId="43" fontId="2" fillId="5" borderId="0" xfId="1" applyFont="1" applyFill="1"/>
    <xf numFmtId="0" fontId="2" fillId="0" borderId="0" xfId="378"/>
    <xf numFmtId="44" fontId="2" fillId="0" borderId="0" xfId="10" applyFont="1" applyFill="1"/>
    <xf numFmtId="43" fontId="2" fillId="0" borderId="0" xfId="412" applyNumberFormat="1"/>
    <xf numFmtId="43" fontId="73" fillId="0" borderId="0" xfId="1" applyFont="1" applyFill="1"/>
    <xf numFmtId="0" fontId="2" fillId="0" borderId="0" xfId="412" applyFill="1"/>
    <xf numFmtId="0" fontId="0" fillId="0" borderId="0" xfId="0" applyFill="1"/>
    <xf numFmtId="44" fontId="0" fillId="42" borderId="0" xfId="2" applyFont="1" applyFill="1"/>
    <xf numFmtId="44" fontId="0" fillId="42" borderId="1" xfId="2" applyFont="1" applyFill="1" applyBorder="1"/>
    <xf numFmtId="169" fontId="0" fillId="0" borderId="0" xfId="0" applyNumberFormat="1" applyFont="1" applyFill="1"/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0" fontId="0" fillId="43" borderId="0" xfId="0" applyFont="1" applyFill="1" applyBorder="1" applyAlignment="1">
      <alignment horizontal="left" vertical="center"/>
    </xf>
    <xf numFmtId="0" fontId="11" fillId="43" borderId="0" xfId="4" applyFont="1" applyFill="1" applyBorder="1" applyAlignment="1">
      <alignment horizontal="left"/>
    </xf>
    <xf numFmtId="43" fontId="0" fillId="43" borderId="0" xfId="1" applyNumberFormat="1" applyFont="1" applyFill="1" applyBorder="1"/>
    <xf numFmtId="37" fontId="11" fillId="43" borderId="0" xfId="4" applyNumberFormat="1" applyFont="1" applyFill="1" applyAlignment="1" applyProtection="1">
      <alignment horizontal="right"/>
    </xf>
    <xf numFmtId="166" fontId="11" fillId="43" borderId="0" xfId="1" applyNumberFormat="1" applyFont="1" applyFill="1" applyBorder="1" applyAlignment="1">
      <alignment horizontal="left" indent="2"/>
    </xf>
    <xf numFmtId="166" fontId="0" fillId="43" borderId="0" xfId="1" applyNumberFormat="1" applyFont="1" applyFill="1" applyBorder="1"/>
    <xf numFmtId="166" fontId="0" fillId="43" borderId="0" xfId="1" applyNumberFormat="1" applyFont="1" applyFill="1" applyBorder="1" applyAlignment="1">
      <alignment horizontal="center" wrapText="1"/>
    </xf>
    <xf numFmtId="44" fontId="0" fillId="43" borderId="0" xfId="2" applyFont="1" applyFill="1" applyBorder="1"/>
    <xf numFmtId="166" fontId="11" fillId="42" borderId="1" xfId="1" applyNumberFormat="1" applyFont="1" applyFill="1" applyBorder="1" applyAlignment="1">
      <alignment horizontal="left" indent="2"/>
    </xf>
    <xf numFmtId="44" fontId="0" fillId="42" borderId="0" xfId="2" applyFont="1" applyFill="1" applyBorder="1"/>
    <xf numFmtId="44" fontId="11" fillId="42" borderId="0" xfId="10" applyFont="1" applyFill="1" applyBorder="1"/>
    <xf numFmtId="0" fontId="0" fillId="0" borderId="37" xfId="0" applyFont="1" applyFill="1" applyBorder="1"/>
    <xf numFmtId="37" fontId="11" fillId="0" borderId="0" xfId="4" applyNumberFormat="1" applyFont="1" applyFill="1" applyBorder="1" applyAlignment="1" applyProtection="1">
      <alignment horizontal="right"/>
    </xf>
    <xf numFmtId="37" fontId="11" fillId="0" borderId="0" xfId="4" applyNumberFormat="1" applyFont="1" applyFill="1" applyAlignment="1" applyProtection="1">
      <alignment horizontal="right"/>
    </xf>
    <xf numFmtId="0" fontId="3" fillId="0" borderId="0" xfId="23" applyFont="1" applyAlignment="1">
      <alignment horizontal="center"/>
    </xf>
    <xf numFmtId="166" fontId="11" fillId="0" borderId="0" xfId="405" applyNumberFormat="1" applyFont="1" applyFill="1"/>
    <xf numFmtId="166" fontId="11" fillId="0" borderId="1" xfId="405" applyNumberFormat="1" applyFont="1" applyFill="1" applyBorder="1"/>
    <xf numFmtId="43" fontId="1" fillId="0" borderId="0" xfId="23" applyNumberFormat="1"/>
    <xf numFmtId="0" fontId="75" fillId="0" borderId="0" xfId="23" applyFont="1" applyAlignment="1">
      <alignment horizontal="left" vertical="center"/>
    </xf>
    <xf numFmtId="8" fontId="11" fillId="39" borderId="39" xfId="404" applyNumberFormat="1" applyFont="1"/>
    <xf numFmtId="44" fontId="11" fillId="0" borderId="0" xfId="413" applyFont="1"/>
    <xf numFmtId="44" fontId="11" fillId="0" borderId="0" xfId="410" applyFont="1" applyFill="1"/>
    <xf numFmtId="166" fontId="9" fillId="0" borderId="1" xfId="405" applyNumberFormat="1" applyFont="1" applyFill="1" applyBorder="1"/>
    <xf numFmtId="0" fontId="1" fillId="44" borderId="0" xfId="23" applyFill="1" applyAlignment="1">
      <alignment horizontal="center"/>
    </xf>
    <xf numFmtId="0" fontId="1" fillId="44" borderId="0" xfId="23" applyFill="1"/>
    <xf numFmtId="166" fontId="11" fillId="44" borderId="0" xfId="405" applyNumberFormat="1" applyFont="1" applyFill="1"/>
    <xf numFmtId="166" fontId="3" fillId="44" borderId="0" xfId="23" applyNumberFormat="1" applyFont="1" applyFill="1"/>
    <xf numFmtId="166" fontId="11" fillId="0" borderId="44" xfId="405" applyNumberFormat="1" applyFont="1" applyBorder="1"/>
    <xf numFmtId="166" fontId="11" fillId="0" borderId="45" xfId="405" applyNumberFormat="1" applyFont="1" applyBorder="1"/>
    <xf numFmtId="166" fontId="11" fillId="0" borderId="46" xfId="405" applyNumberFormat="1" applyFont="1" applyBorder="1"/>
    <xf numFmtId="166" fontId="11" fillId="0" borderId="47" xfId="405" applyNumberFormat="1" applyFont="1" applyBorder="1"/>
    <xf numFmtId="166" fontId="11" fillId="0" borderId="22" xfId="405" applyNumberFormat="1" applyFont="1" applyBorder="1"/>
    <xf numFmtId="166" fontId="12" fillId="45" borderId="48" xfId="405" applyNumberFormat="1" applyFont="1" applyFill="1" applyBorder="1"/>
    <xf numFmtId="166" fontId="12" fillId="45" borderId="2" xfId="405" applyNumberFormat="1" applyFont="1" applyFill="1" applyBorder="1"/>
    <xf numFmtId="166" fontId="12" fillId="45" borderId="24" xfId="405" applyNumberFormat="1" applyFont="1" applyFill="1" applyBorder="1"/>
    <xf numFmtId="44" fontId="11" fillId="0" borderId="0" xfId="10" applyFont="1" applyFill="1" applyBorder="1"/>
    <xf numFmtId="169" fontId="0" fillId="0" borderId="0" xfId="2" applyNumberFormat="1" applyFont="1" applyFill="1"/>
    <xf numFmtId="0" fontId="0" fillId="0" borderId="0" xfId="0" applyFont="1" applyFill="1" applyBorder="1" applyAlignment="1">
      <alignment horizontal="left"/>
    </xf>
    <xf numFmtId="0" fontId="11" fillId="0" borderId="0" xfId="274" applyFont="1" applyFill="1" applyBorder="1" applyAlignment="1">
      <alignment horizontal="left"/>
    </xf>
    <xf numFmtId="166" fontId="0" fillId="0" borderId="3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11" fillId="42" borderId="0" xfId="373" applyNumberFormat="1" applyFont="1" applyFill="1"/>
    <xf numFmtId="166" fontId="0" fillId="42" borderId="0" xfId="1" applyNumberFormat="1" applyFont="1" applyFill="1" applyBorder="1"/>
    <xf numFmtId="44" fontId="11" fillId="42" borderId="0" xfId="10" applyFont="1" applyFill="1"/>
    <xf numFmtId="44" fontId="11" fillId="42" borderId="3" xfId="10" applyFont="1" applyFill="1" applyBorder="1"/>
    <xf numFmtId="10" fontId="0" fillId="0" borderId="0" xfId="3" applyNumberFormat="1" applyFont="1" applyFill="1"/>
    <xf numFmtId="171" fontId="0" fillId="0" borderId="0" xfId="3" applyNumberFormat="1" applyFont="1" applyFill="1" applyBorder="1"/>
    <xf numFmtId="10" fontId="0" fillId="0" borderId="0" xfId="3" applyNumberFormat="1" applyFont="1" applyFill="1" applyBorder="1"/>
    <xf numFmtId="0" fontId="76" fillId="6" borderId="0" xfId="0" applyFont="1" applyFill="1" applyBorder="1" applyAlignment="1">
      <alignment horizontal="center" wrapText="1"/>
    </xf>
    <xf numFmtId="0" fontId="7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4" fontId="3" fillId="0" borderId="0" xfId="2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0" fontId="3" fillId="5" borderId="0" xfId="23" applyFont="1" applyFill="1" applyAlignment="1">
      <alignment horizontal="left"/>
    </xf>
  </cellXfs>
  <cellStyles count="414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1" xfId="396" xr:uid="{00000000-0005-0000-0000-00006C000000}"/>
    <cellStyle name="Comma 3" xfId="9" xr:uid="{00000000-0005-0000-0000-00006D000000}"/>
    <cellStyle name="Comma 3 2" xfId="106" xr:uid="{00000000-0005-0000-0000-00006E000000}"/>
    <cellStyle name="Comma 3 2 2" xfId="107" xr:uid="{00000000-0005-0000-0000-00006F000000}"/>
    <cellStyle name="Comma 3 3" xfId="287" xr:uid="{00000000-0005-0000-0000-000070000000}"/>
    <cellStyle name="Comma 3 4" xfId="322" xr:uid="{00000000-0005-0000-0000-000071000000}"/>
    <cellStyle name="Comma 4" xfId="108" xr:uid="{00000000-0005-0000-0000-000072000000}"/>
    <cellStyle name="Comma 4 2" xfId="109" xr:uid="{00000000-0005-0000-0000-000073000000}"/>
    <cellStyle name="Comma 4 2 2" xfId="288" xr:uid="{00000000-0005-0000-0000-000074000000}"/>
    <cellStyle name="Comma 4 3" xfId="110" xr:uid="{00000000-0005-0000-0000-000075000000}"/>
    <cellStyle name="Comma 4 3 2" xfId="289" xr:uid="{00000000-0005-0000-0000-000076000000}"/>
    <cellStyle name="Comma 4 4" xfId="290" xr:uid="{00000000-0005-0000-0000-000077000000}"/>
    <cellStyle name="Comma 4 5" xfId="111" xr:uid="{00000000-0005-0000-0000-000078000000}"/>
    <cellStyle name="Comma 4 6" xfId="280" xr:uid="{00000000-0005-0000-0000-000079000000}"/>
    <cellStyle name="Comma 5" xfId="112" xr:uid="{00000000-0005-0000-0000-00007A000000}"/>
    <cellStyle name="Comma 6" xfId="113" xr:uid="{00000000-0005-0000-0000-00007B000000}"/>
    <cellStyle name="Comma 6 2" xfId="323" xr:uid="{00000000-0005-0000-0000-00007C000000}"/>
    <cellStyle name="Comma 7" xfId="114" xr:uid="{00000000-0005-0000-0000-00007D000000}"/>
    <cellStyle name="Comma 7 2" xfId="405" xr:uid="{F7825E2E-B097-49F7-A0EC-FECA4C1B829C}"/>
    <cellStyle name="Comma 8" xfId="115" xr:uid="{00000000-0005-0000-0000-00007E000000}"/>
    <cellStyle name="Comma 9" xfId="116" xr:uid="{00000000-0005-0000-0000-00007F000000}"/>
    <cellStyle name="Comma(2)" xfId="117" xr:uid="{00000000-0005-0000-0000-000080000000}"/>
    <cellStyle name="Comma0 - Style2" xfId="118" xr:uid="{00000000-0005-0000-0000-000081000000}"/>
    <cellStyle name="Comma1 - Style1" xfId="119" xr:uid="{00000000-0005-0000-0000-000082000000}"/>
    <cellStyle name="Comments" xfId="120" xr:uid="{00000000-0005-0000-0000-000083000000}"/>
    <cellStyle name="Currency" xfId="2" builtinId="4"/>
    <cellStyle name="Currency 10" xfId="324" xr:uid="{00000000-0005-0000-0000-000085000000}"/>
    <cellStyle name="Currency 11" xfId="371" xr:uid="{00000000-0005-0000-0000-000086000000}"/>
    <cellStyle name="Currency 12" xfId="397" xr:uid="{00000000-0005-0000-0000-000087000000}"/>
    <cellStyle name="Currency 13" xfId="413" xr:uid="{DB06B991-BB4E-429F-8B48-D420E189666A}"/>
    <cellStyle name="Currency 2" xfId="10" xr:uid="{00000000-0005-0000-0000-000088000000}"/>
    <cellStyle name="Currency 2 2" xfId="11" xr:uid="{00000000-0005-0000-0000-000089000000}"/>
    <cellStyle name="Currency 2 2 2" xfId="123" xr:uid="{00000000-0005-0000-0000-00008A000000}"/>
    <cellStyle name="Currency 2 3" xfId="122" xr:uid="{00000000-0005-0000-0000-00008B000000}"/>
    <cellStyle name="Currency 2 3 2" xfId="325" xr:uid="{00000000-0005-0000-0000-00008C000000}"/>
    <cellStyle name="Currency 2 6" xfId="12" xr:uid="{00000000-0005-0000-0000-00008D000000}"/>
    <cellStyle name="Currency 2 6 2" xfId="13" xr:uid="{00000000-0005-0000-0000-00008E000000}"/>
    <cellStyle name="Currency 3" xfId="14" xr:uid="{00000000-0005-0000-0000-00008F000000}"/>
    <cellStyle name="Currency 3 2" xfId="125" xr:uid="{00000000-0005-0000-0000-000090000000}"/>
    <cellStyle name="Currency 3 3" xfId="124" xr:uid="{00000000-0005-0000-0000-000091000000}"/>
    <cellStyle name="Currency 3 4" xfId="291" xr:uid="{00000000-0005-0000-0000-000092000000}"/>
    <cellStyle name="Currency 4" xfId="15" xr:uid="{00000000-0005-0000-0000-000093000000}"/>
    <cellStyle name="Currency 4 2" xfId="16" xr:uid="{00000000-0005-0000-0000-000094000000}"/>
    <cellStyle name="Currency 5" xfId="121" xr:uid="{00000000-0005-0000-0000-000095000000}"/>
    <cellStyle name="Currency 5 2" xfId="276" xr:uid="{00000000-0005-0000-0000-000096000000}"/>
    <cellStyle name="Currency 5 3" xfId="292" xr:uid="{00000000-0005-0000-0000-000097000000}"/>
    <cellStyle name="Currency 6" xfId="293" xr:uid="{00000000-0005-0000-0000-000098000000}"/>
    <cellStyle name="Currency 7" xfId="294" xr:uid="{00000000-0005-0000-0000-000099000000}"/>
    <cellStyle name="Currency 7 2" xfId="410" xr:uid="{898510EC-5DD1-428F-82C6-564A49ED963E}"/>
    <cellStyle name="Currency 8" xfId="326" xr:uid="{00000000-0005-0000-0000-00009A000000}"/>
    <cellStyle name="Currency 9" xfId="327" xr:uid="{00000000-0005-0000-0000-00009B000000}"/>
    <cellStyle name="Data Enter" xfId="126" xr:uid="{00000000-0005-0000-0000-00009C000000}"/>
    <cellStyle name="date" xfId="328" xr:uid="{00000000-0005-0000-0000-00009D000000}"/>
    <cellStyle name="Explanatory Text 2" xfId="128" xr:uid="{00000000-0005-0000-0000-00009E000000}"/>
    <cellStyle name="Explanatory Text 3" xfId="127" xr:uid="{00000000-0005-0000-0000-00009F000000}"/>
    <cellStyle name="FactSheet" xfId="129" xr:uid="{00000000-0005-0000-0000-0000A0000000}"/>
    <cellStyle name="fish" xfId="329" xr:uid="{00000000-0005-0000-0000-0000A1000000}"/>
    <cellStyle name="Good 2" xfId="131" xr:uid="{00000000-0005-0000-0000-0000A2000000}"/>
    <cellStyle name="Good 3" xfId="130" xr:uid="{00000000-0005-0000-0000-0000A3000000}"/>
    <cellStyle name="Heading 1 2" xfId="133" xr:uid="{00000000-0005-0000-0000-0000A4000000}"/>
    <cellStyle name="Heading 1 2 2" xfId="330" xr:uid="{00000000-0005-0000-0000-0000A5000000}"/>
    <cellStyle name="Heading 1 3" xfId="132" xr:uid="{00000000-0005-0000-0000-0000A6000000}"/>
    <cellStyle name="Heading 1 3 2" xfId="331" xr:uid="{00000000-0005-0000-0000-0000A7000000}"/>
    <cellStyle name="Heading 2 2" xfId="135" xr:uid="{00000000-0005-0000-0000-0000A8000000}"/>
    <cellStyle name="Heading 2 2 2" xfId="332" xr:uid="{00000000-0005-0000-0000-0000A9000000}"/>
    <cellStyle name="Heading 2 3" xfId="134" xr:uid="{00000000-0005-0000-0000-0000AA000000}"/>
    <cellStyle name="Heading 2 3 2" xfId="333" xr:uid="{00000000-0005-0000-0000-0000AB000000}"/>
    <cellStyle name="Heading 3 2" xfId="137" xr:uid="{00000000-0005-0000-0000-0000AC000000}"/>
    <cellStyle name="Heading 3 2 2" xfId="334" xr:uid="{00000000-0005-0000-0000-0000AD000000}"/>
    <cellStyle name="Heading 3 3" xfId="136" xr:uid="{00000000-0005-0000-0000-0000AE000000}"/>
    <cellStyle name="Heading 3 3 2" xfId="335" xr:uid="{00000000-0005-0000-0000-0000AF000000}"/>
    <cellStyle name="Heading 4 2" xfId="139" xr:uid="{00000000-0005-0000-0000-0000B0000000}"/>
    <cellStyle name="Heading 4 3" xfId="138" xr:uid="{00000000-0005-0000-0000-0000B1000000}"/>
    <cellStyle name="Heading 4 4" xfId="398" xr:uid="{00000000-0005-0000-0000-0000B2000000}"/>
    <cellStyle name="Hyperlink 2" xfId="140" xr:uid="{00000000-0005-0000-0000-0000B3000000}"/>
    <cellStyle name="Hyperlink 3" xfId="141" xr:uid="{00000000-0005-0000-0000-0000B4000000}"/>
    <cellStyle name="Hyperlink 3 2" xfId="295" xr:uid="{00000000-0005-0000-0000-0000B5000000}"/>
    <cellStyle name="Input 2" xfId="143" xr:uid="{00000000-0005-0000-0000-0000B6000000}"/>
    <cellStyle name="Input 3" xfId="142" xr:uid="{00000000-0005-0000-0000-0000B7000000}"/>
    <cellStyle name="Input 4" xfId="399" xr:uid="{00000000-0005-0000-0000-0000B8000000}"/>
    <cellStyle name="input(0)" xfId="144" xr:uid="{00000000-0005-0000-0000-0000B9000000}"/>
    <cellStyle name="Input(2)" xfId="145" xr:uid="{00000000-0005-0000-0000-0000BA000000}"/>
    <cellStyle name="Linked Cell 2" xfId="147" xr:uid="{00000000-0005-0000-0000-0000BB000000}"/>
    <cellStyle name="Linked Cell 2 2" xfId="336" xr:uid="{00000000-0005-0000-0000-0000BC000000}"/>
    <cellStyle name="Linked Cell 3" xfId="146" xr:uid="{00000000-0005-0000-0000-0000BD000000}"/>
    <cellStyle name="Neutral 2" xfId="149" xr:uid="{00000000-0005-0000-0000-0000BE000000}"/>
    <cellStyle name="Neutral 2 2" xfId="337" xr:uid="{00000000-0005-0000-0000-0000BF000000}"/>
    <cellStyle name="Neutral 3" xfId="148" xr:uid="{00000000-0005-0000-0000-0000C0000000}"/>
    <cellStyle name="New_normal" xfId="150" xr:uid="{00000000-0005-0000-0000-0000C1000000}"/>
    <cellStyle name="Normal" xfId="0" builtinId="0"/>
    <cellStyle name="Normal - Style1" xfId="151" xr:uid="{00000000-0005-0000-0000-0000C3000000}"/>
    <cellStyle name="Normal - Style2" xfId="152" xr:uid="{00000000-0005-0000-0000-0000C4000000}"/>
    <cellStyle name="Normal - Style3" xfId="153" xr:uid="{00000000-0005-0000-0000-0000C5000000}"/>
    <cellStyle name="Normal - Style4" xfId="154" xr:uid="{00000000-0005-0000-0000-0000C6000000}"/>
    <cellStyle name="Normal - Style5" xfId="155" xr:uid="{00000000-0005-0000-0000-0000C7000000}"/>
    <cellStyle name="Normal 10" xfId="156" xr:uid="{00000000-0005-0000-0000-0000C8000000}"/>
    <cellStyle name="Normal 10 2" xfId="17" xr:uid="{00000000-0005-0000-0000-0000C9000000}"/>
    <cellStyle name="Normal 10 2 2" xfId="339" xr:uid="{00000000-0005-0000-0000-0000CA000000}"/>
    <cellStyle name="Normal 10 2 3" xfId="338" xr:uid="{00000000-0005-0000-0000-0000CB000000}"/>
    <cellStyle name="Normal 10_2112 DF Schedule" xfId="340" xr:uid="{00000000-0005-0000-0000-0000CC000000}"/>
    <cellStyle name="Normal 100" xfId="380" xr:uid="{00000000-0005-0000-0000-0000CD000000}"/>
    <cellStyle name="Normal 101" xfId="382" xr:uid="{00000000-0005-0000-0000-0000CE000000}"/>
    <cellStyle name="Normal 102" xfId="383" xr:uid="{00000000-0005-0000-0000-0000CF000000}"/>
    <cellStyle name="Normal 103" xfId="384" xr:uid="{00000000-0005-0000-0000-0000D0000000}"/>
    <cellStyle name="Normal 104" xfId="385" xr:uid="{00000000-0005-0000-0000-0000D1000000}"/>
    <cellStyle name="Normal 105" xfId="381" xr:uid="{00000000-0005-0000-0000-0000D2000000}"/>
    <cellStyle name="Normal 106" xfId="386" xr:uid="{00000000-0005-0000-0000-0000D3000000}"/>
    <cellStyle name="Normal 107" xfId="387" xr:uid="{00000000-0005-0000-0000-0000D4000000}"/>
    <cellStyle name="Normal 108" xfId="388" xr:uid="{00000000-0005-0000-0000-0000D5000000}"/>
    <cellStyle name="Normal 109" xfId="389" xr:uid="{00000000-0005-0000-0000-0000D6000000}"/>
    <cellStyle name="Normal 11" xfId="157" xr:uid="{00000000-0005-0000-0000-0000D7000000}"/>
    <cellStyle name="Normal 12" xfId="158" xr:uid="{00000000-0005-0000-0000-0000D8000000}"/>
    <cellStyle name="Normal 12 2" xfId="341" xr:uid="{00000000-0005-0000-0000-0000D9000000}"/>
    <cellStyle name="Normal 13" xfId="159" xr:uid="{00000000-0005-0000-0000-0000DA000000}"/>
    <cellStyle name="Normal 13 2" xfId="342" xr:uid="{00000000-0005-0000-0000-0000DB000000}"/>
    <cellStyle name="Normal 14" xfId="160" xr:uid="{00000000-0005-0000-0000-0000DC000000}"/>
    <cellStyle name="Normal 14 2" xfId="343" xr:uid="{00000000-0005-0000-0000-0000DD000000}"/>
    <cellStyle name="Normal 15" xfId="161" xr:uid="{00000000-0005-0000-0000-0000DE000000}"/>
    <cellStyle name="Normal 15 2" xfId="344" xr:uid="{00000000-0005-0000-0000-0000DF000000}"/>
    <cellStyle name="Normal 16" xfId="162" xr:uid="{00000000-0005-0000-0000-0000E0000000}"/>
    <cellStyle name="Normal 16 2" xfId="345" xr:uid="{00000000-0005-0000-0000-0000E1000000}"/>
    <cellStyle name="Normal 163" xfId="406" xr:uid="{27DB31C2-0860-4A82-BA18-914633BFB6E6}"/>
    <cellStyle name="Normal 17" xfId="163" xr:uid="{00000000-0005-0000-0000-0000E2000000}"/>
    <cellStyle name="Normal 17 2" xfId="346" xr:uid="{00000000-0005-0000-0000-0000E3000000}"/>
    <cellStyle name="Normal 18" xfId="164" xr:uid="{00000000-0005-0000-0000-0000E4000000}"/>
    <cellStyle name="Normal 18 2" xfId="347" xr:uid="{00000000-0005-0000-0000-0000E5000000}"/>
    <cellStyle name="Normal 19" xfId="165" xr:uid="{00000000-0005-0000-0000-0000E6000000}"/>
    <cellStyle name="Normal 19 2" xfId="348" xr:uid="{00000000-0005-0000-0000-0000E7000000}"/>
    <cellStyle name="Normal 2" xfId="18" xr:uid="{00000000-0005-0000-0000-0000E8000000}"/>
    <cellStyle name="Normal 2 2" xfId="19" xr:uid="{00000000-0005-0000-0000-0000E9000000}"/>
    <cellStyle name="Normal 2 2 2" xfId="167" xr:uid="{00000000-0005-0000-0000-0000EA000000}"/>
    <cellStyle name="Normal 2 2 3" xfId="166" xr:uid="{00000000-0005-0000-0000-0000EB000000}"/>
    <cellStyle name="Normal 2 2_Actual_Fuel" xfId="168" xr:uid="{00000000-0005-0000-0000-0000EC000000}"/>
    <cellStyle name="Normal 2 3" xfId="169" xr:uid="{00000000-0005-0000-0000-0000ED000000}"/>
    <cellStyle name="Normal 2 3 2" xfId="170" xr:uid="{00000000-0005-0000-0000-0000EE000000}"/>
    <cellStyle name="Normal 2 3 3" xfId="296" xr:uid="{00000000-0005-0000-0000-0000EF000000}"/>
    <cellStyle name="Normal 2 4" xfId="297" xr:uid="{00000000-0005-0000-0000-0000F0000000}"/>
    <cellStyle name="Normal 2 5" xfId="298" xr:uid="{00000000-0005-0000-0000-0000F1000000}"/>
    <cellStyle name="Normal 2_2012-10" xfId="171" xr:uid="{00000000-0005-0000-0000-0000F2000000}"/>
    <cellStyle name="Normal 20" xfId="172" xr:uid="{00000000-0005-0000-0000-0000F3000000}"/>
    <cellStyle name="Normal 21" xfId="173" xr:uid="{00000000-0005-0000-0000-0000F4000000}"/>
    <cellStyle name="Normal 22" xfId="174" xr:uid="{00000000-0005-0000-0000-0000F5000000}"/>
    <cellStyle name="Normal 23" xfId="175" xr:uid="{00000000-0005-0000-0000-0000F6000000}"/>
    <cellStyle name="Normal 24" xfId="176" xr:uid="{00000000-0005-0000-0000-0000F7000000}"/>
    <cellStyle name="Normal 25" xfId="177" xr:uid="{00000000-0005-0000-0000-0000F8000000}"/>
    <cellStyle name="Normal 26" xfId="178" xr:uid="{00000000-0005-0000-0000-0000F9000000}"/>
    <cellStyle name="Normal 27" xfId="179" xr:uid="{00000000-0005-0000-0000-0000FA000000}"/>
    <cellStyle name="Normal 28" xfId="180" xr:uid="{00000000-0005-0000-0000-0000FB000000}"/>
    <cellStyle name="Normal 29" xfId="181" xr:uid="{00000000-0005-0000-0000-0000FC000000}"/>
    <cellStyle name="Normal 3" xfId="20" xr:uid="{00000000-0005-0000-0000-0000FD000000}"/>
    <cellStyle name="Normal 3 2" xfId="183" xr:uid="{00000000-0005-0000-0000-0000FE000000}"/>
    <cellStyle name="Normal 3 3" xfId="182" xr:uid="{00000000-0005-0000-0000-0000FF000000}"/>
    <cellStyle name="Normal 3 4" xfId="281" xr:uid="{00000000-0005-0000-0000-000000010000}"/>
    <cellStyle name="Normal 3_2012 PR" xfId="184" xr:uid="{00000000-0005-0000-0000-000001010000}"/>
    <cellStyle name="Normal 30" xfId="185" xr:uid="{00000000-0005-0000-0000-000002010000}"/>
    <cellStyle name="Normal 31" xfId="186" xr:uid="{00000000-0005-0000-0000-000003010000}"/>
    <cellStyle name="Normal 32" xfId="187" xr:uid="{00000000-0005-0000-0000-000004010000}"/>
    <cellStyle name="Normal 33" xfId="188" xr:uid="{00000000-0005-0000-0000-000005010000}"/>
    <cellStyle name="Normal 34" xfId="189" xr:uid="{00000000-0005-0000-0000-000006010000}"/>
    <cellStyle name="Normal 35" xfId="190" xr:uid="{00000000-0005-0000-0000-000007010000}"/>
    <cellStyle name="Normal 36" xfId="191" xr:uid="{00000000-0005-0000-0000-000008010000}"/>
    <cellStyle name="Normal 37" xfId="192" xr:uid="{00000000-0005-0000-0000-000009010000}"/>
    <cellStyle name="Normal 38" xfId="193" xr:uid="{00000000-0005-0000-0000-00000A010000}"/>
    <cellStyle name="Normal 39" xfId="194" xr:uid="{00000000-0005-0000-0000-00000B010000}"/>
    <cellStyle name="Normal 4" xfId="21" xr:uid="{00000000-0005-0000-0000-00000C010000}"/>
    <cellStyle name="Normal 4 2" xfId="195" xr:uid="{00000000-0005-0000-0000-00000D010000}"/>
    <cellStyle name="Normal 40" xfId="196" xr:uid="{00000000-0005-0000-0000-00000E010000}"/>
    <cellStyle name="Normal 41" xfId="197" xr:uid="{00000000-0005-0000-0000-00000F010000}"/>
    <cellStyle name="Normal 42" xfId="198" xr:uid="{00000000-0005-0000-0000-000010010000}"/>
    <cellStyle name="Normal 43" xfId="199" xr:uid="{00000000-0005-0000-0000-000011010000}"/>
    <cellStyle name="Normal 44" xfId="200" xr:uid="{00000000-0005-0000-0000-000012010000}"/>
    <cellStyle name="Normal 45" xfId="201" xr:uid="{00000000-0005-0000-0000-000013010000}"/>
    <cellStyle name="Normal 46" xfId="202" xr:uid="{00000000-0005-0000-0000-000014010000}"/>
    <cellStyle name="Normal 47" xfId="203" xr:uid="{00000000-0005-0000-0000-000015010000}"/>
    <cellStyle name="Normal 48" xfId="204" xr:uid="{00000000-0005-0000-0000-000016010000}"/>
    <cellStyle name="Normal 49" xfId="205" xr:uid="{00000000-0005-0000-0000-000017010000}"/>
    <cellStyle name="Normal 5" xfId="22" xr:uid="{00000000-0005-0000-0000-000018010000}"/>
    <cellStyle name="Normal 5 2" xfId="206" xr:uid="{00000000-0005-0000-0000-000019010000}"/>
    <cellStyle name="Normal 5_2112 DF Schedule" xfId="349" xr:uid="{00000000-0005-0000-0000-00001A010000}"/>
    <cellStyle name="Normal 50" xfId="207" xr:uid="{00000000-0005-0000-0000-00001B010000}"/>
    <cellStyle name="Normal 51" xfId="208" xr:uid="{00000000-0005-0000-0000-00001C010000}"/>
    <cellStyle name="Normal 52" xfId="209" xr:uid="{00000000-0005-0000-0000-00001D010000}"/>
    <cellStyle name="Normal 53" xfId="210" xr:uid="{00000000-0005-0000-0000-00001E010000}"/>
    <cellStyle name="Normal 54" xfId="211" xr:uid="{00000000-0005-0000-0000-00001F010000}"/>
    <cellStyle name="Normal 55" xfId="212" xr:uid="{00000000-0005-0000-0000-000020010000}"/>
    <cellStyle name="Normal 56" xfId="213" xr:uid="{00000000-0005-0000-0000-000021010000}"/>
    <cellStyle name="Normal 57" xfId="214" xr:uid="{00000000-0005-0000-0000-000022010000}"/>
    <cellStyle name="Normal 58" xfId="215" xr:uid="{00000000-0005-0000-0000-000023010000}"/>
    <cellStyle name="Normal 59" xfId="216" xr:uid="{00000000-0005-0000-0000-000024010000}"/>
    <cellStyle name="Normal 6" xfId="23" xr:uid="{00000000-0005-0000-0000-000025010000}"/>
    <cellStyle name="Normal 6 2" xfId="217" xr:uid="{00000000-0005-0000-0000-000026010000}"/>
    <cellStyle name="Normal 60" xfId="218" xr:uid="{00000000-0005-0000-0000-000027010000}"/>
    <cellStyle name="Normal 61" xfId="219" xr:uid="{00000000-0005-0000-0000-000028010000}"/>
    <cellStyle name="Normal 62" xfId="220" xr:uid="{00000000-0005-0000-0000-000029010000}"/>
    <cellStyle name="Normal 63" xfId="221" xr:uid="{00000000-0005-0000-0000-00002A010000}"/>
    <cellStyle name="Normal 64" xfId="222" xr:uid="{00000000-0005-0000-0000-00002B010000}"/>
    <cellStyle name="Normal 65" xfId="223" xr:uid="{00000000-0005-0000-0000-00002C010000}"/>
    <cellStyle name="Normal 66" xfId="224" xr:uid="{00000000-0005-0000-0000-00002D010000}"/>
    <cellStyle name="Normal 67" xfId="225" xr:uid="{00000000-0005-0000-0000-00002E010000}"/>
    <cellStyle name="Normal 68" xfId="226" xr:uid="{00000000-0005-0000-0000-00002F010000}"/>
    <cellStyle name="Normal 69" xfId="227" xr:uid="{00000000-0005-0000-0000-000030010000}"/>
    <cellStyle name="Normal 7" xfId="228" xr:uid="{00000000-0005-0000-0000-000031010000}"/>
    <cellStyle name="Normal 70" xfId="229" xr:uid="{00000000-0005-0000-0000-000032010000}"/>
    <cellStyle name="Normal 71" xfId="230" xr:uid="{00000000-0005-0000-0000-000033010000}"/>
    <cellStyle name="Normal 72" xfId="231" xr:uid="{00000000-0005-0000-0000-000034010000}"/>
    <cellStyle name="Normal 73" xfId="232" xr:uid="{00000000-0005-0000-0000-000035010000}"/>
    <cellStyle name="Normal 74" xfId="233" xr:uid="{00000000-0005-0000-0000-000036010000}"/>
    <cellStyle name="Normal 75" xfId="234" xr:uid="{00000000-0005-0000-0000-000037010000}"/>
    <cellStyle name="Normal 76" xfId="235" xr:uid="{00000000-0005-0000-0000-000038010000}"/>
    <cellStyle name="Normal 77" xfId="236" xr:uid="{00000000-0005-0000-0000-000039010000}"/>
    <cellStyle name="Normal 78" xfId="237" xr:uid="{00000000-0005-0000-0000-00003A010000}"/>
    <cellStyle name="Normal 79" xfId="238" xr:uid="{00000000-0005-0000-0000-00003B010000}"/>
    <cellStyle name="Normal 8" xfId="239" xr:uid="{00000000-0005-0000-0000-00003C010000}"/>
    <cellStyle name="Normal 80" xfId="240" xr:uid="{00000000-0005-0000-0000-00003D010000}"/>
    <cellStyle name="Normal 81" xfId="241" xr:uid="{00000000-0005-0000-0000-00003E010000}"/>
    <cellStyle name="Normal 82" xfId="242" xr:uid="{00000000-0005-0000-0000-00003F010000}"/>
    <cellStyle name="Normal 83" xfId="243" xr:uid="{00000000-0005-0000-0000-000040010000}"/>
    <cellStyle name="Normal 84" xfId="38" xr:uid="{00000000-0005-0000-0000-000041010000}"/>
    <cellStyle name="Normal 84 2" xfId="278" xr:uid="{00000000-0005-0000-0000-000042010000}"/>
    <cellStyle name="Normal 84 3" xfId="350" xr:uid="{00000000-0005-0000-0000-000043010000}"/>
    <cellStyle name="Normal 85" xfId="252" xr:uid="{00000000-0005-0000-0000-000044010000}"/>
    <cellStyle name="Normal 86" xfId="270" xr:uid="{00000000-0005-0000-0000-000045010000}"/>
    <cellStyle name="Normal 87" xfId="271" xr:uid="{00000000-0005-0000-0000-000046010000}"/>
    <cellStyle name="Normal 88" xfId="272" xr:uid="{00000000-0005-0000-0000-000047010000}"/>
    <cellStyle name="Normal 89" xfId="273" xr:uid="{00000000-0005-0000-0000-000048010000}"/>
    <cellStyle name="Normal 9" xfId="244" xr:uid="{00000000-0005-0000-0000-000049010000}"/>
    <cellStyle name="Normal 90" xfId="274" xr:uid="{00000000-0005-0000-0000-00004A010000}"/>
    <cellStyle name="Normal 91" xfId="279" xr:uid="{00000000-0005-0000-0000-00004B010000}"/>
    <cellStyle name="Normal 92" xfId="369" xr:uid="{00000000-0005-0000-0000-00004C010000}"/>
    <cellStyle name="Normal 93" xfId="373" xr:uid="{00000000-0005-0000-0000-00004D010000}"/>
    <cellStyle name="Normal 94" xfId="374" xr:uid="{00000000-0005-0000-0000-00004E010000}"/>
    <cellStyle name="Normal 95" xfId="375" xr:uid="{00000000-0005-0000-0000-00004F010000}"/>
    <cellStyle name="Normal 96" xfId="376" xr:uid="{00000000-0005-0000-0000-000050010000}"/>
    <cellStyle name="Normal 97" xfId="377" xr:uid="{00000000-0005-0000-0000-000051010000}"/>
    <cellStyle name="Normal 98" xfId="378" xr:uid="{00000000-0005-0000-0000-000052010000}"/>
    <cellStyle name="Normal 99" xfId="379" xr:uid="{00000000-0005-0000-0000-000053010000}"/>
    <cellStyle name="Normal_Book3" xfId="411" xr:uid="{CF235244-5536-4607-BD38-51847A4C31D3}"/>
    <cellStyle name="Normal_Price out" xfId="4" xr:uid="{00000000-0005-0000-0000-000056010000}"/>
    <cellStyle name="Normal_Sheet1" xfId="412" xr:uid="{6BE6EE55-52E1-4DB2-B64C-F09CB44875C9}"/>
    <cellStyle name="Note 2" xfId="246" xr:uid="{00000000-0005-0000-0000-000058010000}"/>
    <cellStyle name="Note 2 2" xfId="351" xr:uid="{00000000-0005-0000-0000-000059010000}"/>
    <cellStyle name="Note 3" xfId="245" xr:uid="{00000000-0005-0000-0000-00005A010000}"/>
    <cellStyle name="Note 3 2" xfId="352" xr:uid="{00000000-0005-0000-0000-00005B010000}"/>
    <cellStyle name="Note 4" xfId="400" xr:uid="{00000000-0005-0000-0000-00005C010000}"/>
    <cellStyle name="Note 5" xfId="408" xr:uid="{056BFE33-85C5-4EC8-B336-1BD3290479EA}"/>
    <cellStyle name="Note 6" xfId="404" xr:uid="{BFB5EAA5-2047-4037-911D-54FA3488D61B}"/>
    <cellStyle name="Notes" xfId="247" xr:uid="{00000000-0005-0000-0000-00005D010000}"/>
    <cellStyle name="Output 2" xfId="249" xr:uid="{00000000-0005-0000-0000-00005E010000}"/>
    <cellStyle name="Output 3" xfId="248" xr:uid="{00000000-0005-0000-0000-00005F010000}"/>
    <cellStyle name="Output 4" xfId="401" xr:uid="{00000000-0005-0000-0000-000060010000}"/>
    <cellStyle name="Percent" xfId="3" builtinId="5"/>
    <cellStyle name="Percent 10" xfId="402" xr:uid="{00000000-0005-0000-0000-000062010000}"/>
    <cellStyle name="Percent 11" xfId="407" xr:uid="{76512B36-3F7B-4D2A-84D8-95157A1109BE}"/>
    <cellStyle name="Percent 2" xfId="24" xr:uid="{00000000-0005-0000-0000-000063010000}"/>
    <cellStyle name="Percent 2 2" xfId="25" xr:uid="{00000000-0005-0000-0000-000064010000}"/>
    <cellStyle name="Percent 2 2 2" xfId="251" xr:uid="{00000000-0005-0000-0000-000065010000}"/>
    <cellStyle name="Percent 2 3" xfId="353" xr:uid="{00000000-0005-0000-0000-000066010000}"/>
    <cellStyle name="Percent 2 6" xfId="26" xr:uid="{00000000-0005-0000-0000-000067010000}"/>
    <cellStyle name="Percent 3" xfId="27" xr:uid="{00000000-0005-0000-0000-000068010000}"/>
    <cellStyle name="Percent 3 2" xfId="28" xr:uid="{00000000-0005-0000-0000-000069010000}"/>
    <cellStyle name="Percent 4" xfId="29" xr:uid="{00000000-0005-0000-0000-00006A010000}"/>
    <cellStyle name="Percent 4 2" xfId="355" xr:uid="{00000000-0005-0000-0000-00006B010000}"/>
    <cellStyle name="Percent 4 3" xfId="354" xr:uid="{00000000-0005-0000-0000-00006C010000}"/>
    <cellStyle name="Percent 5" xfId="253" xr:uid="{00000000-0005-0000-0000-00006D010000}"/>
    <cellStyle name="Percent 5 2" xfId="409" xr:uid="{A0FAB871-4DAE-44C1-AD5A-9FFFFBF298B8}"/>
    <cellStyle name="Percent 6" xfId="254" xr:uid="{00000000-0005-0000-0000-00006E010000}"/>
    <cellStyle name="Percent 7" xfId="250" xr:uid="{00000000-0005-0000-0000-00006F010000}"/>
    <cellStyle name="Percent 7 2" xfId="275" xr:uid="{00000000-0005-0000-0000-000070010000}"/>
    <cellStyle name="Percent 7 3" xfId="356" xr:uid="{00000000-0005-0000-0000-000071010000}"/>
    <cellStyle name="Percent 8" xfId="357" xr:uid="{00000000-0005-0000-0000-000072010000}"/>
    <cellStyle name="Percent 9" xfId="372" xr:uid="{00000000-0005-0000-0000-000073010000}"/>
    <cellStyle name="Percent(1)" xfId="255" xr:uid="{00000000-0005-0000-0000-000074010000}"/>
    <cellStyle name="Percent(2)" xfId="256" xr:uid="{00000000-0005-0000-0000-000075010000}"/>
    <cellStyle name="PRM" xfId="257" xr:uid="{00000000-0005-0000-0000-000076010000}"/>
    <cellStyle name="PRM 2" xfId="258" xr:uid="{00000000-0005-0000-0000-000077010000}"/>
    <cellStyle name="PRM 3" xfId="259" xr:uid="{00000000-0005-0000-0000-000078010000}"/>
    <cellStyle name="PRM_2011-11" xfId="260" xr:uid="{00000000-0005-0000-0000-000079010000}"/>
    <cellStyle name="PS_Comma" xfId="30" xr:uid="{00000000-0005-0000-0000-00007A010000}"/>
    <cellStyle name="PSChar" xfId="31" xr:uid="{00000000-0005-0000-0000-00007B010000}"/>
    <cellStyle name="PSDate" xfId="32" xr:uid="{00000000-0005-0000-0000-00007C010000}"/>
    <cellStyle name="PSDec" xfId="33" xr:uid="{00000000-0005-0000-0000-00007D010000}"/>
    <cellStyle name="PSHeading" xfId="34" xr:uid="{00000000-0005-0000-0000-00007E010000}"/>
    <cellStyle name="PSInt" xfId="35" xr:uid="{00000000-0005-0000-0000-00007F010000}"/>
    <cellStyle name="PSSpacer" xfId="36" xr:uid="{00000000-0005-0000-0000-000080010000}"/>
    <cellStyle name="STYL0 - Style1" xfId="358" xr:uid="{00000000-0005-0000-0000-000081010000}"/>
    <cellStyle name="STYL1 - Style2" xfId="359" xr:uid="{00000000-0005-0000-0000-000082010000}"/>
    <cellStyle name="STYL2 - Style3" xfId="360" xr:uid="{00000000-0005-0000-0000-000083010000}"/>
    <cellStyle name="STYL3 - Style4" xfId="361" xr:uid="{00000000-0005-0000-0000-000084010000}"/>
    <cellStyle name="STYL4 - Style5" xfId="362" xr:uid="{00000000-0005-0000-0000-000085010000}"/>
    <cellStyle name="STYL5 - Style6" xfId="363" xr:uid="{00000000-0005-0000-0000-000086010000}"/>
    <cellStyle name="STYL6 - Style7" xfId="364" xr:uid="{00000000-0005-0000-0000-000087010000}"/>
    <cellStyle name="STYL7 - Style8" xfId="365" xr:uid="{00000000-0005-0000-0000-000088010000}"/>
    <cellStyle name="Style 1" xfId="261" xr:uid="{00000000-0005-0000-0000-000089010000}"/>
    <cellStyle name="Style 1 2" xfId="262" xr:uid="{00000000-0005-0000-0000-00008A010000}"/>
    <cellStyle name="STYLE1" xfId="263" xr:uid="{00000000-0005-0000-0000-00008B010000}"/>
    <cellStyle name="sub heading" xfId="366" xr:uid="{00000000-0005-0000-0000-00008C010000}"/>
    <cellStyle name="Title 2" xfId="265" xr:uid="{00000000-0005-0000-0000-00008D010000}"/>
    <cellStyle name="Title 3" xfId="264" xr:uid="{00000000-0005-0000-0000-00008E010000}"/>
    <cellStyle name="title 4" xfId="403" xr:uid="{00000000-0005-0000-0000-00008F010000}"/>
    <cellStyle name="Total 2" xfId="267" xr:uid="{00000000-0005-0000-0000-000090010000}"/>
    <cellStyle name="Total 2 2" xfId="367" xr:uid="{00000000-0005-0000-0000-000091010000}"/>
    <cellStyle name="Total 3" xfId="266" xr:uid="{00000000-0005-0000-0000-000092010000}"/>
    <cellStyle name="Total 3 2" xfId="368" xr:uid="{00000000-0005-0000-0000-000093010000}"/>
    <cellStyle name="Warning Text 2" xfId="269" xr:uid="{00000000-0005-0000-0000-000094010000}"/>
    <cellStyle name="Warning Text 3" xfId="268" xr:uid="{00000000-0005-0000-0000-000095010000}"/>
    <cellStyle name="WM_STANDARD" xfId="37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microsoft.com/office/2017/10/relationships/person" Target="persons/person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6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UTIL\TRANS\Waste%20Management%20-%20Filings\Ellensburg\Year%202009\TG-091472%20(GRC)\Staff\TG-091472%20WM%20of%20Ellensburg%20(Workpapers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Infin%20to%20Laws%20Co-AU%20Mapping%201-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AW%20P&amp;L%20map%200811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2019.12-2020.11%20Mason%20County%20Price%20Out%20Templat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easlema\AppData\Local\Temp\639ecb29-571f-4b75-9b72-d3c625fd9265_STAFF%20OP%20Copy%20of%20FINAL%20Staff%2003-WUTC%20Model%20-%20Bellevue%20031523%20(adj%20priceout%20KR).zip.265\STAFF%20OP%20Copy%20of%20FINAL%20Staff%2003-WUTC%20Model%20-%20Bellevue%20031523%20(adj%20priceout%20KR).xlsx?4B84DB85" TargetMode="External"/><Relationship Id="rId1" Type="http://schemas.openxmlformats.org/officeDocument/2006/relationships/externalLinkPath" Target="file:///\\4B84DB85\STAFF%20OP%20Copy%20of%20FINAL%20Staff%2003-WUTC%20Model%20-%20Bellevue%20031523%20(adj%20priceout%20KR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%20II/WUTC%20Filings/Other%20Rate%20Cases/2022%20Disposal%20Increase/TG-210258%20Staff%20Workbook%205-18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ControllerDir\JoeW\My%20Local%20Documents\OPF\Rate%20Reviews\2016\2016%20OPF%20Master%20DCR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dkermode/Documents/+2018/LG%20replacement/SolidWaste-NonPublic%20LG%202018%20V5.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Weldon/AppData/Local/Microsoft/Windows/Temporary%20Internet%20Files/Content.Outlook/2IU5EPBL/BDI_WUTC-GeneralRateCase_2017-Jan_v02%204%20(CB%20new)%20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ermode\Documents\+2018\LG%20replacement\SolidWaste-NonPublic%20LG%202018%20V5.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W_COMP\Rosario\2007%20rate%20case\Worksheets\070944%20Loan%20Recalcul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l\Desktop\Mason_GRC_Pro_forma_11.30.20_-_(C)_Reda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  <sheetName val="OH Analysis (2008)"/>
      <sheetName val="Corp. Office OH 2008"/>
      <sheetName val="Legal"/>
      <sheetName val="Lurito 25 bpi (Rollof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Staff Restate adj."/>
      <sheetName val="PF Restate"/>
      <sheetName val="Staff Proforma Adj."/>
      <sheetName val="PF Adj"/>
      <sheetName val="PR Narrative"/>
      <sheetName val="Summary &amp; PF"/>
      <sheetName val="PR vs GL"/>
      <sheetName val="Summary Calc &amp; Lookup"/>
      <sheetName val="RSA Labor Expense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RO Charge Codes"/>
      <sheetName val="IR Revenue"/>
      <sheetName val="RO Revenue"/>
      <sheetName val="Route Hrs Instructions"/>
      <sheetName val="Truck Hrs Sum"/>
      <sheetName val="Resi Comm Hours Summary"/>
      <sheetName val="Pivot Ops Dec 22"/>
      <sheetName val="CommResiHrs"/>
      <sheetName val="Detail Dec 22"/>
      <sheetName val="IND Hrs Sum"/>
      <sheetName val="IND Hrs Data"/>
      <sheetName val="Route Analysis"/>
      <sheetName val="Contract Ref Table"/>
      <sheetName val="Fuel Calc"/>
      <sheetName val="Fuel Invoice Data Entry"/>
      <sheetName val="Disposal Instructions"/>
      <sheetName val="Disposal Summary (with IC)"/>
      <sheetName val="IND Sum Confirm"/>
      <sheetName val="Summary Disposal Data"/>
      <sheetName val="Disposal Ref Tables"/>
      <sheetName val="Avg Invest Instructions"/>
      <sheetName val="Avg Invest Summary-Staff Revise"/>
      <sheetName val="Staff Depn Output Summary"/>
      <sheetName val="Staff Depn Input and Calc"/>
      <sheetName val="Asset Listing"/>
      <sheetName val="Asset Register data"/>
      <sheetName val="Asset Type Tables"/>
      <sheetName val="Cont Count Instructions"/>
      <sheetName val="InfoPro Container Count Instr"/>
      <sheetName val="Container Counts"/>
      <sheetName val="Cont Count Data"/>
      <sheetName val="Cont Ref Tables"/>
      <sheetName val="Customer Allocation"/>
      <sheetName val="Tons Master Report &gt;"/>
      <sheetName val="Tons File Summary"/>
      <sheetName val="Resi MSW Tons"/>
      <sheetName val="Resi Recycle Tons"/>
      <sheetName val="Resi Yard Waste Tons"/>
      <sheetName val="2021 Com-MF-Resi Tons"/>
      <sheetName val="2021 Multifamily Yards"/>
      <sheetName val="2021 Commercial Yards"/>
      <sheetName val="2021 Resi Counts"/>
      <sheetName val="2021 Multifamily Counts"/>
      <sheetName val="2021 Commercial Counts"/>
      <sheetName val="2022 Com-MF-Resi Tons"/>
      <sheetName val="2022 Multifamily Yards"/>
      <sheetName val="2022 Commercial Yards"/>
      <sheetName val="2022 Resi Counts"/>
      <sheetName val="2022 Multifamily Counts"/>
      <sheetName val="2022 Commercial Counts"/>
      <sheetName val="CoS"/>
      <sheetName val="Meeks"/>
      <sheetName val="Essbase Instructions"/>
      <sheetName val="Essbase P&amp;L"/>
      <sheetName val="4172 Balance Sheet"/>
      <sheetName val="Essbase Stats"/>
      <sheetName val="4584 P&amp;L - Aff. Co. MRF"/>
      <sheetName val="4584 BS - Aff. Co. MRF"/>
      <sheetName val="G-12 FS (Smartview)"/>
      <sheetName val="ALGL prior years history"/>
      <sheetName val="WRRA"/>
      <sheetName val="Regulated City Taxes"/>
      <sheetName val="Permit Fees Recap"/>
      <sheetName val="HW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Disposal Summary (with IC)"/>
      <sheetName val="King CO MSW Increase"/>
      <sheetName val="MRF Increase Proforma"/>
      <sheetName val="Permit Fees Recap"/>
      <sheetName val="Permit Fees 2020"/>
      <sheetName val="PR Narrative"/>
      <sheetName val="Summary &amp; PF"/>
      <sheetName val="PR vs GL"/>
      <sheetName val="Summary Calc &amp; Lookup"/>
      <sheetName val="Driver Adds"/>
      <sheetName val="Customer Service"/>
      <sheetName val="RSA Labor Expense"/>
      <sheetName val="2020-2021 Admin Time"/>
      <sheetName val="2019-2020 Admin Time"/>
      <sheetName val="Alloc Impact"/>
      <sheetName val="PA340"/>
      <sheetName val="PR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Sheet1"/>
      <sheetName val="Pivot Tons"/>
      <sheetName val="Detail"/>
      <sheetName val="Operation"/>
      <sheetName val="Resi Update"/>
      <sheetName val="Com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Invoice Data Entry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72 2020 Com-MF-Resi Tons"/>
      <sheetName val="4172 2020 Multi-Family Yards"/>
      <sheetName val="4172 2020 Commercial Yards"/>
      <sheetName val="4172 2020 Resi Counts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Filing Specific Tabs &gt;"/>
      <sheetName val="SeaTac Contract Financials"/>
      <sheetName val="GL for WRRA Dues"/>
      <sheetName val="Reg 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6">
          <cell r="D106">
            <v>13206.09960000002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E7">
            <v>583941.19999999995</v>
          </cell>
        </row>
      </sheetData>
      <sheetData sheetId="56" refreshError="1"/>
      <sheetData sheetId="57" refreshError="1"/>
      <sheetData sheetId="58">
        <row r="16">
          <cell r="C16">
            <v>35682.951500000003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>
        <row r="1">
          <cell r="E1">
            <v>42816.395000000033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Reg'd or Unreg'd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>
        <row r="25">
          <cell r="C25" t="str">
            <v>R</v>
          </cell>
        </row>
      </sheetData>
      <sheetData sheetId="86">
        <row r="43">
          <cell r="C43" t="str">
            <v>Code</v>
          </cell>
        </row>
      </sheetData>
      <sheetData sheetId="87">
        <row r="63">
          <cell r="C63" t="str">
            <v>R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34">
          <cell r="C434">
            <v>-19428.2</v>
          </cell>
        </row>
      </sheetData>
      <sheetData sheetId="97" refreshError="1"/>
      <sheetData sheetId="98" refreshError="1"/>
      <sheetData sheetId="99">
        <row r="26">
          <cell r="D26">
            <v>1609.7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1. BDI Rev &amp; Exp Total Sheet"/>
      <sheetName val="2. 12 Month Income Stmt. 4(c)"/>
      <sheetName val="3. ProForma"/>
      <sheetName val="4. Matrix"/>
      <sheetName val="5. BDI Gen Ledger Table"/>
      <sheetName val="6. V Lookup Tables"/>
      <sheetName val="7. GL Pivot"/>
      <sheetName val="Recon"/>
      <sheetName val="8. BDI_IS_2015-16"/>
      <sheetName val="8.1 BDI_IS_2016"/>
      <sheetName val="8.2 BDI_IS for 2015"/>
      <sheetName val="9. BDI Balance Sheet"/>
      <sheetName val="Consolidated Balance Sheet 4(g)"/>
      <sheetName val="Sheet5"/>
      <sheetName val="Sheet6"/>
      <sheetName val="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9 IS (C)"/>
      <sheetName val="Master IS (C)"/>
      <sheetName val="Mason LOB (C)"/>
      <sheetName val="Restating Adj (C)"/>
      <sheetName val="Pro forma Adj (C)"/>
      <sheetName val="Allocators (C)"/>
      <sheetName val="Rate Sheet"/>
      <sheetName val="Payroll Summary (C)"/>
      <sheetName val="Depr Summary (C)"/>
      <sheetName val="Mason Co. Regulated - Price Out"/>
      <sheetName val="Kitsap Regulated - Price Out"/>
      <sheetName val="Shelton Regulated - Price Out"/>
      <sheetName val="Disposal Schedule"/>
      <sheetName val="Recycle Breakout"/>
      <sheetName val="2149_BS 11.2019"/>
      <sheetName val="2149_BS 11.2020"/>
      <sheetName val="Interject_LastPulledValues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43001 JE Query"/>
      <sheetName val="70255 JE Query"/>
      <sheetName val="70195 JE Query"/>
      <sheetName val="91010 JE Query"/>
      <sheetName val="DVP-DivCon Allocs  (C)"/>
      <sheetName val="Region OH (C)"/>
      <sheetName val="Corp-OH (C)"/>
      <sheetName val="Corp IS-B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EB9B13F1-A81F-4432-ADB3-D375979B5C15}" userId="Sharbono, Benjamin (UTC)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0" dT="2022-12-02T01:54:27.03" personId="{EB9B13F1-A81F-4432-ADB3-D375979B5C15}" id="{7AD42632-31EE-49FC-A092-B82E6D2589BB}">
    <text>Staff accepts this calculation for 1.25-Yard weight. Calculation divides the increase in weight from 1-Yard to 1.5-Yard weights by 2, then adds to 1-Yard Meeks weight.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CD5C-79B3-41E1-AAC3-27C968EC8F9B}">
  <dimension ref="A1:W139"/>
  <sheetViews>
    <sheetView tabSelected="1" zoomScaleNormal="100" workbookViewId="0"/>
  </sheetViews>
  <sheetFormatPr defaultRowHeight="14.4"/>
  <cols>
    <col min="1" max="1" width="68.5546875" bestFit="1" customWidth="1"/>
    <col min="2" max="2" width="16.33203125" bestFit="1" customWidth="1"/>
    <col min="3" max="3" width="9.33203125" style="230" bestFit="1" customWidth="1"/>
    <col min="4" max="4" width="19.33203125" style="230" bestFit="1" customWidth="1"/>
    <col min="5" max="5" width="10.6640625" style="230" bestFit="1" customWidth="1"/>
    <col min="6" max="6" width="18.88671875" style="230" customWidth="1"/>
    <col min="7" max="7" width="11.109375" bestFit="1" customWidth="1"/>
    <col min="8" max="8" width="26.88671875" customWidth="1"/>
    <col min="257" max="257" width="68.5546875" bestFit="1" customWidth="1"/>
    <col min="258" max="258" width="12.5546875" bestFit="1" customWidth="1"/>
    <col min="259" max="259" width="8.88671875" bestFit="1" customWidth="1"/>
    <col min="260" max="260" width="19.33203125" bestFit="1" customWidth="1"/>
    <col min="261" max="261" width="10.6640625" bestFit="1" customWidth="1"/>
    <col min="262" max="262" width="18.88671875" customWidth="1"/>
    <col min="263" max="263" width="11.109375" bestFit="1" customWidth="1"/>
    <col min="264" max="264" width="26.88671875" customWidth="1"/>
    <col min="513" max="513" width="68.5546875" bestFit="1" customWidth="1"/>
    <col min="514" max="514" width="12.5546875" bestFit="1" customWidth="1"/>
    <col min="515" max="515" width="8.88671875" bestFit="1" customWidth="1"/>
    <col min="516" max="516" width="19.33203125" bestFit="1" customWidth="1"/>
    <col min="517" max="517" width="10.6640625" bestFit="1" customWidth="1"/>
    <col min="518" max="518" width="18.88671875" customWidth="1"/>
    <col min="519" max="519" width="11.109375" bestFit="1" customWidth="1"/>
    <col min="520" max="520" width="26.88671875" customWidth="1"/>
    <col min="769" max="769" width="68.5546875" bestFit="1" customWidth="1"/>
    <col min="770" max="770" width="12.5546875" bestFit="1" customWidth="1"/>
    <col min="771" max="771" width="8.88671875" bestFit="1" customWidth="1"/>
    <col min="772" max="772" width="19.33203125" bestFit="1" customWidth="1"/>
    <col min="773" max="773" width="10.6640625" bestFit="1" customWidth="1"/>
    <col min="774" max="774" width="18.88671875" customWidth="1"/>
    <col min="775" max="775" width="11.109375" bestFit="1" customWidth="1"/>
    <col min="776" max="776" width="26.88671875" customWidth="1"/>
    <col min="1025" max="1025" width="68.5546875" bestFit="1" customWidth="1"/>
    <col min="1026" max="1026" width="12.5546875" bestFit="1" customWidth="1"/>
    <col min="1027" max="1027" width="8.88671875" bestFit="1" customWidth="1"/>
    <col min="1028" max="1028" width="19.33203125" bestFit="1" customWidth="1"/>
    <col min="1029" max="1029" width="10.6640625" bestFit="1" customWidth="1"/>
    <col min="1030" max="1030" width="18.88671875" customWidth="1"/>
    <col min="1031" max="1031" width="11.109375" bestFit="1" customWidth="1"/>
    <col min="1032" max="1032" width="26.88671875" customWidth="1"/>
    <col min="1281" max="1281" width="68.5546875" bestFit="1" customWidth="1"/>
    <col min="1282" max="1282" width="12.5546875" bestFit="1" customWidth="1"/>
    <col min="1283" max="1283" width="8.88671875" bestFit="1" customWidth="1"/>
    <col min="1284" max="1284" width="19.33203125" bestFit="1" customWidth="1"/>
    <col min="1285" max="1285" width="10.6640625" bestFit="1" customWidth="1"/>
    <col min="1286" max="1286" width="18.88671875" customWidth="1"/>
    <col min="1287" max="1287" width="11.109375" bestFit="1" customWidth="1"/>
    <col min="1288" max="1288" width="26.88671875" customWidth="1"/>
    <col min="1537" max="1537" width="68.5546875" bestFit="1" customWidth="1"/>
    <col min="1538" max="1538" width="12.5546875" bestFit="1" customWidth="1"/>
    <col min="1539" max="1539" width="8.88671875" bestFit="1" customWidth="1"/>
    <col min="1540" max="1540" width="19.33203125" bestFit="1" customWidth="1"/>
    <col min="1541" max="1541" width="10.6640625" bestFit="1" customWidth="1"/>
    <col min="1542" max="1542" width="18.88671875" customWidth="1"/>
    <col min="1543" max="1543" width="11.109375" bestFit="1" customWidth="1"/>
    <col min="1544" max="1544" width="26.88671875" customWidth="1"/>
    <col min="1793" max="1793" width="68.5546875" bestFit="1" customWidth="1"/>
    <col min="1794" max="1794" width="12.5546875" bestFit="1" customWidth="1"/>
    <col min="1795" max="1795" width="8.88671875" bestFit="1" customWidth="1"/>
    <col min="1796" max="1796" width="19.33203125" bestFit="1" customWidth="1"/>
    <col min="1797" max="1797" width="10.6640625" bestFit="1" customWidth="1"/>
    <col min="1798" max="1798" width="18.88671875" customWidth="1"/>
    <col min="1799" max="1799" width="11.109375" bestFit="1" customWidth="1"/>
    <col min="1800" max="1800" width="26.88671875" customWidth="1"/>
    <col min="2049" max="2049" width="68.5546875" bestFit="1" customWidth="1"/>
    <col min="2050" max="2050" width="12.5546875" bestFit="1" customWidth="1"/>
    <col min="2051" max="2051" width="8.88671875" bestFit="1" customWidth="1"/>
    <col min="2052" max="2052" width="19.33203125" bestFit="1" customWidth="1"/>
    <col min="2053" max="2053" width="10.6640625" bestFit="1" customWidth="1"/>
    <col min="2054" max="2054" width="18.88671875" customWidth="1"/>
    <col min="2055" max="2055" width="11.109375" bestFit="1" customWidth="1"/>
    <col min="2056" max="2056" width="26.88671875" customWidth="1"/>
    <col min="2305" max="2305" width="68.5546875" bestFit="1" customWidth="1"/>
    <col min="2306" max="2306" width="12.5546875" bestFit="1" customWidth="1"/>
    <col min="2307" max="2307" width="8.88671875" bestFit="1" customWidth="1"/>
    <col min="2308" max="2308" width="19.33203125" bestFit="1" customWidth="1"/>
    <col min="2309" max="2309" width="10.6640625" bestFit="1" customWidth="1"/>
    <col min="2310" max="2310" width="18.88671875" customWidth="1"/>
    <col min="2311" max="2311" width="11.109375" bestFit="1" customWidth="1"/>
    <col min="2312" max="2312" width="26.88671875" customWidth="1"/>
    <col min="2561" max="2561" width="68.5546875" bestFit="1" customWidth="1"/>
    <col min="2562" max="2562" width="12.5546875" bestFit="1" customWidth="1"/>
    <col min="2563" max="2563" width="8.88671875" bestFit="1" customWidth="1"/>
    <col min="2564" max="2564" width="19.33203125" bestFit="1" customWidth="1"/>
    <col min="2565" max="2565" width="10.6640625" bestFit="1" customWidth="1"/>
    <col min="2566" max="2566" width="18.88671875" customWidth="1"/>
    <col min="2567" max="2567" width="11.109375" bestFit="1" customWidth="1"/>
    <col min="2568" max="2568" width="26.88671875" customWidth="1"/>
    <col min="2817" max="2817" width="68.5546875" bestFit="1" customWidth="1"/>
    <col min="2818" max="2818" width="12.5546875" bestFit="1" customWidth="1"/>
    <col min="2819" max="2819" width="8.88671875" bestFit="1" customWidth="1"/>
    <col min="2820" max="2820" width="19.33203125" bestFit="1" customWidth="1"/>
    <col min="2821" max="2821" width="10.6640625" bestFit="1" customWidth="1"/>
    <col min="2822" max="2822" width="18.88671875" customWidth="1"/>
    <col min="2823" max="2823" width="11.109375" bestFit="1" customWidth="1"/>
    <col min="2824" max="2824" width="26.88671875" customWidth="1"/>
    <col min="3073" max="3073" width="68.5546875" bestFit="1" customWidth="1"/>
    <col min="3074" max="3074" width="12.5546875" bestFit="1" customWidth="1"/>
    <col min="3075" max="3075" width="8.88671875" bestFit="1" customWidth="1"/>
    <col min="3076" max="3076" width="19.33203125" bestFit="1" customWidth="1"/>
    <col min="3077" max="3077" width="10.6640625" bestFit="1" customWidth="1"/>
    <col min="3078" max="3078" width="18.88671875" customWidth="1"/>
    <col min="3079" max="3079" width="11.109375" bestFit="1" customWidth="1"/>
    <col min="3080" max="3080" width="26.88671875" customWidth="1"/>
    <col min="3329" max="3329" width="68.5546875" bestFit="1" customWidth="1"/>
    <col min="3330" max="3330" width="12.5546875" bestFit="1" customWidth="1"/>
    <col min="3331" max="3331" width="8.88671875" bestFit="1" customWidth="1"/>
    <col min="3332" max="3332" width="19.33203125" bestFit="1" customWidth="1"/>
    <col min="3333" max="3333" width="10.6640625" bestFit="1" customWidth="1"/>
    <col min="3334" max="3334" width="18.88671875" customWidth="1"/>
    <col min="3335" max="3335" width="11.109375" bestFit="1" customWidth="1"/>
    <col min="3336" max="3336" width="26.88671875" customWidth="1"/>
    <col min="3585" max="3585" width="68.5546875" bestFit="1" customWidth="1"/>
    <col min="3586" max="3586" width="12.5546875" bestFit="1" customWidth="1"/>
    <col min="3587" max="3587" width="8.88671875" bestFit="1" customWidth="1"/>
    <col min="3588" max="3588" width="19.33203125" bestFit="1" customWidth="1"/>
    <col min="3589" max="3589" width="10.6640625" bestFit="1" customWidth="1"/>
    <col min="3590" max="3590" width="18.88671875" customWidth="1"/>
    <col min="3591" max="3591" width="11.109375" bestFit="1" customWidth="1"/>
    <col min="3592" max="3592" width="26.88671875" customWidth="1"/>
    <col min="3841" max="3841" width="68.5546875" bestFit="1" customWidth="1"/>
    <col min="3842" max="3842" width="12.5546875" bestFit="1" customWidth="1"/>
    <col min="3843" max="3843" width="8.88671875" bestFit="1" customWidth="1"/>
    <col min="3844" max="3844" width="19.33203125" bestFit="1" customWidth="1"/>
    <col min="3845" max="3845" width="10.6640625" bestFit="1" customWidth="1"/>
    <col min="3846" max="3846" width="18.88671875" customWidth="1"/>
    <col min="3847" max="3847" width="11.109375" bestFit="1" customWidth="1"/>
    <col min="3848" max="3848" width="26.88671875" customWidth="1"/>
    <col min="4097" max="4097" width="68.5546875" bestFit="1" customWidth="1"/>
    <col min="4098" max="4098" width="12.5546875" bestFit="1" customWidth="1"/>
    <col min="4099" max="4099" width="8.88671875" bestFit="1" customWidth="1"/>
    <col min="4100" max="4100" width="19.33203125" bestFit="1" customWidth="1"/>
    <col min="4101" max="4101" width="10.6640625" bestFit="1" customWidth="1"/>
    <col min="4102" max="4102" width="18.88671875" customWidth="1"/>
    <col min="4103" max="4103" width="11.109375" bestFit="1" customWidth="1"/>
    <col min="4104" max="4104" width="26.88671875" customWidth="1"/>
    <col min="4353" max="4353" width="68.5546875" bestFit="1" customWidth="1"/>
    <col min="4354" max="4354" width="12.5546875" bestFit="1" customWidth="1"/>
    <col min="4355" max="4355" width="8.88671875" bestFit="1" customWidth="1"/>
    <col min="4356" max="4356" width="19.33203125" bestFit="1" customWidth="1"/>
    <col min="4357" max="4357" width="10.6640625" bestFit="1" customWidth="1"/>
    <col min="4358" max="4358" width="18.88671875" customWidth="1"/>
    <col min="4359" max="4359" width="11.109375" bestFit="1" customWidth="1"/>
    <col min="4360" max="4360" width="26.88671875" customWidth="1"/>
    <col min="4609" max="4609" width="68.5546875" bestFit="1" customWidth="1"/>
    <col min="4610" max="4610" width="12.5546875" bestFit="1" customWidth="1"/>
    <col min="4611" max="4611" width="8.88671875" bestFit="1" customWidth="1"/>
    <col min="4612" max="4612" width="19.33203125" bestFit="1" customWidth="1"/>
    <col min="4613" max="4613" width="10.6640625" bestFit="1" customWidth="1"/>
    <col min="4614" max="4614" width="18.88671875" customWidth="1"/>
    <col min="4615" max="4615" width="11.109375" bestFit="1" customWidth="1"/>
    <col min="4616" max="4616" width="26.88671875" customWidth="1"/>
    <col min="4865" max="4865" width="68.5546875" bestFit="1" customWidth="1"/>
    <col min="4866" max="4866" width="12.5546875" bestFit="1" customWidth="1"/>
    <col min="4867" max="4867" width="8.88671875" bestFit="1" customWidth="1"/>
    <col min="4868" max="4868" width="19.33203125" bestFit="1" customWidth="1"/>
    <col min="4869" max="4869" width="10.6640625" bestFit="1" customWidth="1"/>
    <col min="4870" max="4870" width="18.88671875" customWidth="1"/>
    <col min="4871" max="4871" width="11.109375" bestFit="1" customWidth="1"/>
    <col min="4872" max="4872" width="26.88671875" customWidth="1"/>
    <col min="5121" max="5121" width="68.5546875" bestFit="1" customWidth="1"/>
    <col min="5122" max="5122" width="12.5546875" bestFit="1" customWidth="1"/>
    <col min="5123" max="5123" width="8.88671875" bestFit="1" customWidth="1"/>
    <col min="5124" max="5124" width="19.33203125" bestFit="1" customWidth="1"/>
    <col min="5125" max="5125" width="10.6640625" bestFit="1" customWidth="1"/>
    <col min="5126" max="5126" width="18.88671875" customWidth="1"/>
    <col min="5127" max="5127" width="11.109375" bestFit="1" customWidth="1"/>
    <col min="5128" max="5128" width="26.88671875" customWidth="1"/>
    <col min="5377" max="5377" width="68.5546875" bestFit="1" customWidth="1"/>
    <col min="5378" max="5378" width="12.5546875" bestFit="1" customWidth="1"/>
    <col min="5379" max="5379" width="8.88671875" bestFit="1" customWidth="1"/>
    <col min="5380" max="5380" width="19.33203125" bestFit="1" customWidth="1"/>
    <col min="5381" max="5381" width="10.6640625" bestFit="1" customWidth="1"/>
    <col min="5382" max="5382" width="18.88671875" customWidth="1"/>
    <col min="5383" max="5383" width="11.109375" bestFit="1" customWidth="1"/>
    <col min="5384" max="5384" width="26.88671875" customWidth="1"/>
    <col min="5633" max="5633" width="68.5546875" bestFit="1" customWidth="1"/>
    <col min="5634" max="5634" width="12.5546875" bestFit="1" customWidth="1"/>
    <col min="5635" max="5635" width="8.88671875" bestFit="1" customWidth="1"/>
    <col min="5636" max="5636" width="19.33203125" bestFit="1" customWidth="1"/>
    <col min="5637" max="5637" width="10.6640625" bestFit="1" customWidth="1"/>
    <col min="5638" max="5638" width="18.88671875" customWidth="1"/>
    <col min="5639" max="5639" width="11.109375" bestFit="1" customWidth="1"/>
    <col min="5640" max="5640" width="26.88671875" customWidth="1"/>
    <col min="5889" max="5889" width="68.5546875" bestFit="1" customWidth="1"/>
    <col min="5890" max="5890" width="12.5546875" bestFit="1" customWidth="1"/>
    <col min="5891" max="5891" width="8.88671875" bestFit="1" customWidth="1"/>
    <col min="5892" max="5892" width="19.33203125" bestFit="1" customWidth="1"/>
    <col min="5893" max="5893" width="10.6640625" bestFit="1" customWidth="1"/>
    <col min="5894" max="5894" width="18.88671875" customWidth="1"/>
    <col min="5895" max="5895" width="11.109375" bestFit="1" customWidth="1"/>
    <col min="5896" max="5896" width="26.88671875" customWidth="1"/>
    <col min="6145" max="6145" width="68.5546875" bestFit="1" customWidth="1"/>
    <col min="6146" max="6146" width="12.5546875" bestFit="1" customWidth="1"/>
    <col min="6147" max="6147" width="8.88671875" bestFit="1" customWidth="1"/>
    <col min="6148" max="6148" width="19.33203125" bestFit="1" customWidth="1"/>
    <col min="6149" max="6149" width="10.6640625" bestFit="1" customWidth="1"/>
    <col min="6150" max="6150" width="18.88671875" customWidth="1"/>
    <col min="6151" max="6151" width="11.109375" bestFit="1" customWidth="1"/>
    <col min="6152" max="6152" width="26.88671875" customWidth="1"/>
    <col min="6401" max="6401" width="68.5546875" bestFit="1" customWidth="1"/>
    <col min="6402" max="6402" width="12.5546875" bestFit="1" customWidth="1"/>
    <col min="6403" max="6403" width="8.88671875" bestFit="1" customWidth="1"/>
    <col min="6404" max="6404" width="19.33203125" bestFit="1" customWidth="1"/>
    <col min="6405" max="6405" width="10.6640625" bestFit="1" customWidth="1"/>
    <col min="6406" max="6406" width="18.88671875" customWidth="1"/>
    <col min="6407" max="6407" width="11.109375" bestFit="1" customWidth="1"/>
    <col min="6408" max="6408" width="26.88671875" customWidth="1"/>
    <col min="6657" max="6657" width="68.5546875" bestFit="1" customWidth="1"/>
    <col min="6658" max="6658" width="12.5546875" bestFit="1" customWidth="1"/>
    <col min="6659" max="6659" width="8.88671875" bestFit="1" customWidth="1"/>
    <col min="6660" max="6660" width="19.33203125" bestFit="1" customWidth="1"/>
    <col min="6661" max="6661" width="10.6640625" bestFit="1" customWidth="1"/>
    <col min="6662" max="6662" width="18.88671875" customWidth="1"/>
    <col min="6663" max="6663" width="11.109375" bestFit="1" customWidth="1"/>
    <col min="6664" max="6664" width="26.88671875" customWidth="1"/>
    <col min="6913" max="6913" width="68.5546875" bestFit="1" customWidth="1"/>
    <col min="6914" max="6914" width="12.5546875" bestFit="1" customWidth="1"/>
    <col min="6915" max="6915" width="8.88671875" bestFit="1" customWidth="1"/>
    <col min="6916" max="6916" width="19.33203125" bestFit="1" customWidth="1"/>
    <col min="6917" max="6917" width="10.6640625" bestFit="1" customWidth="1"/>
    <col min="6918" max="6918" width="18.88671875" customWidth="1"/>
    <col min="6919" max="6919" width="11.109375" bestFit="1" customWidth="1"/>
    <col min="6920" max="6920" width="26.88671875" customWidth="1"/>
    <col min="7169" max="7169" width="68.5546875" bestFit="1" customWidth="1"/>
    <col min="7170" max="7170" width="12.5546875" bestFit="1" customWidth="1"/>
    <col min="7171" max="7171" width="8.88671875" bestFit="1" customWidth="1"/>
    <col min="7172" max="7172" width="19.33203125" bestFit="1" customWidth="1"/>
    <col min="7173" max="7173" width="10.6640625" bestFit="1" customWidth="1"/>
    <col min="7174" max="7174" width="18.88671875" customWidth="1"/>
    <col min="7175" max="7175" width="11.109375" bestFit="1" customWidth="1"/>
    <col min="7176" max="7176" width="26.88671875" customWidth="1"/>
    <col min="7425" max="7425" width="68.5546875" bestFit="1" customWidth="1"/>
    <col min="7426" max="7426" width="12.5546875" bestFit="1" customWidth="1"/>
    <col min="7427" max="7427" width="8.88671875" bestFit="1" customWidth="1"/>
    <col min="7428" max="7428" width="19.33203125" bestFit="1" customWidth="1"/>
    <col min="7429" max="7429" width="10.6640625" bestFit="1" customWidth="1"/>
    <col min="7430" max="7430" width="18.88671875" customWidth="1"/>
    <col min="7431" max="7431" width="11.109375" bestFit="1" customWidth="1"/>
    <col min="7432" max="7432" width="26.88671875" customWidth="1"/>
    <col min="7681" max="7681" width="68.5546875" bestFit="1" customWidth="1"/>
    <col min="7682" max="7682" width="12.5546875" bestFit="1" customWidth="1"/>
    <col min="7683" max="7683" width="8.88671875" bestFit="1" customWidth="1"/>
    <col min="7684" max="7684" width="19.33203125" bestFit="1" customWidth="1"/>
    <col min="7685" max="7685" width="10.6640625" bestFit="1" customWidth="1"/>
    <col min="7686" max="7686" width="18.88671875" customWidth="1"/>
    <col min="7687" max="7687" width="11.109375" bestFit="1" customWidth="1"/>
    <col min="7688" max="7688" width="26.88671875" customWidth="1"/>
    <col min="7937" max="7937" width="68.5546875" bestFit="1" customWidth="1"/>
    <col min="7938" max="7938" width="12.5546875" bestFit="1" customWidth="1"/>
    <col min="7939" max="7939" width="8.88671875" bestFit="1" customWidth="1"/>
    <col min="7940" max="7940" width="19.33203125" bestFit="1" customWidth="1"/>
    <col min="7941" max="7941" width="10.6640625" bestFit="1" customWidth="1"/>
    <col min="7942" max="7942" width="18.88671875" customWidth="1"/>
    <col min="7943" max="7943" width="11.109375" bestFit="1" customWidth="1"/>
    <col min="7944" max="7944" width="26.88671875" customWidth="1"/>
    <col min="8193" max="8193" width="68.5546875" bestFit="1" customWidth="1"/>
    <col min="8194" max="8194" width="12.5546875" bestFit="1" customWidth="1"/>
    <col min="8195" max="8195" width="8.88671875" bestFit="1" customWidth="1"/>
    <col min="8196" max="8196" width="19.33203125" bestFit="1" customWidth="1"/>
    <col min="8197" max="8197" width="10.6640625" bestFit="1" customWidth="1"/>
    <col min="8198" max="8198" width="18.88671875" customWidth="1"/>
    <col min="8199" max="8199" width="11.109375" bestFit="1" customWidth="1"/>
    <col min="8200" max="8200" width="26.88671875" customWidth="1"/>
    <col min="8449" max="8449" width="68.5546875" bestFit="1" customWidth="1"/>
    <col min="8450" max="8450" width="12.5546875" bestFit="1" customWidth="1"/>
    <col min="8451" max="8451" width="8.88671875" bestFit="1" customWidth="1"/>
    <col min="8452" max="8452" width="19.33203125" bestFit="1" customWidth="1"/>
    <col min="8453" max="8453" width="10.6640625" bestFit="1" customWidth="1"/>
    <col min="8454" max="8454" width="18.88671875" customWidth="1"/>
    <col min="8455" max="8455" width="11.109375" bestFit="1" customWidth="1"/>
    <col min="8456" max="8456" width="26.88671875" customWidth="1"/>
    <col min="8705" max="8705" width="68.5546875" bestFit="1" customWidth="1"/>
    <col min="8706" max="8706" width="12.5546875" bestFit="1" customWidth="1"/>
    <col min="8707" max="8707" width="8.88671875" bestFit="1" customWidth="1"/>
    <col min="8708" max="8708" width="19.33203125" bestFit="1" customWidth="1"/>
    <col min="8709" max="8709" width="10.6640625" bestFit="1" customWidth="1"/>
    <col min="8710" max="8710" width="18.88671875" customWidth="1"/>
    <col min="8711" max="8711" width="11.109375" bestFit="1" customWidth="1"/>
    <col min="8712" max="8712" width="26.88671875" customWidth="1"/>
    <col min="8961" max="8961" width="68.5546875" bestFit="1" customWidth="1"/>
    <col min="8962" max="8962" width="12.5546875" bestFit="1" customWidth="1"/>
    <col min="8963" max="8963" width="8.88671875" bestFit="1" customWidth="1"/>
    <col min="8964" max="8964" width="19.33203125" bestFit="1" customWidth="1"/>
    <col min="8965" max="8965" width="10.6640625" bestFit="1" customWidth="1"/>
    <col min="8966" max="8966" width="18.88671875" customWidth="1"/>
    <col min="8967" max="8967" width="11.109375" bestFit="1" customWidth="1"/>
    <col min="8968" max="8968" width="26.88671875" customWidth="1"/>
    <col min="9217" max="9217" width="68.5546875" bestFit="1" customWidth="1"/>
    <col min="9218" max="9218" width="12.5546875" bestFit="1" customWidth="1"/>
    <col min="9219" max="9219" width="8.88671875" bestFit="1" customWidth="1"/>
    <col min="9220" max="9220" width="19.33203125" bestFit="1" customWidth="1"/>
    <col min="9221" max="9221" width="10.6640625" bestFit="1" customWidth="1"/>
    <col min="9222" max="9222" width="18.88671875" customWidth="1"/>
    <col min="9223" max="9223" width="11.109375" bestFit="1" customWidth="1"/>
    <col min="9224" max="9224" width="26.88671875" customWidth="1"/>
    <col min="9473" max="9473" width="68.5546875" bestFit="1" customWidth="1"/>
    <col min="9474" max="9474" width="12.5546875" bestFit="1" customWidth="1"/>
    <col min="9475" max="9475" width="8.88671875" bestFit="1" customWidth="1"/>
    <col min="9476" max="9476" width="19.33203125" bestFit="1" customWidth="1"/>
    <col min="9477" max="9477" width="10.6640625" bestFit="1" customWidth="1"/>
    <col min="9478" max="9478" width="18.88671875" customWidth="1"/>
    <col min="9479" max="9479" width="11.109375" bestFit="1" customWidth="1"/>
    <col min="9480" max="9480" width="26.88671875" customWidth="1"/>
    <col min="9729" max="9729" width="68.5546875" bestFit="1" customWidth="1"/>
    <col min="9730" max="9730" width="12.5546875" bestFit="1" customWidth="1"/>
    <col min="9731" max="9731" width="8.88671875" bestFit="1" customWidth="1"/>
    <col min="9732" max="9732" width="19.33203125" bestFit="1" customWidth="1"/>
    <col min="9733" max="9733" width="10.6640625" bestFit="1" customWidth="1"/>
    <col min="9734" max="9734" width="18.88671875" customWidth="1"/>
    <col min="9735" max="9735" width="11.109375" bestFit="1" customWidth="1"/>
    <col min="9736" max="9736" width="26.88671875" customWidth="1"/>
    <col min="9985" max="9985" width="68.5546875" bestFit="1" customWidth="1"/>
    <col min="9986" max="9986" width="12.5546875" bestFit="1" customWidth="1"/>
    <col min="9987" max="9987" width="8.88671875" bestFit="1" customWidth="1"/>
    <col min="9988" max="9988" width="19.33203125" bestFit="1" customWidth="1"/>
    <col min="9989" max="9989" width="10.6640625" bestFit="1" customWidth="1"/>
    <col min="9990" max="9990" width="18.88671875" customWidth="1"/>
    <col min="9991" max="9991" width="11.109375" bestFit="1" customWidth="1"/>
    <col min="9992" max="9992" width="26.88671875" customWidth="1"/>
    <col min="10241" max="10241" width="68.5546875" bestFit="1" customWidth="1"/>
    <col min="10242" max="10242" width="12.5546875" bestFit="1" customWidth="1"/>
    <col min="10243" max="10243" width="8.88671875" bestFit="1" customWidth="1"/>
    <col min="10244" max="10244" width="19.33203125" bestFit="1" customWidth="1"/>
    <col min="10245" max="10245" width="10.6640625" bestFit="1" customWidth="1"/>
    <col min="10246" max="10246" width="18.88671875" customWidth="1"/>
    <col min="10247" max="10247" width="11.109375" bestFit="1" customWidth="1"/>
    <col min="10248" max="10248" width="26.88671875" customWidth="1"/>
    <col min="10497" max="10497" width="68.5546875" bestFit="1" customWidth="1"/>
    <col min="10498" max="10498" width="12.5546875" bestFit="1" customWidth="1"/>
    <col min="10499" max="10499" width="8.88671875" bestFit="1" customWidth="1"/>
    <col min="10500" max="10500" width="19.33203125" bestFit="1" customWidth="1"/>
    <col min="10501" max="10501" width="10.6640625" bestFit="1" customWidth="1"/>
    <col min="10502" max="10502" width="18.88671875" customWidth="1"/>
    <col min="10503" max="10503" width="11.109375" bestFit="1" customWidth="1"/>
    <col min="10504" max="10504" width="26.88671875" customWidth="1"/>
    <col min="10753" max="10753" width="68.5546875" bestFit="1" customWidth="1"/>
    <col min="10754" max="10754" width="12.5546875" bestFit="1" customWidth="1"/>
    <col min="10755" max="10755" width="8.88671875" bestFit="1" customWidth="1"/>
    <col min="10756" max="10756" width="19.33203125" bestFit="1" customWidth="1"/>
    <col min="10757" max="10757" width="10.6640625" bestFit="1" customWidth="1"/>
    <col min="10758" max="10758" width="18.88671875" customWidth="1"/>
    <col min="10759" max="10759" width="11.109375" bestFit="1" customWidth="1"/>
    <col min="10760" max="10760" width="26.88671875" customWidth="1"/>
    <col min="11009" max="11009" width="68.5546875" bestFit="1" customWidth="1"/>
    <col min="11010" max="11010" width="12.5546875" bestFit="1" customWidth="1"/>
    <col min="11011" max="11011" width="8.88671875" bestFit="1" customWidth="1"/>
    <col min="11012" max="11012" width="19.33203125" bestFit="1" customWidth="1"/>
    <col min="11013" max="11013" width="10.6640625" bestFit="1" customWidth="1"/>
    <col min="11014" max="11014" width="18.88671875" customWidth="1"/>
    <col min="11015" max="11015" width="11.109375" bestFit="1" customWidth="1"/>
    <col min="11016" max="11016" width="26.88671875" customWidth="1"/>
    <col min="11265" max="11265" width="68.5546875" bestFit="1" customWidth="1"/>
    <col min="11266" max="11266" width="12.5546875" bestFit="1" customWidth="1"/>
    <col min="11267" max="11267" width="8.88671875" bestFit="1" customWidth="1"/>
    <col min="11268" max="11268" width="19.33203125" bestFit="1" customWidth="1"/>
    <col min="11269" max="11269" width="10.6640625" bestFit="1" customWidth="1"/>
    <col min="11270" max="11270" width="18.88671875" customWidth="1"/>
    <col min="11271" max="11271" width="11.109375" bestFit="1" customWidth="1"/>
    <col min="11272" max="11272" width="26.88671875" customWidth="1"/>
    <col min="11521" max="11521" width="68.5546875" bestFit="1" customWidth="1"/>
    <col min="11522" max="11522" width="12.5546875" bestFit="1" customWidth="1"/>
    <col min="11523" max="11523" width="8.88671875" bestFit="1" customWidth="1"/>
    <col min="11524" max="11524" width="19.33203125" bestFit="1" customWidth="1"/>
    <col min="11525" max="11525" width="10.6640625" bestFit="1" customWidth="1"/>
    <col min="11526" max="11526" width="18.88671875" customWidth="1"/>
    <col min="11527" max="11527" width="11.109375" bestFit="1" customWidth="1"/>
    <col min="11528" max="11528" width="26.88671875" customWidth="1"/>
    <col min="11777" max="11777" width="68.5546875" bestFit="1" customWidth="1"/>
    <col min="11778" max="11778" width="12.5546875" bestFit="1" customWidth="1"/>
    <col min="11779" max="11779" width="8.88671875" bestFit="1" customWidth="1"/>
    <col min="11780" max="11780" width="19.33203125" bestFit="1" customWidth="1"/>
    <col min="11781" max="11781" width="10.6640625" bestFit="1" customWidth="1"/>
    <col min="11782" max="11782" width="18.88671875" customWidth="1"/>
    <col min="11783" max="11783" width="11.109375" bestFit="1" customWidth="1"/>
    <col min="11784" max="11784" width="26.88671875" customWidth="1"/>
    <col min="12033" max="12033" width="68.5546875" bestFit="1" customWidth="1"/>
    <col min="12034" max="12034" width="12.5546875" bestFit="1" customWidth="1"/>
    <col min="12035" max="12035" width="8.88671875" bestFit="1" customWidth="1"/>
    <col min="12036" max="12036" width="19.33203125" bestFit="1" customWidth="1"/>
    <col min="12037" max="12037" width="10.6640625" bestFit="1" customWidth="1"/>
    <col min="12038" max="12038" width="18.88671875" customWidth="1"/>
    <col min="12039" max="12039" width="11.109375" bestFit="1" customWidth="1"/>
    <col min="12040" max="12040" width="26.88671875" customWidth="1"/>
    <col min="12289" max="12289" width="68.5546875" bestFit="1" customWidth="1"/>
    <col min="12290" max="12290" width="12.5546875" bestFit="1" customWidth="1"/>
    <col min="12291" max="12291" width="8.88671875" bestFit="1" customWidth="1"/>
    <col min="12292" max="12292" width="19.33203125" bestFit="1" customWidth="1"/>
    <col min="12293" max="12293" width="10.6640625" bestFit="1" customWidth="1"/>
    <col min="12294" max="12294" width="18.88671875" customWidth="1"/>
    <col min="12295" max="12295" width="11.109375" bestFit="1" customWidth="1"/>
    <col min="12296" max="12296" width="26.88671875" customWidth="1"/>
    <col min="12545" max="12545" width="68.5546875" bestFit="1" customWidth="1"/>
    <col min="12546" max="12546" width="12.5546875" bestFit="1" customWidth="1"/>
    <col min="12547" max="12547" width="8.88671875" bestFit="1" customWidth="1"/>
    <col min="12548" max="12548" width="19.33203125" bestFit="1" customWidth="1"/>
    <col min="12549" max="12549" width="10.6640625" bestFit="1" customWidth="1"/>
    <col min="12550" max="12550" width="18.88671875" customWidth="1"/>
    <col min="12551" max="12551" width="11.109375" bestFit="1" customWidth="1"/>
    <col min="12552" max="12552" width="26.88671875" customWidth="1"/>
    <col min="12801" max="12801" width="68.5546875" bestFit="1" customWidth="1"/>
    <col min="12802" max="12802" width="12.5546875" bestFit="1" customWidth="1"/>
    <col min="12803" max="12803" width="8.88671875" bestFit="1" customWidth="1"/>
    <col min="12804" max="12804" width="19.33203125" bestFit="1" customWidth="1"/>
    <col min="12805" max="12805" width="10.6640625" bestFit="1" customWidth="1"/>
    <col min="12806" max="12806" width="18.88671875" customWidth="1"/>
    <col min="12807" max="12807" width="11.109375" bestFit="1" customWidth="1"/>
    <col min="12808" max="12808" width="26.88671875" customWidth="1"/>
    <col min="13057" max="13057" width="68.5546875" bestFit="1" customWidth="1"/>
    <col min="13058" max="13058" width="12.5546875" bestFit="1" customWidth="1"/>
    <col min="13059" max="13059" width="8.88671875" bestFit="1" customWidth="1"/>
    <col min="13060" max="13060" width="19.33203125" bestFit="1" customWidth="1"/>
    <col min="13061" max="13061" width="10.6640625" bestFit="1" customWidth="1"/>
    <col min="13062" max="13062" width="18.88671875" customWidth="1"/>
    <col min="13063" max="13063" width="11.109375" bestFit="1" customWidth="1"/>
    <col min="13064" max="13064" width="26.88671875" customWidth="1"/>
    <col min="13313" max="13313" width="68.5546875" bestFit="1" customWidth="1"/>
    <col min="13314" max="13314" width="12.5546875" bestFit="1" customWidth="1"/>
    <col min="13315" max="13315" width="8.88671875" bestFit="1" customWidth="1"/>
    <col min="13316" max="13316" width="19.33203125" bestFit="1" customWidth="1"/>
    <col min="13317" max="13317" width="10.6640625" bestFit="1" customWidth="1"/>
    <col min="13318" max="13318" width="18.88671875" customWidth="1"/>
    <col min="13319" max="13319" width="11.109375" bestFit="1" customWidth="1"/>
    <col min="13320" max="13320" width="26.88671875" customWidth="1"/>
    <col min="13569" max="13569" width="68.5546875" bestFit="1" customWidth="1"/>
    <col min="13570" max="13570" width="12.5546875" bestFit="1" customWidth="1"/>
    <col min="13571" max="13571" width="8.88671875" bestFit="1" customWidth="1"/>
    <col min="13572" max="13572" width="19.33203125" bestFit="1" customWidth="1"/>
    <col min="13573" max="13573" width="10.6640625" bestFit="1" customWidth="1"/>
    <col min="13574" max="13574" width="18.88671875" customWidth="1"/>
    <col min="13575" max="13575" width="11.109375" bestFit="1" customWidth="1"/>
    <col min="13576" max="13576" width="26.88671875" customWidth="1"/>
    <col min="13825" max="13825" width="68.5546875" bestFit="1" customWidth="1"/>
    <col min="13826" max="13826" width="12.5546875" bestFit="1" customWidth="1"/>
    <col min="13827" max="13827" width="8.88671875" bestFit="1" customWidth="1"/>
    <col min="13828" max="13828" width="19.33203125" bestFit="1" customWidth="1"/>
    <col min="13829" max="13829" width="10.6640625" bestFit="1" customWidth="1"/>
    <col min="13830" max="13830" width="18.88671875" customWidth="1"/>
    <col min="13831" max="13831" width="11.109375" bestFit="1" customWidth="1"/>
    <col min="13832" max="13832" width="26.88671875" customWidth="1"/>
    <col min="14081" max="14081" width="68.5546875" bestFit="1" customWidth="1"/>
    <col min="14082" max="14082" width="12.5546875" bestFit="1" customWidth="1"/>
    <col min="14083" max="14083" width="8.88671875" bestFit="1" customWidth="1"/>
    <col min="14084" max="14084" width="19.33203125" bestFit="1" customWidth="1"/>
    <col min="14085" max="14085" width="10.6640625" bestFit="1" customWidth="1"/>
    <col min="14086" max="14086" width="18.88671875" customWidth="1"/>
    <col min="14087" max="14087" width="11.109375" bestFit="1" customWidth="1"/>
    <col min="14088" max="14088" width="26.88671875" customWidth="1"/>
    <col min="14337" max="14337" width="68.5546875" bestFit="1" customWidth="1"/>
    <col min="14338" max="14338" width="12.5546875" bestFit="1" customWidth="1"/>
    <col min="14339" max="14339" width="8.88671875" bestFit="1" customWidth="1"/>
    <col min="14340" max="14340" width="19.33203125" bestFit="1" customWidth="1"/>
    <col min="14341" max="14341" width="10.6640625" bestFit="1" customWidth="1"/>
    <col min="14342" max="14342" width="18.88671875" customWidth="1"/>
    <col min="14343" max="14343" width="11.109375" bestFit="1" customWidth="1"/>
    <col min="14344" max="14344" width="26.88671875" customWidth="1"/>
    <col min="14593" max="14593" width="68.5546875" bestFit="1" customWidth="1"/>
    <col min="14594" max="14594" width="12.5546875" bestFit="1" customWidth="1"/>
    <col min="14595" max="14595" width="8.88671875" bestFit="1" customWidth="1"/>
    <col min="14596" max="14596" width="19.33203125" bestFit="1" customWidth="1"/>
    <col min="14597" max="14597" width="10.6640625" bestFit="1" customWidth="1"/>
    <col min="14598" max="14598" width="18.88671875" customWidth="1"/>
    <col min="14599" max="14599" width="11.109375" bestFit="1" customWidth="1"/>
    <col min="14600" max="14600" width="26.88671875" customWidth="1"/>
    <col min="14849" max="14849" width="68.5546875" bestFit="1" customWidth="1"/>
    <col min="14850" max="14850" width="12.5546875" bestFit="1" customWidth="1"/>
    <col min="14851" max="14851" width="8.88671875" bestFit="1" customWidth="1"/>
    <col min="14852" max="14852" width="19.33203125" bestFit="1" customWidth="1"/>
    <col min="14853" max="14853" width="10.6640625" bestFit="1" customWidth="1"/>
    <col min="14854" max="14854" width="18.88671875" customWidth="1"/>
    <col min="14855" max="14855" width="11.109375" bestFit="1" customWidth="1"/>
    <col min="14856" max="14856" width="26.88671875" customWidth="1"/>
    <col min="15105" max="15105" width="68.5546875" bestFit="1" customWidth="1"/>
    <col min="15106" max="15106" width="12.5546875" bestFit="1" customWidth="1"/>
    <col min="15107" max="15107" width="8.88671875" bestFit="1" customWidth="1"/>
    <col min="15108" max="15108" width="19.33203125" bestFit="1" customWidth="1"/>
    <col min="15109" max="15109" width="10.6640625" bestFit="1" customWidth="1"/>
    <col min="15110" max="15110" width="18.88671875" customWidth="1"/>
    <col min="15111" max="15111" width="11.109375" bestFit="1" customWidth="1"/>
    <col min="15112" max="15112" width="26.88671875" customWidth="1"/>
    <col min="15361" max="15361" width="68.5546875" bestFit="1" customWidth="1"/>
    <col min="15362" max="15362" width="12.5546875" bestFit="1" customWidth="1"/>
    <col min="15363" max="15363" width="8.88671875" bestFit="1" customWidth="1"/>
    <col min="15364" max="15364" width="19.33203125" bestFit="1" customWidth="1"/>
    <col min="15365" max="15365" width="10.6640625" bestFit="1" customWidth="1"/>
    <col min="15366" max="15366" width="18.88671875" customWidth="1"/>
    <col min="15367" max="15367" width="11.109375" bestFit="1" customWidth="1"/>
    <col min="15368" max="15368" width="26.88671875" customWidth="1"/>
    <col min="15617" max="15617" width="68.5546875" bestFit="1" customWidth="1"/>
    <col min="15618" max="15618" width="12.5546875" bestFit="1" customWidth="1"/>
    <col min="15619" max="15619" width="8.88671875" bestFit="1" customWidth="1"/>
    <col min="15620" max="15620" width="19.33203125" bestFit="1" customWidth="1"/>
    <col min="15621" max="15621" width="10.6640625" bestFit="1" customWidth="1"/>
    <col min="15622" max="15622" width="18.88671875" customWidth="1"/>
    <col min="15623" max="15623" width="11.109375" bestFit="1" customWidth="1"/>
    <col min="15624" max="15624" width="26.88671875" customWidth="1"/>
    <col min="15873" max="15873" width="68.5546875" bestFit="1" customWidth="1"/>
    <col min="15874" max="15874" width="12.5546875" bestFit="1" customWidth="1"/>
    <col min="15875" max="15875" width="8.88671875" bestFit="1" customWidth="1"/>
    <col min="15876" max="15876" width="19.33203125" bestFit="1" customWidth="1"/>
    <col min="15877" max="15877" width="10.6640625" bestFit="1" customWidth="1"/>
    <col min="15878" max="15878" width="18.88671875" customWidth="1"/>
    <col min="15879" max="15879" width="11.109375" bestFit="1" customWidth="1"/>
    <col min="15880" max="15880" width="26.88671875" customWidth="1"/>
    <col min="16129" max="16129" width="68.5546875" bestFit="1" customWidth="1"/>
    <col min="16130" max="16130" width="12.5546875" bestFit="1" customWidth="1"/>
    <col min="16131" max="16131" width="8.88671875" bestFit="1" customWidth="1"/>
    <col min="16132" max="16132" width="19.33203125" bestFit="1" customWidth="1"/>
    <col min="16133" max="16133" width="10.6640625" bestFit="1" customWidth="1"/>
    <col min="16134" max="16134" width="18.88671875" customWidth="1"/>
    <col min="16135" max="16135" width="11.109375" bestFit="1" customWidth="1"/>
    <col min="16136" max="16136" width="26.88671875" customWidth="1"/>
  </cols>
  <sheetData>
    <row r="1" spans="1:16">
      <c r="A1" s="231" t="s">
        <v>250</v>
      </c>
      <c r="B1" s="232"/>
      <c r="C1" s="233"/>
      <c r="D1" s="234"/>
      <c r="E1" s="234"/>
      <c r="F1" s="234"/>
      <c r="G1" s="235"/>
      <c r="H1" s="235"/>
      <c r="I1" s="235"/>
      <c r="J1" s="235"/>
      <c r="K1" s="235"/>
      <c r="L1" s="235"/>
    </row>
    <row r="2" spans="1:16">
      <c r="A2" s="236" t="s">
        <v>197</v>
      </c>
      <c r="B2" s="235"/>
      <c r="C2" s="237"/>
      <c r="D2" s="238"/>
      <c r="E2" s="238" t="s">
        <v>198</v>
      </c>
      <c r="F2" s="234"/>
      <c r="G2" s="235"/>
      <c r="H2" s="235"/>
      <c r="I2" s="235"/>
      <c r="J2" s="239"/>
      <c r="K2" s="235"/>
      <c r="L2" s="235"/>
    </row>
    <row r="3" spans="1:16">
      <c r="A3" s="235"/>
      <c r="B3" s="235"/>
      <c r="C3" s="237" t="s">
        <v>199</v>
      </c>
      <c r="D3" s="238" t="s">
        <v>200</v>
      </c>
      <c r="E3" s="238" t="s">
        <v>201</v>
      </c>
      <c r="F3" s="238"/>
      <c r="G3" s="235"/>
      <c r="H3" s="240"/>
      <c r="I3" s="239"/>
      <c r="J3" s="241"/>
      <c r="K3" s="235"/>
      <c r="L3" s="235"/>
    </row>
    <row r="4" spans="1:16">
      <c r="A4" s="235"/>
      <c r="B4" s="235"/>
      <c r="C4" s="237" t="s">
        <v>202</v>
      </c>
      <c r="D4" s="238" t="s">
        <v>10</v>
      </c>
      <c r="E4" s="242">
        <v>45292</v>
      </c>
      <c r="F4" s="243"/>
      <c r="G4" s="235"/>
      <c r="H4" s="244"/>
      <c r="I4" s="239"/>
      <c r="J4" s="239"/>
      <c r="K4" s="235"/>
      <c r="L4" s="235"/>
    </row>
    <row r="5" spans="1:16">
      <c r="A5" s="231"/>
      <c r="B5" s="231"/>
      <c r="C5" s="245"/>
      <c r="D5" s="234"/>
      <c r="E5" s="234"/>
      <c r="F5" s="234"/>
      <c r="G5" s="235"/>
      <c r="H5" s="235"/>
      <c r="I5" s="239"/>
      <c r="J5" s="235"/>
      <c r="K5" s="235"/>
      <c r="L5" s="235"/>
    </row>
    <row r="6" spans="1:16">
      <c r="A6" s="231" t="s">
        <v>116</v>
      </c>
      <c r="B6" s="231"/>
      <c r="C6" s="245"/>
      <c r="D6" s="234"/>
      <c r="E6" s="234"/>
      <c r="F6" s="234"/>
      <c r="G6" s="235"/>
      <c r="H6" s="235"/>
      <c r="I6" s="246"/>
      <c r="J6" s="235"/>
      <c r="K6" s="235"/>
      <c r="L6" s="235"/>
    </row>
    <row r="7" spans="1:16">
      <c r="A7" s="235" t="str">
        <f>'Price Out Rates'!$C$2</f>
        <v>20 gallon can</v>
      </c>
      <c r="B7" s="235"/>
      <c r="C7" s="234">
        <f>'Price Out Rates'!M2</f>
        <v>10.08</v>
      </c>
      <c r="D7" s="234">
        <f>'Price Out Rates'!L2</f>
        <v>0.40732176362338712</v>
      </c>
      <c r="E7" s="234">
        <f>C7+D7</f>
        <v>10.487321763623386</v>
      </c>
      <c r="F7" s="234"/>
      <c r="G7" s="245"/>
      <c r="H7" s="245"/>
      <c r="I7" s="245"/>
      <c r="J7" s="245"/>
      <c r="K7" s="245"/>
      <c r="L7" s="245"/>
      <c r="M7" s="245"/>
      <c r="N7" s="245"/>
      <c r="O7" s="245"/>
      <c r="P7" s="245"/>
    </row>
    <row r="8" spans="1:16">
      <c r="A8" s="235" t="str">
        <f>'Price Out Rates'!$C$3</f>
        <v>1 Can wk</v>
      </c>
      <c r="B8" s="235"/>
      <c r="C8" s="234">
        <f>'Price Out Rates'!M3</f>
        <v>16.27</v>
      </c>
      <c r="D8" s="234">
        <f>'Price Out Rates'!L3</f>
        <v>0.69244699815975808</v>
      </c>
      <c r="E8" s="234">
        <f t="shared" ref="E8:E19" si="0">C8+D8</f>
        <v>16.962446998159759</v>
      </c>
      <c r="F8" s="234"/>
      <c r="G8" s="245"/>
      <c r="H8" s="245"/>
      <c r="I8" s="245"/>
      <c r="J8" s="245"/>
      <c r="K8" s="245"/>
      <c r="L8" s="245"/>
      <c r="M8" s="245"/>
      <c r="N8" s="245"/>
      <c r="O8" s="245"/>
      <c r="P8" s="245"/>
    </row>
    <row r="9" spans="1:16">
      <c r="A9" s="235" t="str">
        <f>'Price Out Rates'!$C$4</f>
        <v>2  Can wk</v>
      </c>
      <c r="B9" s="235"/>
      <c r="C9" s="234">
        <f>'Price Out Rates'!M4</f>
        <v>27.35</v>
      </c>
      <c r="D9" s="234">
        <f>'Price Out Rates'!L4</f>
        <v>1.0386704972396372</v>
      </c>
      <c r="E9" s="234">
        <f t="shared" si="0"/>
        <v>28.388670497239637</v>
      </c>
      <c r="F9" s="234"/>
      <c r="G9" s="245"/>
      <c r="H9" s="245"/>
      <c r="I9" s="245"/>
      <c r="J9" s="245"/>
      <c r="K9" s="245"/>
      <c r="L9" s="245"/>
      <c r="M9" s="245"/>
      <c r="N9" s="245"/>
      <c r="O9" s="245"/>
      <c r="P9" s="245"/>
    </row>
    <row r="10" spans="1:16">
      <c r="A10" s="235" t="str">
        <f>'Price Out Rates'!$C$5</f>
        <v>3 Can wk</v>
      </c>
      <c r="B10" s="235"/>
      <c r="C10" s="234">
        <f>'Price Out Rates'!M5</f>
        <v>40.119999999999997</v>
      </c>
      <c r="D10" s="234">
        <f>'Price Out Rates'!L5</f>
        <v>1.5681887899500404</v>
      </c>
      <c r="E10" s="234">
        <f t="shared" si="0"/>
        <v>41.68818878995004</v>
      </c>
      <c r="F10" s="234"/>
      <c r="G10" s="245"/>
      <c r="H10" s="245"/>
      <c r="I10" s="245"/>
      <c r="J10" s="245"/>
      <c r="K10" s="245"/>
      <c r="L10" s="245"/>
      <c r="M10" s="245"/>
      <c r="N10" s="245"/>
      <c r="O10" s="245"/>
      <c r="P10" s="245"/>
    </row>
    <row r="11" spans="1:16">
      <c r="A11" s="235" t="str">
        <f>'Price Out Rates'!$C$6</f>
        <v>4 Can wk</v>
      </c>
      <c r="B11" s="235"/>
      <c r="C11" s="234">
        <f>'Price Out Rates'!M6</f>
        <v>53.56</v>
      </c>
      <c r="D11" s="234">
        <f>'Price Out Rates'!L6</f>
        <v>1.9755105535734274</v>
      </c>
      <c r="E11" s="234">
        <f t="shared" si="0"/>
        <v>55.535510553573431</v>
      </c>
      <c r="F11" s="234"/>
      <c r="G11" s="245"/>
      <c r="H11" s="245"/>
      <c r="I11" s="245"/>
      <c r="J11" s="245"/>
      <c r="K11" s="245"/>
      <c r="L11" s="245"/>
      <c r="M11" s="245"/>
      <c r="N11" s="245"/>
      <c r="O11" s="245"/>
      <c r="P11" s="245"/>
    </row>
    <row r="12" spans="1:16">
      <c r="A12" s="247" t="str">
        <f>'Price Out Rates'!$C$56</f>
        <v>5 Can wk</v>
      </c>
      <c r="B12" s="247"/>
      <c r="C12" s="248">
        <f>'Price Out Rates'!M56</f>
        <v>67.33</v>
      </c>
      <c r="D12" s="248">
        <f>'Price Out Rates'!L56</f>
        <v>2.3828323171968151</v>
      </c>
      <c r="E12" s="248">
        <f t="shared" si="0"/>
        <v>69.712832317196813</v>
      </c>
      <c r="F12" s="234"/>
      <c r="G12" s="245"/>
      <c r="H12" s="245"/>
      <c r="I12" s="245"/>
      <c r="J12" s="245"/>
      <c r="K12" s="245"/>
      <c r="L12" s="245"/>
      <c r="M12" s="245"/>
      <c r="N12" s="245"/>
      <c r="O12" s="245"/>
      <c r="P12" s="245"/>
    </row>
    <row r="13" spans="1:16">
      <c r="A13" s="235" t="str">
        <f>'Price Out Rates'!$C$7</f>
        <v>1 Can Monthly</v>
      </c>
      <c r="B13" s="235"/>
      <c r="C13" s="234">
        <f>'Price Out Rates'!M7</f>
        <v>5.63</v>
      </c>
      <c r="D13" s="234">
        <f>'Price Out Rates'!L7</f>
        <v>0.15979546111379034</v>
      </c>
      <c r="E13" s="234">
        <f t="shared" si="0"/>
        <v>5.7897954611137905</v>
      </c>
      <c r="F13" s="234"/>
      <c r="G13" s="245"/>
      <c r="H13" s="245"/>
      <c r="I13" s="245"/>
      <c r="J13" s="245"/>
      <c r="K13" s="245"/>
      <c r="L13" s="245"/>
      <c r="M13" s="245"/>
      <c r="N13" s="245"/>
      <c r="O13" s="245"/>
      <c r="P13" s="245"/>
    </row>
    <row r="14" spans="1:16">
      <c r="A14" s="235" t="str">
        <f>'Price Out Rates'!$C$8</f>
        <v>32 Gal Tote wk</v>
      </c>
      <c r="B14" s="235"/>
      <c r="C14" s="234">
        <f>'Price Out Rates'!M8</f>
        <v>16.27</v>
      </c>
      <c r="D14" s="234">
        <f>'Price Out Rates'!L8</f>
        <v>0.69244699815975819</v>
      </c>
      <c r="E14" s="234">
        <f t="shared" si="0"/>
        <v>16.962446998159759</v>
      </c>
      <c r="F14" s="234"/>
      <c r="G14" s="245"/>
      <c r="H14" s="245"/>
      <c r="I14" s="245"/>
      <c r="J14" s="245"/>
      <c r="K14" s="245"/>
      <c r="L14" s="245"/>
      <c r="M14" s="245"/>
      <c r="N14" s="245"/>
      <c r="O14" s="245"/>
      <c r="P14" s="245"/>
    </row>
    <row r="15" spans="1:16">
      <c r="A15" s="235" t="str">
        <f>'Price Out Rates'!$C$9</f>
        <v>64 Gal Tote wk</v>
      </c>
      <c r="B15" s="235"/>
      <c r="C15" s="234">
        <f>'Price Out Rates'!M9</f>
        <v>27.26</v>
      </c>
      <c r="D15" s="234">
        <f>'Price Out Rates'!L9</f>
        <v>0.95720614451495989</v>
      </c>
      <c r="E15" s="234">
        <f t="shared" si="0"/>
        <v>28.217206144514961</v>
      </c>
      <c r="F15" s="234"/>
      <c r="G15" s="245"/>
      <c r="H15" s="245"/>
      <c r="I15" s="245"/>
      <c r="J15" s="245"/>
      <c r="K15" s="245"/>
      <c r="L15" s="245"/>
      <c r="M15" s="245"/>
      <c r="N15" s="245"/>
      <c r="O15" s="245"/>
      <c r="P15" s="245"/>
    </row>
    <row r="16" spans="1:16">
      <c r="A16" s="235" t="str">
        <f>'Price Out Rates'!$C$10</f>
        <v>96 Gal Tote wk</v>
      </c>
      <c r="B16" s="235"/>
      <c r="C16" s="234">
        <f>'Price Out Rates'!M10</f>
        <v>39.46</v>
      </c>
      <c r="D16" s="234">
        <f>'Price Out Rates'!L10</f>
        <v>1.3848939963195162</v>
      </c>
      <c r="E16" s="234">
        <f t="shared" si="0"/>
        <v>40.84489399631952</v>
      </c>
      <c r="F16" s="234"/>
      <c r="G16" s="245"/>
      <c r="H16" s="245"/>
      <c r="I16" s="245"/>
      <c r="J16" s="245"/>
      <c r="K16" s="245"/>
      <c r="L16" s="245"/>
      <c r="M16" s="245"/>
      <c r="N16" s="245"/>
      <c r="O16" s="245"/>
      <c r="P16" s="245"/>
    </row>
    <row r="17" spans="1:16">
      <c r="A17" s="247" t="str">
        <f>'Price Out Rates'!$C$57</f>
        <v>32 Gal Bear Proof Toter</v>
      </c>
      <c r="B17" s="247"/>
      <c r="C17" s="248">
        <f>'Price Out Rates'!M57</f>
        <v>16.27</v>
      </c>
      <c r="D17" s="248">
        <f>'Price Out Rates'!L57</f>
        <v>0.69244699815975808</v>
      </c>
      <c r="E17" s="248">
        <f t="shared" si="0"/>
        <v>16.962446998159759</v>
      </c>
      <c r="F17" s="234"/>
      <c r="G17" s="245"/>
      <c r="H17" s="245"/>
      <c r="I17" s="245"/>
      <c r="J17" s="245"/>
      <c r="K17" s="245"/>
      <c r="L17" s="245"/>
      <c r="M17" s="245"/>
      <c r="N17" s="245"/>
      <c r="O17" s="245"/>
      <c r="P17" s="245"/>
    </row>
    <row r="18" spans="1:16">
      <c r="A18" s="247" t="str">
        <f>'Price Out Rates'!$C$58</f>
        <v>64 Gal Bear Proof Toter</v>
      </c>
      <c r="B18" s="247"/>
      <c r="C18" s="248">
        <f>'Price Out Rates'!M58</f>
        <v>27.26</v>
      </c>
      <c r="D18" s="248">
        <f>'Price Out Rates'!L58</f>
        <v>0.95720614451495978</v>
      </c>
      <c r="E18" s="248">
        <f t="shared" si="0"/>
        <v>28.217206144514961</v>
      </c>
      <c r="F18" s="234"/>
      <c r="G18" s="245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1:16">
      <c r="A19" s="247" t="str">
        <f>'Price Out Rates'!$C$59</f>
        <v>96 Gal Bear Proof Toter</v>
      </c>
      <c r="B19" s="247"/>
      <c r="C19" s="248">
        <f>'Price Out Rates'!M59</f>
        <v>39.46</v>
      </c>
      <c r="D19" s="248">
        <f>'Price Out Rates'!L59</f>
        <v>1.3848939963195162</v>
      </c>
      <c r="E19" s="248">
        <f t="shared" si="0"/>
        <v>40.84489399631952</v>
      </c>
      <c r="F19" s="234"/>
      <c r="G19" s="245"/>
      <c r="H19" s="245"/>
      <c r="I19" s="245"/>
      <c r="J19" s="245"/>
      <c r="K19" s="245"/>
      <c r="L19" s="245"/>
      <c r="M19" s="245"/>
      <c r="N19" s="245"/>
      <c r="O19" s="245"/>
      <c r="P19" s="245"/>
    </row>
    <row r="20" spans="1:16">
      <c r="A20" s="235"/>
      <c r="B20" s="235"/>
      <c r="C20" s="234"/>
      <c r="D20" s="234"/>
      <c r="E20" s="234"/>
      <c r="F20" s="234"/>
      <c r="G20" s="235"/>
      <c r="H20" s="235"/>
      <c r="I20" s="235"/>
      <c r="J20" s="235"/>
      <c r="K20" s="235"/>
      <c r="L20" s="235"/>
      <c r="M20" s="235"/>
      <c r="N20" s="235"/>
      <c r="O20" s="235"/>
      <c r="P20" s="235"/>
    </row>
    <row r="21" spans="1:16">
      <c r="A21" s="231" t="s">
        <v>114</v>
      </c>
      <c r="B21" s="235"/>
      <c r="C21" s="245"/>
      <c r="D21" s="234"/>
      <c r="E21" s="234"/>
      <c r="F21" s="234"/>
      <c r="G21" s="235"/>
      <c r="H21" s="235"/>
      <c r="I21" s="235"/>
      <c r="J21" s="235"/>
      <c r="K21" s="235"/>
      <c r="L21" s="235"/>
      <c r="M21" s="235"/>
      <c r="N21" s="235"/>
      <c r="O21" s="235"/>
      <c r="P21" s="235"/>
    </row>
    <row r="22" spans="1:16">
      <c r="A22" s="247" t="str">
        <f>'Price Out Rates'!C60</f>
        <v>32 Gal extra</v>
      </c>
      <c r="B22" s="247" t="s">
        <v>203</v>
      </c>
      <c r="C22" s="248">
        <f>'Price Out Rates'!M60</f>
        <v>4.8600000000000003</v>
      </c>
      <c r="D22" s="248">
        <f>'Price Out Rates'!L60</f>
        <v>0.15979546111379034</v>
      </c>
      <c r="E22" s="248">
        <f t="shared" ref="E22:E23" si="1">C22+D22</f>
        <v>5.0197954611137909</v>
      </c>
      <c r="F22" s="234"/>
      <c r="G22" s="235"/>
      <c r="H22" s="235"/>
      <c r="I22" s="235"/>
      <c r="J22" s="235"/>
      <c r="K22" s="235"/>
      <c r="L22" s="235"/>
      <c r="M22" s="235"/>
      <c r="N22" s="235"/>
      <c r="O22" s="235"/>
      <c r="P22" s="235"/>
    </row>
    <row r="23" spans="1:16">
      <c r="A23" s="247" t="str">
        <f>'Price Out Rates'!C61</f>
        <v>Bag Extra</v>
      </c>
      <c r="B23" s="247" t="s">
        <v>203</v>
      </c>
      <c r="C23" s="248">
        <f>'Price Out Rates'!M61</f>
        <v>4.8600000000000003</v>
      </c>
      <c r="D23" s="248">
        <f>'Price Out Rates'!L61</f>
        <v>0.15979546111379034</v>
      </c>
      <c r="E23" s="248">
        <f t="shared" si="1"/>
        <v>5.0197954611137909</v>
      </c>
      <c r="F23" s="234"/>
      <c r="G23" s="235"/>
      <c r="H23" s="235"/>
      <c r="I23" s="235"/>
      <c r="J23" s="235"/>
      <c r="K23" s="235"/>
      <c r="L23" s="235"/>
      <c r="M23" s="235"/>
      <c r="N23" s="235"/>
      <c r="O23" s="235"/>
      <c r="P23" s="235"/>
    </row>
    <row r="24" spans="1:16">
      <c r="A24" s="235"/>
      <c r="B24" s="235"/>
      <c r="C24" s="234"/>
      <c r="D24" s="234"/>
      <c r="E24" s="234"/>
      <c r="F24" s="234"/>
      <c r="G24" s="235"/>
      <c r="H24" s="235"/>
      <c r="I24" s="235"/>
      <c r="J24" s="235"/>
      <c r="K24" s="235"/>
      <c r="L24" s="235"/>
      <c r="M24" s="235"/>
      <c r="N24" s="235"/>
      <c r="O24" s="235"/>
      <c r="P24" s="235"/>
    </row>
    <row r="25" spans="1:16">
      <c r="A25" s="235"/>
      <c r="B25" s="235"/>
      <c r="C25" s="234"/>
      <c r="D25" s="234"/>
      <c r="E25" s="234"/>
      <c r="F25" s="234"/>
      <c r="G25" s="235"/>
      <c r="H25" s="235"/>
      <c r="I25" s="235"/>
      <c r="J25" s="235"/>
      <c r="K25" s="235"/>
      <c r="L25" s="235"/>
      <c r="M25" s="235"/>
      <c r="N25" s="235"/>
      <c r="O25" s="235"/>
      <c r="P25" s="235"/>
    </row>
    <row r="26" spans="1:16">
      <c r="A26" s="231" t="s">
        <v>117</v>
      </c>
      <c r="B26" s="231"/>
      <c r="C26" s="245"/>
      <c r="D26" s="234"/>
      <c r="E26" s="234"/>
      <c r="F26" s="234"/>
      <c r="G26" s="235"/>
      <c r="H26" s="235"/>
      <c r="I26" s="235"/>
      <c r="J26" s="235"/>
      <c r="K26" s="235"/>
      <c r="L26" s="235"/>
      <c r="M26" s="235"/>
      <c r="N26" s="235"/>
      <c r="O26" s="235"/>
      <c r="P26" s="235"/>
    </row>
    <row r="27" spans="1:16">
      <c r="A27" s="235" t="str">
        <f>'Price Out Rates'!C66</f>
        <v>20 gallon can</v>
      </c>
      <c r="B27" s="235"/>
      <c r="C27" s="234">
        <f>'Price Out Rates'!M66</f>
        <v>10.08</v>
      </c>
      <c r="D27" s="234">
        <f>'Price Out Rates'!L66</f>
        <v>0.40732176362338712</v>
      </c>
      <c r="E27" s="234">
        <f>C27+D27</f>
        <v>10.487321763623386</v>
      </c>
      <c r="F27" s="234"/>
      <c r="G27" s="245"/>
      <c r="H27" s="245"/>
      <c r="I27" s="245"/>
      <c r="J27" s="245"/>
      <c r="K27" s="245"/>
      <c r="L27" s="245"/>
      <c r="M27" s="245"/>
      <c r="N27" s="245"/>
      <c r="O27" s="245"/>
      <c r="P27" s="245"/>
    </row>
    <row r="28" spans="1:16">
      <c r="A28" s="235" t="str">
        <f>'Price Out Rates'!C67</f>
        <v>1 Can wk</v>
      </c>
      <c r="B28" s="235"/>
      <c r="C28" s="234">
        <f>'Price Out Rates'!M67</f>
        <v>16.27</v>
      </c>
      <c r="D28" s="234">
        <f>'Price Out Rates'!L67</f>
        <v>0.69244699815975808</v>
      </c>
      <c r="E28" s="234">
        <f t="shared" ref="E28:E39" si="2">C28+D28</f>
        <v>16.962446998159759</v>
      </c>
      <c r="F28" s="234"/>
      <c r="G28" s="245"/>
      <c r="H28" s="245"/>
      <c r="I28" s="245"/>
      <c r="J28" s="245"/>
      <c r="K28" s="245"/>
      <c r="L28" s="245"/>
      <c r="M28" s="245"/>
      <c r="N28" s="245"/>
      <c r="O28" s="245"/>
      <c r="P28" s="245"/>
    </row>
    <row r="29" spans="1:16">
      <c r="A29" s="235" t="str">
        <f>'Price Out Rates'!C68</f>
        <v>2  Can wk</v>
      </c>
      <c r="B29" s="235"/>
      <c r="C29" s="234">
        <f>'Price Out Rates'!M68</f>
        <v>27.35</v>
      </c>
      <c r="D29" s="234">
        <f>'Price Out Rates'!L68</f>
        <v>1.038670497239637</v>
      </c>
      <c r="E29" s="234">
        <f t="shared" si="2"/>
        <v>28.388670497239637</v>
      </c>
      <c r="F29" s="234"/>
      <c r="G29" s="245"/>
      <c r="H29" s="245"/>
      <c r="I29" s="245"/>
      <c r="J29" s="245"/>
      <c r="K29" s="245"/>
      <c r="L29" s="245"/>
      <c r="M29" s="245"/>
      <c r="N29" s="245"/>
      <c r="O29" s="245"/>
      <c r="P29" s="245"/>
    </row>
    <row r="30" spans="1:16">
      <c r="A30" s="235" t="str">
        <f>'Price Out Rates'!C69</f>
        <v>3 Can wk</v>
      </c>
      <c r="B30" s="235"/>
      <c r="C30" s="234">
        <f>'Price Out Rates'!M69</f>
        <v>40.119999999999997</v>
      </c>
      <c r="D30" s="234">
        <f>'Price Out Rates'!L69</f>
        <v>1.5681887899500402</v>
      </c>
      <c r="E30" s="234">
        <f t="shared" si="2"/>
        <v>41.68818878995004</v>
      </c>
      <c r="F30" s="234"/>
      <c r="G30" s="245"/>
      <c r="H30" s="245"/>
      <c r="I30" s="245"/>
      <c r="J30" s="245"/>
      <c r="K30" s="245"/>
      <c r="L30" s="245"/>
      <c r="M30" s="245"/>
      <c r="N30" s="245"/>
      <c r="O30" s="245"/>
      <c r="P30" s="245"/>
    </row>
    <row r="31" spans="1:16">
      <c r="A31" s="235" t="str">
        <f>'Price Out Rates'!C70</f>
        <v>4 Can wk</v>
      </c>
      <c r="B31" s="235"/>
      <c r="C31" s="234">
        <f>'Price Out Rates'!M70</f>
        <v>53.56</v>
      </c>
      <c r="D31" s="234">
        <f>'Price Out Rates'!L70</f>
        <v>1.9755105535734274</v>
      </c>
      <c r="E31" s="234">
        <f t="shared" si="2"/>
        <v>55.535510553573431</v>
      </c>
      <c r="F31" s="234"/>
      <c r="G31" s="245"/>
      <c r="H31" s="245"/>
      <c r="I31" s="245"/>
      <c r="J31" s="245"/>
      <c r="K31" s="245"/>
      <c r="L31" s="245"/>
      <c r="M31" s="245"/>
      <c r="N31" s="245"/>
      <c r="O31" s="245"/>
      <c r="P31" s="245"/>
    </row>
    <row r="32" spans="1:16">
      <c r="A32" s="247" t="str">
        <f>'Price Out Rates'!C62</f>
        <v>5 Can wk</v>
      </c>
      <c r="B32" s="247"/>
      <c r="C32" s="248">
        <f>'Price Out Rates'!M62</f>
        <v>67.33</v>
      </c>
      <c r="D32" s="248">
        <f>'Price Out Rates'!L62</f>
        <v>2.3828323171968151</v>
      </c>
      <c r="E32" s="248">
        <f t="shared" si="2"/>
        <v>69.712832317196813</v>
      </c>
      <c r="F32" s="234"/>
      <c r="G32" s="245"/>
      <c r="H32" s="245"/>
      <c r="I32" s="245"/>
      <c r="J32" s="245"/>
      <c r="K32" s="245"/>
      <c r="L32" s="245"/>
      <c r="M32" s="245"/>
      <c r="N32" s="245"/>
      <c r="O32" s="245"/>
      <c r="P32" s="245"/>
    </row>
    <row r="33" spans="1:23">
      <c r="A33" s="235" t="str">
        <f>'Price Out Rates'!C71</f>
        <v>1 Can Monthly</v>
      </c>
      <c r="B33" s="235"/>
      <c r="C33" s="234">
        <f>'Price Out Rates'!M71</f>
        <v>5.63</v>
      </c>
      <c r="D33" s="234">
        <f>'Price Out Rates'!L71</f>
        <v>0.15979546111379034</v>
      </c>
      <c r="E33" s="234">
        <f t="shared" si="2"/>
        <v>5.7897954611137905</v>
      </c>
      <c r="F33" s="234"/>
      <c r="G33" s="245"/>
      <c r="H33" s="245"/>
      <c r="I33" s="245"/>
      <c r="J33" s="245"/>
      <c r="K33" s="245"/>
      <c r="L33" s="245"/>
      <c r="M33" s="245"/>
      <c r="N33" s="245"/>
      <c r="O33" s="245"/>
      <c r="P33" s="245"/>
    </row>
    <row r="34" spans="1:23">
      <c r="A34" s="235" t="str">
        <f>'Price Out Rates'!C72</f>
        <v>32 Gal Tote wk</v>
      </c>
      <c r="B34" s="235"/>
      <c r="C34" s="234">
        <f>'Price Out Rates'!M72</f>
        <v>16.27</v>
      </c>
      <c r="D34" s="234">
        <f>'Price Out Rates'!L72</f>
        <v>0.69244699815975808</v>
      </c>
      <c r="E34" s="234">
        <f t="shared" si="2"/>
        <v>16.962446998159759</v>
      </c>
      <c r="F34" s="234"/>
      <c r="G34" s="245"/>
      <c r="H34" s="245"/>
      <c r="I34" s="245"/>
      <c r="J34" s="245"/>
      <c r="K34" s="245"/>
      <c r="L34" s="245"/>
      <c r="M34" s="245"/>
      <c r="N34" s="245"/>
      <c r="O34" s="245"/>
      <c r="P34" s="245"/>
    </row>
    <row r="35" spans="1:23">
      <c r="A35" s="235" t="str">
        <f>'Price Out Rates'!C73</f>
        <v>60 Gal Tote wk</v>
      </c>
      <c r="B35" s="235"/>
      <c r="C35" s="234">
        <f>'Price Out Rates'!M73</f>
        <v>27.26</v>
      </c>
      <c r="D35" s="234">
        <f>'Price Out Rates'!L73</f>
        <v>0.95720614451495978</v>
      </c>
      <c r="E35" s="234">
        <f t="shared" si="2"/>
        <v>28.217206144514961</v>
      </c>
      <c r="F35" s="234"/>
      <c r="G35" s="245"/>
      <c r="H35" s="245"/>
      <c r="I35" s="245"/>
      <c r="J35" s="245"/>
      <c r="K35" s="245"/>
      <c r="L35" s="245"/>
      <c r="M35" s="245"/>
      <c r="N35" s="245"/>
      <c r="O35" s="245"/>
      <c r="P35" s="245"/>
    </row>
    <row r="36" spans="1:23">
      <c r="A36" s="235" t="str">
        <f>'Price Out Rates'!C74</f>
        <v>96 Gal Tote wk</v>
      </c>
      <c r="B36" s="235"/>
      <c r="C36" s="234">
        <f>'Price Out Rates'!M74</f>
        <v>39.46</v>
      </c>
      <c r="D36" s="234">
        <f>'Price Out Rates'!L74</f>
        <v>1.3848939963195164</v>
      </c>
      <c r="E36" s="234">
        <f t="shared" si="2"/>
        <v>40.84489399631952</v>
      </c>
      <c r="F36" s="234"/>
      <c r="G36" s="245"/>
      <c r="H36" s="245"/>
      <c r="I36" s="245"/>
      <c r="J36" s="245"/>
      <c r="K36" s="245"/>
      <c r="L36" s="245"/>
      <c r="M36" s="245"/>
      <c r="N36" s="245"/>
      <c r="O36" s="245"/>
      <c r="P36" s="245"/>
    </row>
    <row r="37" spans="1:23">
      <c r="A37" s="247" t="str">
        <f>'Price Out Rates'!C75</f>
        <v>32 Gal Bear Proof Toter</v>
      </c>
      <c r="B37" s="247"/>
      <c r="C37" s="248">
        <f>'Price Out Rates'!M75</f>
        <v>16.27</v>
      </c>
      <c r="D37" s="248">
        <f>'Price Out Rates'!L75</f>
        <v>0.69244699815975808</v>
      </c>
      <c r="E37" s="248">
        <f t="shared" si="2"/>
        <v>16.962446998159759</v>
      </c>
      <c r="F37" s="234"/>
      <c r="G37" s="245"/>
      <c r="H37" s="245"/>
      <c r="I37" s="245"/>
      <c r="J37" s="245"/>
      <c r="K37" s="245"/>
      <c r="L37" s="245"/>
      <c r="M37" s="245"/>
      <c r="N37" s="245"/>
      <c r="O37" s="245"/>
      <c r="P37" s="245"/>
    </row>
    <row r="38" spans="1:23">
      <c r="A38" s="247" t="str">
        <f>'Price Out Rates'!C76</f>
        <v>64 Gal Bear Proof Toter</v>
      </c>
      <c r="B38" s="247"/>
      <c r="C38" s="248">
        <f>'Price Out Rates'!M76</f>
        <v>27.26</v>
      </c>
      <c r="D38" s="248">
        <f>'Price Out Rates'!L76</f>
        <v>0.95720614451495978</v>
      </c>
      <c r="E38" s="248">
        <f>C38+D38</f>
        <v>28.217206144514961</v>
      </c>
      <c r="F38" s="234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  <row r="39" spans="1:23">
      <c r="A39" s="247" t="str">
        <f>'Price Out Rates'!C77</f>
        <v>96 Gal Bear Proof Toter</v>
      </c>
      <c r="B39" s="247"/>
      <c r="C39" s="248">
        <f>'Price Out Rates'!M77</f>
        <v>39.46</v>
      </c>
      <c r="D39" s="248">
        <f>'Price Out Rates'!L77</f>
        <v>1.3848939963195162</v>
      </c>
      <c r="E39" s="248">
        <f t="shared" si="2"/>
        <v>40.84489399631952</v>
      </c>
      <c r="F39" s="234"/>
      <c r="G39" s="245"/>
      <c r="H39" s="245"/>
      <c r="I39" s="245"/>
      <c r="J39" s="245"/>
      <c r="K39" s="245"/>
      <c r="L39" s="245"/>
      <c r="M39" s="245"/>
      <c r="N39" s="245"/>
      <c r="O39" s="245"/>
      <c r="P39" s="245"/>
    </row>
    <row r="40" spans="1:23">
      <c r="A40" s="235"/>
      <c r="B40" s="235"/>
      <c r="C40" s="245"/>
      <c r="D40" s="245"/>
      <c r="E40" s="245"/>
      <c r="F40" s="245"/>
      <c r="G40" s="235"/>
      <c r="H40" s="249"/>
      <c r="I40" s="250"/>
      <c r="J40" s="235"/>
      <c r="K40" s="235"/>
      <c r="L40" s="235"/>
    </row>
    <row r="41" spans="1:23">
      <c r="A41" s="231" t="s">
        <v>118</v>
      </c>
      <c r="B41" s="235"/>
      <c r="C41" s="245"/>
      <c r="D41" s="234"/>
      <c r="E41" s="234"/>
      <c r="F41" s="234"/>
      <c r="G41" s="235"/>
      <c r="H41" s="235"/>
      <c r="I41" s="246"/>
      <c r="J41" s="235"/>
      <c r="K41" s="235"/>
      <c r="L41" s="235"/>
    </row>
    <row r="42" spans="1:23">
      <c r="A42" s="247" t="str">
        <f>'Price Out Rates'!C63</f>
        <v>32 Gal extra</v>
      </c>
      <c r="B42" s="247" t="s">
        <v>203</v>
      </c>
      <c r="C42" s="248">
        <f>'Price Out Rates'!M63</f>
        <v>4.8600000000000003</v>
      </c>
      <c r="D42" s="248">
        <f>'Price Out Rates'!L63</f>
        <v>0.15979546111379034</v>
      </c>
      <c r="E42" s="248">
        <f t="shared" ref="E42:E43" si="3">C42+D42</f>
        <v>5.0197954611137909</v>
      </c>
      <c r="F42" s="234"/>
      <c r="G42" s="235"/>
      <c r="H42" s="246"/>
      <c r="I42" s="246"/>
      <c r="J42" s="235"/>
      <c r="K42" s="251"/>
      <c r="L42" s="235"/>
    </row>
    <row r="43" spans="1:23">
      <c r="A43" s="247" t="str">
        <f>'Price Out Rates'!C64</f>
        <v>Bag Extra</v>
      </c>
      <c r="B43" s="247" t="s">
        <v>203</v>
      </c>
      <c r="C43" s="248">
        <f>'Price Out Rates'!M64</f>
        <v>4.8600000000000003</v>
      </c>
      <c r="D43" s="248">
        <f>'Price Out Rates'!L64</f>
        <v>0.15979546111379034</v>
      </c>
      <c r="E43" s="248">
        <f t="shared" si="3"/>
        <v>5.0197954611137909</v>
      </c>
      <c r="F43" s="234"/>
      <c r="G43" s="235"/>
      <c r="H43" s="246"/>
      <c r="I43" s="246"/>
      <c r="J43" s="235"/>
      <c r="K43" s="251"/>
      <c r="L43" s="235"/>
    </row>
    <row r="44" spans="1:23">
      <c r="A44" s="235"/>
      <c r="B44" s="235"/>
      <c r="C44" s="234"/>
      <c r="D44" s="234"/>
      <c r="E44" s="234"/>
      <c r="F44" s="234"/>
      <c r="G44" s="235"/>
      <c r="H44" s="246"/>
      <c r="I44" s="246"/>
      <c r="J44" s="235"/>
      <c r="K44" s="251"/>
      <c r="L44" s="235"/>
    </row>
    <row r="45" spans="1:23">
      <c r="A45" s="231" t="s">
        <v>108</v>
      </c>
      <c r="B45" s="235"/>
      <c r="C45" s="245"/>
      <c r="D45" s="234"/>
      <c r="E45" s="234"/>
      <c r="F45" s="234"/>
      <c r="G45" s="235"/>
      <c r="H45" s="235"/>
      <c r="I45" s="246"/>
      <c r="J45" s="235"/>
      <c r="K45" s="235"/>
      <c r="L45" s="235"/>
    </row>
    <row r="46" spans="1:23">
      <c r="A46" s="235" t="str">
        <f>'Price Out Rates'!C40</f>
        <v>32 Gal Toter First Pickup/Additional</v>
      </c>
      <c r="B46" s="235" t="s">
        <v>203</v>
      </c>
      <c r="C46" s="234">
        <f>'Price Out Rates'!M40</f>
        <v>5.8</v>
      </c>
      <c r="D46" s="234">
        <f>'Price Out Rates'!L40</f>
        <v>0.15979546111379034</v>
      </c>
      <c r="E46" s="234">
        <f>D46+C46</f>
        <v>5.9597954611137904</v>
      </c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</row>
    <row r="47" spans="1:23">
      <c r="A47" s="253" t="str">
        <f>'Price Out Rates'!C41</f>
        <v>64 Gal Toter First Pickup</v>
      </c>
      <c r="B47" s="253" t="s">
        <v>203</v>
      </c>
      <c r="C47" s="245">
        <f>'Price Out Rates'!M41</f>
        <v>10.17</v>
      </c>
      <c r="D47" s="245">
        <f>'Price Out Rates'!L41</f>
        <v>0.2208937256572984</v>
      </c>
      <c r="E47" s="245">
        <f t="shared" ref="E47:E65" si="4">D47+C47</f>
        <v>10.390893725657298</v>
      </c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</row>
    <row r="48" spans="1:23">
      <c r="A48" s="235" t="str">
        <f>'Price Out Rates'!C42</f>
        <v>96 Gal Toter First Pickup/Additional</v>
      </c>
      <c r="B48" s="235" t="s">
        <v>203</v>
      </c>
      <c r="C48" s="234">
        <f>'Price Out Rates'!M42</f>
        <v>13.82</v>
      </c>
      <c r="D48" s="234">
        <f>'Price Out Rates'!L42</f>
        <v>0.31959092222758073</v>
      </c>
      <c r="E48" s="234">
        <f t="shared" si="4"/>
        <v>14.139590922227582</v>
      </c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</row>
    <row r="49" spans="1:23">
      <c r="A49" s="235" t="str">
        <f>'Price Out Rates'!C43</f>
        <v>1 yd First Pickup/Additional</v>
      </c>
      <c r="B49" s="235" t="s">
        <v>203</v>
      </c>
      <c r="C49" s="234">
        <f>'Price Out Rates'!M43</f>
        <v>28.39</v>
      </c>
      <c r="D49" s="234">
        <f>'Price Out Rates'!L43</f>
        <v>0.82247663808568561</v>
      </c>
      <c r="E49" s="234">
        <f t="shared" si="4"/>
        <v>29.212476638085686</v>
      </c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</row>
    <row r="50" spans="1:23">
      <c r="A50" s="235" t="str">
        <f>'Price Out Rates'!C44</f>
        <v>1.25 yd First Pickup/Additional</v>
      </c>
      <c r="B50" s="235" t="s">
        <v>203</v>
      </c>
      <c r="C50" s="234">
        <f>'Price Out Rates'!M44</f>
        <v>34.020000000000003</v>
      </c>
      <c r="D50" s="234">
        <f>'Price Out Rates'!L44</f>
        <v>0.99872163196118968</v>
      </c>
      <c r="E50" s="234">
        <f t="shared" si="4"/>
        <v>35.018721631961192</v>
      </c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</row>
    <row r="51" spans="1:23">
      <c r="A51" s="235" t="str">
        <f>'Price Out Rates'!C45</f>
        <v>2 yd First Pickup/Additional</v>
      </c>
      <c r="B51" s="235" t="s">
        <v>203</v>
      </c>
      <c r="C51" s="234">
        <f>'Price Out Rates'!M45</f>
        <v>52.91</v>
      </c>
      <c r="D51" s="234">
        <f>'Price Out Rates'!L45</f>
        <v>1.522756747084355</v>
      </c>
      <c r="E51" s="234">
        <f t="shared" si="4"/>
        <v>54.432756747084355</v>
      </c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</row>
    <row r="52" spans="1:23">
      <c r="A52" s="235" t="str">
        <f>'Price Out Rates'!C46</f>
        <v>3 yd First Pickup/Additional</v>
      </c>
      <c r="B52" s="235" t="s">
        <v>203</v>
      </c>
      <c r="C52" s="234">
        <f>'Price Out Rates'!M46</f>
        <v>78.099999999999994</v>
      </c>
      <c r="D52" s="234">
        <f>'Price Out Rates'!L46</f>
        <v>2.2230368560830245</v>
      </c>
      <c r="E52" s="234">
        <f t="shared" si="4"/>
        <v>80.323036856083021</v>
      </c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</row>
    <row r="53" spans="1:23">
      <c r="A53" s="235" t="str">
        <f>'Price Out Rates'!C47</f>
        <v>4 yd First Pickup/Additional</v>
      </c>
      <c r="B53" s="235" t="s">
        <v>203</v>
      </c>
      <c r="C53" s="234">
        <f>'Price Out Rates'!M47</f>
        <v>101.11</v>
      </c>
      <c r="D53" s="234">
        <f>'Price Out Rates'!L47</f>
        <v>2.8810181665515731</v>
      </c>
      <c r="E53" s="234">
        <f t="shared" si="4"/>
        <v>103.99101816655157</v>
      </c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</row>
    <row r="54" spans="1:23">
      <c r="A54" s="235" t="str">
        <f>'Price Out Rates'!C48</f>
        <v>6 yd First Pickup/Additional</v>
      </c>
      <c r="B54" s="235" t="s">
        <v>203</v>
      </c>
      <c r="C54" s="234">
        <f>'Price Out Rates'!M48</f>
        <v>150.30000000000001</v>
      </c>
      <c r="D54" s="234">
        <f>'Price Out Rates'!L48</f>
        <v>3.947887862811291</v>
      </c>
      <c r="E54" s="234">
        <f t="shared" si="4"/>
        <v>154.2478878628113</v>
      </c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</row>
    <row r="55" spans="1:23">
      <c r="A55" s="235" t="str">
        <f>'Price Out Rates'!C49</f>
        <v>8 yd First Pickup/Additional</v>
      </c>
      <c r="B55" s="235" t="s">
        <v>203</v>
      </c>
      <c r="C55" s="234">
        <f>'Price Out Rates'!M49</f>
        <v>195.36</v>
      </c>
      <c r="D55" s="234">
        <f>'Price Out Rates'!L49</f>
        <v>4.6058691732798396</v>
      </c>
      <c r="E55" s="234">
        <f t="shared" si="4"/>
        <v>199.96586917327986</v>
      </c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</row>
    <row r="56" spans="1:23">
      <c r="A56" s="247" t="str">
        <f>'Price Out Rates'!C78</f>
        <v>32 Gal Special Pickup</v>
      </c>
      <c r="B56" s="247" t="s">
        <v>203</v>
      </c>
      <c r="C56" s="248">
        <f>'Price Out Rates'!M78</f>
        <v>9.67</v>
      </c>
      <c r="D56" s="248">
        <f>'Price Out Rates'!L78</f>
        <v>0.15979546111379034</v>
      </c>
      <c r="E56" s="248">
        <f t="shared" si="4"/>
        <v>9.8297954611137897</v>
      </c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</row>
    <row r="57" spans="1:23">
      <c r="A57" s="247" t="str">
        <f>'Price Out Rates'!C79</f>
        <v>64 Gal Special Pickup</v>
      </c>
      <c r="B57" s="247" t="s">
        <v>203</v>
      </c>
      <c r="C57" s="248">
        <f>'Price Out Rates'!M79</f>
        <v>13.74</v>
      </c>
      <c r="D57" s="248">
        <f>'Price Out Rates'!L79</f>
        <v>0.2208937256572984</v>
      </c>
      <c r="E57" s="248">
        <f t="shared" si="4"/>
        <v>13.960893725657298</v>
      </c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</row>
    <row r="58" spans="1:23">
      <c r="A58" s="247" t="str">
        <f>'Price Out Rates'!C80</f>
        <v>96 Gal Special Pickup</v>
      </c>
      <c r="B58" s="247" t="s">
        <v>203</v>
      </c>
      <c r="C58" s="248">
        <f>'Price Out Rates'!M80</f>
        <v>16.36</v>
      </c>
      <c r="D58" s="248">
        <f>'Price Out Rates'!L80</f>
        <v>0.31959092222758068</v>
      </c>
      <c r="E58" s="248">
        <f t="shared" si="4"/>
        <v>16.679590922227579</v>
      </c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</row>
    <row r="59" spans="1:23">
      <c r="A59" s="247" t="str">
        <f>'Price Out Rates'!C81</f>
        <v>1 yd Special Pickup</v>
      </c>
      <c r="B59" s="247" t="s">
        <v>203</v>
      </c>
      <c r="C59" s="248">
        <f>'Price Out Rates'!M81</f>
        <v>32.450000000000003</v>
      </c>
      <c r="D59" s="248">
        <f>'Price Out Rates'!L81</f>
        <v>0.82247663808568561</v>
      </c>
      <c r="E59" s="248">
        <f t="shared" si="4"/>
        <v>33.272476638085692</v>
      </c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</row>
    <row r="60" spans="1:23">
      <c r="A60" s="247" t="str">
        <f>'Price Out Rates'!C82</f>
        <v>1.25 yd Special Pickup</v>
      </c>
      <c r="B60" s="247" t="s">
        <v>203</v>
      </c>
      <c r="C60" s="248">
        <f>'Price Out Rates'!M82</f>
        <v>38.340000000000003</v>
      </c>
      <c r="D60" s="248">
        <f>'Price Out Rates'!L82</f>
        <v>0.99872163196118968</v>
      </c>
      <c r="E60" s="248">
        <f t="shared" si="4"/>
        <v>39.338721631961192</v>
      </c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</row>
    <row r="61" spans="1:23">
      <c r="A61" s="247" t="str">
        <f>'Price Out Rates'!C83</f>
        <v>2 yd Special Pickup</v>
      </c>
      <c r="B61" s="247" t="s">
        <v>203</v>
      </c>
      <c r="C61" s="248">
        <f>'Price Out Rates'!M83</f>
        <v>57.59</v>
      </c>
      <c r="D61" s="248">
        <f>'Price Out Rates'!L83</f>
        <v>1.5227567470843548</v>
      </c>
      <c r="E61" s="248">
        <f t="shared" si="4"/>
        <v>59.112756747084362</v>
      </c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</row>
    <row r="62" spans="1:23">
      <c r="A62" s="247" t="str">
        <f>'Price Out Rates'!C84</f>
        <v>3 yd Special Pickup</v>
      </c>
      <c r="B62" s="247" t="s">
        <v>203</v>
      </c>
      <c r="C62" s="248">
        <f>'Price Out Rates'!M84</f>
        <v>82.07</v>
      </c>
      <c r="D62" s="248">
        <f>'Price Out Rates'!L84</f>
        <v>2.2230368560830249</v>
      </c>
      <c r="E62" s="248">
        <f t="shared" si="4"/>
        <v>84.29303685608302</v>
      </c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</row>
    <row r="63" spans="1:23">
      <c r="A63" s="247" t="str">
        <f>'Price Out Rates'!C85</f>
        <v>4 yd Special Pickup</v>
      </c>
      <c r="B63" s="247" t="s">
        <v>203</v>
      </c>
      <c r="C63" s="248">
        <f>'Price Out Rates'!M85</f>
        <v>107.78</v>
      </c>
      <c r="D63" s="248">
        <f>'Price Out Rates'!L85</f>
        <v>2.8810181665515731</v>
      </c>
      <c r="E63" s="248">
        <f t="shared" si="4"/>
        <v>110.66101816655157</v>
      </c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</row>
    <row r="64" spans="1:23">
      <c r="A64" s="247" t="str">
        <f>'Price Out Rates'!C86</f>
        <v>6 yd Special Pickup</v>
      </c>
      <c r="B64" s="247" t="s">
        <v>203</v>
      </c>
      <c r="C64" s="248">
        <f>'Price Out Rates'!M86</f>
        <v>159.65</v>
      </c>
      <c r="D64" s="248">
        <f>'Price Out Rates'!L86</f>
        <v>3.947887862811291</v>
      </c>
      <c r="E64" s="248">
        <f t="shared" si="4"/>
        <v>163.59788786281129</v>
      </c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</row>
    <row r="65" spans="1:23">
      <c r="A65" s="247" t="str">
        <f>'Price Out Rates'!C87</f>
        <v>8 yd Special PIckup</v>
      </c>
      <c r="B65" s="247" t="s">
        <v>203</v>
      </c>
      <c r="C65" s="248">
        <f>'Price Out Rates'!M87</f>
        <v>197.79</v>
      </c>
      <c r="D65" s="248">
        <f>'Price Out Rates'!L87</f>
        <v>4.6058691732798396</v>
      </c>
      <c r="E65" s="248">
        <f t="shared" si="4"/>
        <v>202.39586917327983</v>
      </c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</row>
    <row r="66" spans="1:23">
      <c r="A66" s="247" t="str">
        <f>'Price Out Rates'!C88</f>
        <v>1 yd Temporary</v>
      </c>
      <c r="B66" s="247" t="s">
        <v>203</v>
      </c>
      <c r="C66" s="248">
        <f>'Price Out Rates'!M88</f>
        <v>39.17</v>
      </c>
      <c r="D66" s="248">
        <f>'Price Out Rates'!L88</f>
        <v>0.82247663808568561</v>
      </c>
      <c r="E66" s="248">
        <f t="shared" ref="E66:E74" si="5">D66+C66</f>
        <v>39.992476638085691</v>
      </c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</row>
    <row r="67" spans="1:23">
      <c r="A67" s="247" t="str">
        <f>'Price Out Rates'!C89</f>
        <v>1.25 yd Temporary</v>
      </c>
      <c r="B67" s="247" t="s">
        <v>203</v>
      </c>
      <c r="C67" s="248">
        <f>'Price Out Rates'!M89</f>
        <v>42.88</v>
      </c>
      <c r="D67" s="248">
        <f>'Price Out Rates'!L89</f>
        <v>0.99872163196118968</v>
      </c>
      <c r="E67" s="248">
        <f t="shared" si="5"/>
        <v>43.878721631961191</v>
      </c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</row>
    <row r="68" spans="1:23">
      <c r="A68" s="247" t="str">
        <f>'Price Out Rates'!C90</f>
        <v>2 yd Temporary</v>
      </c>
      <c r="B68" s="247" t="s">
        <v>203</v>
      </c>
      <c r="C68" s="248">
        <f>'Price Out Rates'!M90</f>
        <v>56.78</v>
      </c>
      <c r="D68" s="248">
        <f>'Price Out Rates'!L90</f>
        <v>1.5227567470843548</v>
      </c>
      <c r="E68" s="248">
        <f t="shared" si="5"/>
        <v>58.302756747084359</v>
      </c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</row>
    <row r="69" spans="1:23">
      <c r="A69" s="247" t="str">
        <f>'Price Out Rates'!C91</f>
        <v>3 yd Temporary</v>
      </c>
      <c r="B69" s="247" t="s">
        <v>203</v>
      </c>
      <c r="C69" s="248">
        <f>'Price Out Rates'!M91</f>
        <v>79.84</v>
      </c>
      <c r="D69" s="248">
        <f>'Price Out Rates'!L91</f>
        <v>2.2230368560830249</v>
      </c>
      <c r="E69" s="248">
        <f t="shared" si="5"/>
        <v>82.063036856083031</v>
      </c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</row>
    <row r="70" spans="1:23">
      <c r="A70" s="247" t="str">
        <f>'Price Out Rates'!C92</f>
        <v>4 yd Temporary</v>
      </c>
      <c r="B70" s="247" t="s">
        <v>203</v>
      </c>
      <c r="C70" s="248">
        <f>'Price Out Rates'!M92</f>
        <v>104.92</v>
      </c>
      <c r="D70" s="248">
        <f>'Price Out Rates'!L92</f>
        <v>2.8810181665515731</v>
      </c>
      <c r="E70" s="248">
        <f t="shared" si="5"/>
        <v>107.80101816655157</v>
      </c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</row>
    <row r="71" spans="1:23">
      <c r="A71" s="247" t="str">
        <f>'Price Out Rates'!C93</f>
        <v>6 yd Temporary</v>
      </c>
      <c r="B71" s="247" t="s">
        <v>203</v>
      </c>
      <c r="C71" s="248">
        <f>'Price Out Rates'!M93</f>
        <v>155.91999999999999</v>
      </c>
      <c r="D71" s="248">
        <f>'Price Out Rates'!L93</f>
        <v>3.947887862811291</v>
      </c>
      <c r="E71" s="248">
        <f t="shared" si="5"/>
        <v>159.86788786281127</v>
      </c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</row>
    <row r="72" spans="1:23">
      <c r="A72" s="247" t="str">
        <f>'Price Out Rates'!C94</f>
        <v>8 yd Temporary</v>
      </c>
      <c r="B72" s="247" t="s">
        <v>203</v>
      </c>
      <c r="C72" s="248">
        <f>'Price Out Rates'!M94</f>
        <v>193.77</v>
      </c>
      <c r="D72" s="248">
        <f>'Price Out Rates'!L94</f>
        <v>4.6058691732798396</v>
      </c>
      <c r="E72" s="248">
        <f t="shared" si="5"/>
        <v>198.37586917327985</v>
      </c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</row>
    <row r="73" spans="1:23">
      <c r="A73" s="235"/>
      <c r="B73" s="235"/>
      <c r="C73" s="234"/>
      <c r="D73" s="234"/>
      <c r="E73" s="234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</row>
    <row r="74" spans="1:23">
      <c r="A74" s="247" t="str">
        <f>'Price Out Rates'!C95</f>
        <v>Extras</v>
      </c>
      <c r="B74" s="247" t="s">
        <v>203</v>
      </c>
      <c r="C74" s="248">
        <f>'Price Out Rates'!M95</f>
        <v>5.95</v>
      </c>
      <c r="D74" s="248">
        <f>'Price Out Rates'!L95</f>
        <v>0.15979546111379034</v>
      </c>
      <c r="E74" s="248">
        <f t="shared" si="5"/>
        <v>6.1097954611137908</v>
      </c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</row>
    <row r="75" spans="1:23">
      <c r="A75" s="235"/>
      <c r="B75" s="235"/>
      <c r="C75" s="234"/>
      <c r="D75" s="234"/>
      <c r="E75" s="234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</row>
    <row r="76" spans="1:23">
      <c r="A76" s="231" t="s">
        <v>228</v>
      </c>
      <c r="B76" s="235"/>
      <c r="C76" s="234"/>
      <c r="D76" s="234"/>
      <c r="E76" s="234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</row>
    <row r="77" spans="1:23" s="254" customFormat="1">
      <c r="A77" s="247" t="str">
        <f>'Price Out Rates'!C96</f>
        <v>3 yd Pickup/Additional</v>
      </c>
      <c r="B77" s="247" t="s">
        <v>203</v>
      </c>
      <c r="C77" s="248">
        <f>'Price Out Rates'!M96</f>
        <v>265.06</v>
      </c>
      <c r="D77" s="248">
        <f>'Price Out Rates'!L96</f>
        <v>6.1145263208541545</v>
      </c>
      <c r="E77" s="248">
        <f>D77+C77</f>
        <v>271.17452632085417</v>
      </c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</row>
    <row r="78" spans="1:23">
      <c r="A78" s="247" t="str">
        <f>'Price Out Rates'!C97</f>
        <v>4 yd Pickup/Additional</v>
      </c>
      <c r="B78" s="247" t="s">
        <v>203</v>
      </c>
      <c r="C78" s="248">
        <f>'Price Out Rates'!M97</f>
        <v>425.32</v>
      </c>
      <c r="D78" s="248">
        <f>'Price Out Rates'!L97</f>
        <v>7.9239749246426632</v>
      </c>
      <c r="E78" s="248">
        <f t="shared" ref="E78:E83" si="6">D78+C78</f>
        <v>433.24397492464266</v>
      </c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</row>
    <row r="79" spans="1:23">
      <c r="A79" s="247" t="str">
        <f>'Price Out Rates'!C98</f>
        <v>6 yd Pickup/Additional</v>
      </c>
      <c r="B79" s="247" t="s">
        <v>203</v>
      </c>
      <c r="C79" s="248">
        <f>'Price Out Rates'!M98</f>
        <v>566.36</v>
      </c>
      <c r="D79" s="248">
        <f>'Price Out Rates'!L98</f>
        <v>10.85669162273105</v>
      </c>
      <c r="E79" s="248">
        <f t="shared" si="6"/>
        <v>577.2166916227311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</row>
    <row r="80" spans="1:23">
      <c r="A80" s="235"/>
      <c r="B80" s="23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</row>
    <row r="81" spans="1:23">
      <c r="A81" s="247" t="str">
        <f>'Price Out Rates'!C99</f>
        <v>3 yd Special Pickup</v>
      </c>
      <c r="B81" s="247" t="s">
        <v>203</v>
      </c>
      <c r="C81" s="248">
        <f>'Price Out Rates'!M99</f>
        <v>268.16000000000003</v>
      </c>
      <c r="D81" s="248">
        <f>'Price Out Rates'!L99</f>
        <v>6.1145263208541545</v>
      </c>
      <c r="E81" s="248">
        <f t="shared" si="6"/>
        <v>274.27452632085419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</row>
    <row r="82" spans="1:23">
      <c r="A82" s="247" t="str">
        <f>'Price Out Rates'!C100</f>
        <v>4 yd Special Pickup</v>
      </c>
      <c r="B82" s="247" t="s">
        <v>203</v>
      </c>
      <c r="C82" s="248">
        <f>'Price Out Rates'!M100</f>
        <v>428.12</v>
      </c>
      <c r="D82" s="248">
        <f>'Price Out Rates'!L100</f>
        <v>7.9239749246426632</v>
      </c>
      <c r="E82" s="248">
        <f t="shared" si="6"/>
        <v>436.04397492464267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</row>
    <row r="83" spans="1:23">
      <c r="A83" s="247" t="str">
        <f>'Price Out Rates'!C101</f>
        <v>6 yd Special Pickup</v>
      </c>
      <c r="B83" s="247" t="s">
        <v>203</v>
      </c>
      <c r="C83" s="248">
        <f>'Price Out Rates'!M101</f>
        <v>568.92999999999995</v>
      </c>
      <c r="D83" s="248">
        <f>'Price Out Rates'!L101</f>
        <v>10.85669162273105</v>
      </c>
      <c r="E83" s="248">
        <f t="shared" si="6"/>
        <v>579.78669162273104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</row>
    <row r="84" spans="1:23">
      <c r="A84" s="235"/>
      <c r="B84" s="23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</row>
    <row r="85" spans="1:23">
      <c r="A85" s="231" t="s">
        <v>232</v>
      </c>
      <c r="B85" s="23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</row>
    <row r="86" spans="1:23">
      <c r="A86" s="235" t="str">
        <f>'Price Out Rates'!C116</f>
        <v>Bulky Materials, per yard</v>
      </c>
      <c r="B86" s="235" t="s">
        <v>256</v>
      </c>
      <c r="C86" s="245">
        <f>'Price Out Rates'!M116</f>
        <v>19.38</v>
      </c>
      <c r="D86" s="245">
        <f>'Price Out Rates'!L116</f>
        <v>0.58748331291834688</v>
      </c>
      <c r="E86" s="245">
        <f>C86+D86</f>
        <v>19.967483312918347</v>
      </c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</row>
    <row r="87" spans="1:23">
      <c r="A87" s="235" t="str">
        <f>'Price Out Rates'!C117</f>
        <v>Loose Materials, per yard</v>
      </c>
      <c r="B87" s="235" t="s">
        <v>256</v>
      </c>
      <c r="C87" s="245">
        <f>'Price Out Rates'!M117</f>
        <v>19.38</v>
      </c>
      <c r="D87" s="245">
        <f>'Price Out Rates'!L117</f>
        <v>0.58748331291834688</v>
      </c>
      <c r="E87" s="245">
        <f>C87+D87</f>
        <v>19.967483312918347</v>
      </c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</row>
    <row r="88" spans="1:23">
      <c r="A88" s="235"/>
      <c r="B88" s="23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</row>
    <row r="89" spans="1:23">
      <c r="A89" s="231" t="s">
        <v>204</v>
      </c>
      <c r="B89" s="235"/>
      <c r="C89" s="234"/>
      <c r="D89" s="234"/>
      <c r="E89" s="234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</row>
    <row r="90" spans="1:23">
      <c r="A90" s="235" t="s">
        <v>205</v>
      </c>
      <c r="B90" s="235" t="s">
        <v>206</v>
      </c>
      <c r="C90" s="234">
        <f>References!B47</f>
        <v>168.68</v>
      </c>
      <c r="D90" s="234">
        <f t="shared" ref="D90" si="7">E90-C90</f>
        <v>15.030000000000001</v>
      </c>
      <c r="E90" s="234">
        <f>References!B48</f>
        <v>183.71</v>
      </c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</row>
    <row r="91" spans="1:23">
      <c r="A91" s="235"/>
      <c r="B91" s="235"/>
      <c r="C91" s="234"/>
      <c r="D91" s="234"/>
      <c r="E91" s="234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</row>
    <row r="92" spans="1:23">
      <c r="A92" s="231" t="s">
        <v>107</v>
      </c>
      <c r="B92" s="235"/>
      <c r="C92" s="245"/>
      <c r="D92" s="234"/>
      <c r="E92" s="234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</row>
    <row r="93" spans="1:23">
      <c r="A93" s="235" t="str">
        <f>'Price Out Rates'!C16</f>
        <v>32 Gal Toter First Pickup/Additional</v>
      </c>
      <c r="B93" s="235" t="s">
        <v>203</v>
      </c>
      <c r="C93" s="234">
        <f>'Price Out Rates'!M16</f>
        <v>4.8</v>
      </c>
      <c r="D93" s="234">
        <f>'Price Out Rates'!L16</f>
        <v>0.13629612859705645</v>
      </c>
      <c r="E93" s="234">
        <f>C93+D93</f>
        <v>4.9362961285970561</v>
      </c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</row>
    <row r="94" spans="1:23">
      <c r="A94" s="235" t="str">
        <f>'Price Out Rates'!C17</f>
        <v>64 Gal Toter First Pickup/Additional</v>
      </c>
      <c r="B94" s="235" t="s">
        <v>203</v>
      </c>
      <c r="C94" s="234">
        <f>'Price Out Rates'!M17</f>
        <v>8.18</v>
      </c>
      <c r="D94" s="234">
        <f>'Price Out Rates'!L17</f>
        <v>0.22089372565729842</v>
      </c>
      <c r="E94" s="234">
        <f t="shared" ref="E94:E116" si="8">C94+D94</f>
        <v>8.4008937256572978</v>
      </c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</row>
    <row r="95" spans="1:23">
      <c r="A95" s="235" t="str">
        <f>'Price Out Rates'!C18</f>
        <v>96 Gal Toter First Pickup/Additional</v>
      </c>
      <c r="B95" s="235" t="s">
        <v>203</v>
      </c>
      <c r="C95" s="234">
        <f>'Price Out Rates'!M18</f>
        <v>10.83</v>
      </c>
      <c r="D95" s="234">
        <f>'Price Out Rates'!L18</f>
        <v>0.31959092222758068</v>
      </c>
      <c r="E95" s="234">
        <f t="shared" si="8"/>
        <v>11.149590922227581</v>
      </c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</row>
    <row r="96" spans="1:23">
      <c r="A96" s="235" t="str">
        <f>'Price Out Rates'!C19</f>
        <v>1 yd First Pickup/Additional</v>
      </c>
      <c r="B96" s="235" t="s">
        <v>203</v>
      </c>
      <c r="C96" s="234">
        <f>'Price Out Rates'!M19</f>
        <v>22.16</v>
      </c>
      <c r="D96" s="234">
        <f>'Price Out Rates'!L19</f>
        <v>0.82247663808568572</v>
      </c>
      <c r="E96" s="234">
        <f t="shared" si="8"/>
        <v>22.982476638085686</v>
      </c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</row>
    <row r="97" spans="1:23">
      <c r="A97" s="235" t="str">
        <f>'Price Out Rates'!C20</f>
        <v>1.25 yd First Pickup/Additional</v>
      </c>
      <c r="B97" s="235" t="s">
        <v>203</v>
      </c>
      <c r="C97" s="234">
        <f>'Price Out Rates'!M20</f>
        <v>26.23</v>
      </c>
      <c r="D97" s="234">
        <f>'Price Out Rates'!L20</f>
        <v>0.99872163196118968</v>
      </c>
      <c r="E97" s="234">
        <f t="shared" si="8"/>
        <v>27.228721631961189</v>
      </c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</row>
    <row r="98" spans="1:23">
      <c r="A98" s="235" t="str">
        <f>'Price Out Rates'!C21</f>
        <v>2 yd First Pickup/Additional</v>
      </c>
      <c r="B98" s="235" t="s">
        <v>203</v>
      </c>
      <c r="C98" s="234">
        <f>'Price Out Rates'!M21</f>
        <v>40.450000000000003</v>
      </c>
      <c r="D98" s="234">
        <f>'Price Out Rates'!L21</f>
        <v>1.5227567470843553</v>
      </c>
      <c r="E98" s="234">
        <f t="shared" si="8"/>
        <v>41.972756747084361</v>
      </c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</row>
    <row r="99" spans="1:23">
      <c r="A99" s="235" t="str">
        <f>'Price Out Rates'!C22</f>
        <v>3 yd First Pickup/Additional</v>
      </c>
      <c r="B99" s="235" t="s">
        <v>203</v>
      </c>
      <c r="C99" s="234">
        <f>'Price Out Rates'!M22</f>
        <v>59.41</v>
      </c>
      <c r="D99" s="234">
        <f>'Price Out Rates'!L22</f>
        <v>2.2230368560830245</v>
      </c>
      <c r="E99" s="234">
        <f t="shared" si="8"/>
        <v>61.633036856083024</v>
      </c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</row>
    <row r="100" spans="1:23">
      <c r="A100" s="235" t="str">
        <f>'Price Out Rates'!C23</f>
        <v>4 yd First Pickup/Additional</v>
      </c>
      <c r="B100" s="235" t="s">
        <v>203</v>
      </c>
      <c r="C100" s="234">
        <f>'Price Out Rates'!M23</f>
        <v>76.19</v>
      </c>
      <c r="D100" s="234">
        <f>'Price Out Rates'!L23</f>
        <v>2.8810181665515726</v>
      </c>
      <c r="E100" s="234">
        <f t="shared" si="8"/>
        <v>79.071018166551568</v>
      </c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</row>
    <row r="101" spans="1:23">
      <c r="A101" s="235" t="str">
        <f>'Price Out Rates'!C24</f>
        <v>6 yd First Pickup/Additional</v>
      </c>
      <c r="B101" s="235" t="s">
        <v>203</v>
      </c>
      <c r="C101" s="234">
        <f>'Price Out Rates'!M24</f>
        <v>112.92</v>
      </c>
      <c r="D101" s="234">
        <f>'Price Out Rates'!L24</f>
        <v>3.947887862811291</v>
      </c>
      <c r="E101" s="234">
        <f t="shared" si="8"/>
        <v>116.86788786281129</v>
      </c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</row>
    <row r="102" spans="1:23">
      <c r="A102" s="235" t="str">
        <f>'Price Out Rates'!C25</f>
        <v>8 yd First Pickup/Additional</v>
      </c>
      <c r="B102" s="235" t="s">
        <v>203</v>
      </c>
      <c r="C102" s="234">
        <f>'Price Out Rates'!M25</f>
        <v>145.53</v>
      </c>
      <c r="D102" s="234">
        <f>'Price Out Rates'!L25</f>
        <v>4.6058691732798396</v>
      </c>
      <c r="E102" s="234">
        <f t="shared" si="8"/>
        <v>150.13586917327984</v>
      </c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</row>
    <row r="103" spans="1:23">
      <c r="A103" s="247" t="str">
        <f>'Price Out Rates'!C102</f>
        <v>32 Gal Toter Special PIckup</v>
      </c>
      <c r="B103" s="247" t="s">
        <v>203</v>
      </c>
      <c r="C103" s="248">
        <f>'Price Out Rates'!M102</f>
        <v>8.67</v>
      </c>
      <c r="D103" s="248">
        <f>'Price Out Rates'!L102</f>
        <v>0.13629612859705648</v>
      </c>
      <c r="E103" s="248">
        <f t="shared" si="8"/>
        <v>8.8062961285970562</v>
      </c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</row>
    <row r="104" spans="1:23">
      <c r="A104" s="253" t="str">
        <f>'Price Out Rates'!C26</f>
        <v>64 Gal Toter Special Pickup</v>
      </c>
      <c r="B104" s="253" t="s">
        <v>203</v>
      </c>
      <c r="C104" s="245">
        <f>'Price Out Rates'!M26</f>
        <v>11.74</v>
      </c>
      <c r="D104" s="245">
        <f>'Price Out Rates'!L26</f>
        <v>0.2208937256572984</v>
      </c>
      <c r="E104" s="245">
        <f t="shared" si="8"/>
        <v>11.960893725657298</v>
      </c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</row>
    <row r="105" spans="1:23">
      <c r="A105" s="247" t="str">
        <f>'Price Out Rates'!C103</f>
        <v>96 Gal Toter Special PIckup</v>
      </c>
      <c r="B105" s="247" t="s">
        <v>203</v>
      </c>
      <c r="C105" s="248">
        <f>'Price Out Rates'!M103</f>
        <v>13.37</v>
      </c>
      <c r="D105" s="248">
        <f>'Price Out Rates'!L103</f>
        <v>0.31959092222758068</v>
      </c>
      <c r="E105" s="248">
        <f t="shared" si="8"/>
        <v>13.68959092222758</v>
      </c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</row>
    <row r="106" spans="1:23">
      <c r="A106" s="247" t="str">
        <f>'Price Out Rates'!C104</f>
        <v>1 yd Special Pickup</v>
      </c>
      <c r="B106" s="247" t="s">
        <v>203</v>
      </c>
      <c r="C106" s="248">
        <f>'Price Out Rates'!M104</f>
        <v>26.22</v>
      </c>
      <c r="D106" s="248">
        <f>'Price Out Rates'!L104</f>
        <v>0.82247663808568561</v>
      </c>
      <c r="E106" s="248">
        <f t="shared" si="8"/>
        <v>27.042476638085684</v>
      </c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</row>
    <row r="107" spans="1:23">
      <c r="A107" s="235" t="str">
        <f>'Price Out Rates'!C27</f>
        <v>1.25 yd Special Pickup</v>
      </c>
      <c r="B107" s="235" t="s">
        <v>203</v>
      </c>
      <c r="C107" s="234">
        <f>'Price Out Rates'!M27</f>
        <v>30.55</v>
      </c>
      <c r="D107" s="234">
        <f>'Price Out Rates'!L27</f>
        <v>0.99872163196118968</v>
      </c>
      <c r="E107" s="234">
        <f t="shared" si="8"/>
        <v>31.54872163196119</v>
      </c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</row>
    <row r="108" spans="1:23">
      <c r="A108" s="235" t="str">
        <f>'Price Out Rates'!C28</f>
        <v>2 yd Special Pickup</v>
      </c>
      <c r="B108" s="235" t="s">
        <v>203</v>
      </c>
      <c r="C108" s="234">
        <f>'Price Out Rates'!M28</f>
        <v>45.13</v>
      </c>
      <c r="D108" s="234">
        <f>'Price Out Rates'!L28</f>
        <v>1.5227567470843548</v>
      </c>
      <c r="E108" s="234">
        <f t="shared" si="8"/>
        <v>46.652756747084361</v>
      </c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</row>
    <row r="109" spans="1:23">
      <c r="A109" s="235" t="str">
        <f>'Price Out Rates'!C29</f>
        <v>3 yd  Special PIckup</v>
      </c>
      <c r="B109" s="235" t="s">
        <v>203</v>
      </c>
      <c r="C109" s="234">
        <f>'Price Out Rates'!M29</f>
        <v>63.38</v>
      </c>
      <c r="D109" s="234">
        <f>'Price Out Rates'!L29</f>
        <v>2.2230368560830245</v>
      </c>
      <c r="E109" s="234">
        <f t="shared" si="8"/>
        <v>65.603036856083023</v>
      </c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</row>
    <row r="110" spans="1:23">
      <c r="A110" s="235" t="str">
        <f>'Price Out Rates'!C30</f>
        <v>4 yd Special Pickup</v>
      </c>
      <c r="B110" s="235" t="s">
        <v>203</v>
      </c>
      <c r="C110" s="234">
        <f>'Price Out Rates'!M30</f>
        <v>82.87</v>
      </c>
      <c r="D110" s="234">
        <f>'Price Out Rates'!L30</f>
        <v>2.8810181665515731</v>
      </c>
      <c r="E110" s="234">
        <f t="shared" si="8"/>
        <v>85.751018166551574</v>
      </c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</row>
    <row r="111" spans="1:23">
      <c r="A111" s="235" t="str">
        <f>'Price Out Rates'!C31</f>
        <v>6 yd Special Pickup</v>
      </c>
      <c r="B111" s="235" t="s">
        <v>203</v>
      </c>
      <c r="C111" s="234">
        <f>'Price Out Rates'!M31</f>
        <v>122.28</v>
      </c>
      <c r="D111" s="234">
        <f>'Price Out Rates'!L31</f>
        <v>3.9478878628112906</v>
      </c>
      <c r="E111" s="234">
        <f t="shared" si="8"/>
        <v>126.22788786281129</v>
      </c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</row>
    <row r="112" spans="1:23">
      <c r="A112" s="253" t="str">
        <f>'Price Out Rates'!C32</f>
        <v>8 yd Special Pickup</v>
      </c>
      <c r="B112" s="253" t="s">
        <v>203</v>
      </c>
      <c r="C112" s="245">
        <f>'Price Out Rates'!M32</f>
        <v>147.94999999999999</v>
      </c>
      <c r="D112" s="245">
        <f>'Price Out Rates'!L32</f>
        <v>4.6058691732798396</v>
      </c>
      <c r="E112" s="245">
        <f t="shared" si="8"/>
        <v>152.55586917327983</v>
      </c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</row>
    <row r="113" spans="1:23">
      <c r="A113" s="247" t="str">
        <f>'Price Out Rates'!C88</f>
        <v>1 yd Temporary</v>
      </c>
      <c r="B113" s="247" t="s">
        <v>203</v>
      </c>
      <c r="C113" s="248">
        <f>'Price Out Rates'!M105</f>
        <v>32.94</v>
      </c>
      <c r="D113" s="248">
        <f>'Price Out Rates'!L105</f>
        <v>0.82247663808568561</v>
      </c>
      <c r="E113" s="248">
        <f t="shared" si="8"/>
        <v>33.762476638085687</v>
      </c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</row>
    <row r="114" spans="1:23">
      <c r="A114" s="247" t="str">
        <f>'Price Out Rates'!C89</f>
        <v>1.25 yd Temporary</v>
      </c>
      <c r="B114" s="247" t="s">
        <v>203</v>
      </c>
      <c r="C114" s="248">
        <f>'Price Out Rates'!M106</f>
        <v>44.32</v>
      </c>
      <c r="D114" s="248">
        <f>'Price Out Rates'!L106</f>
        <v>1.5227567470843548</v>
      </c>
      <c r="E114" s="248">
        <f t="shared" si="8"/>
        <v>45.842756747084358</v>
      </c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</row>
    <row r="115" spans="1:23">
      <c r="A115" s="235" t="str">
        <f>'Price Out Rates'!C33</f>
        <v>1.25 yd Temporary</v>
      </c>
      <c r="B115" s="235" t="s">
        <v>203</v>
      </c>
      <c r="C115" s="234">
        <f>'Price Out Rates'!M33</f>
        <v>35.090000000000003</v>
      </c>
      <c r="D115" s="234">
        <f>'Price Out Rates'!L33</f>
        <v>0.99872163196118968</v>
      </c>
      <c r="E115" s="234">
        <f t="shared" si="8"/>
        <v>36.088721631961192</v>
      </c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</row>
    <row r="116" spans="1:23">
      <c r="A116" s="247" t="str">
        <f>'Price Out Rates'!C107</f>
        <v>3 yd Temporary</v>
      </c>
      <c r="B116" s="247" t="s">
        <v>203</v>
      </c>
      <c r="C116" s="248">
        <f>'Price Out Rates'!M107</f>
        <v>61.16</v>
      </c>
      <c r="D116" s="248">
        <f>'Price Out Rates'!L107</f>
        <v>2.2230368560830249</v>
      </c>
      <c r="E116" s="248">
        <f t="shared" si="8"/>
        <v>63.383036856083024</v>
      </c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</row>
    <row r="117" spans="1:23">
      <c r="A117" s="253" t="str">
        <f>'Price Out Rates'!C34</f>
        <v>4 yd Temporary</v>
      </c>
      <c r="B117" s="253" t="s">
        <v>203</v>
      </c>
      <c r="C117" s="245">
        <f>'Price Out Rates'!M34</f>
        <v>80</v>
      </c>
      <c r="D117" s="245">
        <f>'Price Out Rates'!L34</f>
        <v>2.8810181665515731</v>
      </c>
      <c r="E117" s="245">
        <f t="shared" ref="E117:E118" si="9">C117+D117</f>
        <v>82.88101816655157</v>
      </c>
      <c r="F117" s="245"/>
      <c r="G117" s="235"/>
      <c r="H117" s="246"/>
      <c r="I117" s="246"/>
      <c r="J117" s="235"/>
      <c r="K117" s="251"/>
      <c r="L117" s="235"/>
    </row>
    <row r="118" spans="1:23">
      <c r="A118" s="235" t="str">
        <f>'Price Out Rates'!C35</f>
        <v>6 yd Temporary</v>
      </c>
      <c r="B118" s="235" t="s">
        <v>203</v>
      </c>
      <c r="C118" s="234">
        <f>'Price Out Rates'!M35</f>
        <v>118.55</v>
      </c>
      <c r="D118" s="234">
        <f>'Price Out Rates'!L35</f>
        <v>3.947887862811291</v>
      </c>
      <c r="E118" s="234">
        <f t="shared" si="9"/>
        <v>122.49788786281128</v>
      </c>
      <c r="F118" s="245"/>
      <c r="G118" s="235"/>
      <c r="H118" s="246"/>
      <c r="I118" s="246"/>
      <c r="J118" s="235"/>
      <c r="K118" s="251"/>
      <c r="L118" s="235"/>
    </row>
    <row r="119" spans="1:23">
      <c r="A119" s="247" t="str">
        <f>'Price Out Rates'!C108</f>
        <v>8 yd Temporary</v>
      </c>
      <c r="B119" s="247" t="s">
        <v>203</v>
      </c>
      <c r="C119" s="248">
        <f>'Price Out Rates'!M108</f>
        <v>143.93</v>
      </c>
      <c r="D119" s="248">
        <f>'Price Out Rates'!L108</f>
        <v>4.6058691732798396</v>
      </c>
      <c r="E119" s="248">
        <f t="shared" ref="E119:E120" si="10">C119+D119</f>
        <v>148.53586917327985</v>
      </c>
      <c r="F119" s="245"/>
      <c r="G119" s="235"/>
      <c r="H119" s="246"/>
      <c r="I119" s="246"/>
      <c r="J119" s="235"/>
      <c r="K119" s="251"/>
      <c r="L119" s="235"/>
    </row>
    <row r="120" spans="1:23">
      <c r="A120" s="247" t="s">
        <v>260</v>
      </c>
      <c r="B120" s="247" t="s">
        <v>261</v>
      </c>
      <c r="C120" s="248">
        <v>18.52</v>
      </c>
      <c r="D120" s="248">
        <f>C120*References!B50</f>
        <v>1.6501991937396252</v>
      </c>
      <c r="E120" s="248">
        <f t="shared" si="10"/>
        <v>20.170199193739624</v>
      </c>
      <c r="F120" s="245"/>
      <c r="G120" s="235"/>
      <c r="H120" s="246"/>
      <c r="I120" s="246"/>
      <c r="J120" s="235"/>
      <c r="K120" s="251"/>
      <c r="L120" s="235"/>
    </row>
    <row r="121" spans="1:23">
      <c r="A121" s="235"/>
      <c r="B121" s="235"/>
      <c r="C121" s="234"/>
      <c r="D121" s="234"/>
      <c r="E121" s="234"/>
      <c r="F121" s="245"/>
      <c r="G121" s="235"/>
      <c r="H121" s="246"/>
      <c r="I121" s="246"/>
      <c r="J121" s="235"/>
      <c r="K121" s="251"/>
      <c r="L121" s="235"/>
    </row>
    <row r="122" spans="1:23">
      <c r="A122" s="231" t="s">
        <v>125</v>
      </c>
      <c r="B122" s="235"/>
      <c r="C122" s="234"/>
      <c r="D122" s="234"/>
      <c r="E122" s="245"/>
      <c r="F122" s="245"/>
      <c r="G122" s="235"/>
      <c r="H122" s="235"/>
      <c r="I122" s="246"/>
      <c r="J122" s="235"/>
      <c r="K122" s="235"/>
      <c r="L122" s="235"/>
    </row>
    <row r="123" spans="1:23">
      <c r="A123" s="253" t="s">
        <v>122</v>
      </c>
      <c r="B123" s="253" t="s">
        <v>203</v>
      </c>
      <c r="C123" s="245">
        <f>'Price Out Rates'!M36</f>
        <v>4.29</v>
      </c>
      <c r="D123" s="245">
        <f>'Price Out Rates'!L36</f>
        <v>0.13629612859705645</v>
      </c>
      <c r="E123" s="245">
        <f t="shared" ref="E123:E124" si="11">C123+D123</f>
        <v>4.4262961285970563</v>
      </c>
      <c r="F123" s="234"/>
      <c r="G123" s="235"/>
      <c r="H123" s="246"/>
      <c r="I123" s="246"/>
      <c r="J123" s="235"/>
      <c r="K123" s="235"/>
      <c r="L123" s="235"/>
    </row>
    <row r="124" spans="1:23">
      <c r="A124" s="247" t="s">
        <v>123</v>
      </c>
      <c r="B124" s="247" t="s">
        <v>203</v>
      </c>
      <c r="C124" s="248">
        <f>'Price Out Rates'!M109</f>
        <v>8.67</v>
      </c>
      <c r="D124" s="248">
        <f>'Price Out Rates'!L109</f>
        <v>0.13629612859705648</v>
      </c>
      <c r="E124" s="248">
        <f t="shared" si="11"/>
        <v>8.8062961285970562</v>
      </c>
      <c r="F124" s="245"/>
      <c r="G124" s="235"/>
      <c r="H124" s="235"/>
      <c r="I124" s="235"/>
      <c r="J124" s="235"/>
      <c r="K124" s="235"/>
      <c r="L124" s="235"/>
    </row>
    <row r="125" spans="1:23">
      <c r="A125" s="235"/>
      <c r="B125" s="235"/>
      <c r="C125" s="245"/>
      <c r="D125" s="234"/>
      <c r="E125" s="245"/>
      <c r="F125" s="245"/>
      <c r="G125" s="235"/>
      <c r="H125" s="235"/>
      <c r="I125" s="235"/>
      <c r="J125" s="235"/>
      <c r="K125" s="235"/>
      <c r="L125" s="235"/>
    </row>
    <row r="126" spans="1:23">
      <c r="A126" s="235"/>
      <c r="B126" s="235"/>
      <c r="C126" s="245"/>
      <c r="D126" s="234"/>
      <c r="E126" s="245"/>
      <c r="F126" s="245"/>
      <c r="G126" s="235"/>
      <c r="H126" s="235"/>
      <c r="I126" s="235"/>
      <c r="J126" s="235"/>
      <c r="K126" s="235"/>
      <c r="L126" s="235"/>
    </row>
    <row r="127" spans="1:23">
      <c r="A127" s="231" t="s">
        <v>127</v>
      </c>
      <c r="B127" s="235"/>
      <c r="C127" s="234"/>
      <c r="D127" s="234"/>
      <c r="E127" s="245"/>
      <c r="F127" s="245"/>
      <c r="G127" s="235"/>
      <c r="H127" s="235"/>
      <c r="I127" s="246"/>
      <c r="J127" s="235"/>
      <c r="K127" s="235"/>
      <c r="L127" s="235"/>
    </row>
    <row r="128" spans="1:23">
      <c r="A128" s="247" t="str">
        <f>'Price Out Rates'!C110</f>
        <v>3 yd First Pickup/Additional</v>
      </c>
      <c r="B128" s="247" t="s">
        <v>203</v>
      </c>
      <c r="C128" s="248">
        <f>'Price Out Rates'!M110</f>
        <v>199.66</v>
      </c>
      <c r="D128" s="248">
        <f>'Price Out Rates'!L110</f>
        <v>6.1145263208541545</v>
      </c>
      <c r="E128" s="248">
        <f t="shared" ref="E128:E134" si="12">C128+D128</f>
        <v>205.77452632085416</v>
      </c>
      <c r="F128" s="234"/>
      <c r="G128" s="235"/>
      <c r="H128" s="246"/>
      <c r="I128" s="246"/>
      <c r="J128" s="235"/>
      <c r="K128" s="251"/>
      <c r="L128" s="235"/>
    </row>
    <row r="129" spans="1:12">
      <c r="A129" s="247" t="str">
        <f>'Price Out Rates'!C111</f>
        <v>4 yd First Pickup/Additional</v>
      </c>
      <c r="B129" s="247" t="s">
        <v>203</v>
      </c>
      <c r="C129" s="248">
        <f>'Price Out Rates'!M111</f>
        <v>338.12</v>
      </c>
      <c r="D129" s="248">
        <f>'Price Out Rates'!L111</f>
        <v>7.9239749246426632</v>
      </c>
      <c r="E129" s="248">
        <f t="shared" si="12"/>
        <v>346.04397492464267</v>
      </c>
      <c r="F129" s="234"/>
      <c r="G129" s="235"/>
      <c r="H129" s="246"/>
      <c r="I129" s="246"/>
      <c r="J129" s="235"/>
      <c r="K129" s="251"/>
      <c r="L129" s="235"/>
    </row>
    <row r="130" spans="1:12">
      <c r="A130" s="247" t="str">
        <f>'Price Out Rates'!C112</f>
        <v>6 yd First Pickup/Additional</v>
      </c>
      <c r="B130" s="247" t="s">
        <v>203</v>
      </c>
      <c r="C130" s="248">
        <f>'Price Out Rates'!M112</f>
        <v>435.54</v>
      </c>
      <c r="D130" s="248">
        <f>'Price Out Rates'!L112</f>
        <v>10.85669162273105</v>
      </c>
      <c r="E130" s="248">
        <f t="shared" si="12"/>
        <v>446.39669162273105</v>
      </c>
      <c r="F130" s="234"/>
      <c r="G130" s="235"/>
      <c r="H130" s="246"/>
      <c r="I130" s="246"/>
      <c r="J130" s="235"/>
      <c r="K130" s="251"/>
      <c r="L130" s="235"/>
    </row>
    <row r="131" spans="1:12">
      <c r="A131" s="235"/>
      <c r="B131" s="235"/>
      <c r="C131" s="245"/>
      <c r="D131" s="245"/>
      <c r="E131" s="245"/>
      <c r="F131" s="245"/>
      <c r="G131" s="235"/>
      <c r="H131" s="246"/>
      <c r="I131" s="246"/>
      <c r="J131" s="235"/>
      <c r="K131" s="251"/>
      <c r="L131" s="235"/>
    </row>
    <row r="132" spans="1:12">
      <c r="A132" s="247" t="str">
        <f>'Price Out Rates'!C113</f>
        <v>3 yd Special Pickup</v>
      </c>
      <c r="B132" s="247" t="s">
        <v>203</v>
      </c>
      <c r="C132" s="248">
        <f>'Price Out Rates'!M113</f>
        <v>202.75</v>
      </c>
      <c r="D132" s="248">
        <f>'Price Out Rates'!L113</f>
        <v>6.1145263208541545</v>
      </c>
      <c r="E132" s="248">
        <f t="shared" si="12"/>
        <v>208.86452632085417</v>
      </c>
      <c r="F132" s="234"/>
      <c r="G132" s="235"/>
      <c r="H132" s="246"/>
      <c r="I132" s="246"/>
      <c r="J132" s="235"/>
      <c r="K132" s="251"/>
      <c r="L132" s="235"/>
    </row>
    <row r="133" spans="1:12">
      <c r="A133" s="247" t="str">
        <f>'Price Out Rates'!C114</f>
        <v>4 yd Special Pickup</v>
      </c>
      <c r="B133" s="247" t="s">
        <v>203</v>
      </c>
      <c r="C133" s="248">
        <f>'Price Out Rates'!M114</f>
        <v>340.91</v>
      </c>
      <c r="D133" s="248">
        <f>'Price Out Rates'!L114</f>
        <v>7.9239749246426632</v>
      </c>
      <c r="E133" s="248">
        <f t="shared" si="12"/>
        <v>348.83397492464269</v>
      </c>
      <c r="F133" s="234"/>
      <c r="G133" s="235"/>
      <c r="H133" s="246"/>
      <c r="I133" s="246"/>
      <c r="J133" s="235"/>
      <c r="K133" s="251"/>
      <c r="L133" s="235"/>
    </row>
    <row r="134" spans="1:12">
      <c r="A134" s="247" t="str">
        <f>'Price Out Rates'!C115</f>
        <v>6 yd Special Pickup</v>
      </c>
      <c r="B134" s="247" t="s">
        <v>203</v>
      </c>
      <c r="C134" s="248">
        <f>'Price Out Rates'!M115</f>
        <v>438.12</v>
      </c>
      <c r="D134" s="248">
        <f>'Price Out Rates'!L115</f>
        <v>10.85669162273105</v>
      </c>
      <c r="E134" s="248">
        <f t="shared" si="12"/>
        <v>448.97669162273104</v>
      </c>
      <c r="F134" s="234"/>
      <c r="G134" s="235"/>
      <c r="H134" s="246"/>
      <c r="I134" s="246"/>
      <c r="J134" s="235"/>
      <c r="K134" s="251"/>
      <c r="L134" s="235"/>
    </row>
    <row r="135" spans="1:12">
      <c r="A135" s="235"/>
      <c r="B135" s="235"/>
      <c r="C135" s="234"/>
      <c r="D135" s="234"/>
      <c r="E135" s="245"/>
      <c r="F135" s="245"/>
      <c r="G135" s="235"/>
      <c r="H135" s="235"/>
      <c r="I135" s="235"/>
      <c r="J135" s="235"/>
      <c r="K135" s="235"/>
      <c r="L135" s="235"/>
    </row>
    <row r="136" spans="1:12">
      <c r="A136" s="235"/>
      <c r="B136" s="235" t="s">
        <v>230</v>
      </c>
      <c r="C136" s="234">
        <f>SUM(C7:C134)-C90-SUM('Price Out Rates'!M:M)</f>
        <v>18.520000000000437</v>
      </c>
      <c r="D136" s="234">
        <f>SUM(D7:D134)-D90-SUM('Price Out Rates'!L:L)</f>
        <v>1.650199193739553</v>
      </c>
      <c r="E136" s="234">
        <f>SUM(E7:E134)-E90-SUM('Price Out Rates'!N:N)</f>
        <v>20.170199193742519</v>
      </c>
      <c r="F136" s="245"/>
      <c r="G136" s="235"/>
      <c r="H136" s="235"/>
      <c r="I136" s="235"/>
      <c r="J136" s="235"/>
      <c r="K136" s="235"/>
      <c r="L136" s="235"/>
    </row>
    <row r="137" spans="1:12">
      <c r="A137" s="235"/>
      <c r="B137" s="235"/>
      <c r="C137" s="234"/>
      <c r="D137" s="234"/>
      <c r="E137" s="245"/>
      <c r="F137" s="245"/>
      <c r="G137" s="235"/>
      <c r="H137" s="235"/>
      <c r="I137" s="235"/>
      <c r="J137" s="235"/>
      <c r="K137" s="235"/>
      <c r="L137" s="235"/>
    </row>
    <row r="138" spans="1:12">
      <c r="A138" s="231"/>
      <c r="B138" s="235"/>
      <c r="C138" s="234"/>
      <c r="D138" s="234"/>
      <c r="E138" s="245"/>
      <c r="F138" s="245"/>
      <c r="G138" s="235"/>
      <c r="H138" s="235"/>
      <c r="I138" s="235"/>
      <c r="J138" s="235"/>
      <c r="K138" s="235"/>
      <c r="L138" s="235"/>
    </row>
    <row r="139" spans="1:12">
      <c r="A139" s="231"/>
      <c r="B139" s="235"/>
      <c r="C139" s="234"/>
      <c r="D139" s="234"/>
      <c r="E139" s="245"/>
      <c r="F139" s="245"/>
      <c r="G139" s="235"/>
      <c r="H139" s="235"/>
      <c r="I139" s="235"/>
      <c r="J139" s="235"/>
      <c r="K139" s="235"/>
      <c r="L139" s="235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4"/>
  <sheetViews>
    <sheetView zoomScale="80" zoomScaleNormal="80" workbookViewId="0">
      <pane xSplit="4" ySplit="1" topLeftCell="L118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/>
  <cols>
    <col min="1" max="1" width="5.44140625" style="58" bestFit="1" customWidth="1"/>
    <col min="2" max="2" width="33.109375" style="62" customWidth="1"/>
    <col min="3" max="3" width="44" style="58" customWidth="1"/>
    <col min="4" max="4" width="23.6640625" style="59" customWidth="1"/>
    <col min="5" max="5" width="13.6640625" style="58" customWidth="1"/>
    <col min="6" max="6" width="16" style="58" customWidth="1"/>
    <col min="7" max="7" width="19.33203125" style="102" customWidth="1"/>
    <col min="8" max="8" width="25.6640625" style="58" customWidth="1"/>
    <col min="9" max="9" width="21.6640625" style="57" customWidth="1"/>
    <col min="10" max="10" width="12.44140625" style="58" customWidth="1"/>
    <col min="11" max="11" width="12.109375" style="58" customWidth="1"/>
    <col min="12" max="12" width="13.6640625" style="58" customWidth="1"/>
    <col min="13" max="13" width="21.6640625" style="58" customWidth="1"/>
    <col min="14" max="14" width="26.33203125" style="58" customWidth="1"/>
    <col min="15" max="15" width="32.6640625" style="58" customWidth="1"/>
    <col min="16" max="16" width="31.33203125" style="58" bestFit="1" customWidth="1"/>
    <col min="17" max="17" width="29" style="58" bestFit="1" customWidth="1"/>
    <col min="18" max="18" width="18.109375" style="58" bestFit="1" customWidth="1"/>
    <col min="19" max="20" width="21.5546875" style="58" bestFit="1" customWidth="1"/>
    <col min="21" max="21" width="4" style="60" customWidth="1"/>
    <col min="22" max="16384" width="8.88671875" style="58"/>
  </cols>
  <sheetData>
    <row r="1" spans="1:23" ht="43.2">
      <c r="A1" s="50"/>
      <c r="B1" s="93" t="s">
        <v>16</v>
      </c>
      <c r="C1" s="77" t="s">
        <v>18</v>
      </c>
      <c r="D1" s="76" t="s">
        <v>41</v>
      </c>
      <c r="E1" s="93" t="s">
        <v>0</v>
      </c>
      <c r="F1" s="147" t="s">
        <v>1</v>
      </c>
      <c r="G1" s="98" t="s">
        <v>11</v>
      </c>
      <c r="H1" s="93" t="s">
        <v>35</v>
      </c>
      <c r="I1" s="94" t="s">
        <v>36</v>
      </c>
      <c r="J1" s="90" t="s">
        <v>10</v>
      </c>
      <c r="K1" s="76" t="s">
        <v>2</v>
      </c>
      <c r="L1" s="93" t="s">
        <v>43</v>
      </c>
      <c r="M1" s="76" t="s">
        <v>39</v>
      </c>
      <c r="N1" s="93" t="s">
        <v>37</v>
      </c>
      <c r="O1" s="93" t="s">
        <v>40</v>
      </c>
      <c r="P1" s="76" t="s">
        <v>38</v>
      </c>
      <c r="Q1" s="93" t="s">
        <v>42</v>
      </c>
      <c r="R1" s="93" t="s">
        <v>44</v>
      </c>
      <c r="S1" s="93" t="s">
        <v>46</v>
      </c>
      <c r="T1" s="93" t="s">
        <v>45</v>
      </c>
      <c r="U1" s="310"/>
      <c r="V1" s="308" t="s">
        <v>252</v>
      </c>
      <c r="W1" s="308" t="s">
        <v>253</v>
      </c>
    </row>
    <row r="2" spans="1:23" s="60" customFormat="1" ht="14.4" customHeight="1">
      <c r="A2" s="314" t="s">
        <v>14</v>
      </c>
      <c r="B2" s="117" t="s">
        <v>116</v>
      </c>
      <c r="C2" s="105" t="s">
        <v>187</v>
      </c>
      <c r="D2" s="301">
        <f>669+D66</f>
        <v>1075</v>
      </c>
      <c r="E2" s="70">
        <f>References!$B$7</f>
        <v>4.333333333333333</v>
      </c>
      <c r="F2" s="109">
        <f>D2*E2*12</f>
        <v>55900</v>
      </c>
      <c r="G2" s="258">
        <f>References!$B$13</f>
        <v>20</v>
      </c>
      <c r="H2" s="68">
        <f>G2*F2</f>
        <v>1118000</v>
      </c>
      <c r="I2" s="47">
        <f t="shared" ref="I2:I10" si="0">$D$126*H2</f>
        <v>681994.845279234</v>
      </c>
      <c r="J2" s="72">
        <f>(References!$C$49*I2)</f>
        <v>5125.191262273449</v>
      </c>
      <c r="K2" s="72">
        <f>J2/References!$G$52</f>
        <v>5254.4507507416947</v>
      </c>
      <c r="L2" s="67">
        <f>IFERROR(K2/F2*E2,0)</f>
        <v>0.40732176362338712</v>
      </c>
      <c r="M2" s="303">
        <v>10.08</v>
      </c>
      <c r="N2" s="67">
        <f>L2+M2</f>
        <v>10.487321763623386</v>
      </c>
      <c r="O2" s="67">
        <f t="shared" ref="O2:O10" si="1">M2*D2*12</f>
        <v>130032</v>
      </c>
      <c r="P2" s="67">
        <f t="shared" ref="P2:P10" si="2">N2*D2*12</f>
        <v>135286.4507507417</v>
      </c>
      <c r="Q2" s="67">
        <f>O2-P2</f>
        <v>-5254.4507507417002</v>
      </c>
      <c r="R2" s="71">
        <f t="shared" ref="R2:R10" si="3">N2</f>
        <v>10.487321763623386</v>
      </c>
      <c r="S2" s="71">
        <f t="shared" ref="S2:S10" si="4">R2*D2*12</f>
        <v>135286.4507507417</v>
      </c>
      <c r="T2" s="71">
        <f t="shared" ref="T2:T10" si="5">S2-O2</f>
        <v>5254.4507507417002</v>
      </c>
      <c r="U2" s="67"/>
      <c r="V2" s="306">
        <f>L2/M2</f>
        <v>4.0408905121367772E-2</v>
      </c>
      <c r="W2" s="115">
        <f t="shared" ref="W2:W10" si="6">N2-M2-L2</f>
        <v>-7.7715611723760958E-16</v>
      </c>
    </row>
    <row r="3" spans="1:23" s="60" customFormat="1">
      <c r="A3" s="315"/>
      <c r="B3" s="118" t="s">
        <v>116</v>
      </c>
      <c r="C3" s="106" t="s">
        <v>99</v>
      </c>
      <c r="D3" s="301">
        <f>2345+D67</f>
        <v>3781</v>
      </c>
      <c r="E3" s="69">
        <f>References!$B$7</f>
        <v>4.333333333333333</v>
      </c>
      <c r="F3" s="109">
        <f>D3*E3*12</f>
        <v>196612</v>
      </c>
      <c r="G3" s="258">
        <f>References!B14</f>
        <v>34</v>
      </c>
      <c r="H3" s="68">
        <f t="shared" ref="H3:H10" si="7">G3*F3</f>
        <v>6684808</v>
      </c>
      <c r="I3" s="47">
        <f t="shared" si="0"/>
        <v>4077821.6437221696</v>
      </c>
      <c r="J3" s="67">
        <f>(References!$C$49*I3)</f>
        <v>30644.829652572134</v>
      </c>
      <c r="K3" s="67">
        <f>J3/References!$G$52</f>
        <v>31417.705200504544</v>
      </c>
      <c r="L3" s="67">
        <f t="shared" ref="L3:L10" si="8">IFERROR(K3/F3*E3,0)</f>
        <v>0.69244699815975808</v>
      </c>
      <c r="M3" s="303">
        <v>16.27</v>
      </c>
      <c r="N3" s="67">
        <f t="shared" ref="N3:N9" si="9">L3+M3</f>
        <v>16.962446998159759</v>
      </c>
      <c r="O3" s="67">
        <f t="shared" si="1"/>
        <v>738202.44</v>
      </c>
      <c r="P3" s="67">
        <f t="shared" si="2"/>
        <v>769620.14520050457</v>
      </c>
      <c r="Q3" s="67">
        <f t="shared" ref="Q3:Q10" si="10">O3-P3</f>
        <v>-31417.705200504628</v>
      </c>
      <c r="R3" s="71">
        <f t="shared" si="3"/>
        <v>16.962446998159759</v>
      </c>
      <c r="S3" s="71">
        <f t="shared" si="4"/>
        <v>769620.14520050457</v>
      </c>
      <c r="T3" s="71">
        <f t="shared" si="5"/>
        <v>31417.705200504628</v>
      </c>
      <c r="U3" s="67"/>
      <c r="V3" s="306">
        <f t="shared" ref="V3:V10" si="11">L3/M3</f>
        <v>4.2559741743070569E-2</v>
      </c>
      <c r="W3" s="115">
        <f t="shared" si="6"/>
        <v>1.5543122344752192E-15</v>
      </c>
    </row>
    <row r="4" spans="1:23" s="60" customFormat="1">
      <c r="A4" s="315"/>
      <c r="B4" s="118" t="s">
        <v>116</v>
      </c>
      <c r="C4" s="106" t="s">
        <v>100</v>
      </c>
      <c r="D4" s="301">
        <f>24+D68</f>
        <v>102</v>
      </c>
      <c r="E4" s="69">
        <f>References!$B$7</f>
        <v>4.333333333333333</v>
      </c>
      <c r="F4" s="109">
        <f t="shared" ref="F4:F10" si="12">D4*E4*12</f>
        <v>5303.9999999999991</v>
      </c>
      <c r="G4" s="258">
        <f>References!B15</f>
        <v>51</v>
      </c>
      <c r="H4" s="68">
        <f>G4*F4</f>
        <v>270503.99999999994</v>
      </c>
      <c r="I4" s="47">
        <f t="shared" si="0"/>
        <v>165011.03186709649</v>
      </c>
      <c r="J4" s="67">
        <f>(References!$C$49*I4)</f>
        <v>1240.0579044812314</v>
      </c>
      <c r="K4" s="67">
        <f>J4/References!$G$52</f>
        <v>1271.3326886213158</v>
      </c>
      <c r="L4" s="67">
        <f t="shared" si="8"/>
        <v>1.0386704972396372</v>
      </c>
      <c r="M4" s="303">
        <v>27.35</v>
      </c>
      <c r="N4" s="67">
        <f>L4+M4</f>
        <v>28.388670497239637</v>
      </c>
      <c r="O4" s="67">
        <f t="shared" si="1"/>
        <v>33476.400000000001</v>
      </c>
      <c r="P4" s="67">
        <f t="shared" si="2"/>
        <v>34747.732688621312</v>
      </c>
      <c r="Q4" s="67">
        <f t="shared" si="10"/>
        <v>-1271.3326886213108</v>
      </c>
      <c r="R4" s="71">
        <f t="shared" si="3"/>
        <v>28.388670497239637</v>
      </c>
      <c r="S4" s="71">
        <f t="shared" si="4"/>
        <v>34747.732688621312</v>
      </c>
      <c r="T4" s="71">
        <f t="shared" si="5"/>
        <v>1271.3326886213108</v>
      </c>
      <c r="U4" s="67"/>
      <c r="V4" s="306">
        <f t="shared" si="11"/>
        <v>3.7976983445690574E-2</v>
      </c>
      <c r="W4" s="115">
        <f t="shared" si="6"/>
        <v>0</v>
      </c>
    </row>
    <row r="5" spans="1:23" s="60" customFormat="1">
      <c r="A5" s="315"/>
      <c r="B5" s="118" t="s">
        <v>116</v>
      </c>
      <c r="C5" s="106" t="s">
        <v>101</v>
      </c>
      <c r="D5" s="301">
        <f>2+D69</f>
        <v>3</v>
      </c>
      <c r="E5" s="69">
        <f>References!$B$7</f>
        <v>4.333333333333333</v>
      </c>
      <c r="F5" s="109">
        <f t="shared" si="12"/>
        <v>156</v>
      </c>
      <c r="G5" s="258">
        <f>References!B16</f>
        <v>77</v>
      </c>
      <c r="H5" s="68">
        <f t="shared" si="7"/>
        <v>12012</v>
      </c>
      <c r="I5" s="47">
        <f t="shared" si="0"/>
        <v>7327.4795004420021</v>
      </c>
      <c r="J5" s="67">
        <f>(References!$C$49*I5)</f>
        <v>55.066008445821701</v>
      </c>
      <c r="K5" s="67">
        <f>J5/References!$G$52</f>
        <v>56.454796438201456</v>
      </c>
      <c r="L5" s="67">
        <f t="shared" si="8"/>
        <v>1.5681887899500404</v>
      </c>
      <c r="M5" s="303">
        <v>40.119999999999997</v>
      </c>
      <c r="N5" s="67">
        <f t="shared" si="9"/>
        <v>41.68818878995004</v>
      </c>
      <c r="O5" s="67">
        <f t="shared" si="1"/>
        <v>1444.3199999999997</v>
      </c>
      <c r="P5" s="67">
        <f t="shared" si="2"/>
        <v>1500.7747964382015</v>
      </c>
      <c r="Q5" s="67">
        <f t="shared" si="10"/>
        <v>-56.454796438201811</v>
      </c>
      <c r="R5" s="71">
        <f t="shared" si="3"/>
        <v>41.68818878995004</v>
      </c>
      <c r="S5" s="71">
        <f t="shared" si="4"/>
        <v>1500.7747964382015</v>
      </c>
      <c r="T5" s="71">
        <f t="shared" si="5"/>
        <v>56.454796438201811</v>
      </c>
      <c r="U5" s="67"/>
      <c r="V5" s="306">
        <f t="shared" si="11"/>
        <v>3.908745737662115E-2</v>
      </c>
      <c r="W5" s="115">
        <f t="shared" si="6"/>
        <v>1.9984014443252818E-15</v>
      </c>
    </row>
    <row r="6" spans="1:23" s="60" customFormat="1">
      <c r="A6" s="315"/>
      <c r="B6" s="118" t="s">
        <v>116</v>
      </c>
      <c r="C6" s="106" t="s">
        <v>102</v>
      </c>
      <c r="D6" s="301">
        <f>0+D70</f>
        <v>2</v>
      </c>
      <c r="E6" s="69">
        <f>References!$B$7</f>
        <v>4.333333333333333</v>
      </c>
      <c r="F6" s="109">
        <f t="shared" ref="F6" si="13">D6*E6*12</f>
        <v>104</v>
      </c>
      <c r="G6" s="258">
        <f>References!B17</f>
        <v>97</v>
      </c>
      <c r="H6" s="68">
        <f t="shared" ref="H6" si="14">G6*F6</f>
        <v>10088</v>
      </c>
      <c r="I6" s="47">
        <f t="shared" si="0"/>
        <v>6153.813952752158</v>
      </c>
      <c r="J6" s="67">
        <f>(References!$C$49*I6)</f>
        <v>46.245911854932515</v>
      </c>
      <c r="K6" s="67">
        <f>J6/References!$G$52</f>
        <v>47.412253285762262</v>
      </c>
      <c r="L6" s="67">
        <f t="shared" si="8"/>
        <v>1.9755105535734274</v>
      </c>
      <c r="M6" s="303">
        <v>53.56</v>
      </c>
      <c r="N6" s="67">
        <f t="shared" ref="N6" si="15">L6+M6</f>
        <v>55.535510553573431</v>
      </c>
      <c r="O6" s="67">
        <f t="shared" si="1"/>
        <v>1285.44</v>
      </c>
      <c r="P6" s="67">
        <f t="shared" si="2"/>
        <v>1332.8522532857623</v>
      </c>
      <c r="Q6" s="67">
        <f t="shared" si="10"/>
        <v>-47.41225328576229</v>
      </c>
      <c r="R6" s="71">
        <f t="shared" si="3"/>
        <v>55.535510553573431</v>
      </c>
      <c r="S6" s="71">
        <f t="shared" si="4"/>
        <v>1332.8522532857623</v>
      </c>
      <c r="T6" s="71">
        <f t="shared" si="5"/>
        <v>47.41225328576229</v>
      </c>
      <c r="U6" s="67"/>
      <c r="V6" s="306">
        <f t="shared" si="11"/>
        <v>3.688406560069879E-2</v>
      </c>
      <c r="W6" s="115">
        <f t="shared" si="6"/>
        <v>0</v>
      </c>
    </row>
    <row r="7" spans="1:23" s="60" customFormat="1">
      <c r="A7" s="315"/>
      <c r="B7" s="118" t="s">
        <v>116</v>
      </c>
      <c r="C7" s="106" t="s">
        <v>97</v>
      </c>
      <c r="D7" s="301">
        <f>16+D71</f>
        <v>47</v>
      </c>
      <c r="E7" s="69">
        <f>References!B9</f>
        <v>1</v>
      </c>
      <c r="F7" s="109">
        <f t="shared" si="12"/>
        <v>564</v>
      </c>
      <c r="G7" s="258">
        <f>References!$B$14</f>
        <v>34</v>
      </c>
      <c r="H7" s="68">
        <f t="shared" si="7"/>
        <v>19176</v>
      </c>
      <c r="I7" s="47">
        <f t="shared" si="0"/>
        <v>11697.614627079241</v>
      </c>
      <c r="J7" s="67">
        <f>(References!$C$49*I7)</f>
        <v>87.907573922500589</v>
      </c>
      <c r="K7" s="67">
        <f>J7/References!$G$52</f>
        <v>90.124640068177754</v>
      </c>
      <c r="L7" s="67">
        <f t="shared" si="8"/>
        <v>0.15979546111379034</v>
      </c>
      <c r="M7" s="303">
        <v>5.63</v>
      </c>
      <c r="N7" s="67">
        <f t="shared" si="9"/>
        <v>5.7897954611137905</v>
      </c>
      <c r="O7" s="67">
        <f t="shared" si="1"/>
        <v>3175.32</v>
      </c>
      <c r="P7" s="67">
        <f t="shared" si="2"/>
        <v>3265.4446400681782</v>
      </c>
      <c r="Q7" s="67">
        <f t="shared" si="10"/>
        <v>-90.124640068177996</v>
      </c>
      <c r="R7" s="71">
        <f t="shared" si="3"/>
        <v>5.7897954611137905</v>
      </c>
      <c r="S7" s="71">
        <f t="shared" si="4"/>
        <v>3265.4446400681782</v>
      </c>
      <c r="T7" s="71">
        <f t="shared" si="5"/>
        <v>90.124640068177996</v>
      </c>
      <c r="U7" s="67"/>
      <c r="V7" s="306">
        <f t="shared" si="11"/>
        <v>2.8382852773319776E-2</v>
      </c>
      <c r="W7" s="115">
        <f t="shared" si="6"/>
        <v>2.7755575615628914E-16</v>
      </c>
    </row>
    <row r="8" spans="1:23" s="60" customFormat="1">
      <c r="A8" s="315"/>
      <c r="B8" s="118" t="s">
        <v>116</v>
      </c>
      <c r="C8" s="106" t="s">
        <v>103</v>
      </c>
      <c r="D8" s="301">
        <f>828+D72</f>
        <v>1214</v>
      </c>
      <c r="E8" s="69">
        <f>References!$B$7</f>
        <v>4.333333333333333</v>
      </c>
      <c r="F8" s="109">
        <f t="shared" si="12"/>
        <v>63127.999999999993</v>
      </c>
      <c r="G8" s="258">
        <f>References!$B$14</f>
        <v>34</v>
      </c>
      <c r="H8" s="68">
        <f t="shared" si="7"/>
        <v>2146351.9999999995</v>
      </c>
      <c r="I8" s="47">
        <f t="shared" si="0"/>
        <v>1309303.2201742167</v>
      </c>
      <c r="J8" s="67">
        <f>(References!$C$49*I8)</f>
        <v>9839.4136996092493</v>
      </c>
      <c r="K8" s="67">
        <f>J8/References!$G$52</f>
        <v>10087.567869191356</v>
      </c>
      <c r="L8" s="67">
        <f t="shared" si="8"/>
        <v>0.69244699815975819</v>
      </c>
      <c r="M8" s="303">
        <v>16.27</v>
      </c>
      <c r="N8" s="67">
        <f t="shared" si="9"/>
        <v>16.962446998159759</v>
      </c>
      <c r="O8" s="67">
        <f t="shared" si="1"/>
        <v>237021.36</v>
      </c>
      <c r="P8" s="67">
        <f t="shared" si="2"/>
        <v>247108.92786919136</v>
      </c>
      <c r="Q8" s="67">
        <f t="shared" si="10"/>
        <v>-10087.567869191378</v>
      </c>
      <c r="R8" s="71">
        <f t="shared" si="3"/>
        <v>16.962446998159759</v>
      </c>
      <c r="S8" s="71">
        <f t="shared" si="4"/>
        <v>247108.92786919136</v>
      </c>
      <c r="T8" s="71">
        <f t="shared" si="5"/>
        <v>10087.567869191378</v>
      </c>
      <c r="U8" s="67"/>
      <c r="V8" s="306">
        <f t="shared" si="11"/>
        <v>4.2559741743070569E-2</v>
      </c>
      <c r="W8" s="115">
        <f t="shared" si="6"/>
        <v>1.4432899320127035E-15</v>
      </c>
    </row>
    <row r="9" spans="1:23" s="60" customFormat="1">
      <c r="A9" s="315"/>
      <c r="B9" s="118" t="s">
        <v>116</v>
      </c>
      <c r="C9" s="106" t="s">
        <v>130</v>
      </c>
      <c r="D9" s="301">
        <f>2802+D73</f>
        <v>3655</v>
      </c>
      <c r="E9" s="69">
        <f>References!$B$7</f>
        <v>4.333333333333333</v>
      </c>
      <c r="F9" s="109">
        <f t="shared" si="12"/>
        <v>190060</v>
      </c>
      <c r="G9" s="258">
        <f>References!B21</f>
        <v>47</v>
      </c>
      <c r="H9" s="68">
        <f t="shared" si="7"/>
        <v>8932820</v>
      </c>
      <c r="I9" s="47">
        <f t="shared" si="0"/>
        <v>5449138.8137810798</v>
      </c>
      <c r="J9" s="67">
        <f>(References!$C$49*I9)</f>
        <v>40950.278185564857</v>
      </c>
      <c r="K9" s="67">
        <f>J9/References!$G$52</f>
        <v>41983.061498426141</v>
      </c>
      <c r="L9" s="67">
        <f t="shared" si="8"/>
        <v>0.95720614451495989</v>
      </c>
      <c r="M9" s="303">
        <v>27.26</v>
      </c>
      <c r="N9" s="67">
        <f t="shared" si="9"/>
        <v>28.217206144514961</v>
      </c>
      <c r="O9" s="67">
        <f t="shared" si="1"/>
        <v>1195623.6000000001</v>
      </c>
      <c r="P9" s="67">
        <f t="shared" si="2"/>
        <v>1237606.6614984262</v>
      </c>
      <c r="Q9" s="67">
        <f t="shared" si="10"/>
        <v>-41983.061498426134</v>
      </c>
      <c r="R9" s="71">
        <f t="shared" si="3"/>
        <v>28.217206144514961</v>
      </c>
      <c r="S9" s="71">
        <f t="shared" si="4"/>
        <v>1237606.6614984262</v>
      </c>
      <c r="T9" s="71">
        <f t="shared" si="5"/>
        <v>41983.061498426134</v>
      </c>
      <c r="U9" s="67"/>
      <c r="V9" s="306">
        <f t="shared" si="11"/>
        <v>3.5113945139947172E-2</v>
      </c>
      <c r="W9" s="115">
        <f t="shared" si="6"/>
        <v>0</v>
      </c>
    </row>
    <row r="10" spans="1:23" s="60" customFormat="1">
      <c r="A10" s="315"/>
      <c r="B10" s="118" t="s">
        <v>116</v>
      </c>
      <c r="C10" s="106" t="s">
        <v>128</v>
      </c>
      <c r="D10" s="301">
        <f>1128+D74</f>
        <v>1301</v>
      </c>
      <c r="E10" s="69">
        <f>References!$B$7</f>
        <v>4.333333333333333</v>
      </c>
      <c r="F10" s="109">
        <f t="shared" si="12"/>
        <v>67652</v>
      </c>
      <c r="G10" s="258">
        <f>References!B22</f>
        <v>68</v>
      </c>
      <c r="H10" s="68">
        <f t="shared" si="7"/>
        <v>4600336</v>
      </c>
      <c r="I10" s="47">
        <f t="shared" si="0"/>
        <v>2806266.0452168966</v>
      </c>
      <c r="J10" s="67">
        <f>(References!$C$49*I10)</f>
        <v>21089.089329805</v>
      </c>
      <c r="K10" s="67">
        <f>J10/References!$G$52</f>
        <v>21620.965070540289</v>
      </c>
      <c r="L10" s="67">
        <f t="shared" si="8"/>
        <v>1.3848939963195162</v>
      </c>
      <c r="M10" s="303">
        <v>39.46</v>
      </c>
      <c r="N10" s="67">
        <f>L10+M10</f>
        <v>40.84489399631952</v>
      </c>
      <c r="O10" s="67">
        <f t="shared" si="1"/>
        <v>616049.52</v>
      </c>
      <c r="P10" s="67">
        <f t="shared" si="2"/>
        <v>637670.48507054034</v>
      </c>
      <c r="Q10" s="67">
        <f t="shared" si="10"/>
        <v>-21620.965070540318</v>
      </c>
      <c r="R10" s="71">
        <f t="shared" si="3"/>
        <v>40.84489399631952</v>
      </c>
      <c r="S10" s="71">
        <f t="shared" si="4"/>
        <v>637670.48507054034</v>
      </c>
      <c r="T10" s="71">
        <f t="shared" si="5"/>
        <v>21620.965070540318</v>
      </c>
      <c r="U10" s="67"/>
      <c r="V10" s="306">
        <f t="shared" si="11"/>
        <v>3.5096147904701371E-2</v>
      </c>
      <c r="W10" s="115">
        <f t="shared" si="6"/>
        <v>3.1086244689504383E-15</v>
      </c>
    </row>
    <row r="11" spans="1:23" s="60" customFormat="1">
      <c r="A11" s="315"/>
      <c r="B11" s="96"/>
      <c r="C11" s="106"/>
      <c r="D11" s="108"/>
      <c r="E11" s="69"/>
      <c r="F11" s="112"/>
      <c r="G11" s="110"/>
      <c r="H11" s="68"/>
      <c r="I11" s="47"/>
      <c r="J11" s="67"/>
      <c r="K11" s="67"/>
      <c r="L11" s="67"/>
      <c r="M11" s="111"/>
      <c r="N11" s="67"/>
      <c r="O11" s="67"/>
      <c r="P11" s="67"/>
      <c r="Q11" s="67"/>
      <c r="R11" s="71"/>
      <c r="S11" s="71"/>
      <c r="T11" s="71"/>
      <c r="U11" s="67"/>
    </row>
    <row r="12" spans="1:23" s="60" customFormat="1">
      <c r="A12" s="315"/>
      <c r="B12" s="96"/>
      <c r="C12" s="106"/>
      <c r="D12" s="108"/>
      <c r="E12" s="69"/>
      <c r="F12" s="68"/>
      <c r="G12" s="110"/>
      <c r="H12" s="68"/>
      <c r="I12" s="47"/>
      <c r="J12" s="67"/>
      <c r="K12" s="67"/>
      <c r="L12" s="67"/>
      <c r="M12" s="111"/>
      <c r="N12" s="67"/>
      <c r="O12" s="67"/>
      <c r="P12" s="67"/>
      <c r="Q12" s="67"/>
      <c r="R12" s="71"/>
      <c r="S12" s="71"/>
      <c r="T12" s="71"/>
      <c r="U12" s="67"/>
    </row>
    <row r="13" spans="1:23" s="60" customFormat="1">
      <c r="A13" s="51"/>
      <c r="B13" s="78"/>
      <c r="C13" s="52" t="s">
        <v>17</v>
      </c>
      <c r="D13" s="53">
        <f>SUM(D2:D12)</f>
        <v>11180</v>
      </c>
      <c r="E13" s="54"/>
      <c r="F13" s="53">
        <f>SUM(F2:F12)</f>
        <v>579480</v>
      </c>
      <c r="G13" s="99"/>
      <c r="H13" s="53">
        <f>SUM(H2:H12)</f>
        <v>23794096</v>
      </c>
      <c r="I13" s="53">
        <f>SUM(I2:I12)</f>
        <v>14514714.508120965</v>
      </c>
      <c r="J13" s="74"/>
      <c r="K13" s="74"/>
      <c r="L13" s="74"/>
      <c r="M13" s="74"/>
      <c r="N13" s="74"/>
      <c r="O13" s="53">
        <f>SUM(O2:O12)</f>
        <v>2956310.4</v>
      </c>
      <c r="P13" s="116">
        <f>SUM(P2:P12)</f>
        <v>3068139.4747678181</v>
      </c>
      <c r="Q13" s="116">
        <f>SUM(Q2:Q12)</f>
        <v>-111829.07476781761</v>
      </c>
      <c r="R13" s="116"/>
      <c r="S13" s="116">
        <f>SUM(S2:S12)</f>
        <v>3068139.4747678181</v>
      </c>
      <c r="T13" s="116">
        <f>SUM(T2:T12)</f>
        <v>111829.07476781761</v>
      </c>
      <c r="U13" s="311"/>
    </row>
    <row r="14" spans="1:23">
      <c r="J14" s="56"/>
      <c r="P14" s="61"/>
      <c r="T14" s="30"/>
      <c r="U14" s="307"/>
    </row>
    <row r="15" spans="1:23" s="60" customFormat="1" ht="28.8">
      <c r="A15" s="151"/>
      <c r="B15" s="152"/>
      <c r="C15" s="153"/>
      <c r="D15" s="159" t="s">
        <v>186</v>
      </c>
      <c r="E15" s="158" t="s">
        <v>193</v>
      </c>
      <c r="F15" s="147" t="s">
        <v>1</v>
      </c>
      <c r="G15" s="155"/>
      <c r="H15" s="154"/>
      <c r="I15" s="154"/>
      <c r="J15" s="156"/>
      <c r="K15" s="156"/>
      <c r="L15" s="156"/>
      <c r="M15" s="156"/>
      <c r="N15" s="156"/>
      <c r="O15" s="154"/>
      <c r="P15" s="157"/>
      <c r="Q15" s="157"/>
      <c r="R15" s="157"/>
      <c r="S15" s="157"/>
      <c r="T15" s="157"/>
      <c r="U15" s="311"/>
    </row>
    <row r="16" spans="1:23" s="60" customFormat="1" ht="14.4" customHeight="1">
      <c r="A16" s="314" t="s">
        <v>15</v>
      </c>
      <c r="B16" s="107" t="s">
        <v>107</v>
      </c>
      <c r="C16" s="113" t="s">
        <v>208</v>
      </c>
      <c r="D16" s="302">
        <v>394.33</v>
      </c>
      <c r="E16" s="69">
        <v>12</v>
      </c>
      <c r="F16" s="109">
        <f>D16*E16</f>
        <v>4731.96</v>
      </c>
      <c r="G16" s="258">
        <f>References!B26</f>
        <v>29</v>
      </c>
      <c r="H16" s="68">
        <f t="shared" ref="H16:H36" si="16">G16*F16</f>
        <v>137226.84</v>
      </c>
      <c r="I16" s="47">
        <f t="shared" ref="I16:I36" si="17">$D$126*H16</f>
        <v>83710.194556313232</v>
      </c>
      <c r="J16" s="67">
        <f>(References!$C$49*I16)</f>
        <v>629.08211209069464</v>
      </c>
      <c r="K16" s="67">
        <f>J16/References!$G$52</f>
        <v>644.9478286761273</v>
      </c>
      <c r="L16" s="67">
        <f>IFERROR(K16/F16,0)</f>
        <v>0.13629612859705645</v>
      </c>
      <c r="M16" s="269">
        <v>4.8</v>
      </c>
      <c r="N16" s="67">
        <f>L16+M16</f>
        <v>4.9362961285970561</v>
      </c>
      <c r="O16" s="67">
        <f t="shared" ref="O16:O35" si="18">M16*F16</f>
        <v>22713.407999999999</v>
      </c>
      <c r="P16" s="67">
        <f t="shared" ref="P16:P35" si="19">N16*F16</f>
        <v>23358.355828676125</v>
      </c>
      <c r="Q16" s="67">
        <f t="shared" ref="Q16:Q35" si="20">O16-P16</f>
        <v>-644.94782867612594</v>
      </c>
      <c r="R16" s="71">
        <f t="shared" ref="R16:R35" si="21">N16</f>
        <v>4.9362961285970561</v>
      </c>
      <c r="S16" s="71">
        <f t="shared" ref="S16:S35" si="22">R16*F16</f>
        <v>23358.355828676125</v>
      </c>
      <c r="T16" s="71">
        <f t="shared" ref="T16:T35" si="23">S16-O16</f>
        <v>644.94782867612594</v>
      </c>
      <c r="U16" s="67"/>
      <c r="V16" s="306">
        <f t="shared" ref="V16:V36" si="24">L16/M16</f>
        <v>2.8395026791053428E-2</v>
      </c>
      <c r="W16" s="115">
        <f t="shared" ref="W16:W36" si="25">N16-M16-L16</f>
        <v>0</v>
      </c>
    </row>
    <row r="17" spans="1:23" s="60" customFormat="1">
      <c r="A17" s="315"/>
      <c r="B17" s="107" t="s">
        <v>107</v>
      </c>
      <c r="C17" s="113" t="s">
        <v>226</v>
      </c>
      <c r="D17" s="302">
        <v>34.659999999999997</v>
      </c>
      <c r="E17" s="69">
        <v>12</v>
      </c>
      <c r="F17" s="109">
        <f t="shared" ref="F17:F36" si="26">D17*E17</f>
        <v>415.91999999999996</v>
      </c>
      <c r="G17" s="258">
        <f>References!B21</f>
        <v>47</v>
      </c>
      <c r="H17" s="68">
        <f t="shared" si="16"/>
        <v>19548.239999999998</v>
      </c>
      <c r="I17" s="47">
        <f t="shared" si="17"/>
        <v>11924.68596984019</v>
      </c>
      <c r="J17" s="67">
        <f>(References!$C$49*I17)</f>
        <v>89.614015063349115</v>
      </c>
      <c r="K17" s="67">
        <f>J17/References!$G$52</f>
        <v>91.874118375383546</v>
      </c>
      <c r="L17" s="67">
        <f t="shared" ref="L17:L35" si="27">IFERROR(K17/F17,0)</f>
        <v>0.22089372565729842</v>
      </c>
      <c r="M17" s="269">
        <v>8.18</v>
      </c>
      <c r="N17" s="67">
        <f t="shared" ref="N17" si="28">L17+M17</f>
        <v>8.4008937256572978</v>
      </c>
      <c r="O17" s="67">
        <f t="shared" si="18"/>
        <v>3402.2255999999998</v>
      </c>
      <c r="P17" s="67">
        <f t="shared" si="19"/>
        <v>3494.099718375383</v>
      </c>
      <c r="Q17" s="67">
        <f t="shared" si="20"/>
        <v>-91.874118375383205</v>
      </c>
      <c r="R17" s="71">
        <f t="shared" si="21"/>
        <v>8.4008937256572978</v>
      </c>
      <c r="S17" s="71">
        <f t="shared" si="22"/>
        <v>3494.099718375383</v>
      </c>
      <c r="T17" s="71">
        <f t="shared" si="23"/>
        <v>91.874118375383205</v>
      </c>
      <c r="U17" s="67"/>
      <c r="V17" s="306">
        <f t="shared" si="24"/>
        <v>2.7004122940990027E-2</v>
      </c>
      <c r="W17" s="115">
        <f t="shared" si="25"/>
        <v>-3.8857805861880479E-16</v>
      </c>
    </row>
    <row r="18" spans="1:23" s="60" customFormat="1">
      <c r="A18" s="315"/>
      <c r="B18" s="107" t="s">
        <v>107</v>
      </c>
      <c r="C18" s="113" t="s">
        <v>209</v>
      </c>
      <c r="D18" s="302">
        <v>229.66</v>
      </c>
      <c r="E18" s="69">
        <v>12</v>
      </c>
      <c r="F18" s="109">
        <f t="shared" si="26"/>
        <v>2755.92</v>
      </c>
      <c r="G18" s="258">
        <f>References!B22</f>
        <v>68</v>
      </c>
      <c r="H18" s="68">
        <f t="shared" si="16"/>
        <v>187402.56</v>
      </c>
      <c r="I18" s="47">
        <f t="shared" si="17"/>
        <v>114318.05001085185</v>
      </c>
      <c r="J18" s="67">
        <f>(References!$C$49*I18)</f>
        <v>859.10014583155248</v>
      </c>
      <c r="K18" s="67">
        <f>J18/References!$G$52</f>
        <v>880.76701438543409</v>
      </c>
      <c r="L18" s="67">
        <f t="shared" si="27"/>
        <v>0.31959092222758068</v>
      </c>
      <c r="M18" s="269">
        <v>10.83</v>
      </c>
      <c r="N18" s="67">
        <f t="shared" ref="N18:N36" si="29">L18+M18</f>
        <v>11.149590922227581</v>
      </c>
      <c r="O18" s="67">
        <f t="shared" si="18"/>
        <v>29846.613600000001</v>
      </c>
      <c r="P18" s="67">
        <f t="shared" si="19"/>
        <v>30727.380614385438</v>
      </c>
      <c r="Q18" s="67">
        <f t="shared" si="20"/>
        <v>-880.76701438543751</v>
      </c>
      <c r="R18" s="71">
        <f t="shared" si="21"/>
        <v>11.149590922227581</v>
      </c>
      <c r="S18" s="71">
        <f t="shared" si="22"/>
        <v>30727.380614385438</v>
      </c>
      <c r="T18" s="71">
        <f t="shared" si="23"/>
        <v>880.76701438543751</v>
      </c>
      <c r="U18" s="67"/>
      <c r="V18" s="306">
        <f t="shared" si="24"/>
        <v>2.9509780445759987E-2</v>
      </c>
      <c r="W18" s="115">
        <f t="shared" si="25"/>
        <v>5.5511151231257827E-16</v>
      </c>
    </row>
    <row r="19" spans="1:23" s="60" customFormat="1">
      <c r="A19" s="315"/>
      <c r="B19" s="107" t="s">
        <v>107</v>
      </c>
      <c r="C19" s="113" t="s">
        <v>216</v>
      </c>
      <c r="D19" s="302">
        <v>121.33</v>
      </c>
      <c r="E19" s="69">
        <v>12</v>
      </c>
      <c r="F19" s="109">
        <f t="shared" si="26"/>
        <v>1455.96</v>
      </c>
      <c r="G19" s="258">
        <f>References!$B$27</f>
        <v>175</v>
      </c>
      <c r="H19" s="68">
        <f t="shared" si="16"/>
        <v>254793</v>
      </c>
      <c r="I19" s="47">
        <f t="shared" si="17"/>
        <v>155427.11324976018</v>
      </c>
      <c r="J19" s="67">
        <f>(References!$C$49*I19)</f>
        <v>1168.034756071949</v>
      </c>
      <c r="K19" s="67">
        <f>J19/References!$G$52</f>
        <v>1197.493085987235</v>
      </c>
      <c r="L19" s="67">
        <f t="shared" si="27"/>
        <v>0.82247663808568572</v>
      </c>
      <c r="M19" s="269">
        <v>22.16</v>
      </c>
      <c r="N19" s="67">
        <f t="shared" si="29"/>
        <v>22.982476638085686</v>
      </c>
      <c r="O19" s="67">
        <f t="shared" si="18"/>
        <v>32264.0736</v>
      </c>
      <c r="P19" s="67">
        <f t="shared" si="19"/>
        <v>33461.566685987236</v>
      </c>
      <c r="Q19" s="67">
        <f t="shared" si="20"/>
        <v>-1197.4930859872366</v>
      </c>
      <c r="R19" s="71">
        <f t="shared" si="21"/>
        <v>22.982476638085686</v>
      </c>
      <c r="S19" s="71">
        <f t="shared" si="22"/>
        <v>33461.566685987236</v>
      </c>
      <c r="T19" s="71">
        <f t="shared" si="23"/>
        <v>1197.4930859872366</v>
      </c>
      <c r="U19" s="67"/>
      <c r="V19" s="306">
        <f t="shared" si="24"/>
        <v>3.7115371754769214E-2</v>
      </c>
      <c r="W19" s="115">
        <f t="shared" si="25"/>
        <v>0</v>
      </c>
    </row>
    <row r="20" spans="1:23" s="60" customFormat="1">
      <c r="A20" s="315"/>
      <c r="B20" s="107" t="s">
        <v>107</v>
      </c>
      <c r="C20" s="113" t="s">
        <v>210</v>
      </c>
      <c r="D20" s="302">
        <v>47.66</v>
      </c>
      <c r="E20" s="69">
        <v>12</v>
      </c>
      <c r="F20" s="109">
        <f t="shared" ref="F20:F26" si="30">D20*E20</f>
        <v>571.91999999999996</v>
      </c>
      <c r="G20" s="258">
        <f>((References!$B$28-References!$B$27)/2)+References!$B$27</f>
        <v>212.5</v>
      </c>
      <c r="H20" s="68">
        <f t="shared" ref="H20:H26" si="31">G20*F20</f>
        <v>121532.99999999999</v>
      </c>
      <c r="I20" s="47">
        <f t="shared" si="17"/>
        <v>74136.743766834654</v>
      </c>
      <c r="J20" s="67">
        <f>(References!$C$49*I20)</f>
        <v>557.13762940776303</v>
      </c>
      <c r="K20" s="67">
        <f>J20/References!$G$52</f>
        <v>571.18887575124359</v>
      </c>
      <c r="L20" s="67">
        <f t="shared" ref="L20:L26" si="32">IFERROR(K20/F20,0)</f>
        <v>0.99872163196118968</v>
      </c>
      <c r="M20" s="269">
        <v>26.23</v>
      </c>
      <c r="N20" s="67">
        <f t="shared" ref="N20:N26" si="33">L20+M20</f>
        <v>27.228721631961189</v>
      </c>
      <c r="O20" s="67">
        <f t="shared" ref="O20:O25" si="34">M20*F20</f>
        <v>15001.461599999999</v>
      </c>
      <c r="P20" s="67">
        <f t="shared" ref="P20:P25" si="35">N20*F20</f>
        <v>15572.650475751243</v>
      </c>
      <c r="Q20" s="67">
        <f t="shared" ref="Q20:Q25" si="36">O20-P20</f>
        <v>-571.18887575124427</v>
      </c>
      <c r="R20" s="71">
        <f t="shared" ref="R20:R25" si="37">N20</f>
        <v>27.228721631961189</v>
      </c>
      <c r="S20" s="71">
        <f t="shared" ref="S20:S25" si="38">R20*F20</f>
        <v>15572.650475751243</v>
      </c>
      <c r="T20" s="71">
        <f t="shared" ref="T20:T25" si="39">S20-O20</f>
        <v>571.18887575124427</v>
      </c>
      <c r="U20" s="67"/>
      <c r="V20" s="306">
        <f t="shared" si="24"/>
        <v>3.8075548301989691E-2</v>
      </c>
      <c r="W20" s="115">
        <f t="shared" si="25"/>
        <v>0</v>
      </c>
    </row>
    <row r="21" spans="1:23" s="60" customFormat="1">
      <c r="A21" s="315"/>
      <c r="B21" s="107" t="s">
        <v>107</v>
      </c>
      <c r="C21" s="113" t="s">
        <v>211</v>
      </c>
      <c r="D21" s="302">
        <v>138.66</v>
      </c>
      <c r="E21" s="69">
        <v>12</v>
      </c>
      <c r="F21" s="109">
        <f t="shared" si="30"/>
        <v>1663.92</v>
      </c>
      <c r="G21" s="258">
        <f>References!$B$29</f>
        <v>324</v>
      </c>
      <c r="H21" s="68">
        <f t="shared" si="31"/>
        <v>539110.08000000007</v>
      </c>
      <c r="I21" s="47">
        <f t="shared" si="17"/>
        <v>328864.3073328046</v>
      </c>
      <c r="J21" s="67">
        <f>(References!$C$49*I21)</f>
        <v>2471.4152696060291</v>
      </c>
      <c r="K21" s="67">
        <f>J21/References!$G$52</f>
        <v>2533.7454066086007</v>
      </c>
      <c r="L21" s="67">
        <f t="shared" si="32"/>
        <v>1.5227567470843553</v>
      </c>
      <c r="M21" s="269">
        <v>40.450000000000003</v>
      </c>
      <c r="N21" s="67">
        <f t="shared" si="33"/>
        <v>41.972756747084361</v>
      </c>
      <c r="O21" s="67">
        <f t="shared" si="34"/>
        <v>67305.564000000013</v>
      </c>
      <c r="P21" s="67">
        <f t="shared" si="35"/>
        <v>69839.30940660862</v>
      </c>
      <c r="Q21" s="67">
        <f t="shared" si="36"/>
        <v>-2533.7454066086066</v>
      </c>
      <c r="R21" s="71">
        <f t="shared" si="37"/>
        <v>41.972756747084361</v>
      </c>
      <c r="S21" s="71">
        <f t="shared" si="38"/>
        <v>69839.30940660862</v>
      </c>
      <c r="T21" s="71">
        <f t="shared" si="39"/>
        <v>2533.7454066086066</v>
      </c>
      <c r="U21" s="67"/>
      <c r="V21" s="306">
        <f t="shared" si="24"/>
        <v>3.7645407838921015E-2</v>
      </c>
      <c r="W21" s="115">
        <f t="shared" si="25"/>
        <v>2.886579864025407E-15</v>
      </c>
    </row>
    <row r="22" spans="1:23" s="60" customFormat="1">
      <c r="A22" s="315"/>
      <c r="B22" s="107" t="s">
        <v>107</v>
      </c>
      <c r="C22" s="113" t="s">
        <v>212</v>
      </c>
      <c r="D22" s="302">
        <v>112.66</v>
      </c>
      <c r="E22" s="69">
        <v>12</v>
      </c>
      <c r="F22" s="109">
        <f t="shared" si="30"/>
        <v>1351.92</v>
      </c>
      <c r="G22" s="258">
        <f>References!$B$30</f>
        <v>473</v>
      </c>
      <c r="H22" s="68">
        <f t="shared" si="31"/>
        <v>639458.16</v>
      </c>
      <c r="I22" s="47">
        <f t="shared" si="17"/>
        <v>390077.96859726624</v>
      </c>
      <c r="J22" s="67">
        <f>(References!$C$49*I22)</f>
        <v>2931.4359340084588</v>
      </c>
      <c r="K22" s="67">
        <f>J22/References!$G$52</f>
        <v>3005.3679864757623</v>
      </c>
      <c r="L22" s="67">
        <f t="shared" si="32"/>
        <v>2.2230368560830245</v>
      </c>
      <c r="M22" s="269">
        <v>59.41</v>
      </c>
      <c r="N22" s="67">
        <f t="shared" si="33"/>
        <v>61.633036856083024</v>
      </c>
      <c r="O22" s="67">
        <f t="shared" si="34"/>
        <v>80317.567200000005</v>
      </c>
      <c r="P22" s="67">
        <f t="shared" si="35"/>
        <v>83322.935186475763</v>
      </c>
      <c r="Q22" s="67">
        <f t="shared" si="36"/>
        <v>-3005.3679864757578</v>
      </c>
      <c r="R22" s="71">
        <f t="shared" si="37"/>
        <v>61.633036856083024</v>
      </c>
      <c r="S22" s="71">
        <f t="shared" si="38"/>
        <v>83322.935186475763</v>
      </c>
      <c r="T22" s="71">
        <f t="shared" si="39"/>
        <v>3005.3679864757578</v>
      </c>
      <c r="U22" s="67"/>
      <c r="V22" s="306">
        <f t="shared" si="24"/>
        <v>3.7418563475560086E-2</v>
      </c>
      <c r="W22" s="115">
        <f t="shared" si="25"/>
        <v>0</v>
      </c>
    </row>
    <row r="23" spans="1:23" s="60" customFormat="1" ht="15" customHeight="1">
      <c r="A23" s="315"/>
      <c r="B23" s="107" t="s">
        <v>107</v>
      </c>
      <c r="C23" s="113" t="s">
        <v>213</v>
      </c>
      <c r="D23" s="302">
        <v>285.99</v>
      </c>
      <c r="E23" s="69">
        <v>12</v>
      </c>
      <c r="F23" s="109">
        <f t="shared" si="30"/>
        <v>3431.88</v>
      </c>
      <c r="G23" s="258">
        <f>References!$B$31</f>
        <v>613</v>
      </c>
      <c r="H23" s="68">
        <f t="shared" si="31"/>
        <v>2103742.44</v>
      </c>
      <c r="I23" s="47">
        <f t="shared" si="17"/>
        <v>1283310.8227863668</v>
      </c>
      <c r="J23" s="67">
        <f>(References!$C$49*I23)</f>
        <v>9644.0808332395573</v>
      </c>
      <c r="K23" s="67">
        <f>J23/References!$G$52</f>
        <v>9887.308625425012</v>
      </c>
      <c r="L23" s="67">
        <f t="shared" si="32"/>
        <v>2.8810181665515726</v>
      </c>
      <c r="M23" s="269">
        <v>76.19</v>
      </c>
      <c r="N23" s="67">
        <f t="shared" si="33"/>
        <v>79.071018166551568</v>
      </c>
      <c r="O23" s="67">
        <f t="shared" si="34"/>
        <v>261474.93720000001</v>
      </c>
      <c r="P23" s="67">
        <f t="shared" si="35"/>
        <v>271362.24582542502</v>
      </c>
      <c r="Q23" s="67">
        <f t="shared" si="36"/>
        <v>-9887.3086254250084</v>
      </c>
      <c r="R23" s="71">
        <f t="shared" si="37"/>
        <v>79.071018166551568</v>
      </c>
      <c r="S23" s="71">
        <f t="shared" si="38"/>
        <v>271362.24582542502</v>
      </c>
      <c r="T23" s="71">
        <f t="shared" si="39"/>
        <v>9887.3086254250084</v>
      </c>
      <c r="U23" s="67"/>
      <c r="V23" s="306">
        <f t="shared" si="24"/>
        <v>3.7813599770987957E-2</v>
      </c>
      <c r="W23" s="115">
        <f t="shared" si="25"/>
        <v>0</v>
      </c>
    </row>
    <row r="24" spans="1:23" s="60" customFormat="1">
      <c r="A24" s="315"/>
      <c r="B24" s="107" t="s">
        <v>107</v>
      </c>
      <c r="C24" s="113" t="s">
        <v>214</v>
      </c>
      <c r="D24" s="302">
        <v>73.66</v>
      </c>
      <c r="E24" s="69">
        <v>12</v>
      </c>
      <c r="F24" s="109">
        <f t="shared" si="30"/>
        <v>883.92</v>
      </c>
      <c r="G24" s="258">
        <f>References!$B$32</f>
        <v>840</v>
      </c>
      <c r="H24" s="68">
        <f t="shared" si="31"/>
        <v>742492.79999999993</v>
      </c>
      <c r="I24" s="47">
        <f t="shared" si="17"/>
        <v>452930.46713501361</v>
      </c>
      <c r="J24" s="67">
        <f>(References!$C$49*I24)</f>
        <v>3403.7724605196308</v>
      </c>
      <c r="K24" s="67">
        <f>J24/References!$G$52</f>
        <v>3489.6170396961561</v>
      </c>
      <c r="L24" s="67">
        <f t="shared" si="32"/>
        <v>3.947887862811291</v>
      </c>
      <c r="M24" s="269">
        <v>112.92</v>
      </c>
      <c r="N24" s="67">
        <f>L24+M24</f>
        <v>116.86788786281129</v>
      </c>
      <c r="O24" s="67">
        <f t="shared" si="34"/>
        <v>99812.246400000004</v>
      </c>
      <c r="P24" s="67">
        <f t="shared" si="35"/>
        <v>103301.86343969614</v>
      </c>
      <c r="Q24" s="67">
        <f t="shared" si="36"/>
        <v>-3489.6170396961388</v>
      </c>
      <c r="R24" s="71">
        <f t="shared" si="37"/>
        <v>116.86788786281129</v>
      </c>
      <c r="S24" s="71">
        <f t="shared" si="38"/>
        <v>103301.86343969614</v>
      </c>
      <c r="T24" s="71">
        <f t="shared" si="39"/>
        <v>3489.6170396961388</v>
      </c>
      <c r="U24" s="67"/>
      <c r="V24" s="306">
        <f t="shared" si="24"/>
        <v>3.4961812458477605E-2</v>
      </c>
      <c r="W24" s="115">
        <f t="shared" si="25"/>
        <v>-5.773159728050814E-15</v>
      </c>
    </row>
    <row r="25" spans="1:23" s="60" customFormat="1">
      <c r="A25" s="315"/>
      <c r="B25" s="107" t="s">
        <v>107</v>
      </c>
      <c r="C25" s="113" t="s">
        <v>215</v>
      </c>
      <c r="D25" s="302">
        <v>39</v>
      </c>
      <c r="E25" s="69">
        <v>12</v>
      </c>
      <c r="F25" s="109">
        <f t="shared" si="30"/>
        <v>468</v>
      </c>
      <c r="G25" s="258">
        <f>References!$B$33</f>
        <v>980</v>
      </c>
      <c r="H25" s="68">
        <f t="shared" si="31"/>
        <v>458640</v>
      </c>
      <c r="I25" s="47">
        <f t="shared" si="17"/>
        <v>279776.49001687649</v>
      </c>
      <c r="J25" s="67">
        <f>(References!$C$49*I25)</f>
        <v>2102.5203224768288</v>
      </c>
      <c r="K25" s="67">
        <f>J25/References!$G$52</f>
        <v>2155.5467730949649</v>
      </c>
      <c r="L25" s="67">
        <f t="shared" si="32"/>
        <v>4.6058691732798396</v>
      </c>
      <c r="M25" s="269">
        <v>145.53</v>
      </c>
      <c r="N25" s="67">
        <f t="shared" si="33"/>
        <v>150.13586917327984</v>
      </c>
      <c r="O25" s="67">
        <f t="shared" si="34"/>
        <v>68108.039999999994</v>
      </c>
      <c r="P25" s="67">
        <f t="shared" si="35"/>
        <v>70263.586773094969</v>
      </c>
      <c r="Q25" s="67">
        <f t="shared" si="36"/>
        <v>-2155.5467730949749</v>
      </c>
      <c r="R25" s="71">
        <f t="shared" si="37"/>
        <v>150.13586917327984</v>
      </c>
      <c r="S25" s="71">
        <f t="shared" si="38"/>
        <v>70263.586773094969</v>
      </c>
      <c r="T25" s="71">
        <f t="shared" si="39"/>
        <v>2155.5467730949749</v>
      </c>
      <c r="U25" s="67"/>
      <c r="V25" s="306">
        <f t="shared" si="24"/>
        <v>3.1648932682469863E-2</v>
      </c>
      <c r="W25" s="115">
        <f t="shared" si="25"/>
        <v>0</v>
      </c>
    </row>
    <row r="26" spans="1:23" s="60" customFormat="1">
      <c r="A26" s="315"/>
      <c r="B26" s="43" t="s">
        <v>107</v>
      </c>
      <c r="C26" s="113" t="s">
        <v>255</v>
      </c>
      <c r="D26" s="302">
        <v>1</v>
      </c>
      <c r="E26" s="69">
        <v>12</v>
      </c>
      <c r="F26" s="109">
        <f t="shared" si="30"/>
        <v>12</v>
      </c>
      <c r="G26" s="258">
        <f>References!B21</f>
        <v>47</v>
      </c>
      <c r="H26" s="68">
        <f t="shared" si="31"/>
        <v>564</v>
      </c>
      <c r="I26" s="47">
        <f t="shared" si="17"/>
        <v>344.04748903174237</v>
      </c>
      <c r="J26" s="67">
        <f>(References!$C$49*I26)</f>
        <v>2.5855168800735466</v>
      </c>
      <c r="K26" s="67">
        <f>J26/References!$G$52</f>
        <v>2.6507247078875809</v>
      </c>
      <c r="L26" s="67">
        <f t="shared" si="32"/>
        <v>0.2208937256572984</v>
      </c>
      <c r="M26" s="270">
        <v>11.74</v>
      </c>
      <c r="N26" s="67">
        <f t="shared" si="33"/>
        <v>11.960893725657298</v>
      </c>
      <c r="O26" s="67">
        <f t="shared" ref="O26:O28" si="40">M26*F26</f>
        <v>140.88</v>
      </c>
      <c r="P26" s="67">
        <f t="shared" ref="P26:P28" si="41">N26*F26</f>
        <v>143.53072470788757</v>
      </c>
      <c r="Q26" s="67">
        <f t="shared" ref="Q26:Q28" si="42">O26-P26</f>
        <v>-2.6507247078875764</v>
      </c>
      <c r="R26" s="71">
        <f t="shared" ref="R26:R28" si="43">N26</f>
        <v>11.960893725657298</v>
      </c>
      <c r="S26" s="71">
        <f t="shared" ref="S26:S28" si="44">R26*F26</f>
        <v>143.53072470788757</v>
      </c>
      <c r="T26" s="71">
        <f t="shared" ref="T26:T28" si="45">S26-O26</f>
        <v>2.6507247078875764</v>
      </c>
      <c r="U26" s="67"/>
      <c r="V26" s="306">
        <f t="shared" si="24"/>
        <v>1.8815479187163406E-2</v>
      </c>
      <c r="W26" s="115">
        <f t="shared" si="25"/>
        <v>-3.6082248300317588E-16</v>
      </c>
    </row>
    <row r="27" spans="1:23" s="60" customFormat="1">
      <c r="A27" s="315"/>
      <c r="B27" s="107" t="s">
        <v>107</v>
      </c>
      <c r="C27" s="113" t="s">
        <v>217</v>
      </c>
      <c r="D27" s="302">
        <v>1</v>
      </c>
      <c r="E27" s="69">
        <v>12</v>
      </c>
      <c r="F27" s="109">
        <f t="shared" si="26"/>
        <v>12</v>
      </c>
      <c r="G27" s="258">
        <f>((References!$B$28-References!$B$27)/2)+References!$B$27</f>
        <v>212.5</v>
      </c>
      <c r="H27" s="68">
        <f t="shared" si="16"/>
        <v>2550</v>
      </c>
      <c r="I27" s="47">
        <f t="shared" si="17"/>
        <v>1555.5338599839415</v>
      </c>
      <c r="J27" s="67">
        <f>(References!$C$49*I27)</f>
        <v>11.689836957779333</v>
      </c>
      <c r="K27" s="67">
        <f>J27/References!$G$52</f>
        <v>11.984659583534276</v>
      </c>
      <c r="L27" s="67">
        <f t="shared" si="27"/>
        <v>0.99872163196118968</v>
      </c>
      <c r="M27" s="269">
        <v>30.55</v>
      </c>
      <c r="N27" s="67">
        <f t="shared" si="29"/>
        <v>31.54872163196119</v>
      </c>
      <c r="O27" s="67">
        <f t="shared" si="40"/>
        <v>366.6</v>
      </c>
      <c r="P27" s="67">
        <f t="shared" si="41"/>
        <v>378.58465958353429</v>
      </c>
      <c r="Q27" s="67">
        <f t="shared" si="42"/>
        <v>-11.984659583534267</v>
      </c>
      <c r="R27" s="71">
        <f t="shared" si="43"/>
        <v>31.54872163196119</v>
      </c>
      <c r="S27" s="71">
        <f t="shared" si="44"/>
        <v>378.58465958353429</v>
      </c>
      <c r="T27" s="71">
        <f t="shared" si="45"/>
        <v>11.984659583534267</v>
      </c>
      <c r="U27" s="67"/>
      <c r="V27" s="306">
        <f t="shared" si="24"/>
        <v>3.2691379114932556E-2</v>
      </c>
      <c r="W27" s="115">
        <f t="shared" si="25"/>
        <v>0</v>
      </c>
    </row>
    <row r="28" spans="1:23" s="60" customFormat="1">
      <c r="A28" s="315"/>
      <c r="B28" s="107" t="s">
        <v>107</v>
      </c>
      <c r="C28" s="113" t="s">
        <v>192</v>
      </c>
      <c r="D28" s="302">
        <v>2</v>
      </c>
      <c r="E28" s="69">
        <v>12</v>
      </c>
      <c r="F28" s="109">
        <f t="shared" ref="F28" si="46">D28*E28</f>
        <v>24</v>
      </c>
      <c r="G28" s="258">
        <f>References!$B$29</f>
        <v>324</v>
      </c>
      <c r="H28" s="68">
        <f t="shared" ref="H28" si="47">G28*F28</f>
        <v>7776</v>
      </c>
      <c r="I28" s="47">
        <f t="shared" si="17"/>
        <v>4743.4632530333838</v>
      </c>
      <c r="J28" s="67">
        <f>(References!$C$49*I28)</f>
        <v>35.647126346545917</v>
      </c>
      <c r="K28" s="67">
        <f>J28/References!$G$52</f>
        <v>36.546161930024518</v>
      </c>
      <c r="L28" s="67">
        <f t="shared" ref="L28" si="48">IFERROR(K28/F28,0)</f>
        <v>1.5227567470843548</v>
      </c>
      <c r="M28" s="269">
        <v>45.13</v>
      </c>
      <c r="N28" s="67">
        <f>L28+M28</f>
        <v>46.652756747084361</v>
      </c>
      <c r="O28" s="67">
        <f t="shared" si="40"/>
        <v>1083.1200000000001</v>
      </c>
      <c r="P28" s="67">
        <f t="shared" si="41"/>
        <v>1119.6661619300246</v>
      </c>
      <c r="Q28" s="67">
        <f t="shared" si="42"/>
        <v>-36.546161930024482</v>
      </c>
      <c r="R28" s="71">
        <f t="shared" si="43"/>
        <v>46.652756747084361</v>
      </c>
      <c r="S28" s="71">
        <f t="shared" si="44"/>
        <v>1119.6661619300246</v>
      </c>
      <c r="T28" s="71">
        <f t="shared" si="45"/>
        <v>36.546161930024482</v>
      </c>
      <c r="U28" s="67"/>
      <c r="V28" s="306">
        <f t="shared" si="24"/>
        <v>3.3741563197082977E-2</v>
      </c>
      <c r="W28" s="115">
        <f t="shared" si="25"/>
        <v>3.3306690738754696E-15</v>
      </c>
    </row>
    <row r="29" spans="1:23" s="60" customFormat="1">
      <c r="A29" s="315"/>
      <c r="B29" s="107" t="s">
        <v>107</v>
      </c>
      <c r="C29" s="113" t="s">
        <v>188</v>
      </c>
      <c r="D29" s="302">
        <v>3</v>
      </c>
      <c r="E29" s="69">
        <v>12</v>
      </c>
      <c r="F29" s="109">
        <f t="shared" si="26"/>
        <v>36</v>
      </c>
      <c r="G29" s="258">
        <f>References!$B$30</f>
        <v>473</v>
      </c>
      <c r="H29" s="68">
        <f t="shared" si="16"/>
        <v>17028</v>
      </c>
      <c r="I29" s="47">
        <f t="shared" si="17"/>
        <v>10387.306105022179</v>
      </c>
      <c r="J29" s="67">
        <f>(References!$C$49*I29)</f>
        <v>78.06060537924175</v>
      </c>
      <c r="K29" s="67">
        <f>J29/References!$G$52</f>
        <v>80.029326818988878</v>
      </c>
      <c r="L29" s="67">
        <f t="shared" si="27"/>
        <v>2.2230368560830245</v>
      </c>
      <c r="M29" s="269">
        <v>63.38</v>
      </c>
      <c r="N29" s="67">
        <f t="shared" si="29"/>
        <v>65.603036856083023</v>
      </c>
      <c r="O29" s="67">
        <f t="shared" si="18"/>
        <v>2281.6800000000003</v>
      </c>
      <c r="P29" s="67">
        <f t="shared" si="19"/>
        <v>2361.7093268189888</v>
      </c>
      <c r="Q29" s="67">
        <f t="shared" si="20"/>
        <v>-80.029326818988466</v>
      </c>
      <c r="R29" s="71">
        <f t="shared" si="21"/>
        <v>65.603036856083023</v>
      </c>
      <c r="S29" s="71">
        <f t="shared" si="22"/>
        <v>2361.7093268189888</v>
      </c>
      <c r="T29" s="71">
        <f t="shared" si="23"/>
        <v>80.029326818988466</v>
      </c>
      <c r="U29" s="67"/>
      <c r="V29" s="306">
        <f t="shared" si="24"/>
        <v>3.5074737394809472E-2</v>
      </c>
      <c r="W29" s="115">
        <f t="shared" si="25"/>
        <v>-4.4408920985006262E-15</v>
      </c>
    </row>
    <row r="30" spans="1:23" s="60" customFormat="1">
      <c r="A30" s="315"/>
      <c r="B30" s="107" t="s">
        <v>107</v>
      </c>
      <c r="C30" s="113" t="s">
        <v>120</v>
      </c>
      <c r="D30" s="302">
        <v>2</v>
      </c>
      <c r="E30" s="69">
        <v>12</v>
      </c>
      <c r="F30" s="109">
        <f t="shared" si="26"/>
        <v>24</v>
      </c>
      <c r="G30" s="258">
        <f>References!$B$31</f>
        <v>613</v>
      </c>
      <c r="H30" s="68">
        <f t="shared" si="16"/>
        <v>14712</v>
      </c>
      <c r="I30" s="47">
        <f t="shared" si="17"/>
        <v>8974.5153521897046</v>
      </c>
      <c r="J30" s="67">
        <f>(References!$C$49*I30)</f>
        <v>67.443482871705697</v>
      </c>
      <c r="K30" s="67">
        <f>J30/References!$G$52</f>
        <v>69.14443599723775</v>
      </c>
      <c r="L30" s="67">
        <f t="shared" si="27"/>
        <v>2.8810181665515731</v>
      </c>
      <c r="M30" s="269">
        <v>82.87</v>
      </c>
      <c r="N30" s="67">
        <f t="shared" si="29"/>
        <v>85.751018166551574</v>
      </c>
      <c r="O30" s="67">
        <f t="shared" si="18"/>
        <v>1988.88</v>
      </c>
      <c r="P30" s="67">
        <f t="shared" si="19"/>
        <v>2058.0244359972376</v>
      </c>
      <c r="Q30" s="67">
        <f t="shared" si="20"/>
        <v>-69.144435997237451</v>
      </c>
      <c r="R30" s="71">
        <f t="shared" si="21"/>
        <v>85.751018166551574</v>
      </c>
      <c r="S30" s="71">
        <f t="shared" si="22"/>
        <v>2058.0244359972376</v>
      </c>
      <c r="T30" s="71">
        <f t="shared" si="23"/>
        <v>69.144435997237451</v>
      </c>
      <c r="U30" s="67"/>
      <c r="V30" s="306">
        <f t="shared" si="24"/>
        <v>3.476551425789276E-2</v>
      </c>
      <c r="W30" s="115">
        <f t="shared" si="25"/>
        <v>0</v>
      </c>
    </row>
    <row r="31" spans="1:23" s="60" customFormat="1">
      <c r="A31" s="315"/>
      <c r="B31" s="107" t="s">
        <v>107</v>
      </c>
      <c r="C31" s="113" t="s">
        <v>121</v>
      </c>
      <c r="D31" s="302">
        <v>7</v>
      </c>
      <c r="E31" s="69">
        <v>12</v>
      </c>
      <c r="F31" s="109">
        <f t="shared" ref="F31" si="49">D31*E31</f>
        <v>84</v>
      </c>
      <c r="G31" s="258">
        <f>References!$B$32</f>
        <v>840</v>
      </c>
      <c r="H31" s="68">
        <f t="shared" ref="H31" si="50">G31*F31</f>
        <v>70560</v>
      </c>
      <c r="I31" s="47">
        <f t="shared" si="17"/>
        <v>43042.536925673303</v>
      </c>
      <c r="J31" s="67">
        <f>(References!$C$49*I31)</f>
        <v>323.4646649964352</v>
      </c>
      <c r="K31" s="67">
        <f>J31/References!$G$52</f>
        <v>331.62258047614841</v>
      </c>
      <c r="L31" s="67">
        <f t="shared" ref="L31" si="51">IFERROR(K31/F31,0)</f>
        <v>3.9478878628112906</v>
      </c>
      <c r="M31" s="269">
        <v>122.28</v>
      </c>
      <c r="N31" s="67">
        <f t="shared" ref="N31" si="52">L31+M31</f>
        <v>126.22788786281129</v>
      </c>
      <c r="O31" s="67">
        <f t="shared" ref="O31" si="53">M31*F31</f>
        <v>10271.52</v>
      </c>
      <c r="P31" s="67">
        <f t="shared" ref="P31" si="54">N31*F31</f>
        <v>10603.142580476147</v>
      </c>
      <c r="Q31" s="67">
        <f t="shared" ref="Q31" si="55">O31-P31</f>
        <v>-331.62258047614705</v>
      </c>
      <c r="R31" s="71">
        <f t="shared" ref="R31" si="56">N31</f>
        <v>126.22788786281129</v>
      </c>
      <c r="S31" s="71">
        <f t="shared" ref="S31" si="57">R31*F31</f>
        <v>10603.142580476147</v>
      </c>
      <c r="T31" s="71">
        <f t="shared" ref="T31" si="58">S31-O31</f>
        <v>331.62258047614705</v>
      </c>
      <c r="U31" s="67"/>
      <c r="V31" s="306">
        <f t="shared" si="24"/>
        <v>3.2285638393942516E-2</v>
      </c>
      <c r="W31" s="115">
        <f t="shared" si="25"/>
        <v>-5.3290705182007514E-15</v>
      </c>
    </row>
    <row r="32" spans="1:23" s="60" customFormat="1">
      <c r="A32" s="315"/>
      <c r="B32" s="107" t="s">
        <v>107</v>
      </c>
      <c r="C32" s="113" t="s">
        <v>251</v>
      </c>
      <c r="D32" s="302">
        <v>1</v>
      </c>
      <c r="E32" s="69">
        <v>12</v>
      </c>
      <c r="F32" s="109">
        <f t="shared" ref="F32" si="59">D32*E32</f>
        <v>12</v>
      </c>
      <c r="G32" s="258">
        <f>References!$B$33</f>
        <v>980</v>
      </c>
      <c r="H32" s="68">
        <f t="shared" ref="H32" si="60">G32*F32</f>
        <v>11760</v>
      </c>
      <c r="I32" s="47">
        <f t="shared" si="17"/>
        <v>7173.7561542788835</v>
      </c>
      <c r="J32" s="67">
        <f>(References!$C$49*I32)</f>
        <v>53.910777499405867</v>
      </c>
      <c r="K32" s="67">
        <f>J32/References!$G$52</f>
        <v>55.270430079358071</v>
      </c>
      <c r="L32" s="67">
        <f t="shared" ref="L32" si="61">IFERROR(K32/F32,0)</f>
        <v>4.6058691732798396</v>
      </c>
      <c r="M32" s="269">
        <v>147.94999999999999</v>
      </c>
      <c r="N32" s="67">
        <f t="shared" ref="N32" si="62">L32+M32</f>
        <v>152.55586917327983</v>
      </c>
      <c r="O32" s="67">
        <f t="shared" ref="O32" si="63">M32*F32</f>
        <v>1775.3999999999999</v>
      </c>
      <c r="P32" s="67">
        <f t="shared" ref="P32" si="64">N32*F32</f>
        <v>1830.6704300793581</v>
      </c>
      <c r="Q32" s="67">
        <f t="shared" ref="Q32" si="65">O32-P32</f>
        <v>-55.270430079358221</v>
      </c>
      <c r="R32" s="71">
        <f t="shared" ref="R32" si="66">N32</f>
        <v>152.55586917327983</v>
      </c>
      <c r="S32" s="71">
        <f t="shared" ref="S32" si="67">R32*F32</f>
        <v>1830.6704300793581</v>
      </c>
      <c r="T32" s="71">
        <f t="shared" ref="T32" si="68">S32-O32</f>
        <v>55.270430079358221</v>
      </c>
      <c r="U32" s="67"/>
      <c r="V32" s="306">
        <f t="shared" si="24"/>
        <v>3.1131254973165528E-2</v>
      </c>
      <c r="W32" s="115">
        <f t="shared" si="25"/>
        <v>0</v>
      </c>
    </row>
    <row r="33" spans="1:23" s="60" customFormat="1">
      <c r="A33" s="315"/>
      <c r="B33" s="107" t="s">
        <v>107</v>
      </c>
      <c r="C33" s="113" t="s">
        <v>219</v>
      </c>
      <c r="D33" s="302">
        <v>1</v>
      </c>
      <c r="E33" s="69">
        <v>1</v>
      </c>
      <c r="F33" s="109">
        <f>D33*E33</f>
        <v>1</v>
      </c>
      <c r="G33" s="258">
        <f>((References!$B$28-References!$B$27)/2)+References!$B$27</f>
        <v>212.5</v>
      </c>
      <c r="H33" s="68">
        <f>G33*F33</f>
        <v>212.5</v>
      </c>
      <c r="I33" s="47">
        <f t="shared" si="17"/>
        <v>129.62782166532847</v>
      </c>
      <c r="J33" s="67">
        <f>(References!$C$49*I33)</f>
        <v>0.97415307981494448</v>
      </c>
      <c r="K33" s="67">
        <f>J33/References!$G$52</f>
        <v>0.99872163196118968</v>
      </c>
      <c r="L33" s="67">
        <f>IFERROR(K33/F33,0)</f>
        <v>0.99872163196118968</v>
      </c>
      <c r="M33" s="269">
        <v>35.090000000000003</v>
      </c>
      <c r="N33" s="67">
        <f>L33+M33</f>
        <v>36.088721631961192</v>
      </c>
      <c r="O33" s="67">
        <f>M33*F33</f>
        <v>35.090000000000003</v>
      </c>
      <c r="P33" s="67">
        <f>N33*F33</f>
        <v>36.088721631961192</v>
      </c>
      <c r="Q33" s="67">
        <f>O33-P33</f>
        <v>-0.9987216319611889</v>
      </c>
      <c r="R33" s="71">
        <f>N33</f>
        <v>36.088721631961192</v>
      </c>
      <c r="S33" s="71">
        <f>R33*F33</f>
        <v>36.088721631961192</v>
      </c>
      <c r="T33" s="71">
        <f>S33-O33</f>
        <v>0.9987216319611889</v>
      </c>
      <c r="U33" s="67"/>
      <c r="V33" s="306">
        <f t="shared" si="24"/>
        <v>2.8461716499321447E-2</v>
      </c>
      <c r="W33" s="115">
        <f t="shared" si="25"/>
        <v>0</v>
      </c>
    </row>
    <row r="34" spans="1:23" s="60" customFormat="1">
      <c r="A34" s="315"/>
      <c r="B34" s="107" t="s">
        <v>107</v>
      </c>
      <c r="C34" s="113" t="s">
        <v>221</v>
      </c>
      <c r="D34" s="302">
        <v>4</v>
      </c>
      <c r="E34" s="69">
        <v>1</v>
      </c>
      <c r="F34" s="109">
        <f t="shared" ref="F34" si="69">D34*E34</f>
        <v>4</v>
      </c>
      <c r="G34" s="258">
        <f>References!$B$31</f>
        <v>613</v>
      </c>
      <c r="H34" s="68">
        <f t="shared" ref="H34" si="70">G34*F34</f>
        <v>2452</v>
      </c>
      <c r="I34" s="47">
        <f t="shared" si="17"/>
        <v>1495.7525586982842</v>
      </c>
      <c r="J34" s="67">
        <f>(References!$C$49*I34)</f>
        <v>11.240580478617618</v>
      </c>
      <c r="K34" s="67">
        <f>J34/References!$G$52</f>
        <v>11.524072666206292</v>
      </c>
      <c r="L34" s="67">
        <f t="shared" ref="L34" si="71">IFERROR(K34/F34,0)</f>
        <v>2.8810181665515731</v>
      </c>
      <c r="M34" s="269">
        <v>80</v>
      </c>
      <c r="N34" s="67">
        <f t="shared" ref="N34" si="72">L34+M34</f>
        <v>82.88101816655157</v>
      </c>
      <c r="O34" s="67">
        <f t="shared" ref="O34" si="73">M34*F34</f>
        <v>320</v>
      </c>
      <c r="P34" s="67">
        <f t="shared" ref="P34" si="74">N34*F34</f>
        <v>331.52407266620628</v>
      </c>
      <c r="Q34" s="67">
        <f t="shared" ref="Q34" si="75">O34-P34</f>
        <v>-11.52407266620628</v>
      </c>
      <c r="R34" s="71">
        <f t="shared" ref="R34" si="76">N34</f>
        <v>82.88101816655157</v>
      </c>
      <c r="S34" s="71">
        <f t="shared" ref="S34" si="77">R34*F34</f>
        <v>331.52407266620628</v>
      </c>
      <c r="T34" s="71">
        <f t="shared" ref="T34" si="78">S34-O34</f>
        <v>11.52407266620628</v>
      </c>
      <c r="U34" s="67"/>
      <c r="V34" s="306">
        <f t="shared" si="24"/>
        <v>3.6012727081894666E-2</v>
      </c>
      <c r="W34" s="115">
        <f t="shared" si="25"/>
        <v>0</v>
      </c>
    </row>
    <row r="35" spans="1:23" s="60" customFormat="1">
      <c r="A35" s="315"/>
      <c r="B35" s="107" t="s">
        <v>107</v>
      </c>
      <c r="C35" s="113" t="s">
        <v>194</v>
      </c>
      <c r="D35" s="302">
        <v>4</v>
      </c>
      <c r="E35" s="69">
        <v>1</v>
      </c>
      <c r="F35" s="109">
        <f t="shared" si="26"/>
        <v>4</v>
      </c>
      <c r="G35" s="258">
        <f>References!$B$32</f>
        <v>840</v>
      </c>
      <c r="H35" s="68">
        <f t="shared" si="16"/>
        <v>3360</v>
      </c>
      <c r="I35" s="47">
        <f t="shared" si="17"/>
        <v>2049.6446155082526</v>
      </c>
      <c r="J35" s="67">
        <f>(References!$C$49*I35)</f>
        <v>15.403079285544534</v>
      </c>
      <c r="K35" s="67">
        <f>J35/References!$G$52</f>
        <v>15.791551451245164</v>
      </c>
      <c r="L35" s="67">
        <f t="shared" si="27"/>
        <v>3.947887862811291</v>
      </c>
      <c r="M35" s="269">
        <v>118.55</v>
      </c>
      <c r="N35" s="67">
        <f t="shared" si="29"/>
        <v>122.49788786281128</v>
      </c>
      <c r="O35" s="67">
        <f t="shared" si="18"/>
        <v>474.2</v>
      </c>
      <c r="P35" s="67">
        <f t="shared" si="19"/>
        <v>489.99155145124513</v>
      </c>
      <c r="Q35" s="67">
        <f t="shared" si="20"/>
        <v>-15.791551451245141</v>
      </c>
      <c r="R35" s="71">
        <f t="shared" si="21"/>
        <v>122.49788786281128</v>
      </c>
      <c r="S35" s="71">
        <f t="shared" si="22"/>
        <v>489.99155145124513</v>
      </c>
      <c r="T35" s="71">
        <f t="shared" si="23"/>
        <v>15.791551451245141</v>
      </c>
      <c r="U35" s="67"/>
      <c r="V35" s="306">
        <f t="shared" si="24"/>
        <v>3.3301458142651126E-2</v>
      </c>
      <c r="W35" s="115">
        <f t="shared" si="25"/>
        <v>-5.773159728050814E-15</v>
      </c>
    </row>
    <row r="36" spans="1:23" s="60" customFormat="1">
      <c r="A36" s="315"/>
      <c r="B36" s="43" t="s">
        <v>125</v>
      </c>
      <c r="C36" s="58" t="s">
        <v>227</v>
      </c>
      <c r="D36" s="302">
        <v>126</v>
      </c>
      <c r="E36" s="69">
        <v>12</v>
      </c>
      <c r="F36" s="109">
        <f t="shared" si="26"/>
        <v>1512</v>
      </c>
      <c r="G36" s="259">
        <f>References!$B$26</f>
        <v>29</v>
      </c>
      <c r="H36" s="68">
        <f t="shared" si="16"/>
        <v>43848</v>
      </c>
      <c r="I36" s="47">
        <f t="shared" si="17"/>
        <v>26747.862232382693</v>
      </c>
      <c r="J36" s="67">
        <f>(References!$C$49*I36)</f>
        <v>201.01018467635615</v>
      </c>
      <c r="K36" s="67">
        <f>J36/References!$G$52</f>
        <v>206.07974643874937</v>
      </c>
      <c r="L36" s="67">
        <f>IFERROR(K36/F36,0)</f>
        <v>0.13629612859705645</v>
      </c>
      <c r="M36" s="270">
        <v>4.29</v>
      </c>
      <c r="N36" s="67">
        <f t="shared" si="29"/>
        <v>4.4262961285970563</v>
      </c>
      <c r="O36" s="67">
        <f t="shared" ref="O36" si="79">M36*F36</f>
        <v>6486.4800000000005</v>
      </c>
      <c r="P36" s="67">
        <f t="shared" ref="P36" si="80">N36*F36</f>
        <v>6692.5597464387492</v>
      </c>
      <c r="Q36" s="67">
        <f t="shared" ref="Q36" si="81">O36-P36</f>
        <v>-206.07974643874877</v>
      </c>
      <c r="R36" s="71">
        <f t="shared" ref="R36" si="82">N36</f>
        <v>4.4262961285970563</v>
      </c>
      <c r="S36" s="71">
        <f t="shared" ref="S36" si="83">R36*F36</f>
        <v>6692.5597464387492</v>
      </c>
      <c r="T36" s="71">
        <f t="shared" ref="T36" si="84">S36-O36</f>
        <v>206.07974643874877</v>
      </c>
      <c r="U36" s="67"/>
      <c r="V36" s="306">
        <f t="shared" si="24"/>
        <v>3.1770659346633208E-2</v>
      </c>
      <c r="W36" s="115">
        <f t="shared" si="25"/>
        <v>0</v>
      </c>
    </row>
    <row r="37" spans="1:23" s="60" customFormat="1">
      <c r="A37" s="315"/>
      <c r="B37" s="43"/>
      <c r="C37" s="58"/>
      <c r="D37" s="68"/>
      <c r="E37" s="69"/>
      <c r="F37" s="109"/>
      <c r="G37" s="130"/>
      <c r="H37" s="68"/>
      <c r="I37" s="47"/>
      <c r="J37" s="67"/>
      <c r="K37" s="67"/>
      <c r="L37" s="67"/>
      <c r="M37" s="295"/>
      <c r="N37" s="67"/>
      <c r="O37" s="67"/>
      <c r="P37" s="67"/>
      <c r="Q37" s="67"/>
      <c r="R37" s="71"/>
      <c r="S37" s="71"/>
      <c r="T37" s="71"/>
      <c r="U37" s="67"/>
    </row>
    <row r="38" spans="1:23" s="60" customFormat="1">
      <c r="A38" s="315"/>
      <c r="B38" s="107"/>
      <c r="C38" s="113"/>
      <c r="D38" s="57"/>
      <c r="E38" s="69"/>
      <c r="F38" s="114"/>
      <c r="G38" s="110"/>
      <c r="H38" s="68"/>
      <c r="I38" s="47"/>
      <c r="J38" s="67"/>
      <c r="K38" s="67"/>
      <c r="L38" s="67"/>
      <c r="M38" s="67"/>
      <c r="N38" s="67"/>
      <c r="O38" s="67"/>
      <c r="P38" s="67"/>
      <c r="Q38" s="67"/>
      <c r="R38" s="71"/>
      <c r="S38" s="71"/>
      <c r="T38" s="71"/>
      <c r="U38" s="67"/>
    </row>
    <row r="39" spans="1:23" s="60" customFormat="1">
      <c r="A39" s="51"/>
      <c r="B39" s="78"/>
      <c r="C39" s="52" t="s">
        <v>17</v>
      </c>
      <c r="D39" s="53">
        <f>SUM(D16:D38)</f>
        <v>1629.6100000000001</v>
      </c>
      <c r="E39" s="53"/>
      <c r="F39" s="53">
        <f>SUM(F16:F38)</f>
        <v>19456.32</v>
      </c>
      <c r="G39" s="99"/>
      <c r="H39" s="53">
        <f>SUM(H16:H38)</f>
        <v>5378769.6200000001</v>
      </c>
      <c r="I39" s="53">
        <f>SUM(I16:I38)</f>
        <v>3281120.8897893955</v>
      </c>
      <c r="J39" s="74"/>
      <c r="K39" s="74"/>
      <c r="L39" s="74"/>
      <c r="M39" s="74"/>
      <c r="N39" s="74"/>
      <c r="O39" s="53">
        <f>SUM(O16:O38)</f>
        <v>705469.98719999997</v>
      </c>
      <c r="P39" s="116">
        <f>SUM(P16:P38)</f>
        <v>730749.48636625719</v>
      </c>
      <c r="Q39" s="116">
        <f>SUM(Q16:Q38)</f>
        <v>-25279.499166257257</v>
      </c>
      <c r="R39" s="116"/>
      <c r="S39" s="116">
        <f>SUM(S16:S38)</f>
        <v>730749.48636625719</v>
      </c>
      <c r="T39" s="116">
        <f>SUM(T16:T38)</f>
        <v>25279.499166257257</v>
      </c>
      <c r="U39" s="311"/>
    </row>
    <row r="40" spans="1:23" s="60" customFormat="1" ht="14.4" customHeight="1">
      <c r="A40" s="314" t="s">
        <v>105</v>
      </c>
      <c r="B40" s="107" t="s">
        <v>108</v>
      </c>
      <c r="C40" s="113" t="s">
        <v>208</v>
      </c>
      <c r="D40" s="302">
        <v>126</v>
      </c>
      <c r="E40" s="69">
        <v>12</v>
      </c>
      <c r="F40" s="114">
        <f>D40*E40</f>
        <v>1512</v>
      </c>
      <c r="G40" s="258">
        <f>References!B14</f>
        <v>34</v>
      </c>
      <c r="H40" s="68">
        <f t="shared" ref="H40:H47" si="85">G40*F40</f>
        <v>51408</v>
      </c>
      <c r="I40" s="47">
        <f t="shared" ref="I40:I49" si="86">$D$126*H40</f>
        <v>31359.562617276264</v>
      </c>
      <c r="J40" s="67">
        <f>(References!$C$49*I40)</f>
        <v>235.66711306883136</v>
      </c>
      <c r="K40" s="67">
        <f>J40/References!$G$52</f>
        <v>241.61073720405099</v>
      </c>
      <c r="L40" s="67">
        <f t="shared" ref="L40:L49" si="87">IFERROR(K40/F40,0)</f>
        <v>0.15979546111379034</v>
      </c>
      <c r="M40" s="269">
        <v>5.8</v>
      </c>
      <c r="N40" s="67">
        <f t="shared" ref="N40:N47" si="88">L40+M40</f>
        <v>5.9597954611137904</v>
      </c>
      <c r="O40" s="67">
        <f t="shared" ref="O40:O49" si="89">M40*F40</f>
        <v>8769.6</v>
      </c>
      <c r="P40" s="67">
        <f t="shared" ref="P40:P49" si="90">N40*F40</f>
        <v>9011.2107372040518</v>
      </c>
      <c r="Q40" s="67">
        <f t="shared" ref="Q40:Q49" si="91">O40-P40</f>
        <v>-241.61073720405147</v>
      </c>
      <c r="R40" s="71">
        <f t="shared" ref="R40:R49" si="92">N40</f>
        <v>5.9597954611137904</v>
      </c>
      <c r="S40" s="71">
        <f t="shared" ref="S40:S49" si="93">R40*F40</f>
        <v>9011.2107372040518</v>
      </c>
      <c r="T40" s="71">
        <f t="shared" ref="T40:T49" si="94">S40-O40</f>
        <v>241.61073720405147</v>
      </c>
      <c r="U40" s="67"/>
      <c r="V40" s="306">
        <f t="shared" ref="V40:V49" si="95">L40/M40</f>
        <v>2.7550941571343163E-2</v>
      </c>
      <c r="W40" s="115">
        <f t="shared" ref="W40:W49" si="96">N40-M40-L40</f>
        <v>2.7755575615628914E-16</v>
      </c>
    </row>
    <row r="41" spans="1:23" s="60" customFormat="1" ht="14.4" customHeight="1">
      <c r="A41" s="315"/>
      <c r="B41" s="118" t="s">
        <v>108</v>
      </c>
      <c r="C41" s="113" t="s">
        <v>207</v>
      </c>
      <c r="D41" s="302">
        <v>4</v>
      </c>
      <c r="E41" s="69">
        <v>12</v>
      </c>
      <c r="F41" s="114">
        <f>D41*E41</f>
        <v>48</v>
      </c>
      <c r="G41" s="258">
        <f>References!B21</f>
        <v>47</v>
      </c>
      <c r="H41" s="68">
        <f>G41*F41</f>
        <v>2256</v>
      </c>
      <c r="I41" s="47">
        <f t="shared" si="86"/>
        <v>1376.1899561269695</v>
      </c>
      <c r="J41" s="67">
        <f>(References!$C$49*I41)</f>
        <v>10.342067520294187</v>
      </c>
      <c r="K41" s="67">
        <f>J41/References!$G$52</f>
        <v>10.602898831550323</v>
      </c>
      <c r="L41" s="67">
        <f t="shared" si="87"/>
        <v>0.2208937256572984</v>
      </c>
      <c r="M41" s="270">
        <v>10.17</v>
      </c>
      <c r="N41" s="67">
        <f>L41+M41</f>
        <v>10.390893725657298</v>
      </c>
      <c r="O41" s="67">
        <f t="shared" ref="O41:O42" si="97">M41*F41</f>
        <v>488.15999999999997</v>
      </c>
      <c r="P41" s="67">
        <f t="shared" ref="P41:P42" si="98">N41*F41</f>
        <v>498.76289883155027</v>
      </c>
      <c r="Q41" s="67">
        <f t="shared" ref="Q41:Q42" si="99">O41-P41</f>
        <v>-10.602898831550306</v>
      </c>
      <c r="R41" s="71">
        <f t="shared" ref="R41:R42" si="100">N41</f>
        <v>10.390893725657298</v>
      </c>
      <c r="S41" s="71">
        <f t="shared" ref="S41:S42" si="101">R41*F41</f>
        <v>498.76289883155027</v>
      </c>
      <c r="T41" s="71">
        <f t="shared" ref="T41:T42" si="102">S41-O41</f>
        <v>10.602898831550306</v>
      </c>
      <c r="U41" s="67"/>
      <c r="V41" s="306">
        <f t="shared" si="95"/>
        <v>2.1720130349783519E-2</v>
      </c>
      <c r="W41" s="115">
        <f t="shared" si="96"/>
        <v>-3.6082248300317588E-16</v>
      </c>
    </row>
    <row r="42" spans="1:23" s="60" customFormat="1">
      <c r="A42" s="315"/>
      <c r="B42" s="107" t="s">
        <v>108</v>
      </c>
      <c r="C42" s="113" t="s">
        <v>209</v>
      </c>
      <c r="D42" s="302">
        <v>26</v>
      </c>
      <c r="E42" s="69">
        <v>12</v>
      </c>
      <c r="F42" s="114">
        <f t="shared" ref="F42:F49" si="103">D42*E42</f>
        <v>312</v>
      </c>
      <c r="G42" s="258">
        <f>References!B22</f>
        <v>68</v>
      </c>
      <c r="H42" s="68">
        <f t="shared" si="85"/>
        <v>21216</v>
      </c>
      <c r="I42" s="47">
        <f t="shared" si="86"/>
        <v>12942.041715066394</v>
      </c>
      <c r="J42" s="67">
        <f>(References!$C$49*I42)</f>
        <v>97.25944348872406</v>
      </c>
      <c r="K42" s="67">
        <f>J42/References!$G$52</f>
        <v>99.712367735005188</v>
      </c>
      <c r="L42" s="67">
        <f t="shared" si="87"/>
        <v>0.31959092222758073</v>
      </c>
      <c r="M42" s="269">
        <v>13.82</v>
      </c>
      <c r="N42" s="67">
        <f t="shared" si="88"/>
        <v>14.139590922227582</v>
      </c>
      <c r="O42" s="67">
        <f t="shared" si="97"/>
        <v>4311.84</v>
      </c>
      <c r="P42" s="67">
        <f t="shared" si="98"/>
        <v>4411.5523677350056</v>
      </c>
      <c r="Q42" s="67">
        <f t="shared" si="99"/>
        <v>-99.7123677350055</v>
      </c>
      <c r="R42" s="71">
        <f t="shared" si="100"/>
        <v>14.139590922227582</v>
      </c>
      <c r="S42" s="71">
        <f t="shared" si="101"/>
        <v>4411.5523677350056</v>
      </c>
      <c r="T42" s="71">
        <f t="shared" si="102"/>
        <v>99.7123677350055</v>
      </c>
      <c r="U42" s="67"/>
      <c r="V42" s="306">
        <f t="shared" si="95"/>
        <v>2.3125247628623787E-2</v>
      </c>
      <c r="W42" s="115">
        <f t="shared" si="96"/>
        <v>4.9960036108132044E-16</v>
      </c>
    </row>
    <row r="43" spans="1:23" s="60" customFormat="1">
      <c r="A43" s="315"/>
      <c r="B43" s="107" t="s">
        <v>108</v>
      </c>
      <c r="C43" s="113" t="s">
        <v>216</v>
      </c>
      <c r="D43" s="302">
        <v>48</v>
      </c>
      <c r="E43" s="69">
        <v>12</v>
      </c>
      <c r="F43" s="114">
        <f t="shared" si="103"/>
        <v>576</v>
      </c>
      <c r="G43" s="258">
        <f>References!B27</f>
        <v>175</v>
      </c>
      <c r="H43" s="68">
        <f t="shared" si="85"/>
        <v>100800</v>
      </c>
      <c r="I43" s="47">
        <f t="shared" si="86"/>
        <v>61489.338465247572</v>
      </c>
      <c r="J43" s="67">
        <f>(References!$C$49*I43)</f>
        <v>462.09237856633598</v>
      </c>
      <c r="K43" s="67">
        <f>J43/References!$G$52</f>
        <v>473.74654353735491</v>
      </c>
      <c r="L43" s="67">
        <f t="shared" si="87"/>
        <v>0.82247663808568561</v>
      </c>
      <c r="M43" s="269">
        <v>28.39</v>
      </c>
      <c r="N43" s="67">
        <f t="shared" si="88"/>
        <v>29.212476638085686</v>
      </c>
      <c r="O43" s="67">
        <f t="shared" si="89"/>
        <v>16352.64</v>
      </c>
      <c r="P43" s="67">
        <f t="shared" si="90"/>
        <v>16826.386543537355</v>
      </c>
      <c r="Q43" s="67">
        <f t="shared" si="91"/>
        <v>-473.74654353735605</v>
      </c>
      <c r="R43" s="71">
        <f t="shared" si="92"/>
        <v>29.212476638085686</v>
      </c>
      <c r="S43" s="71">
        <f t="shared" si="93"/>
        <v>16826.386543537355</v>
      </c>
      <c r="T43" s="71">
        <f t="shared" si="94"/>
        <v>473.74654353735605</v>
      </c>
      <c r="U43" s="67"/>
      <c r="V43" s="306">
        <f t="shared" si="95"/>
        <v>2.8970645934684239E-2</v>
      </c>
      <c r="W43" s="115">
        <f t="shared" si="96"/>
        <v>0</v>
      </c>
    </row>
    <row r="44" spans="1:23" s="60" customFormat="1">
      <c r="A44" s="315"/>
      <c r="B44" s="107" t="s">
        <v>108</v>
      </c>
      <c r="C44" s="113" t="s">
        <v>210</v>
      </c>
      <c r="D44" s="302">
        <v>26</v>
      </c>
      <c r="E44" s="69">
        <v>12</v>
      </c>
      <c r="F44" s="114">
        <f t="shared" si="103"/>
        <v>312</v>
      </c>
      <c r="G44" s="258">
        <f>((References!$B$28-References!$B$27)/2)+References!$B$27</f>
        <v>212.5</v>
      </c>
      <c r="H44" s="68">
        <f t="shared" si="85"/>
        <v>66300</v>
      </c>
      <c r="I44" s="47">
        <f t="shared" si="86"/>
        <v>40443.880359582479</v>
      </c>
      <c r="J44" s="67">
        <f>(References!$C$49*I44)</f>
        <v>303.93576090226264</v>
      </c>
      <c r="K44" s="67">
        <f>J44/References!$G$52</f>
        <v>311.60114917189117</v>
      </c>
      <c r="L44" s="67">
        <f t="shared" si="87"/>
        <v>0.99872163196118968</v>
      </c>
      <c r="M44" s="269">
        <v>34.020000000000003</v>
      </c>
      <c r="N44" s="67">
        <f t="shared" si="88"/>
        <v>35.018721631961192</v>
      </c>
      <c r="O44" s="67">
        <f t="shared" si="89"/>
        <v>10614.240000000002</v>
      </c>
      <c r="P44" s="67">
        <f t="shared" si="90"/>
        <v>10925.841149171893</v>
      </c>
      <c r="Q44" s="67">
        <f t="shared" si="91"/>
        <v>-311.60114917189094</v>
      </c>
      <c r="R44" s="71">
        <f t="shared" si="92"/>
        <v>35.018721631961192</v>
      </c>
      <c r="S44" s="71">
        <f t="shared" si="93"/>
        <v>10925.841149171893</v>
      </c>
      <c r="T44" s="71">
        <f t="shared" si="94"/>
        <v>311.60114917189094</v>
      </c>
      <c r="U44" s="67"/>
      <c r="V44" s="306">
        <f t="shared" si="95"/>
        <v>2.935689688304496E-2</v>
      </c>
      <c r="W44" s="115">
        <f t="shared" si="96"/>
        <v>0</v>
      </c>
    </row>
    <row r="45" spans="1:23" s="60" customFormat="1">
      <c r="A45" s="315"/>
      <c r="B45" s="107" t="s">
        <v>108</v>
      </c>
      <c r="C45" s="113" t="s">
        <v>211</v>
      </c>
      <c r="D45" s="302">
        <v>134</v>
      </c>
      <c r="E45" s="69">
        <v>12</v>
      </c>
      <c r="F45" s="114">
        <f t="shared" si="103"/>
        <v>1608</v>
      </c>
      <c r="G45" s="258">
        <f>References!$B$29</f>
        <v>324</v>
      </c>
      <c r="H45" s="68">
        <f t="shared" si="85"/>
        <v>520992</v>
      </c>
      <c r="I45" s="47">
        <f t="shared" si="86"/>
        <v>317812.03795323672</v>
      </c>
      <c r="J45" s="67">
        <f>(References!$C$49*I45)</f>
        <v>2388.3574652185766</v>
      </c>
      <c r="K45" s="67">
        <f>J45/References!$G$52</f>
        <v>2448.592849311643</v>
      </c>
      <c r="L45" s="67">
        <f t="shared" si="87"/>
        <v>1.522756747084355</v>
      </c>
      <c r="M45" s="269">
        <v>52.91</v>
      </c>
      <c r="N45" s="67">
        <f t="shared" si="88"/>
        <v>54.432756747084355</v>
      </c>
      <c r="O45" s="67">
        <f t="shared" si="89"/>
        <v>85079.28</v>
      </c>
      <c r="P45" s="67">
        <f t="shared" si="90"/>
        <v>87527.872849311636</v>
      </c>
      <c r="Q45" s="67">
        <f t="shared" si="91"/>
        <v>-2448.5928493116371</v>
      </c>
      <c r="R45" s="71">
        <f t="shared" si="92"/>
        <v>54.432756747084355</v>
      </c>
      <c r="S45" s="71">
        <f t="shared" si="93"/>
        <v>87527.872849311636</v>
      </c>
      <c r="T45" s="71">
        <f t="shared" si="94"/>
        <v>2448.5928493116371</v>
      </c>
      <c r="U45" s="67"/>
      <c r="V45" s="306">
        <f t="shared" si="95"/>
        <v>2.8780131300025612E-2</v>
      </c>
      <c r="W45" s="115">
        <f t="shared" si="96"/>
        <v>3.1086244689504383E-15</v>
      </c>
    </row>
    <row r="46" spans="1:23" s="60" customFormat="1">
      <c r="A46" s="315"/>
      <c r="B46" s="107" t="s">
        <v>108</v>
      </c>
      <c r="C46" s="113" t="s">
        <v>212</v>
      </c>
      <c r="D46" s="302">
        <v>113</v>
      </c>
      <c r="E46" s="69">
        <v>12</v>
      </c>
      <c r="F46" s="114">
        <f t="shared" si="103"/>
        <v>1356</v>
      </c>
      <c r="G46" s="258">
        <f>References!$B$30</f>
        <v>473</v>
      </c>
      <c r="H46" s="68">
        <f t="shared" si="85"/>
        <v>641388</v>
      </c>
      <c r="I46" s="47">
        <f t="shared" si="86"/>
        <v>391255.19662250212</v>
      </c>
      <c r="J46" s="67">
        <f>(References!$C$49*I46)</f>
        <v>2940.2828026181064</v>
      </c>
      <c r="K46" s="67">
        <f>J46/References!$G$52</f>
        <v>3014.4379768485815</v>
      </c>
      <c r="L46" s="67">
        <f t="shared" si="87"/>
        <v>2.2230368560830245</v>
      </c>
      <c r="M46" s="269">
        <v>78.099999999999994</v>
      </c>
      <c r="N46" s="67">
        <f t="shared" si="88"/>
        <v>80.323036856083021</v>
      </c>
      <c r="O46" s="67">
        <f t="shared" si="89"/>
        <v>105903.59999999999</v>
      </c>
      <c r="P46" s="67">
        <f t="shared" si="90"/>
        <v>108918.03797684857</v>
      </c>
      <c r="Q46" s="67">
        <f t="shared" si="91"/>
        <v>-3014.4379768485815</v>
      </c>
      <c r="R46" s="71">
        <f t="shared" si="92"/>
        <v>80.323036856083021</v>
      </c>
      <c r="S46" s="71">
        <f t="shared" si="93"/>
        <v>108918.03797684857</v>
      </c>
      <c r="T46" s="71">
        <f t="shared" si="94"/>
        <v>3014.4379768485815</v>
      </c>
      <c r="U46" s="67"/>
      <c r="V46" s="306">
        <f t="shared" si="95"/>
        <v>2.8463980231536807E-2</v>
      </c>
      <c r="W46" s="115">
        <f t="shared" si="96"/>
        <v>0</v>
      </c>
    </row>
    <row r="47" spans="1:23" s="60" customFormat="1">
      <c r="A47" s="315"/>
      <c r="B47" s="107" t="s">
        <v>108</v>
      </c>
      <c r="C47" s="113" t="s">
        <v>213</v>
      </c>
      <c r="D47" s="302">
        <v>178</v>
      </c>
      <c r="E47" s="69">
        <v>12</v>
      </c>
      <c r="F47" s="114">
        <f t="shared" si="103"/>
        <v>2136</v>
      </c>
      <c r="G47" s="258">
        <f>References!$B$31</f>
        <v>613</v>
      </c>
      <c r="H47" s="68">
        <f t="shared" si="85"/>
        <v>1309368</v>
      </c>
      <c r="I47" s="47">
        <f t="shared" si="86"/>
        <v>798731.86634488381</v>
      </c>
      <c r="J47" s="67">
        <f>(References!$C$49*I47)</f>
        <v>6002.4699755818083</v>
      </c>
      <c r="K47" s="67">
        <f>J47/References!$G$52</f>
        <v>6153.8548037541605</v>
      </c>
      <c r="L47" s="67">
        <f t="shared" si="87"/>
        <v>2.8810181665515731</v>
      </c>
      <c r="M47" s="269">
        <v>101.11</v>
      </c>
      <c r="N47" s="67">
        <f t="shared" si="88"/>
        <v>103.99101816655157</v>
      </c>
      <c r="O47" s="67">
        <f t="shared" si="89"/>
        <v>215970.96</v>
      </c>
      <c r="P47" s="67">
        <f t="shared" si="90"/>
        <v>222124.81480375415</v>
      </c>
      <c r="Q47" s="67">
        <f t="shared" si="91"/>
        <v>-6153.8548037541623</v>
      </c>
      <c r="R47" s="71">
        <f t="shared" si="92"/>
        <v>103.99101816655157</v>
      </c>
      <c r="S47" s="71">
        <f t="shared" si="93"/>
        <v>222124.81480375415</v>
      </c>
      <c r="T47" s="71">
        <f t="shared" si="94"/>
        <v>6153.8548037541623</v>
      </c>
      <c r="U47" s="67"/>
      <c r="V47" s="306">
        <f t="shared" si="95"/>
        <v>2.8493899382371408E-2</v>
      </c>
      <c r="W47" s="115">
        <f t="shared" si="96"/>
        <v>0</v>
      </c>
    </row>
    <row r="48" spans="1:23" s="60" customFormat="1">
      <c r="A48" s="315"/>
      <c r="B48" s="107" t="s">
        <v>108</v>
      </c>
      <c r="C48" s="113" t="s">
        <v>214</v>
      </c>
      <c r="D48" s="302">
        <v>52</v>
      </c>
      <c r="E48" s="69">
        <v>12</v>
      </c>
      <c r="F48" s="114">
        <f t="shared" si="103"/>
        <v>624</v>
      </c>
      <c r="G48" s="258">
        <f>References!$B$32</f>
        <v>840</v>
      </c>
      <c r="H48" s="68">
        <f t="shared" ref="H48:H49" si="104">G48*F48</f>
        <v>524160</v>
      </c>
      <c r="I48" s="47">
        <f t="shared" si="86"/>
        <v>319744.5600192874</v>
      </c>
      <c r="J48" s="67">
        <f>(References!$C$49*I48)</f>
        <v>2402.8803685449475</v>
      </c>
      <c r="K48" s="67">
        <f>J48/References!$G$52</f>
        <v>2463.4820263942456</v>
      </c>
      <c r="L48" s="67">
        <f t="shared" si="87"/>
        <v>3.947887862811291</v>
      </c>
      <c r="M48" s="269">
        <v>150.30000000000001</v>
      </c>
      <c r="N48" s="67">
        <f t="shared" ref="N48:N49" si="105">L48+M48</f>
        <v>154.2478878628113</v>
      </c>
      <c r="O48" s="67">
        <f t="shared" si="89"/>
        <v>93787.200000000012</v>
      </c>
      <c r="P48" s="67">
        <f t="shared" si="90"/>
        <v>96250.68202639425</v>
      </c>
      <c r="Q48" s="67">
        <f t="shared" si="91"/>
        <v>-2463.4820263942383</v>
      </c>
      <c r="R48" s="71">
        <f t="shared" si="92"/>
        <v>154.2478878628113</v>
      </c>
      <c r="S48" s="71">
        <f t="shared" si="93"/>
        <v>96250.68202639425</v>
      </c>
      <c r="T48" s="71">
        <f t="shared" si="94"/>
        <v>2463.4820263942383</v>
      </c>
      <c r="U48" s="67"/>
      <c r="V48" s="306">
        <f t="shared" si="95"/>
        <v>2.6266718980780378E-2</v>
      </c>
      <c r="W48" s="115">
        <f t="shared" si="96"/>
        <v>-5.773159728050814E-15</v>
      </c>
    </row>
    <row r="49" spans="1:23" s="60" customFormat="1">
      <c r="A49" s="315"/>
      <c r="B49" s="107" t="s">
        <v>108</v>
      </c>
      <c r="C49" s="113" t="s">
        <v>215</v>
      </c>
      <c r="D49" s="302">
        <v>22</v>
      </c>
      <c r="E49" s="69">
        <v>12</v>
      </c>
      <c r="F49" s="114">
        <f t="shared" si="103"/>
        <v>264</v>
      </c>
      <c r="G49" s="258">
        <f>References!$B$33</f>
        <v>980</v>
      </c>
      <c r="H49" s="68">
        <f t="shared" si="104"/>
        <v>258720</v>
      </c>
      <c r="I49" s="47">
        <f t="shared" si="86"/>
        <v>157822.63539413543</v>
      </c>
      <c r="J49" s="67">
        <f>(References!$C$49*I49)</f>
        <v>1186.0371049869291</v>
      </c>
      <c r="K49" s="67">
        <f>J49/References!$G$52</f>
        <v>1215.9494617458777</v>
      </c>
      <c r="L49" s="67">
        <f t="shared" si="87"/>
        <v>4.6058691732798396</v>
      </c>
      <c r="M49" s="269">
        <v>195.36</v>
      </c>
      <c r="N49" s="67">
        <f t="shared" si="105"/>
        <v>199.96586917327986</v>
      </c>
      <c r="O49" s="67">
        <f t="shared" si="89"/>
        <v>51575.040000000001</v>
      </c>
      <c r="P49" s="67">
        <f t="shared" si="90"/>
        <v>52790.989461745885</v>
      </c>
      <c r="Q49" s="67">
        <f t="shared" si="91"/>
        <v>-1215.949461745884</v>
      </c>
      <c r="R49" s="71">
        <f t="shared" si="92"/>
        <v>199.96586917327986</v>
      </c>
      <c r="S49" s="71">
        <f t="shared" si="93"/>
        <v>52790.989461745885</v>
      </c>
      <c r="T49" s="71">
        <f t="shared" si="94"/>
        <v>1215.949461745884</v>
      </c>
      <c r="U49" s="67"/>
      <c r="V49" s="306">
        <f t="shared" si="95"/>
        <v>2.3576316407042584E-2</v>
      </c>
      <c r="W49" s="115">
        <f t="shared" si="96"/>
        <v>0</v>
      </c>
    </row>
    <row r="50" spans="1:23" s="60" customFormat="1">
      <c r="A50" s="63"/>
      <c r="B50" s="48"/>
      <c r="C50" s="113"/>
      <c r="D50" s="95"/>
      <c r="E50" s="69"/>
      <c r="F50" s="114"/>
      <c r="G50" s="110"/>
      <c r="H50" s="68"/>
      <c r="I50" s="47"/>
      <c r="J50" s="67"/>
      <c r="K50" s="67"/>
      <c r="L50" s="67"/>
      <c r="M50" s="67"/>
      <c r="N50" s="67"/>
      <c r="O50" s="67"/>
      <c r="P50" s="67"/>
      <c r="Q50" s="67"/>
      <c r="R50" s="71"/>
      <c r="S50" s="71"/>
      <c r="T50" s="71"/>
      <c r="U50" s="67"/>
    </row>
    <row r="51" spans="1:23" s="60" customFormat="1">
      <c r="A51" s="51"/>
      <c r="B51" s="49"/>
      <c r="C51" s="52" t="s">
        <v>17</v>
      </c>
      <c r="D51" s="53">
        <f>SUM(D40:D50)</f>
        <v>729</v>
      </c>
      <c r="E51" s="53"/>
      <c r="F51" s="53">
        <f>SUM(F40:F50)</f>
        <v>8748</v>
      </c>
      <c r="G51" s="100"/>
      <c r="H51" s="53">
        <f>SUM(H40:H50)</f>
        <v>3496608</v>
      </c>
      <c r="I51" s="53">
        <f>SUM(I40:I50)</f>
        <v>2132977.3094473453</v>
      </c>
      <c r="J51" s="73"/>
      <c r="K51" s="73"/>
      <c r="L51" s="73"/>
      <c r="M51" s="73"/>
      <c r="N51" s="73"/>
      <c r="O51" s="116">
        <f>SUM(O40:O50)</f>
        <v>592852.56000000006</v>
      </c>
      <c r="P51" s="116">
        <f>SUM(P40:P50)</f>
        <v>609286.15081453428</v>
      </c>
      <c r="Q51" s="116">
        <f>SUM(Q40:Q50)</f>
        <v>-16433.590814534356</v>
      </c>
      <c r="R51" s="116"/>
      <c r="S51" s="116">
        <f>SUM(S40:S50)</f>
        <v>609286.15081453428</v>
      </c>
      <c r="T51" s="116">
        <f>SUM(T40:T50)</f>
        <v>16433.590814534356</v>
      </c>
      <c r="U51" s="311"/>
    </row>
    <row r="52" spans="1:23">
      <c r="C52" s="64" t="s">
        <v>3</v>
      </c>
      <c r="D52" s="65">
        <f>D13+D39+D51</f>
        <v>13538.61</v>
      </c>
      <c r="E52" s="65"/>
      <c r="F52" s="65">
        <f>F13+F39+F51</f>
        <v>607684.31999999995</v>
      </c>
      <c r="G52" s="101"/>
      <c r="H52" s="65">
        <f>H13+H39+H51</f>
        <v>32669473.620000001</v>
      </c>
      <c r="I52" s="65">
        <f>I13+I39+I51</f>
        <v>19928812.707357705</v>
      </c>
      <c r="J52" s="67"/>
      <c r="K52" s="75"/>
      <c r="L52" s="75"/>
      <c r="M52" s="75"/>
      <c r="N52" s="75"/>
      <c r="O52" s="65">
        <f>O13+O39+O51</f>
        <v>4254632.9472000003</v>
      </c>
      <c r="P52" s="65">
        <f>P13+P39+P51</f>
        <v>4408175.1119486094</v>
      </c>
      <c r="Q52" s="65">
        <f>Q13+Q39+Q51</f>
        <v>-153542.16474860924</v>
      </c>
      <c r="R52" s="65"/>
      <c r="S52" s="65">
        <f>S13+S39+S51</f>
        <v>4408175.1119486094</v>
      </c>
      <c r="T52" s="65">
        <f>T13+T39+T51</f>
        <v>153542.16474860924</v>
      </c>
      <c r="U52" s="312"/>
    </row>
    <row r="53" spans="1:23">
      <c r="J53" s="56"/>
      <c r="P53" s="61"/>
      <c r="T53" s="30">
        <f>T52/O52</f>
        <v>3.6088228210063633E-2</v>
      </c>
      <c r="U53" s="307"/>
    </row>
    <row r="54" spans="1:23">
      <c r="J54" s="56"/>
      <c r="P54" s="61"/>
    </row>
    <row r="55" spans="1:23">
      <c r="A55" s="119"/>
      <c r="B55" s="120"/>
      <c r="C55" s="121" t="s">
        <v>124</v>
      </c>
      <c r="D55" s="122"/>
      <c r="E55" s="123"/>
      <c r="F55" s="123"/>
      <c r="G55" s="124"/>
      <c r="H55" s="123"/>
      <c r="I55" s="125"/>
      <c r="J55" s="126"/>
      <c r="K55" s="123"/>
      <c r="L55" s="123"/>
      <c r="M55" s="123"/>
      <c r="N55" s="308"/>
      <c r="R55" s="60"/>
      <c r="S55" s="60"/>
      <c r="T55" s="60"/>
      <c r="V55" s="309"/>
      <c r="W55" s="309"/>
    </row>
    <row r="56" spans="1:23" s="60" customFormat="1" ht="14.4" customHeight="1">
      <c r="A56" s="127"/>
      <c r="B56" s="118" t="s">
        <v>116</v>
      </c>
      <c r="C56" s="113" t="s">
        <v>110</v>
      </c>
      <c r="D56" s="128">
        <v>1</v>
      </c>
      <c r="E56" s="69">
        <f>References!$B$7</f>
        <v>4.333333333333333</v>
      </c>
      <c r="F56" s="129">
        <f>D56*E56*12</f>
        <v>52</v>
      </c>
      <c r="G56" s="259">
        <f>References!B18</f>
        <v>117</v>
      </c>
      <c r="H56" s="68">
        <f>G56*F56</f>
        <v>6084</v>
      </c>
      <c r="I56" s="47">
        <f t="shared" ref="I56:I64" si="106">$D$126*H56</f>
        <v>3711.3207859381573</v>
      </c>
      <c r="J56" s="67">
        <f>(References!$C$49*I56)</f>
        <v>27.890575706325283</v>
      </c>
      <c r="K56" s="67">
        <f>J56/References!$G$52</f>
        <v>28.593987806361781</v>
      </c>
      <c r="L56" s="67">
        <f t="shared" ref="L56:L77" si="107">IFERROR(K56/F56*E56,0)</f>
        <v>2.3828323171968151</v>
      </c>
      <c r="M56" s="270">
        <v>67.33</v>
      </c>
      <c r="N56" s="67">
        <f>L56+M56</f>
        <v>69.712832317196813</v>
      </c>
      <c r="O56" s="60" t="s">
        <v>254</v>
      </c>
      <c r="R56" s="67"/>
      <c r="S56" s="67"/>
      <c r="T56" s="67"/>
      <c r="U56" s="67"/>
      <c r="V56" s="307">
        <f t="shared" ref="V56:V64" si="108">L56/M56</f>
        <v>3.5390350767812495E-2</v>
      </c>
      <c r="W56" s="67">
        <f t="shared" ref="W56:W64" si="109">N56-M56-L56</f>
        <v>0</v>
      </c>
    </row>
    <row r="57" spans="1:23" s="60" customFormat="1" ht="14.4" customHeight="1">
      <c r="A57" s="127"/>
      <c r="B57" s="118" t="s">
        <v>116</v>
      </c>
      <c r="C57" s="113" t="s">
        <v>113</v>
      </c>
      <c r="D57" s="128">
        <v>1</v>
      </c>
      <c r="E57" s="69">
        <f>References!$B$7</f>
        <v>4.333333333333333</v>
      </c>
      <c r="F57" s="129">
        <f>D57*E57*12</f>
        <v>52</v>
      </c>
      <c r="G57" s="259">
        <f>References!B14</f>
        <v>34</v>
      </c>
      <c r="H57" s="68">
        <f>G57*F57</f>
        <v>1768</v>
      </c>
      <c r="I57" s="47">
        <f t="shared" si="106"/>
        <v>1078.5034762555329</v>
      </c>
      <c r="J57" s="67">
        <f>(References!$C$49*I57)</f>
        <v>8.1049536240603377</v>
      </c>
      <c r="K57" s="67">
        <f>J57/References!$G$52</f>
        <v>8.3093639779170978</v>
      </c>
      <c r="L57" s="67">
        <f t="shared" si="107"/>
        <v>0.69244699815975808</v>
      </c>
      <c r="M57" s="270">
        <v>16.27</v>
      </c>
      <c r="N57" s="67">
        <f>L57+M57</f>
        <v>16.962446998159759</v>
      </c>
      <c r="O57" s="60" t="s">
        <v>254</v>
      </c>
      <c r="R57" s="67"/>
      <c r="S57" s="67"/>
      <c r="T57" s="67"/>
      <c r="U57" s="67"/>
      <c r="V57" s="307">
        <f t="shared" si="108"/>
        <v>4.2559741743070569E-2</v>
      </c>
      <c r="W57" s="67">
        <f t="shared" si="109"/>
        <v>1.5543122344752192E-15</v>
      </c>
    </row>
    <row r="58" spans="1:23" s="60" customFormat="1">
      <c r="A58" s="271"/>
      <c r="B58" s="118" t="s">
        <v>116</v>
      </c>
      <c r="C58" s="113" t="s">
        <v>111</v>
      </c>
      <c r="D58" s="146">
        <v>1</v>
      </c>
      <c r="E58" s="69">
        <f>References!$B$7</f>
        <v>4.333333333333333</v>
      </c>
      <c r="F58" s="272">
        <f>D58*E58*12</f>
        <v>52</v>
      </c>
      <c r="G58" s="259">
        <f>References!$B$21</f>
        <v>47</v>
      </c>
      <c r="H58" s="68">
        <f t="shared" ref="H58:H98" si="110">G58*F58</f>
        <v>2444</v>
      </c>
      <c r="I58" s="47">
        <f t="shared" si="106"/>
        <v>1490.8724524708837</v>
      </c>
      <c r="J58" s="67">
        <f>(References!$C$49*I58)</f>
        <v>11.203906480318702</v>
      </c>
      <c r="K58" s="67">
        <f>J58/References!$G$52</f>
        <v>11.486473734179517</v>
      </c>
      <c r="L58" s="67">
        <f t="shared" si="107"/>
        <v>0.95720614451495978</v>
      </c>
      <c r="M58" s="270">
        <v>27.26</v>
      </c>
      <c r="N58" s="67">
        <f t="shared" ref="N58:N59" si="111">L58+M58</f>
        <v>28.217206144514961</v>
      </c>
      <c r="O58" s="60" t="s">
        <v>254</v>
      </c>
      <c r="R58" s="67"/>
      <c r="S58" s="67"/>
      <c r="T58" s="67"/>
      <c r="U58" s="67"/>
      <c r="V58" s="307">
        <f t="shared" si="108"/>
        <v>3.5113945139947166E-2</v>
      </c>
      <c r="W58" s="67">
        <f t="shared" si="109"/>
        <v>0</v>
      </c>
    </row>
    <row r="59" spans="1:23" s="60" customFormat="1">
      <c r="A59" s="271"/>
      <c r="B59" s="118" t="s">
        <v>116</v>
      </c>
      <c r="C59" s="113" t="s">
        <v>112</v>
      </c>
      <c r="D59" s="146">
        <v>1</v>
      </c>
      <c r="E59" s="69">
        <f>References!$B$7</f>
        <v>4.333333333333333</v>
      </c>
      <c r="F59" s="272">
        <f t="shared" ref="F59" si="112">D59*E59*12</f>
        <v>52</v>
      </c>
      <c r="G59" s="259">
        <f>References!$B$22</f>
        <v>68</v>
      </c>
      <c r="H59" s="68">
        <f t="shared" si="110"/>
        <v>3536</v>
      </c>
      <c r="I59" s="47">
        <f t="shared" si="106"/>
        <v>2157.0069525110657</v>
      </c>
      <c r="J59" s="67">
        <f>(References!$C$49*I59)</f>
        <v>16.209907248120675</v>
      </c>
      <c r="K59" s="67">
        <f>J59/References!$G$52</f>
        <v>16.618727955834196</v>
      </c>
      <c r="L59" s="67">
        <f t="shared" si="107"/>
        <v>1.3848939963195162</v>
      </c>
      <c r="M59" s="270">
        <v>39.46</v>
      </c>
      <c r="N59" s="67">
        <f t="shared" si="111"/>
        <v>40.84489399631952</v>
      </c>
      <c r="O59" s="60" t="s">
        <v>254</v>
      </c>
      <c r="R59" s="67"/>
      <c r="S59" s="67"/>
      <c r="T59" s="67"/>
      <c r="U59" s="67"/>
      <c r="V59" s="307">
        <f t="shared" si="108"/>
        <v>3.5096147904701371E-2</v>
      </c>
      <c r="W59" s="67">
        <f t="shared" si="109"/>
        <v>3.1086244689504383E-15</v>
      </c>
    </row>
    <row r="60" spans="1:23" s="60" customFormat="1">
      <c r="A60" s="127"/>
      <c r="B60" s="118" t="s">
        <v>114</v>
      </c>
      <c r="C60" s="113" t="s">
        <v>115</v>
      </c>
      <c r="D60" s="128">
        <v>1</v>
      </c>
      <c r="E60" s="69">
        <v>1</v>
      </c>
      <c r="F60" s="129">
        <f>D60*E60*12</f>
        <v>12</v>
      </c>
      <c r="G60" s="259">
        <f>References!B24</f>
        <v>34</v>
      </c>
      <c r="H60" s="68">
        <f>G60*F60</f>
        <v>408</v>
      </c>
      <c r="I60" s="47">
        <f t="shared" si="106"/>
        <v>248.88541759743066</v>
      </c>
      <c r="J60" s="67">
        <f>(References!$C$49*I60)</f>
        <v>1.8703739132446933</v>
      </c>
      <c r="K60" s="67">
        <f>J60/References!$G$52</f>
        <v>1.9175455333654841</v>
      </c>
      <c r="L60" s="67">
        <f t="shared" si="107"/>
        <v>0.15979546111379034</v>
      </c>
      <c r="M60" s="270">
        <v>4.8600000000000003</v>
      </c>
      <c r="N60" s="67">
        <f>L60+M60</f>
        <v>5.0197954611137909</v>
      </c>
      <c r="O60" s="60" t="s">
        <v>254</v>
      </c>
      <c r="R60" s="67"/>
      <c r="S60" s="67"/>
      <c r="T60" s="67"/>
      <c r="U60" s="67"/>
      <c r="V60" s="307">
        <f t="shared" si="108"/>
        <v>3.2879724509010354E-2</v>
      </c>
      <c r="W60" s="67">
        <f t="shared" si="109"/>
        <v>2.7755575615628914E-16</v>
      </c>
    </row>
    <row r="61" spans="1:23" s="60" customFormat="1">
      <c r="A61" s="127"/>
      <c r="B61" s="118" t="s">
        <v>114</v>
      </c>
      <c r="C61" s="113" t="s">
        <v>229</v>
      </c>
      <c r="D61" s="128">
        <v>1</v>
      </c>
      <c r="E61" s="69">
        <v>1</v>
      </c>
      <c r="F61" s="129">
        <f>D61*E61*12</f>
        <v>12</v>
      </c>
      <c r="G61" s="259">
        <f>References!B24</f>
        <v>34</v>
      </c>
      <c r="H61" s="68">
        <f t="shared" ref="H61:H64" si="113">G61*F61</f>
        <v>408</v>
      </c>
      <c r="I61" s="47">
        <f t="shared" si="106"/>
        <v>248.88541759743066</v>
      </c>
      <c r="J61" s="67">
        <f>(References!$C$49*I61)</f>
        <v>1.8703739132446933</v>
      </c>
      <c r="K61" s="67">
        <f>J61/References!$G$52</f>
        <v>1.9175455333654841</v>
      </c>
      <c r="L61" s="67">
        <f t="shared" ref="L61:L64" si="114">IFERROR(K61/F61*E61,0)</f>
        <v>0.15979546111379034</v>
      </c>
      <c r="M61" s="270">
        <v>4.8600000000000003</v>
      </c>
      <c r="N61" s="67">
        <f t="shared" ref="N61:N64" si="115">L61+M61</f>
        <v>5.0197954611137909</v>
      </c>
      <c r="O61" s="60" t="s">
        <v>254</v>
      </c>
      <c r="R61" s="67"/>
      <c r="S61" s="67"/>
      <c r="T61" s="67"/>
      <c r="U61" s="67"/>
      <c r="V61" s="307">
        <f t="shared" si="108"/>
        <v>3.2879724509010354E-2</v>
      </c>
      <c r="W61" s="67">
        <f t="shared" si="109"/>
        <v>2.7755575615628914E-16</v>
      </c>
    </row>
    <row r="62" spans="1:23" s="60" customFormat="1">
      <c r="A62" s="127"/>
      <c r="B62" s="118" t="s">
        <v>117</v>
      </c>
      <c r="C62" s="113" t="s">
        <v>110</v>
      </c>
      <c r="D62" s="128">
        <v>1</v>
      </c>
      <c r="E62" s="69">
        <f>References!$B$7</f>
        <v>4.333333333333333</v>
      </c>
      <c r="F62" s="129">
        <f t="shared" ref="F62" si="116">D62*E62*12</f>
        <v>52</v>
      </c>
      <c r="G62" s="259">
        <f>References!B18</f>
        <v>117</v>
      </c>
      <c r="H62" s="68">
        <f>G62*F62</f>
        <v>6084</v>
      </c>
      <c r="I62" s="47">
        <f t="shared" si="106"/>
        <v>3711.3207859381573</v>
      </c>
      <c r="J62" s="67">
        <f>(References!$C$49*I62)</f>
        <v>27.890575706325283</v>
      </c>
      <c r="K62" s="67">
        <f>J62/References!$G$52</f>
        <v>28.593987806361781</v>
      </c>
      <c r="L62" s="67">
        <f t="shared" si="114"/>
        <v>2.3828323171968151</v>
      </c>
      <c r="M62" s="270">
        <v>67.33</v>
      </c>
      <c r="N62" s="67">
        <f t="shared" si="115"/>
        <v>69.712832317196813</v>
      </c>
      <c r="O62" s="60" t="s">
        <v>254</v>
      </c>
      <c r="R62" s="67"/>
      <c r="S62" s="67"/>
      <c r="T62" s="67"/>
      <c r="U62" s="67"/>
      <c r="V62" s="307">
        <f t="shared" si="108"/>
        <v>3.5390350767812495E-2</v>
      </c>
      <c r="W62" s="67">
        <f t="shared" si="109"/>
        <v>0</v>
      </c>
    </row>
    <row r="63" spans="1:23" s="60" customFormat="1">
      <c r="A63" s="127"/>
      <c r="B63" s="118" t="s">
        <v>118</v>
      </c>
      <c r="C63" s="113" t="s">
        <v>115</v>
      </c>
      <c r="D63" s="128">
        <v>1</v>
      </c>
      <c r="E63" s="69">
        <v>1</v>
      </c>
      <c r="F63" s="129">
        <f>D63*E63*12</f>
        <v>12</v>
      </c>
      <c r="G63" s="259">
        <f>References!B24</f>
        <v>34</v>
      </c>
      <c r="H63" s="68">
        <f t="shared" si="113"/>
        <v>408</v>
      </c>
      <c r="I63" s="47">
        <f t="shared" si="106"/>
        <v>248.88541759743066</v>
      </c>
      <c r="J63" s="67">
        <f>(References!$C$49*I63)</f>
        <v>1.8703739132446933</v>
      </c>
      <c r="K63" s="67">
        <f>J63/References!$G$52</f>
        <v>1.9175455333654841</v>
      </c>
      <c r="L63" s="67">
        <f t="shared" si="114"/>
        <v>0.15979546111379034</v>
      </c>
      <c r="M63" s="270">
        <v>4.8600000000000003</v>
      </c>
      <c r="N63" s="67">
        <f t="shared" si="115"/>
        <v>5.0197954611137909</v>
      </c>
      <c r="O63" s="60" t="s">
        <v>254</v>
      </c>
      <c r="R63" s="67"/>
      <c r="S63" s="67"/>
      <c r="T63" s="67"/>
      <c r="U63" s="67"/>
      <c r="V63" s="307">
        <f t="shared" si="108"/>
        <v>3.2879724509010354E-2</v>
      </c>
      <c r="W63" s="67">
        <f t="shared" si="109"/>
        <v>2.7755575615628914E-16</v>
      </c>
    </row>
    <row r="64" spans="1:23" s="60" customFormat="1">
      <c r="A64" s="127"/>
      <c r="B64" s="118" t="s">
        <v>118</v>
      </c>
      <c r="C64" s="113" t="s">
        <v>229</v>
      </c>
      <c r="D64" s="128">
        <v>1</v>
      </c>
      <c r="E64" s="69">
        <v>1</v>
      </c>
      <c r="F64" s="129">
        <f>D64*E64*12</f>
        <v>12</v>
      </c>
      <c r="G64" s="259">
        <f>References!B24</f>
        <v>34</v>
      </c>
      <c r="H64" s="68">
        <f t="shared" si="113"/>
        <v>408</v>
      </c>
      <c r="I64" s="47">
        <f t="shared" si="106"/>
        <v>248.88541759743066</v>
      </c>
      <c r="J64" s="67">
        <f>(References!$C$49*I64)</f>
        <v>1.8703739132446933</v>
      </c>
      <c r="K64" s="67">
        <f>J64/References!$G$52</f>
        <v>1.9175455333654841</v>
      </c>
      <c r="L64" s="67">
        <f t="shared" si="114"/>
        <v>0.15979546111379034</v>
      </c>
      <c r="M64" s="270">
        <v>4.8600000000000003</v>
      </c>
      <c r="N64" s="67">
        <f t="shared" si="115"/>
        <v>5.0197954611137909</v>
      </c>
      <c r="O64" s="60" t="s">
        <v>254</v>
      </c>
      <c r="R64" s="67"/>
      <c r="S64" s="67"/>
      <c r="T64" s="67"/>
      <c r="U64" s="67"/>
      <c r="V64" s="307">
        <f t="shared" si="108"/>
        <v>3.2879724509010354E-2</v>
      </c>
      <c r="W64" s="67">
        <f t="shared" si="109"/>
        <v>2.7755575615628914E-16</v>
      </c>
    </row>
    <row r="65" spans="1:23" s="60" customFormat="1" ht="43.2">
      <c r="A65" s="127"/>
      <c r="B65" s="145" t="s">
        <v>129</v>
      </c>
      <c r="C65" s="113"/>
      <c r="D65" s="128"/>
      <c r="E65" s="69"/>
      <c r="F65" s="129"/>
      <c r="G65" s="130"/>
      <c r="H65" s="68"/>
      <c r="I65" s="47"/>
      <c r="J65" s="67"/>
      <c r="K65" s="67"/>
      <c r="L65" s="67"/>
      <c r="M65" s="295"/>
      <c r="N65" s="67"/>
      <c r="O65" s="67"/>
      <c r="S65" s="67"/>
      <c r="T65" s="67"/>
      <c r="U65" s="67"/>
      <c r="V65" s="309"/>
      <c r="W65" s="309"/>
    </row>
    <row r="66" spans="1:23" s="60" customFormat="1">
      <c r="A66" s="127"/>
      <c r="B66" s="260" t="s">
        <v>117</v>
      </c>
      <c r="C66" s="261" t="s">
        <v>187</v>
      </c>
      <c r="D66" s="265">
        <v>406</v>
      </c>
      <c r="E66" s="262">
        <f>References!$B$7</f>
        <v>4.333333333333333</v>
      </c>
      <c r="F66" s="263">
        <f>D66*E66*12</f>
        <v>21112</v>
      </c>
      <c r="G66" s="264">
        <f>References!B13</f>
        <v>20</v>
      </c>
      <c r="H66" s="265">
        <f t="shared" ref="H66:H77" si="117">G66*F66</f>
        <v>422240</v>
      </c>
      <c r="I66" s="266">
        <f t="shared" ref="I66:I96" si="118">$D$126*H66</f>
        <v>257572.00668220373</v>
      </c>
      <c r="J66" s="267">
        <f>(References!$C$49*I66)</f>
        <v>1935.6536302167631</v>
      </c>
      <c r="K66" s="267">
        <f>J66/References!$G$52</f>
        <v>1984.4716323731423</v>
      </c>
      <c r="L66" s="267">
        <f t="shared" si="107"/>
        <v>0.40732176362338712</v>
      </c>
      <c r="M66" s="267">
        <v>10.08</v>
      </c>
      <c r="N66" s="267">
        <f t="shared" ref="N66:N77" si="119">L66+M66</f>
        <v>10.487321763623386</v>
      </c>
      <c r="O66" s="267" t="s">
        <v>231</v>
      </c>
      <c r="S66" s="67"/>
      <c r="T66" s="67"/>
      <c r="U66" s="67"/>
      <c r="V66" s="307">
        <f t="shared" ref="V66:V97" si="120">L66/M66</f>
        <v>4.0408905121367772E-2</v>
      </c>
      <c r="W66" s="67">
        <f t="shared" ref="W66:W97" si="121">N66-M66-L66</f>
        <v>-7.7715611723760958E-16</v>
      </c>
    </row>
    <row r="67" spans="1:23" s="60" customFormat="1">
      <c r="A67" s="127"/>
      <c r="B67" s="260" t="s">
        <v>117</v>
      </c>
      <c r="C67" s="261" t="s">
        <v>99</v>
      </c>
      <c r="D67" s="265">
        <v>1436</v>
      </c>
      <c r="E67" s="262">
        <f>References!$B$7</f>
        <v>4.333333333333333</v>
      </c>
      <c r="F67" s="263">
        <f t="shared" ref="F67:F115" si="122">D67*E67*12</f>
        <v>74672</v>
      </c>
      <c r="G67" s="264">
        <f>References!B14</f>
        <v>34</v>
      </c>
      <c r="H67" s="265">
        <f t="shared" si="117"/>
        <v>2538848</v>
      </c>
      <c r="I67" s="266">
        <f t="shared" si="118"/>
        <v>1548730.9919029451</v>
      </c>
      <c r="J67" s="267">
        <f>(References!$C$49*I67)</f>
        <v>11638.713404150645</v>
      </c>
      <c r="K67" s="267">
        <f>J67/References!$G$52</f>
        <v>11932.246672288953</v>
      </c>
      <c r="L67" s="267">
        <f t="shared" si="107"/>
        <v>0.69244699815975808</v>
      </c>
      <c r="M67" s="267">
        <v>16.27</v>
      </c>
      <c r="N67" s="267">
        <f t="shared" si="119"/>
        <v>16.962446998159759</v>
      </c>
      <c r="O67" s="267" t="s">
        <v>231</v>
      </c>
      <c r="S67" s="67"/>
      <c r="T67" s="67"/>
      <c r="U67" s="67"/>
      <c r="V67" s="307">
        <f t="shared" si="120"/>
        <v>4.2559741743070569E-2</v>
      </c>
      <c r="W67" s="67">
        <f t="shared" si="121"/>
        <v>1.5543122344752192E-15</v>
      </c>
    </row>
    <row r="68" spans="1:23" s="60" customFormat="1">
      <c r="A68" s="127"/>
      <c r="B68" s="260" t="s">
        <v>117</v>
      </c>
      <c r="C68" s="261" t="s">
        <v>100</v>
      </c>
      <c r="D68" s="265">
        <v>78</v>
      </c>
      <c r="E68" s="262">
        <f>References!$B$7</f>
        <v>4.333333333333333</v>
      </c>
      <c r="F68" s="263">
        <f t="shared" si="122"/>
        <v>4056</v>
      </c>
      <c r="G68" s="264">
        <f>References!B15</f>
        <v>51</v>
      </c>
      <c r="H68" s="265">
        <f t="shared" si="117"/>
        <v>206856</v>
      </c>
      <c r="I68" s="266">
        <f t="shared" si="118"/>
        <v>126184.90672189734</v>
      </c>
      <c r="J68" s="267">
        <f>(References!$C$49*I68)</f>
        <v>948.27957401505944</v>
      </c>
      <c r="K68" s="267">
        <f>J68/References!$G$52</f>
        <v>972.19558541630033</v>
      </c>
      <c r="L68" s="267">
        <f t="shared" si="107"/>
        <v>1.038670497239637</v>
      </c>
      <c r="M68" s="267">
        <v>27.35</v>
      </c>
      <c r="N68" s="267">
        <f t="shared" si="119"/>
        <v>28.388670497239637</v>
      </c>
      <c r="O68" s="267" t="s">
        <v>231</v>
      </c>
      <c r="S68" s="67"/>
      <c r="T68" s="67"/>
      <c r="U68" s="67"/>
      <c r="V68" s="307">
        <f t="shared" si="120"/>
        <v>3.7976983445690567E-2</v>
      </c>
      <c r="W68" s="67">
        <f t="shared" si="121"/>
        <v>0</v>
      </c>
    </row>
    <row r="69" spans="1:23" s="60" customFormat="1">
      <c r="A69" s="127"/>
      <c r="B69" s="260" t="s">
        <v>117</v>
      </c>
      <c r="C69" s="261" t="s">
        <v>101</v>
      </c>
      <c r="D69" s="265">
        <v>1</v>
      </c>
      <c r="E69" s="262">
        <f>References!$B$7</f>
        <v>4.333333333333333</v>
      </c>
      <c r="F69" s="263">
        <f t="shared" si="122"/>
        <v>52</v>
      </c>
      <c r="G69" s="264">
        <f>References!B16</f>
        <v>77</v>
      </c>
      <c r="H69" s="265">
        <f t="shared" si="117"/>
        <v>4004</v>
      </c>
      <c r="I69" s="266">
        <f t="shared" si="118"/>
        <v>2442.4931668140007</v>
      </c>
      <c r="J69" s="267">
        <f>(References!$C$49*I69)</f>
        <v>18.355336148607233</v>
      </c>
      <c r="K69" s="267">
        <f>J69/References!$G$52</f>
        <v>18.818265479400484</v>
      </c>
      <c r="L69" s="267">
        <f t="shared" si="107"/>
        <v>1.5681887899500402</v>
      </c>
      <c r="M69" s="267">
        <v>40.119999999999997</v>
      </c>
      <c r="N69" s="267">
        <f t="shared" si="119"/>
        <v>41.68818878995004</v>
      </c>
      <c r="O69" s="267" t="s">
        <v>231</v>
      </c>
      <c r="S69" s="67"/>
      <c r="T69" s="67"/>
      <c r="U69" s="67"/>
      <c r="V69" s="307">
        <f t="shared" si="120"/>
        <v>3.9087457376621143E-2</v>
      </c>
      <c r="W69" s="67">
        <f t="shared" si="121"/>
        <v>2.2204460492503131E-15</v>
      </c>
    </row>
    <row r="70" spans="1:23" s="60" customFormat="1">
      <c r="A70" s="127"/>
      <c r="B70" s="260" t="s">
        <v>117</v>
      </c>
      <c r="C70" s="261" t="s">
        <v>102</v>
      </c>
      <c r="D70" s="265">
        <v>2</v>
      </c>
      <c r="E70" s="262">
        <f>References!$B$7</f>
        <v>4.333333333333333</v>
      </c>
      <c r="F70" s="263">
        <f t="shared" si="122"/>
        <v>104</v>
      </c>
      <c r="G70" s="264">
        <f>References!B17</f>
        <v>97</v>
      </c>
      <c r="H70" s="265">
        <f t="shared" si="117"/>
        <v>10088</v>
      </c>
      <c r="I70" s="266">
        <f t="shared" si="118"/>
        <v>6153.813952752158</v>
      </c>
      <c r="J70" s="267">
        <f>(References!$C$49*I70)</f>
        <v>46.245911854932515</v>
      </c>
      <c r="K70" s="267">
        <f>J70/References!$G$52</f>
        <v>47.412253285762262</v>
      </c>
      <c r="L70" s="267">
        <f t="shared" si="107"/>
        <v>1.9755105535734274</v>
      </c>
      <c r="M70" s="267">
        <v>53.56</v>
      </c>
      <c r="N70" s="267">
        <f t="shared" si="119"/>
        <v>55.535510553573431</v>
      </c>
      <c r="O70" s="267" t="s">
        <v>231</v>
      </c>
      <c r="S70" s="67"/>
      <c r="T70" s="67"/>
      <c r="U70" s="67"/>
      <c r="V70" s="307">
        <f t="shared" si="120"/>
        <v>3.688406560069879E-2</v>
      </c>
      <c r="W70" s="67">
        <f t="shared" si="121"/>
        <v>0</v>
      </c>
    </row>
    <row r="71" spans="1:23" s="60" customFormat="1">
      <c r="A71" s="127"/>
      <c r="B71" s="260" t="s">
        <v>117</v>
      </c>
      <c r="C71" s="261" t="s">
        <v>97</v>
      </c>
      <c r="D71" s="265">
        <v>31</v>
      </c>
      <c r="E71" s="262">
        <f>References!B9</f>
        <v>1</v>
      </c>
      <c r="F71" s="263">
        <f t="shared" si="122"/>
        <v>372</v>
      </c>
      <c r="G71" s="264">
        <f>G67</f>
        <v>34</v>
      </c>
      <c r="H71" s="265">
        <f t="shared" si="117"/>
        <v>12648</v>
      </c>
      <c r="I71" s="266">
        <f t="shared" si="118"/>
        <v>7715.44794552035</v>
      </c>
      <c r="J71" s="267">
        <f>(References!$C$49*I71)</f>
        <v>57.981591310585493</v>
      </c>
      <c r="K71" s="267">
        <f>J71/References!$G$52</f>
        <v>59.443911534330006</v>
      </c>
      <c r="L71" s="267">
        <f t="shared" si="107"/>
        <v>0.15979546111379034</v>
      </c>
      <c r="M71" s="267">
        <v>5.63</v>
      </c>
      <c r="N71" s="267">
        <f>N7</f>
        <v>5.7897954611137905</v>
      </c>
      <c r="O71" s="267" t="s">
        <v>231</v>
      </c>
      <c r="S71" s="67"/>
      <c r="T71" s="67"/>
      <c r="U71" s="67"/>
      <c r="V71" s="307">
        <f t="shared" si="120"/>
        <v>2.8382852773319776E-2</v>
      </c>
      <c r="W71" s="67">
        <f t="shared" si="121"/>
        <v>2.7755575615628914E-16</v>
      </c>
    </row>
    <row r="72" spans="1:23" s="60" customFormat="1">
      <c r="A72" s="127"/>
      <c r="B72" s="260" t="s">
        <v>117</v>
      </c>
      <c r="C72" s="261" t="s">
        <v>103</v>
      </c>
      <c r="D72" s="265">
        <v>386</v>
      </c>
      <c r="E72" s="262">
        <f>References!$B$7</f>
        <v>4.333333333333333</v>
      </c>
      <c r="F72" s="263">
        <f t="shared" si="122"/>
        <v>20072</v>
      </c>
      <c r="G72" s="264">
        <f>G8</f>
        <v>34</v>
      </c>
      <c r="H72" s="265">
        <f t="shared" si="117"/>
        <v>682448</v>
      </c>
      <c r="I72" s="266">
        <f t="shared" si="118"/>
        <v>416302.34183463565</v>
      </c>
      <c r="J72" s="267">
        <f>(References!$C$49*I72)</f>
        <v>3128.51209888729</v>
      </c>
      <c r="K72" s="267">
        <f>J72/References!$G$52</f>
        <v>3207.4144954759995</v>
      </c>
      <c r="L72" s="267">
        <f t="shared" si="107"/>
        <v>0.69244699815975808</v>
      </c>
      <c r="M72" s="267">
        <v>16.27</v>
      </c>
      <c r="N72" s="267">
        <f t="shared" si="119"/>
        <v>16.962446998159759</v>
      </c>
      <c r="O72" s="267" t="s">
        <v>231</v>
      </c>
      <c r="S72" s="67"/>
      <c r="T72" s="67"/>
      <c r="U72" s="67"/>
      <c r="V72" s="307">
        <f t="shared" si="120"/>
        <v>4.2559741743070569E-2</v>
      </c>
      <c r="W72" s="67">
        <f t="shared" si="121"/>
        <v>1.5543122344752192E-15</v>
      </c>
    </row>
    <row r="73" spans="1:23" s="60" customFormat="1">
      <c r="A73" s="127"/>
      <c r="B73" s="260" t="s">
        <v>117</v>
      </c>
      <c r="C73" s="261" t="s">
        <v>104</v>
      </c>
      <c r="D73" s="265">
        <v>853</v>
      </c>
      <c r="E73" s="262">
        <f>References!$B$7</f>
        <v>4.333333333333333</v>
      </c>
      <c r="F73" s="263">
        <f t="shared" si="122"/>
        <v>44356</v>
      </c>
      <c r="G73" s="264">
        <f>G9</f>
        <v>47</v>
      </c>
      <c r="H73" s="265">
        <f t="shared" si="117"/>
        <v>2084732</v>
      </c>
      <c r="I73" s="266">
        <f t="shared" si="118"/>
        <v>1271714.2019576638</v>
      </c>
      <c r="J73" s="267">
        <f>(References!$C$49*I73)</f>
        <v>9556.9322277118536</v>
      </c>
      <c r="K73" s="267">
        <f>J73/References!$G$52</f>
        <v>9797.9620952551286</v>
      </c>
      <c r="L73" s="267">
        <f t="shared" si="107"/>
        <v>0.95720614451495978</v>
      </c>
      <c r="M73" s="267">
        <v>27.26</v>
      </c>
      <c r="N73" s="267">
        <f t="shared" si="119"/>
        <v>28.217206144514961</v>
      </c>
      <c r="O73" s="267" t="s">
        <v>231</v>
      </c>
      <c r="S73" s="67"/>
      <c r="T73" s="67"/>
      <c r="U73" s="67"/>
      <c r="V73" s="307">
        <f t="shared" si="120"/>
        <v>3.5113945139947166E-2</v>
      </c>
      <c r="W73" s="67">
        <f t="shared" si="121"/>
        <v>0</v>
      </c>
    </row>
    <row r="74" spans="1:23" s="60" customFormat="1">
      <c r="A74" s="127"/>
      <c r="B74" s="260" t="s">
        <v>117</v>
      </c>
      <c r="C74" s="261" t="s">
        <v>128</v>
      </c>
      <c r="D74" s="265">
        <v>173</v>
      </c>
      <c r="E74" s="262">
        <f>References!$B$7</f>
        <v>4.333333333333333</v>
      </c>
      <c r="F74" s="263">
        <f t="shared" si="122"/>
        <v>8996</v>
      </c>
      <c r="G74" s="264">
        <f>G10</f>
        <v>68</v>
      </c>
      <c r="H74" s="265">
        <f t="shared" si="117"/>
        <v>611728</v>
      </c>
      <c r="I74" s="266">
        <f t="shared" si="118"/>
        <v>373162.20278441434</v>
      </c>
      <c r="J74" s="267">
        <f>(References!$C$49*I74)</f>
        <v>2804.3139539248768</v>
      </c>
      <c r="K74" s="267">
        <f>J74/References!$G$52</f>
        <v>2875.039936359316</v>
      </c>
      <c r="L74" s="267">
        <f t="shared" si="107"/>
        <v>1.3848939963195164</v>
      </c>
      <c r="M74" s="267">
        <v>39.46</v>
      </c>
      <c r="N74" s="267">
        <f t="shared" si="119"/>
        <v>40.84489399631952</v>
      </c>
      <c r="O74" s="267" t="s">
        <v>231</v>
      </c>
      <c r="S74" s="67"/>
      <c r="T74" s="67"/>
      <c r="U74" s="67"/>
      <c r="V74" s="307">
        <f t="shared" si="120"/>
        <v>3.5096147904701377E-2</v>
      </c>
      <c r="W74" s="67">
        <f t="shared" si="121"/>
        <v>2.886579864025407E-15</v>
      </c>
    </row>
    <row r="75" spans="1:23" s="60" customFormat="1">
      <c r="A75" s="127"/>
      <c r="B75" s="118" t="s">
        <v>117</v>
      </c>
      <c r="C75" s="113" t="s">
        <v>113</v>
      </c>
      <c r="D75" s="146">
        <v>1</v>
      </c>
      <c r="E75" s="69">
        <f>References!$B$7</f>
        <v>4.333333333333333</v>
      </c>
      <c r="F75" s="273">
        <f t="shared" si="122"/>
        <v>52</v>
      </c>
      <c r="G75" s="259">
        <f>G57</f>
        <v>34</v>
      </c>
      <c r="H75" s="68">
        <f t="shared" si="117"/>
        <v>1768</v>
      </c>
      <c r="I75" s="47">
        <f t="shared" si="118"/>
        <v>1078.5034762555329</v>
      </c>
      <c r="J75" s="67">
        <f>(References!$C$49*I75)</f>
        <v>8.1049536240603377</v>
      </c>
      <c r="K75" s="67">
        <f>J75/References!$G$52</f>
        <v>8.3093639779170978</v>
      </c>
      <c r="L75" s="67">
        <f t="shared" si="107"/>
        <v>0.69244699815975808</v>
      </c>
      <c r="M75" s="270">
        <v>16.27</v>
      </c>
      <c r="N75" s="67">
        <f t="shared" si="119"/>
        <v>16.962446998159759</v>
      </c>
      <c r="O75" s="67" t="s">
        <v>254</v>
      </c>
      <c r="S75" s="67"/>
      <c r="T75" s="67"/>
      <c r="U75" s="67"/>
      <c r="V75" s="307">
        <f t="shared" si="120"/>
        <v>4.2559741743070569E-2</v>
      </c>
      <c r="W75" s="67">
        <f t="shared" si="121"/>
        <v>1.5543122344752192E-15</v>
      </c>
    </row>
    <row r="76" spans="1:23" s="60" customFormat="1">
      <c r="A76" s="127"/>
      <c r="B76" s="118" t="s">
        <v>117</v>
      </c>
      <c r="C76" s="113" t="s">
        <v>111</v>
      </c>
      <c r="D76" s="146">
        <v>1</v>
      </c>
      <c r="E76" s="69">
        <f>References!$B$7</f>
        <v>4.333333333333333</v>
      </c>
      <c r="F76" s="273">
        <f t="shared" si="122"/>
        <v>52</v>
      </c>
      <c r="G76" s="259">
        <f>References!$B$21</f>
        <v>47</v>
      </c>
      <c r="H76" s="68">
        <f t="shared" si="117"/>
        <v>2444</v>
      </c>
      <c r="I76" s="47">
        <f t="shared" si="118"/>
        <v>1490.8724524708837</v>
      </c>
      <c r="J76" s="67">
        <f>(References!$C$49*I76)</f>
        <v>11.203906480318702</v>
      </c>
      <c r="K76" s="67">
        <f>J76/References!$G$52</f>
        <v>11.486473734179517</v>
      </c>
      <c r="L76" s="67">
        <f t="shared" si="107"/>
        <v>0.95720614451495978</v>
      </c>
      <c r="M76" s="270">
        <v>27.26</v>
      </c>
      <c r="N76" s="67">
        <f t="shared" si="119"/>
        <v>28.217206144514961</v>
      </c>
      <c r="O76" s="67" t="s">
        <v>254</v>
      </c>
      <c r="S76" s="67"/>
      <c r="T76" s="67"/>
      <c r="U76" s="67"/>
      <c r="V76" s="307">
        <f t="shared" si="120"/>
        <v>3.5113945139947166E-2</v>
      </c>
      <c r="W76" s="67">
        <f t="shared" si="121"/>
        <v>0</v>
      </c>
    </row>
    <row r="77" spans="1:23" s="60" customFormat="1">
      <c r="A77" s="127"/>
      <c r="B77" s="118" t="s">
        <v>117</v>
      </c>
      <c r="C77" s="113" t="s">
        <v>112</v>
      </c>
      <c r="D77" s="146">
        <v>1</v>
      </c>
      <c r="E77" s="69">
        <f>References!$B$7</f>
        <v>4.333333333333333</v>
      </c>
      <c r="F77" s="273">
        <f t="shared" si="122"/>
        <v>52</v>
      </c>
      <c r="G77" s="259">
        <f>References!$B$22</f>
        <v>68</v>
      </c>
      <c r="H77" s="68">
        <f t="shared" si="117"/>
        <v>3536</v>
      </c>
      <c r="I77" s="47">
        <f t="shared" si="118"/>
        <v>2157.0069525110657</v>
      </c>
      <c r="J77" s="67">
        <f>(References!$C$49*I77)</f>
        <v>16.209907248120675</v>
      </c>
      <c r="K77" s="67">
        <f>J77/References!$G$52</f>
        <v>16.618727955834196</v>
      </c>
      <c r="L77" s="67">
        <f t="shared" si="107"/>
        <v>1.3848939963195162</v>
      </c>
      <c r="M77" s="270">
        <v>39.46</v>
      </c>
      <c r="N77" s="67">
        <f t="shared" si="119"/>
        <v>40.84489399631952</v>
      </c>
      <c r="O77" s="67" t="s">
        <v>254</v>
      </c>
      <c r="S77" s="67"/>
      <c r="T77" s="67"/>
      <c r="U77" s="67"/>
      <c r="V77" s="307">
        <f t="shared" si="120"/>
        <v>3.5096147904701371E-2</v>
      </c>
      <c r="W77" s="67">
        <f t="shared" si="121"/>
        <v>3.1086244689504383E-15</v>
      </c>
    </row>
    <row r="78" spans="1:23" s="60" customFormat="1">
      <c r="A78" s="127"/>
      <c r="B78" s="118" t="s">
        <v>108</v>
      </c>
      <c r="C78" s="113" t="s">
        <v>257</v>
      </c>
      <c r="D78" s="146">
        <v>1</v>
      </c>
      <c r="E78" s="69">
        <v>1</v>
      </c>
      <c r="F78" s="109">
        <f t="shared" si="122"/>
        <v>12</v>
      </c>
      <c r="G78" s="259">
        <f t="shared" ref="G78:G87" si="123">G40</f>
        <v>34</v>
      </c>
      <c r="H78" s="68">
        <f t="shared" si="110"/>
        <v>408</v>
      </c>
      <c r="I78" s="47">
        <f t="shared" si="118"/>
        <v>248.88541759743066</v>
      </c>
      <c r="J78" s="67">
        <f>(References!$C$49*I78)</f>
        <v>1.8703739132446933</v>
      </c>
      <c r="K78" s="67">
        <f>J78/References!$G$52</f>
        <v>1.9175455333654841</v>
      </c>
      <c r="L78" s="67">
        <f t="shared" ref="L78:L87" si="124">IFERROR(K78/F78*E78,0)</f>
        <v>0.15979546111379034</v>
      </c>
      <c r="M78" s="270">
        <v>9.67</v>
      </c>
      <c r="N78" s="67">
        <f t="shared" ref="N78:N98" si="125">L78+M78</f>
        <v>9.8297954611137897</v>
      </c>
      <c r="O78" s="67" t="s">
        <v>254</v>
      </c>
      <c r="S78" s="67"/>
      <c r="T78" s="67"/>
      <c r="U78" s="67"/>
      <c r="V78" s="307">
        <f t="shared" si="120"/>
        <v>1.6524866712904894E-2</v>
      </c>
      <c r="W78" s="67">
        <f t="shared" si="121"/>
        <v>-6.106226635438361E-16</v>
      </c>
    </row>
    <row r="79" spans="1:23" s="60" customFormat="1">
      <c r="A79" s="127"/>
      <c r="B79" s="118" t="s">
        <v>108</v>
      </c>
      <c r="C79" s="113" t="s">
        <v>258</v>
      </c>
      <c r="D79" s="146">
        <v>1</v>
      </c>
      <c r="E79" s="69">
        <v>1</v>
      </c>
      <c r="F79" s="109">
        <f t="shared" si="122"/>
        <v>12</v>
      </c>
      <c r="G79" s="259">
        <f t="shared" si="123"/>
        <v>47</v>
      </c>
      <c r="H79" s="68">
        <f t="shared" si="110"/>
        <v>564</v>
      </c>
      <c r="I79" s="47">
        <f t="shared" si="118"/>
        <v>344.04748903174237</v>
      </c>
      <c r="J79" s="67">
        <f>(References!$C$49*I79)</f>
        <v>2.5855168800735466</v>
      </c>
      <c r="K79" s="67">
        <f>J79/References!$G$52</f>
        <v>2.6507247078875809</v>
      </c>
      <c r="L79" s="67">
        <f t="shared" si="124"/>
        <v>0.2208937256572984</v>
      </c>
      <c r="M79" s="270">
        <v>13.74</v>
      </c>
      <c r="N79" s="67">
        <f t="shared" si="125"/>
        <v>13.960893725657298</v>
      </c>
      <c r="O79" s="67" t="s">
        <v>254</v>
      </c>
      <c r="S79" s="67"/>
      <c r="T79" s="67"/>
      <c r="U79" s="67"/>
      <c r="V79" s="307">
        <f t="shared" si="120"/>
        <v>1.6076690368071207E-2</v>
      </c>
      <c r="W79" s="67">
        <f t="shared" si="121"/>
        <v>-3.6082248300317588E-16</v>
      </c>
    </row>
    <row r="80" spans="1:23" s="60" customFormat="1">
      <c r="A80" s="127"/>
      <c r="B80" s="118" t="s">
        <v>108</v>
      </c>
      <c r="C80" s="113" t="s">
        <v>259</v>
      </c>
      <c r="D80" s="146">
        <v>1</v>
      </c>
      <c r="E80" s="69">
        <v>1</v>
      </c>
      <c r="F80" s="109">
        <f t="shared" si="122"/>
        <v>12</v>
      </c>
      <c r="G80" s="259">
        <f t="shared" si="123"/>
        <v>68</v>
      </c>
      <c r="H80" s="68">
        <f t="shared" si="110"/>
        <v>816</v>
      </c>
      <c r="I80" s="47">
        <f t="shared" si="118"/>
        <v>497.77083519486132</v>
      </c>
      <c r="J80" s="67">
        <f>(References!$C$49*I80)</f>
        <v>3.7407478264893865</v>
      </c>
      <c r="K80" s="67">
        <f>J80/References!$G$52</f>
        <v>3.8350910667309681</v>
      </c>
      <c r="L80" s="67">
        <f t="shared" si="124"/>
        <v>0.31959092222758068</v>
      </c>
      <c r="M80" s="270">
        <v>16.36</v>
      </c>
      <c r="N80" s="67">
        <f t="shared" si="125"/>
        <v>16.679590922227579</v>
      </c>
      <c r="O80" s="67" t="s">
        <v>254</v>
      </c>
      <c r="S80" s="67"/>
      <c r="T80" s="67"/>
      <c r="U80" s="67"/>
      <c r="V80" s="307">
        <f t="shared" si="120"/>
        <v>1.9534897446673635E-2</v>
      </c>
      <c r="W80" s="67">
        <f t="shared" si="121"/>
        <v>-1.2212453270876722E-15</v>
      </c>
    </row>
    <row r="81" spans="1:23" s="60" customFormat="1">
      <c r="A81" s="127"/>
      <c r="B81" s="118" t="s">
        <v>108</v>
      </c>
      <c r="C81" s="113" t="s">
        <v>196</v>
      </c>
      <c r="D81" s="146">
        <v>1</v>
      </c>
      <c r="E81" s="69">
        <v>1</v>
      </c>
      <c r="F81" s="109">
        <f t="shared" si="122"/>
        <v>12</v>
      </c>
      <c r="G81" s="259">
        <f t="shared" si="123"/>
        <v>175</v>
      </c>
      <c r="H81" s="68">
        <f t="shared" si="110"/>
        <v>2100</v>
      </c>
      <c r="I81" s="47">
        <f t="shared" si="118"/>
        <v>1281.0278846926578</v>
      </c>
      <c r="J81" s="67">
        <f>(References!$C$49*I81)</f>
        <v>9.6269245534653329</v>
      </c>
      <c r="K81" s="67">
        <f>J81/References!$G$52</f>
        <v>9.8697196570282273</v>
      </c>
      <c r="L81" s="67">
        <f t="shared" si="124"/>
        <v>0.82247663808568561</v>
      </c>
      <c r="M81" s="270">
        <v>32.450000000000003</v>
      </c>
      <c r="N81" s="67">
        <f t="shared" si="125"/>
        <v>33.272476638085692</v>
      </c>
      <c r="O81" s="67" t="s">
        <v>254</v>
      </c>
      <c r="S81" s="67"/>
      <c r="T81" s="67"/>
      <c r="U81" s="67"/>
      <c r="V81" s="307">
        <f t="shared" si="120"/>
        <v>2.5345967275367812E-2</v>
      </c>
      <c r="W81" s="67">
        <f t="shared" si="121"/>
        <v>3.5527136788005009E-15</v>
      </c>
    </row>
    <row r="82" spans="1:23" s="60" customFormat="1">
      <c r="A82" s="127"/>
      <c r="B82" s="118" t="s">
        <v>108</v>
      </c>
      <c r="C82" s="113" t="s">
        <v>217</v>
      </c>
      <c r="D82" s="146">
        <v>1</v>
      </c>
      <c r="E82" s="69">
        <v>1</v>
      </c>
      <c r="F82" s="109">
        <f t="shared" si="122"/>
        <v>12</v>
      </c>
      <c r="G82" s="259">
        <f t="shared" si="123"/>
        <v>212.5</v>
      </c>
      <c r="H82" s="68">
        <f t="shared" si="110"/>
        <v>2550</v>
      </c>
      <c r="I82" s="47">
        <f t="shared" si="118"/>
        <v>1555.5338599839415</v>
      </c>
      <c r="J82" s="67">
        <f>(References!$C$49*I82)</f>
        <v>11.689836957779333</v>
      </c>
      <c r="K82" s="67">
        <f>J82/References!$G$52</f>
        <v>11.984659583534276</v>
      </c>
      <c r="L82" s="67">
        <f t="shared" si="124"/>
        <v>0.99872163196118968</v>
      </c>
      <c r="M82" s="270">
        <v>38.340000000000003</v>
      </c>
      <c r="N82" s="67">
        <f t="shared" si="125"/>
        <v>39.338721631961192</v>
      </c>
      <c r="O82" s="67" t="s">
        <v>254</v>
      </c>
      <c r="S82" s="67"/>
      <c r="T82" s="67"/>
      <c r="U82" s="67"/>
      <c r="V82" s="307">
        <f t="shared" si="120"/>
        <v>2.6049077515941304E-2</v>
      </c>
      <c r="W82" s="67">
        <f t="shared" si="121"/>
        <v>0</v>
      </c>
    </row>
    <row r="83" spans="1:23" s="60" customFormat="1">
      <c r="A83" s="127"/>
      <c r="B83" s="118" t="s">
        <v>108</v>
      </c>
      <c r="C83" s="113" t="s">
        <v>192</v>
      </c>
      <c r="D83" s="146">
        <v>1</v>
      </c>
      <c r="E83" s="69">
        <v>1</v>
      </c>
      <c r="F83" s="109">
        <f t="shared" si="122"/>
        <v>12</v>
      </c>
      <c r="G83" s="259">
        <f t="shared" si="123"/>
        <v>324</v>
      </c>
      <c r="H83" s="68">
        <f t="shared" si="110"/>
        <v>3888</v>
      </c>
      <c r="I83" s="47">
        <f t="shared" si="118"/>
        <v>2371.7316265166919</v>
      </c>
      <c r="J83" s="67">
        <f>(References!$C$49*I83)</f>
        <v>17.823563173272959</v>
      </c>
      <c r="K83" s="67">
        <f>J83/References!$G$52</f>
        <v>18.273080965012259</v>
      </c>
      <c r="L83" s="67">
        <f t="shared" si="124"/>
        <v>1.5227567470843548</v>
      </c>
      <c r="M83" s="270">
        <v>57.59</v>
      </c>
      <c r="N83" s="67">
        <f t="shared" si="125"/>
        <v>59.112756747084362</v>
      </c>
      <c r="O83" s="67" t="s">
        <v>254</v>
      </c>
      <c r="S83" s="67"/>
      <c r="T83" s="67"/>
      <c r="U83" s="67"/>
      <c r="V83" s="307">
        <f t="shared" si="120"/>
        <v>2.644133959167138E-2</v>
      </c>
      <c r="W83" s="67">
        <f t="shared" si="121"/>
        <v>3.3306690738754696E-15</v>
      </c>
    </row>
    <row r="84" spans="1:23" s="60" customFormat="1">
      <c r="A84" s="127"/>
      <c r="B84" s="118" t="s">
        <v>108</v>
      </c>
      <c r="C84" s="113" t="s">
        <v>119</v>
      </c>
      <c r="D84" s="146">
        <v>1</v>
      </c>
      <c r="E84" s="69">
        <v>1</v>
      </c>
      <c r="F84" s="109">
        <f t="shared" si="122"/>
        <v>12</v>
      </c>
      <c r="G84" s="259">
        <f t="shared" si="123"/>
        <v>473</v>
      </c>
      <c r="H84" s="68">
        <f t="shared" si="110"/>
        <v>5676</v>
      </c>
      <c r="I84" s="47">
        <f t="shared" si="118"/>
        <v>3462.4353683407267</v>
      </c>
      <c r="J84" s="67">
        <f>(References!$C$49*I84)</f>
        <v>26.020201793080588</v>
      </c>
      <c r="K84" s="67">
        <f>J84/References!$G$52</f>
        <v>26.676442272996297</v>
      </c>
      <c r="L84" s="67">
        <f t="shared" si="124"/>
        <v>2.2230368560830249</v>
      </c>
      <c r="M84" s="270">
        <v>82.07</v>
      </c>
      <c r="N84" s="67">
        <f t="shared" si="125"/>
        <v>84.29303685608302</v>
      </c>
      <c r="O84" s="67" t="s">
        <v>254</v>
      </c>
      <c r="S84" s="67"/>
      <c r="T84" s="67"/>
      <c r="U84" s="67"/>
      <c r="V84" s="307">
        <f t="shared" si="120"/>
        <v>2.7087082442829598E-2</v>
      </c>
      <c r="W84" s="67">
        <f t="shared" si="121"/>
        <v>0</v>
      </c>
    </row>
    <row r="85" spans="1:23" s="60" customFormat="1">
      <c r="A85" s="127"/>
      <c r="B85" s="118" t="s">
        <v>108</v>
      </c>
      <c r="C85" s="113" t="s">
        <v>120</v>
      </c>
      <c r="D85" s="146">
        <v>1</v>
      </c>
      <c r="E85" s="69">
        <v>1</v>
      </c>
      <c r="F85" s="109">
        <f t="shared" si="122"/>
        <v>12</v>
      </c>
      <c r="G85" s="259">
        <f t="shared" si="123"/>
        <v>613</v>
      </c>
      <c r="H85" s="68">
        <f t="shared" si="110"/>
        <v>7356</v>
      </c>
      <c r="I85" s="47">
        <f t="shared" si="118"/>
        <v>4487.2576760948523</v>
      </c>
      <c r="J85" s="67">
        <f>(References!$C$49*I85)</f>
        <v>33.721741435852849</v>
      </c>
      <c r="K85" s="67">
        <f>J85/References!$G$52</f>
        <v>34.572217998618875</v>
      </c>
      <c r="L85" s="67">
        <f t="shared" si="124"/>
        <v>2.8810181665515731</v>
      </c>
      <c r="M85" s="270">
        <v>107.78</v>
      </c>
      <c r="N85" s="67">
        <f t="shared" si="125"/>
        <v>110.66101816655157</v>
      </c>
      <c r="O85" s="67" t="s">
        <v>254</v>
      </c>
      <c r="S85" s="67"/>
      <c r="T85" s="67"/>
      <c r="U85" s="67"/>
      <c r="V85" s="307">
        <f t="shared" si="120"/>
        <v>2.6730545245421906E-2</v>
      </c>
      <c r="W85" s="67">
        <f t="shared" si="121"/>
        <v>0</v>
      </c>
    </row>
    <row r="86" spans="1:23" s="60" customFormat="1">
      <c r="A86" s="127"/>
      <c r="B86" s="118" t="s">
        <v>108</v>
      </c>
      <c r="C86" s="113" t="s">
        <v>121</v>
      </c>
      <c r="D86" s="146">
        <v>1</v>
      </c>
      <c r="E86" s="69">
        <v>1</v>
      </c>
      <c r="F86" s="109">
        <f t="shared" si="122"/>
        <v>12</v>
      </c>
      <c r="G86" s="259">
        <f t="shared" si="123"/>
        <v>840</v>
      </c>
      <c r="H86" s="68">
        <f t="shared" si="110"/>
        <v>10080</v>
      </c>
      <c r="I86" s="47">
        <f t="shared" si="118"/>
        <v>6148.9338465247574</v>
      </c>
      <c r="J86" s="67">
        <f>(References!$C$49*I86)</f>
        <v>46.2092378566336</v>
      </c>
      <c r="K86" s="67">
        <f>J86/References!$G$52</f>
        <v>47.374654353735494</v>
      </c>
      <c r="L86" s="67">
        <f t="shared" si="124"/>
        <v>3.947887862811291</v>
      </c>
      <c r="M86" s="270">
        <v>159.65</v>
      </c>
      <c r="N86" s="67">
        <f t="shared" si="125"/>
        <v>163.59788786281129</v>
      </c>
      <c r="O86" s="67" t="s">
        <v>254</v>
      </c>
      <c r="S86" s="67"/>
      <c r="T86" s="67"/>
      <c r="U86" s="67"/>
      <c r="V86" s="307">
        <f t="shared" si="120"/>
        <v>2.472839250116687E-2</v>
      </c>
      <c r="W86" s="67">
        <f t="shared" si="121"/>
        <v>-5.773159728050814E-15</v>
      </c>
    </row>
    <row r="87" spans="1:23" s="60" customFormat="1">
      <c r="A87" s="127"/>
      <c r="B87" s="118" t="s">
        <v>108</v>
      </c>
      <c r="C87" s="113" t="s">
        <v>191</v>
      </c>
      <c r="D87" s="146">
        <v>1</v>
      </c>
      <c r="E87" s="69">
        <v>1</v>
      </c>
      <c r="F87" s="109">
        <f t="shared" si="122"/>
        <v>12</v>
      </c>
      <c r="G87" s="259">
        <f t="shared" si="123"/>
        <v>980</v>
      </c>
      <c r="H87" s="68">
        <f t="shared" si="110"/>
        <v>11760</v>
      </c>
      <c r="I87" s="47">
        <f t="shared" si="118"/>
        <v>7173.7561542788835</v>
      </c>
      <c r="J87" s="67">
        <f>(References!$C$49*I87)</f>
        <v>53.910777499405867</v>
      </c>
      <c r="K87" s="67">
        <f>J87/References!$G$52</f>
        <v>55.270430079358071</v>
      </c>
      <c r="L87" s="67">
        <f t="shared" si="124"/>
        <v>4.6058691732798396</v>
      </c>
      <c r="M87" s="270">
        <v>197.79</v>
      </c>
      <c r="N87" s="67">
        <f t="shared" si="125"/>
        <v>202.39586917327983</v>
      </c>
      <c r="O87" s="67" t="s">
        <v>254</v>
      </c>
      <c r="S87" s="67"/>
      <c r="T87" s="67"/>
      <c r="U87" s="67"/>
      <c r="V87" s="307">
        <f t="shared" si="120"/>
        <v>2.3286663498052682E-2</v>
      </c>
      <c r="W87" s="67">
        <f t="shared" si="121"/>
        <v>0</v>
      </c>
    </row>
    <row r="88" spans="1:23" s="60" customFormat="1">
      <c r="A88" s="127"/>
      <c r="B88" s="118" t="s">
        <v>108</v>
      </c>
      <c r="C88" s="113" t="s">
        <v>218</v>
      </c>
      <c r="D88" s="146">
        <v>1</v>
      </c>
      <c r="E88" s="69">
        <v>1</v>
      </c>
      <c r="F88" s="109">
        <f t="shared" si="122"/>
        <v>12</v>
      </c>
      <c r="G88" s="259">
        <f t="shared" ref="G88:G94" si="126">G43</f>
        <v>175</v>
      </c>
      <c r="H88" s="68">
        <f t="shared" ref="H88" si="127">G88*F88</f>
        <v>2100</v>
      </c>
      <c r="I88" s="47">
        <f t="shared" si="118"/>
        <v>1281.0278846926578</v>
      </c>
      <c r="J88" s="67">
        <f>(References!$C$49*I88)</f>
        <v>9.6269245534653329</v>
      </c>
      <c r="K88" s="67">
        <f>J88/References!$G$52</f>
        <v>9.8697196570282273</v>
      </c>
      <c r="L88" s="67">
        <f t="shared" ref="L88:L94" si="128">IFERROR(K88/F88*E88,0)</f>
        <v>0.82247663808568561</v>
      </c>
      <c r="M88" s="270">
        <v>39.17</v>
      </c>
      <c r="N88" s="67">
        <f t="shared" si="125"/>
        <v>39.992476638085691</v>
      </c>
      <c r="O88" s="67" t="s">
        <v>254</v>
      </c>
      <c r="S88" s="67"/>
      <c r="T88" s="67"/>
      <c r="U88" s="67"/>
      <c r="V88" s="307">
        <f t="shared" si="120"/>
        <v>2.0997616494400958E-2</v>
      </c>
      <c r="W88" s="67">
        <f t="shared" si="121"/>
        <v>3.5527136788005009E-15</v>
      </c>
    </row>
    <row r="89" spans="1:23" s="60" customFormat="1">
      <c r="A89" s="127"/>
      <c r="B89" s="118" t="s">
        <v>108</v>
      </c>
      <c r="C89" s="113" t="s">
        <v>219</v>
      </c>
      <c r="D89" s="146">
        <v>1</v>
      </c>
      <c r="E89" s="69">
        <v>1</v>
      </c>
      <c r="F89" s="109">
        <f t="shared" si="122"/>
        <v>12</v>
      </c>
      <c r="G89" s="259">
        <f t="shared" si="126"/>
        <v>212.5</v>
      </c>
      <c r="H89" s="68">
        <f t="shared" ref="H89:H95" si="129">G89*F89</f>
        <v>2550</v>
      </c>
      <c r="I89" s="47">
        <f t="shared" si="118"/>
        <v>1555.5338599839415</v>
      </c>
      <c r="J89" s="67">
        <f>(References!$C$49*I89)</f>
        <v>11.689836957779333</v>
      </c>
      <c r="K89" s="67">
        <f>J89/References!$G$52</f>
        <v>11.984659583534276</v>
      </c>
      <c r="L89" s="67">
        <f t="shared" si="128"/>
        <v>0.99872163196118968</v>
      </c>
      <c r="M89" s="270">
        <v>42.88</v>
      </c>
      <c r="N89" s="67">
        <f t="shared" si="125"/>
        <v>43.878721631961191</v>
      </c>
      <c r="O89" s="67" t="s">
        <v>254</v>
      </c>
      <c r="S89" s="67"/>
      <c r="T89" s="67"/>
      <c r="U89" s="67"/>
      <c r="V89" s="307">
        <f t="shared" si="120"/>
        <v>2.3291082834915804E-2</v>
      </c>
      <c r="W89" s="67">
        <f t="shared" si="121"/>
        <v>0</v>
      </c>
    </row>
    <row r="90" spans="1:23" s="60" customFormat="1">
      <c r="A90" s="127"/>
      <c r="B90" s="118" t="s">
        <v>108</v>
      </c>
      <c r="C90" s="113" t="s">
        <v>195</v>
      </c>
      <c r="D90" s="146">
        <v>1</v>
      </c>
      <c r="E90" s="69">
        <v>1</v>
      </c>
      <c r="F90" s="109">
        <f t="shared" si="122"/>
        <v>12</v>
      </c>
      <c r="G90" s="259">
        <f t="shared" si="126"/>
        <v>324</v>
      </c>
      <c r="H90" s="68">
        <f t="shared" si="129"/>
        <v>3888</v>
      </c>
      <c r="I90" s="47">
        <f t="shared" si="118"/>
        <v>2371.7316265166919</v>
      </c>
      <c r="J90" s="67">
        <f>(References!$C$49*I90)</f>
        <v>17.823563173272959</v>
      </c>
      <c r="K90" s="67">
        <f>J90/References!$G$52</f>
        <v>18.273080965012259</v>
      </c>
      <c r="L90" s="67">
        <f t="shared" si="128"/>
        <v>1.5227567470843548</v>
      </c>
      <c r="M90" s="270">
        <v>56.78</v>
      </c>
      <c r="N90" s="67">
        <f t="shared" si="125"/>
        <v>58.302756747084359</v>
      </c>
      <c r="O90" s="67" t="s">
        <v>254</v>
      </c>
      <c r="S90" s="67"/>
      <c r="T90" s="67"/>
      <c r="U90" s="67"/>
      <c r="V90" s="307">
        <f t="shared" si="120"/>
        <v>2.6818540808107694E-2</v>
      </c>
      <c r="W90" s="67">
        <f t="shared" si="121"/>
        <v>3.3306690738754696E-15</v>
      </c>
    </row>
    <row r="91" spans="1:23" s="60" customFormat="1">
      <c r="A91" s="127"/>
      <c r="B91" s="118" t="s">
        <v>108</v>
      </c>
      <c r="C91" s="113" t="s">
        <v>220</v>
      </c>
      <c r="D91" s="146">
        <v>1</v>
      </c>
      <c r="E91" s="69">
        <v>1</v>
      </c>
      <c r="F91" s="109">
        <f t="shared" si="122"/>
        <v>12</v>
      </c>
      <c r="G91" s="259">
        <f t="shared" si="126"/>
        <v>473</v>
      </c>
      <c r="H91" s="68">
        <f t="shared" si="129"/>
        <v>5676</v>
      </c>
      <c r="I91" s="47">
        <f t="shared" si="118"/>
        <v>3462.4353683407267</v>
      </c>
      <c r="J91" s="67">
        <f>(References!$C$49*I91)</f>
        <v>26.020201793080588</v>
      </c>
      <c r="K91" s="67">
        <f>J91/References!$G$52</f>
        <v>26.676442272996297</v>
      </c>
      <c r="L91" s="67">
        <f t="shared" si="128"/>
        <v>2.2230368560830249</v>
      </c>
      <c r="M91" s="270">
        <v>79.84</v>
      </c>
      <c r="N91" s="67">
        <f t="shared" si="125"/>
        <v>82.063036856083031</v>
      </c>
      <c r="O91" s="67" t="s">
        <v>254</v>
      </c>
      <c r="S91" s="67"/>
      <c r="T91" s="67"/>
      <c r="U91" s="67"/>
      <c r="V91" s="307">
        <f t="shared" si="120"/>
        <v>2.7843647997031873E-2</v>
      </c>
      <c r="W91" s="67">
        <f t="shared" si="121"/>
        <v>0</v>
      </c>
    </row>
    <row r="92" spans="1:23" s="60" customFormat="1">
      <c r="A92" s="127"/>
      <c r="B92" s="118" t="s">
        <v>108</v>
      </c>
      <c r="C92" s="113" t="s">
        <v>221</v>
      </c>
      <c r="D92" s="146">
        <v>1</v>
      </c>
      <c r="E92" s="69">
        <v>1</v>
      </c>
      <c r="F92" s="109">
        <f t="shared" si="122"/>
        <v>12</v>
      </c>
      <c r="G92" s="259">
        <f t="shared" si="126"/>
        <v>613</v>
      </c>
      <c r="H92" s="68">
        <f t="shared" si="129"/>
        <v>7356</v>
      </c>
      <c r="I92" s="47">
        <f t="shared" si="118"/>
        <v>4487.2576760948523</v>
      </c>
      <c r="J92" s="67">
        <f>(References!$C$49*I92)</f>
        <v>33.721741435852849</v>
      </c>
      <c r="K92" s="67">
        <f>J92/References!$G$52</f>
        <v>34.572217998618875</v>
      </c>
      <c r="L92" s="67">
        <f t="shared" si="128"/>
        <v>2.8810181665515731</v>
      </c>
      <c r="M92" s="270">
        <v>104.92</v>
      </c>
      <c r="N92" s="67">
        <f t="shared" si="125"/>
        <v>107.80101816655157</v>
      </c>
      <c r="O92" s="67" t="s">
        <v>254</v>
      </c>
      <c r="S92" s="67"/>
      <c r="T92" s="67"/>
      <c r="U92" s="67"/>
      <c r="V92" s="307">
        <f t="shared" si="120"/>
        <v>2.7459189540140802E-2</v>
      </c>
      <c r="W92" s="67">
        <f t="shared" si="121"/>
        <v>0</v>
      </c>
    </row>
    <row r="93" spans="1:23" s="60" customFormat="1">
      <c r="A93" s="127"/>
      <c r="B93" s="118" t="s">
        <v>108</v>
      </c>
      <c r="C93" s="113" t="s">
        <v>194</v>
      </c>
      <c r="D93" s="146">
        <v>1</v>
      </c>
      <c r="E93" s="69">
        <v>1</v>
      </c>
      <c r="F93" s="109">
        <f t="shared" si="122"/>
        <v>12</v>
      </c>
      <c r="G93" s="259">
        <f t="shared" si="126"/>
        <v>840</v>
      </c>
      <c r="H93" s="68">
        <f t="shared" si="129"/>
        <v>10080</v>
      </c>
      <c r="I93" s="47">
        <f t="shared" si="118"/>
        <v>6148.9338465247574</v>
      </c>
      <c r="J93" s="67">
        <f>(References!$C$49*I93)</f>
        <v>46.2092378566336</v>
      </c>
      <c r="K93" s="67">
        <f>J93/References!$G$52</f>
        <v>47.374654353735494</v>
      </c>
      <c r="L93" s="67">
        <f t="shared" si="128"/>
        <v>3.947887862811291</v>
      </c>
      <c r="M93" s="270">
        <v>155.91999999999999</v>
      </c>
      <c r="N93" s="67">
        <f t="shared" si="125"/>
        <v>159.86788786281127</v>
      </c>
      <c r="O93" s="67" t="s">
        <v>254</v>
      </c>
      <c r="S93" s="67"/>
      <c r="T93" s="67"/>
      <c r="U93" s="67"/>
      <c r="V93" s="307">
        <f t="shared" si="120"/>
        <v>2.5319958073443376E-2</v>
      </c>
      <c r="W93" s="67">
        <f t="shared" si="121"/>
        <v>-5.773159728050814E-15</v>
      </c>
    </row>
    <row r="94" spans="1:23" s="60" customFormat="1">
      <c r="A94" s="127"/>
      <c r="B94" s="118" t="s">
        <v>108</v>
      </c>
      <c r="C94" s="113" t="s">
        <v>222</v>
      </c>
      <c r="D94" s="146">
        <v>1</v>
      </c>
      <c r="E94" s="69">
        <v>1</v>
      </c>
      <c r="F94" s="109">
        <f t="shared" si="122"/>
        <v>12</v>
      </c>
      <c r="G94" s="259">
        <f t="shared" si="126"/>
        <v>980</v>
      </c>
      <c r="H94" s="68">
        <f t="shared" si="129"/>
        <v>11760</v>
      </c>
      <c r="I94" s="47">
        <f t="shared" si="118"/>
        <v>7173.7561542788835</v>
      </c>
      <c r="J94" s="67">
        <f>(References!$C$49*I94)</f>
        <v>53.910777499405867</v>
      </c>
      <c r="K94" s="67">
        <f>J94/References!$G$52</f>
        <v>55.270430079358071</v>
      </c>
      <c r="L94" s="67">
        <f t="shared" si="128"/>
        <v>4.6058691732798396</v>
      </c>
      <c r="M94" s="270">
        <v>193.77</v>
      </c>
      <c r="N94" s="67">
        <f t="shared" si="125"/>
        <v>198.37586917327985</v>
      </c>
      <c r="O94" s="67" t="s">
        <v>254</v>
      </c>
      <c r="S94" s="67"/>
      <c r="T94" s="67"/>
      <c r="U94" s="67"/>
      <c r="V94" s="307">
        <f t="shared" si="120"/>
        <v>2.3769774336996643E-2</v>
      </c>
      <c r="W94" s="67">
        <f t="shared" si="121"/>
        <v>0</v>
      </c>
    </row>
    <row r="95" spans="1:23" s="60" customFormat="1">
      <c r="A95" s="127"/>
      <c r="B95" s="118" t="s">
        <v>108</v>
      </c>
      <c r="C95" s="113" t="s">
        <v>32</v>
      </c>
      <c r="D95" s="146">
        <v>1</v>
      </c>
      <c r="E95" s="69">
        <v>1</v>
      </c>
      <c r="F95" s="109">
        <f t="shared" si="122"/>
        <v>12</v>
      </c>
      <c r="G95" s="259">
        <f>References!B14</f>
        <v>34</v>
      </c>
      <c r="H95" s="68">
        <f t="shared" si="129"/>
        <v>408</v>
      </c>
      <c r="I95" s="47">
        <f t="shared" si="118"/>
        <v>248.88541759743066</v>
      </c>
      <c r="J95" s="67">
        <f>(References!$C$49*I95)</f>
        <v>1.8703739132446933</v>
      </c>
      <c r="K95" s="67">
        <f>J95/References!$G$52</f>
        <v>1.9175455333654841</v>
      </c>
      <c r="L95" s="67">
        <f t="shared" ref="L95:L96" si="130">IFERROR(K95/F95*E95,0)</f>
        <v>0.15979546111379034</v>
      </c>
      <c r="M95" s="270">
        <v>5.95</v>
      </c>
      <c r="N95" s="67">
        <f t="shared" si="125"/>
        <v>6.1097954611137908</v>
      </c>
      <c r="O95" s="67" t="s">
        <v>254</v>
      </c>
      <c r="S95" s="67"/>
      <c r="T95" s="67"/>
      <c r="U95" s="67"/>
      <c r="V95" s="307">
        <f t="shared" si="120"/>
        <v>2.6856380019124427E-2</v>
      </c>
      <c r="W95" s="67">
        <f t="shared" si="121"/>
        <v>2.7755575615628914E-16</v>
      </c>
    </row>
    <row r="96" spans="1:23" s="60" customFormat="1">
      <c r="A96" s="127"/>
      <c r="B96" s="118" t="s">
        <v>126</v>
      </c>
      <c r="C96" s="113" t="s">
        <v>223</v>
      </c>
      <c r="D96" s="68">
        <v>1</v>
      </c>
      <c r="E96" s="69">
        <v>1</v>
      </c>
      <c r="F96" s="109">
        <f t="shared" si="122"/>
        <v>12</v>
      </c>
      <c r="G96" s="259">
        <f>References!$B$37</f>
        <v>1301</v>
      </c>
      <c r="H96" s="68">
        <f>G96*F96</f>
        <v>15612</v>
      </c>
      <c r="I96" s="47">
        <f t="shared" si="118"/>
        <v>9523.5273027722724</v>
      </c>
      <c r="J96" s="67">
        <f>(References!$C$49*I96)</f>
        <v>71.569307680333708</v>
      </c>
      <c r="K96" s="67">
        <f>J96/References!$G$52</f>
        <v>73.374315850249857</v>
      </c>
      <c r="L96" s="67">
        <f t="shared" si="130"/>
        <v>6.1145263208541545</v>
      </c>
      <c r="M96" s="270">
        <v>265.06</v>
      </c>
      <c r="N96" s="67">
        <f t="shared" si="125"/>
        <v>271.17452632085417</v>
      </c>
      <c r="O96" s="67" t="s">
        <v>254</v>
      </c>
      <c r="S96" s="67"/>
      <c r="T96" s="67"/>
      <c r="U96" s="67"/>
      <c r="V96" s="307">
        <f t="shared" si="120"/>
        <v>2.3068461181823565E-2</v>
      </c>
      <c r="W96" s="67">
        <f t="shared" si="121"/>
        <v>1.3322676295501878E-14</v>
      </c>
    </row>
    <row r="97" spans="1:23" s="60" customFormat="1">
      <c r="A97" s="127"/>
      <c r="B97" s="118" t="s">
        <v>126</v>
      </c>
      <c r="C97" s="113" t="s">
        <v>224</v>
      </c>
      <c r="D97" s="128">
        <v>1</v>
      </c>
      <c r="E97" s="69">
        <v>1</v>
      </c>
      <c r="F97" s="109">
        <f t="shared" si="122"/>
        <v>12</v>
      </c>
      <c r="G97" s="259">
        <f>References!B38</f>
        <v>1686</v>
      </c>
      <c r="H97" s="68">
        <f t="shared" si="110"/>
        <v>20232</v>
      </c>
      <c r="I97" s="47">
        <f t="shared" ref="I97:I108" si="131">$D$126*H97</f>
        <v>12341.788649096121</v>
      </c>
      <c r="J97" s="67">
        <f>(References!$C$49*I97)</f>
        <v>92.74854169795745</v>
      </c>
      <c r="K97" s="67">
        <f>J97/References!$G$52</f>
        <v>95.087699095711955</v>
      </c>
      <c r="L97" s="67">
        <f t="shared" ref="L97:L104" si="132">IFERROR(K97/F97*E97,0)</f>
        <v>7.9239749246426632</v>
      </c>
      <c r="M97" s="270">
        <v>425.32</v>
      </c>
      <c r="N97" s="67">
        <f t="shared" si="125"/>
        <v>433.24397492464266</v>
      </c>
      <c r="O97" s="67" t="s">
        <v>254</v>
      </c>
      <c r="S97" s="67"/>
      <c r="T97" s="67"/>
      <c r="U97" s="67"/>
      <c r="V97" s="307">
        <f t="shared" si="120"/>
        <v>1.8630619121232633E-2</v>
      </c>
      <c r="W97" s="67">
        <f t="shared" si="121"/>
        <v>0</v>
      </c>
    </row>
    <row r="98" spans="1:23" s="60" customFormat="1">
      <c r="A98" s="127"/>
      <c r="B98" s="118" t="s">
        <v>126</v>
      </c>
      <c r="C98" s="113" t="s">
        <v>225</v>
      </c>
      <c r="D98" s="128">
        <v>1</v>
      </c>
      <c r="E98" s="69">
        <v>1</v>
      </c>
      <c r="F98" s="109">
        <f t="shared" si="122"/>
        <v>12</v>
      </c>
      <c r="G98" s="259">
        <f>References!B40</f>
        <v>2310</v>
      </c>
      <c r="H98" s="68">
        <f t="shared" si="110"/>
        <v>27720</v>
      </c>
      <c r="I98" s="47">
        <f t="shared" si="131"/>
        <v>16909.568077943084</v>
      </c>
      <c r="J98" s="67">
        <f>(References!$C$49*I98)</f>
        <v>127.07540410574241</v>
      </c>
      <c r="K98" s="67">
        <f>J98/References!$G$52</f>
        <v>130.28029947277261</v>
      </c>
      <c r="L98" s="67">
        <f t="shared" si="132"/>
        <v>10.85669162273105</v>
      </c>
      <c r="M98" s="270">
        <v>566.36</v>
      </c>
      <c r="N98" s="67">
        <f t="shared" si="125"/>
        <v>577.2166916227311</v>
      </c>
      <c r="O98" s="67" t="s">
        <v>254</v>
      </c>
      <c r="S98" s="67"/>
      <c r="T98" s="67"/>
      <c r="U98" s="67"/>
      <c r="V98" s="307">
        <f t="shared" ref="V98:V117" si="133">L98/M98</f>
        <v>1.9169241511990696E-2</v>
      </c>
      <c r="W98" s="67">
        <f t="shared" ref="W98:W117" si="134">N98-M98-L98</f>
        <v>4.0856207306205761E-14</v>
      </c>
    </row>
    <row r="99" spans="1:23">
      <c r="A99" s="127"/>
      <c r="B99" s="118" t="s">
        <v>126</v>
      </c>
      <c r="C99" s="113" t="s">
        <v>119</v>
      </c>
      <c r="D99" s="128">
        <v>1</v>
      </c>
      <c r="E99" s="69">
        <v>1</v>
      </c>
      <c r="F99" s="109">
        <f t="shared" si="122"/>
        <v>12</v>
      </c>
      <c r="G99" s="259">
        <f>References!B37</f>
        <v>1301</v>
      </c>
      <c r="H99" s="68">
        <f t="shared" ref="H99:H115" si="135">G99*F99</f>
        <v>15612</v>
      </c>
      <c r="I99" s="47">
        <f t="shared" si="131"/>
        <v>9523.5273027722724</v>
      </c>
      <c r="J99" s="67">
        <f>(References!$C$49*I99)</f>
        <v>71.569307680333708</v>
      </c>
      <c r="K99" s="67">
        <f>J99/References!$G$52</f>
        <v>73.374315850249857</v>
      </c>
      <c r="L99" s="67">
        <f t="shared" si="132"/>
        <v>6.1145263208541545</v>
      </c>
      <c r="M99" s="270">
        <v>268.16000000000003</v>
      </c>
      <c r="N99" s="67">
        <f t="shared" ref="N99:N115" si="136">L99+M99</f>
        <v>274.27452632085419</v>
      </c>
      <c r="O99" s="67" t="s">
        <v>254</v>
      </c>
      <c r="S99" s="67"/>
      <c r="T99" s="67"/>
      <c r="U99" s="67"/>
      <c r="V99" s="307">
        <f t="shared" si="133"/>
        <v>2.2801783714402425E-2</v>
      </c>
      <c r="W99" s="67">
        <f t="shared" si="134"/>
        <v>1.3322676295501878E-14</v>
      </c>
    </row>
    <row r="100" spans="1:23">
      <c r="A100" s="127"/>
      <c r="B100" s="118" t="s">
        <v>126</v>
      </c>
      <c r="C100" s="113" t="s">
        <v>120</v>
      </c>
      <c r="D100" s="128">
        <v>1</v>
      </c>
      <c r="E100" s="69">
        <v>1</v>
      </c>
      <c r="F100" s="109">
        <f t="shared" si="122"/>
        <v>12</v>
      </c>
      <c r="G100" s="259">
        <f>References!B38</f>
        <v>1686</v>
      </c>
      <c r="H100" s="68">
        <f t="shared" si="135"/>
        <v>20232</v>
      </c>
      <c r="I100" s="47">
        <f t="shared" si="131"/>
        <v>12341.788649096121</v>
      </c>
      <c r="J100" s="67">
        <f>(References!$C$49*I100)</f>
        <v>92.74854169795745</v>
      </c>
      <c r="K100" s="67">
        <f>J100/References!$G$52</f>
        <v>95.087699095711955</v>
      </c>
      <c r="L100" s="67">
        <f t="shared" si="132"/>
        <v>7.9239749246426632</v>
      </c>
      <c r="M100" s="270">
        <v>428.12</v>
      </c>
      <c r="N100" s="67">
        <f t="shared" si="136"/>
        <v>436.04397492464267</v>
      </c>
      <c r="O100" s="67" t="s">
        <v>254</v>
      </c>
      <c r="S100" s="67"/>
      <c r="T100" s="67"/>
      <c r="U100" s="67"/>
      <c r="V100" s="307">
        <f t="shared" si="133"/>
        <v>1.8508770729334448E-2</v>
      </c>
      <c r="W100" s="67">
        <f t="shared" si="134"/>
        <v>0</v>
      </c>
    </row>
    <row r="101" spans="1:23">
      <c r="A101" s="127"/>
      <c r="B101" s="118" t="s">
        <v>126</v>
      </c>
      <c r="C101" s="113" t="s">
        <v>121</v>
      </c>
      <c r="D101" s="128">
        <v>1</v>
      </c>
      <c r="E101" s="69">
        <v>1</v>
      </c>
      <c r="F101" s="109">
        <f t="shared" si="122"/>
        <v>12</v>
      </c>
      <c r="G101" s="259">
        <f>References!B40</f>
        <v>2310</v>
      </c>
      <c r="H101" s="68">
        <f t="shared" si="135"/>
        <v>27720</v>
      </c>
      <c r="I101" s="47">
        <f t="shared" si="131"/>
        <v>16909.568077943084</v>
      </c>
      <c r="J101" s="67">
        <f>(References!$C$49*I101)</f>
        <v>127.07540410574241</v>
      </c>
      <c r="K101" s="67">
        <f>J101/References!$G$52</f>
        <v>130.28029947277261</v>
      </c>
      <c r="L101" s="67">
        <f t="shared" si="132"/>
        <v>10.85669162273105</v>
      </c>
      <c r="M101" s="270">
        <v>568.92999999999995</v>
      </c>
      <c r="N101" s="67">
        <f t="shared" si="136"/>
        <v>579.78669162273104</v>
      </c>
      <c r="O101" s="67" t="s">
        <v>254</v>
      </c>
      <c r="S101" s="67"/>
      <c r="T101" s="67"/>
      <c r="U101" s="67"/>
      <c r="V101" s="307">
        <f t="shared" si="133"/>
        <v>1.9082649223509135E-2</v>
      </c>
      <c r="W101" s="67">
        <f t="shared" si="134"/>
        <v>4.0856207306205761E-14</v>
      </c>
    </row>
    <row r="102" spans="1:23">
      <c r="A102" s="127"/>
      <c r="B102" s="43" t="s">
        <v>107</v>
      </c>
      <c r="C102" s="113" t="s">
        <v>189</v>
      </c>
      <c r="D102" s="128">
        <v>1</v>
      </c>
      <c r="E102" s="69">
        <v>1</v>
      </c>
      <c r="F102" s="109">
        <f t="shared" si="122"/>
        <v>12</v>
      </c>
      <c r="G102" s="259">
        <f>References!B26</f>
        <v>29</v>
      </c>
      <c r="H102" s="68">
        <f t="shared" si="135"/>
        <v>348</v>
      </c>
      <c r="I102" s="47">
        <f t="shared" si="131"/>
        <v>212.28462089192615</v>
      </c>
      <c r="J102" s="67">
        <f>(References!$C$49*I102)</f>
        <v>1.5953189260028267</v>
      </c>
      <c r="K102" s="67">
        <f>J102/References!$G$52</f>
        <v>1.6355535431646777</v>
      </c>
      <c r="L102" s="67">
        <f t="shared" si="132"/>
        <v>0.13629612859705648</v>
      </c>
      <c r="M102" s="270">
        <v>8.67</v>
      </c>
      <c r="N102" s="67">
        <f t="shared" si="136"/>
        <v>8.8062961285970562</v>
      </c>
      <c r="O102" s="67" t="s">
        <v>254</v>
      </c>
      <c r="S102" s="67"/>
      <c r="T102" s="67"/>
      <c r="U102" s="67"/>
      <c r="V102" s="307">
        <f t="shared" si="133"/>
        <v>1.572043005733062E-2</v>
      </c>
      <c r="W102" s="67">
        <f t="shared" si="134"/>
        <v>0</v>
      </c>
    </row>
    <row r="103" spans="1:23">
      <c r="A103" s="127"/>
      <c r="B103" s="43" t="s">
        <v>107</v>
      </c>
      <c r="C103" s="113" t="s">
        <v>190</v>
      </c>
      <c r="D103" s="128">
        <v>1</v>
      </c>
      <c r="E103" s="69">
        <v>1</v>
      </c>
      <c r="F103" s="109">
        <f t="shared" si="122"/>
        <v>12</v>
      </c>
      <c r="G103" s="259">
        <f>References!B22</f>
        <v>68</v>
      </c>
      <c r="H103" s="68">
        <f t="shared" si="135"/>
        <v>816</v>
      </c>
      <c r="I103" s="47">
        <f t="shared" si="131"/>
        <v>497.77083519486132</v>
      </c>
      <c r="J103" s="67">
        <f>(References!$C$49*I103)</f>
        <v>3.7407478264893865</v>
      </c>
      <c r="K103" s="67">
        <f>J103/References!$G$52</f>
        <v>3.8350910667309681</v>
      </c>
      <c r="L103" s="67">
        <f t="shared" si="132"/>
        <v>0.31959092222758068</v>
      </c>
      <c r="M103" s="270">
        <v>13.37</v>
      </c>
      <c r="N103" s="67">
        <f t="shared" si="136"/>
        <v>13.68959092222758</v>
      </c>
      <c r="O103" s="67" t="s">
        <v>254</v>
      </c>
      <c r="S103" s="67"/>
      <c r="T103" s="67"/>
      <c r="U103" s="67"/>
      <c r="V103" s="307">
        <f t="shared" si="133"/>
        <v>2.390358431021546E-2</v>
      </c>
      <c r="W103" s="67">
        <f t="shared" si="134"/>
        <v>5.5511151231257827E-16</v>
      </c>
    </row>
    <row r="104" spans="1:23">
      <c r="A104" s="127"/>
      <c r="B104" s="107" t="s">
        <v>107</v>
      </c>
      <c r="C104" s="113" t="s">
        <v>196</v>
      </c>
      <c r="D104" s="68">
        <v>1</v>
      </c>
      <c r="E104" s="69">
        <v>1</v>
      </c>
      <c r="F104" s="109">
        <f t="shared" si="122"/>
        <v>12</v>
      </c>
      <c r="G104" s="258">
        <f>References!$B$27</f>
        <v>175</v>
      </c>
      <c r="H104" s="68">
        <f t="shared" si="135"/>
        <v>2100</v>
      </c>
      <c r="I104" s="47">
        <f t="shared" si="131"/>
        <v>1281.0278846926578</v>
      </c>
      <c r="J104" s="67">
        <f>(References!$C$49*I104)</f>
        <v>9.6269245534653329</v>
      </c>
      <c r="K104" s="67">
        <f>J104/References!$G$52</f>
        <v>9.8697196570282273</v>
      </c>
      <c r="L104" s="67">
        <f t="shared" si="132"/>
        <v>0.82247663808568561</v>
      </c>
      <c r="M104" s="269">
        <v>26.22</v>
      </c>
      <c r="N104" s="67">
        <f t="shared" si="136"/>
        <v>27.042476638085684</v>
      </c>
      <c r="O104" s="67" t="s">
        <v>254</v>
      </c>
      <c r="S104" s="67"/>
      <c r="T104" s="67"/>
      <c r="U104" s="67"/>
      <c r="V104" s="307">
        <f t="shared" si="133"/>
        <v>3.136829283316879E-2</v>
      </c>
      <c r="W104" s="67">
        <f t="shared" si="134"/>
        <v>0</v>
      </c>
    </row>
    <row r="105" spans="1:23">
      <c r="A105" s="127"/>
      <c r="B105" s="43" t="s">
        <v>107</v>
      </c>
      <c r="C105" s="113" t="s">
        <v>218</v>
      </c>
      <c r="D105" s="128">
        <v>1</v>
      </c>
      <c r="E105" s="69">
        <v>1</v>
      </c>
      <c r="F105" s="109">
        <f t="shared" si="122"/>
        <v>12</v>
      </c>
      <c r="G105" s="259">
        <f>G43</f>
        <v>175</v>
      </c>
      <c r="H105" s="68">
        <f t="shared" ref="H105:H108" si="137">G105*F105</f>
        <v>2100</v>
      </c>
      <c r="I105" s="47">
        <f t="shared" si="131"/>
        <v>1281.0278846926578</v>
      </c>
      <c r="J105" s="67">
        <f>(References!$C$49*I105)</f>
        <v>9.6269245534653329</v>
      </c>
      <c r="K105" s="67">
        <f>J105/References!$G$52</f>
        <v>9.8697196570282273</v>
      </c>
      <c r="L105" s="67">
        <f t="shared" ref="L105:L108" si="138">IFERROR(K105/F105*E105,0)</f>
        <v>0.82247663808568561</v>
      </c>
      <c r="M105" s="270">
        <v>32.94</v>
      </c>
      <c r="N105" s="67">
        <f t="shared" si="136"/>
        <v>33.762476638085687</v>
      </c>
      <c r="O105" s="67" t="s">
        <v>254</v>
      </c>
      <c r="S105" s="67"/>
      <c r="T105" s="67"/>
      <c r="U105" s="67"/>
      <c r="V105" s="307">
        <f t="shared" si="133"/>
        <v>2.4968932546620692E-2</v>
      </c>
      <c r="W105" s="67">
        <f t="shared" si="134"/>
        <v>3.5527136788005009E-15</v>
      </c>
    </row>
    <row r="106" spans="1:23">
      <c r="A106" s="127"/>
      <c r="B106" s="43" t="s">
        <v>107</v>
      </c>
      <c r="C106" s="113" t="s">
        <v>195</v>
      </c>
      <c r="D106" s="128">
        <v>1</v>
      </c>
      <c r="E106" s="69">
        <v>1</v>
      </c>
      <c r="F106" s="109">
        <f t="shared" si="122"/>
        <v>12</v>
      </c>
      <c r="G106" s="259">
        <f>References!B29</f>
        <v>324</v>
      </c>
      <c r="H106" s="68">
        <f t="shared" si="137"/>
        <v>3888</v>
      </c>
      <c r="I106" s="47">
        <f t="shared" si="131"/>
        <v>2371.7316265166919</v>
      </c>
      <c r="J106" s="67">
        <f>(References!$C$49*I106)</f>
        <v>17.823563173272959</v>
      </c>
      <c r="K106" s="67">
        <f>J106/References!$G$52</f>
        <v>18.273080965012259</v>
      </c>
      <c r="L106" s="67">
        <f t="shared" si="138"/>
        <v>1.5227567470843548</v>
      </c>
      <c r="M106" s="270">
        <v>44.32</v>
      </c>
      <c r="N106" s="67">
        <f t="shared" si="136"/>
        <v>45.842756747084358</v>
      </c>
      <c r="O106" s="67" t="s">
        <v>254</v>
      </c>
      <c r="S106" s="67"/>
      <c r="T106" s="67"/>
      <c r="U106" s="67"/>
      <c r="V106" s="307">
        <f t="shared" si="133"/>
        <v>3.4358229852986345E-2</v>
      </c>
      <c r="W106" s="67">
        <f t="shared" si="134"/>
        <v>3.3306690738754696E-15</v>
      </c>
    </row>
    <row r="107" spans="1:23">
      <c r="A107" s="127"/>
      <c r="B107" s="43" t="s">
        <v>107</v>
      </c>
      <c r="C107" s="113" t="s">
        <v>220</v>
      </c>
      <c r="D107" s="128">
        <v>1</v>
      </c>
      <c r="E107" s="69">
        <v>1</v>
      </c>
      <c r="F107" s="109">
        <f t="shared" si="122"/>
        <v>12</v>
      </c>
      <c r="G107" s="259">
        <f>G46</f>
        <v>473</v>
      </c>
      <c r="H107" s="68">
        <f t="shared" si="137"/>
        <v>5676</v>
      </c>
      <c r="I107" s="47">
        <f t="shared" si="131"/>
        <v>3462.4353683407267</v>
      </c>
      <c r="J107" s="67">
        <f>(References!$C$49*I107)</f>
        <v>26.020201793080588</v>
      </c>
      <c r="K107" s="67">
        <f>J107/References!$G$52</f>
        <v>26.676442272996297</v>
      </c>
      <c r="L107" s="67">
        <f t="shared" si="138"/>
        <v>2.2230368560830249</v>
      </c>
      <c r="M107" s="270">
        <v>61.16</v>
      </c>
      <c r="N107" s="67">
        <f t="shared" si="136"/>
        <v>63.383036856083024</v>
      </c>
      <c r="O107" s="67" t="s">
        <v>254</v>
      </c>
      <c r="S107" s="67"/>
      <c r="T107" s="67"/>
      <c r="U107" s="67"/>
      <c r="V107" s="307">
        <f t="shared" si="133"/>
        <v>3.6347888425163913E-2</v>
      </c>
      <c r="W107" s="67">
        <f t="shared" si="134"/>
        <v>0</v>
      </c>
    </row>
    <row r="108" spans="1:23">
      <c r="A108" s="127"/>
      <c r="B108" s="43" t="s">
        <v>107</v>
      </c>
      <c r="C108" s="113" t="s">
        <v>222</v>
      </c>
      <c r="D108" s="128">
        <v>1</v>
      </c>
      <c r="E108" s="69">
        <v>1</v>
      </c>
      <c r="F108" s="109">
        <f t="shared" si="122"/>
        <v>12</v>
      </c>
      <c r="G108" s="259">
        <f>G49</f>
        <v>980</v>
      </c>
      <c r="H108" s="68">
        <f t="shared" si="137"/>
        <v>11760</v>
      </c>
      <c r="I108" s="47">
        <f t="shared" si="131"/>
        <v>7173.7561542788835</v>
      </c>
      <c r="J108" s="67">
        <f>(References!$C$49*I108)</f>
        <v>53.910777499405867</v>
      </c>
      <c r="K108" s="67">
        <f>J108/References!$G$52</f>
        <v>55.270430079358071</v>
      </c>
      <c r="L108" s="67">
        <f t="shared" si="138"/>
        <v>4.6058691732798396</v>
      </c>
      <c r="M108" s="270">
        <v>143.93</v>
      </c>
      <c r="N108" s="67">
        <f t="shared" si="136"/>
        <v>148.53586917327985</v>
      </c>
      <c r="O108" s="67" t="s">
        <v>254</v>
      </c>
      <c r="S108" s="67"/>
      <c r="T108" s="67"/>
      <c r="U108" s="67"/>
      <c r="V108" s="307">
        <f t="shared" si="133"/>
        <v>3.2000758516499958E-2</v>
      </c>
      <c r="W108" s="67">
        <f t="shared" si="134"/>
        <v>0</v>
      </c>
    </row>
    <row r="109" spans="1:23">
      <c r="A109" s="127"/>
      <c r="B109" s="43" t="s">
        <v>125</v>
      </c>
      <c r="C109" s="113" t="s">
        <v>123</v>
      </c>
      <c r="D109" s="128">
        <v>1</v>
      </c>
      <c r="E109" s="69">
        <v>1</v>
      </c>
      <c r="F109" s="109">
        <f t="shared" si="122"/>
        <v>12</v>
      </c>
      <c r="G109" s="259">
        <f>References!B26</f>
        <v>29</v>
      </c>
      <c r="H109" s="68">
        <f t="shared" si="135"/>
        <v>348</v>
      </c>
      <c r="I109" s="47">
        <f t="shared" ref="I109:I115" si="139">$D$126*H109</f>
        <v>212.28462089192615</v>
      </c>
      <c r="J109" s="67">
        <f>(References!$C$49*I109)</f>
        <v>1.5953189260028267</v>
      </c>
      <c r="K109" s="67">
        <f>J109/References!$G$52</f>
        <v>1.6355535431646777</v>
      </c>
      <c r="L109" s="67">
        <f t="shared" ref="L109:L115" si="140">IFERROR(K109/F109*E109,0)</f>
        <v>0.13629612859705648</v>
      </c>
      <c r="M109" s="270">
        <v>8.67</v>
      </c>
      <c r="N109" s="67">
        <f t="shared" si="136"/>
        <v>8.8062961285970562</v>
      </c>
      <c r="O109" s="67" t="s">
        <v>254</v>
      </c>
      <c r="S109" s="67"/>
      <c r="T109" s="67"/>
      <c r="U109" s="67"/>
      <c r="V109" s="307">
        <f t="shared" si="133"/>
        <v>1.572043005733062E-2</v>
      </c>
      <c r="W109" s="67">
        <f t="shared" si="134"/>
        <v>0</v>
      </c>
    </row>
    <row r="110" spans="1:23">
      <c r="A110" s="127"/>
      <c r="B110" s="43" t="s">
        <v>127</v>
      </c>
      <c r="C110" s="113" t="s">
        <v>212</v>
      </c>
      <c r="D110" s="128">
        <v>1</v>
      </c>
      <c r="E110" s="69">
        <v>1</v>
      </c>
      <c r="F110" s="109">
        <f t="shared" si="122"/>
        <v>12</v>
      </c>
      <c r="G110" s="259">
        <f>References!B37</f>
        <v>1301</v>
      </c>
      <c r="H110" s="68">
        <f t="shared" si="135"/>
        <v>15612</v>
      </c>
      <c r="I110" s="47">
        <f t="shared" si="139"/>
        <v>9523.5273027722724</v>
      </c>
      <c r="J110" s="67">
        <f>(References!$C$49*I110)</f>
        <v>71.569307680333708</v>
      </c>
      <c r="K110" s="67">
        <f>J110/References!$G$52</f>
        <v>73.374315850249857</v>
      </c>
      <c r="L110" s="67">
        <f t="shared" si="140"/>
        <v>6.1145263208541545</v>
      </c>
      <c r="M110" s="270">
        <v>199.66</v>
      </c>
      <c r="N110" s="67">
        <f t="shared" si="136"/>
        <v>205.77452632085416</v>
      </c>
      <c r="O110" s="67" t="s">
        <v>254</v>
      </c>
      <c r="S110" s="67"/>
      <c r="T110" s="67"/>
      <c r="U110" s="67"/>
      <c r="V110" s="307">
        <f t="shared" si="133"/>
        <v>3.0624693583362488E-2</v>
      </c>
      <c r="W110" s="67">
        <f t="shared" si="134"/>
        <v>1.3322676295501878E-14</v>
      </c>
    </row>
    <row r="111" spans="1:23">
      <c r="A111" s="131"/>
      <c r="B111" s="43" t="s">
        <v>127</v>
      </c>
      <c r="C111" s="113" t="s">
        <v>213</v>
      </c>
      <c r="D111" s="128">
        <v>1</v>
      </c>
      <c r="E111" s="69">
        <v>1</v>
      </c>
      <c r="F111" s="109">
        <f t="shared" si="122"/>
        <v>12</v>
      </c>
      <c r="G111" s="259">
        <f>References!B38</f>
        <v>1686</v>
      </c>
      <c r="H111" s="68">
        <f t="shared" si="135"/>
        <v>20232</v>
      </c>
      <c r="I111" s="47">
        <f t="shared" si="139"/>
        <v>12341.788649096121</v>
      </c>
      <c r="J111" s="67">
        <f>(References!$C$49*I111)</f>
        <v>92.74854169795745</v>
      </c>
      <c r="K111" s="67">
        <f>J111/References!$G$52</f>
        <v>95.087699095711955</v>
      </c>
      <c r="L111" s="67">
        <f t="shared" si="140"/>
        <v>7.9239749246426632</v>
      </c>
      <c r="M111" s="270">
        <v>338.12</v>
      </c>
      <c r="N111" s="67">
        <f t="shared" si="136"/>
        <v>346.04397492464267</v>
      </c>
      <c r="O111" s="67" t="s">
        <v>254</v>
      </c>
      <c r="S111" s="67"/>
      <c r="T111" s="67"/>
      <c r="U111" s="67"/>
      <c r="V111" s="307">
        <f t="shared" si="133"/>
        <v>2.3435392537095302E-2</v>
      </c>
      <c r="W111" s="67">
        <f t="shared" si="134"/>
        <v>0</v>
      </c>
    </row>
    <row r="112" spans="1:23">
      <c r="A112" s="131"/>
      <c r="B112" s="43" t="s">
        <v>127</v>
      </c>
      <c r="C112" s="113" t="s">
        <v>214</v>
      </c>
      <c r="D112" s="128">
        <v>1</v>
      </c>
      <c r="E112" s="69">
        <v>1</v>
      </c>
      <c r="F112" s="109">
        <f t="shared" si="122"/>
        <v>12</v>
      </c>
      <c r="G112" s="259">
        <f>References!B40</f>
        <v>2310</v>
      </c>
      <c r="H112" s="68">
        <f t="shared" si="135"/>
        <v>27720</v>
      </c>
      <c r="I112" s="47">
        <f t="shared" si="139"/>
        <v>16909.568077943084</v>
      </c>
      <c r="J112" s="67">
        <f>(References!$C$49*I112)</f>
        <v>127.07540410574241</v>
      </c>
      <c r="K112" s="67">
        <f>J112/References!$G$52</f>
        <v>130.28029947277261</v>
      </c>
      <c r="L112" s="67">
        <f t="shared" si="140"/>
        <v>10.85669162273105</v>
      </c>
      <c r="M112" s="270">
        <v>435.54</v>
      </c>
      <c r="N112" s="67">
        <f t="shared" si="136"/>
        <v>446.39669162273105</v>
      </c>
      <c r="O112" s="67" t="s">
        <v>254</v>
      </c>
      <c r="S112" s="67"/>
      <c r="T112" s="67"/>
      <c r="U112" s="67"/>
      <c r="V112" s="307">
        <f t="shared" si="133"/>
        <v>2.4926967954105362E-2</v>
      </c>
      <c r="W112" s="67">
        <f t="shared" si="134"/>
        <v>-1.5987211554602254E-14</v>
      </c>
    </row>
    <row r="113" spans="1:23">
      <c r="A113" s="131"/>
      <c r="B113" s="43" t="s">
        <v>127</v>
      </c>
      <c r="C113" s="113" t="s">
        <v>119</v>
      </c>
      <c r="D113" s="128">
        <v>1</v>
      </c>
      <c r="E113" s="69">
        <v>1</v>
      </c>
      <c r="F113" s="109">
        <f t="shared" si="122"/>
        <v>12</v>
      </c>
      <c r="G113" s="259">
        <f>References!B37</f>
        <v>1301</v>
      </c>
      <c r="H113" s="68">
        <f t="shared" si="135"/>
        <v>15612</v>
      </c>
      <c r="I113" s="47">
        <f t="shared" si="139"/>
        <v>9523.5273027722724</v>
      </c>
      <c r="J113" s="67">
        <f>(References!$C$49*I113)</f>
        <v>71.569307680333708</v>
      </c>
      <c r="K113" s="67">
        <f>J113/References!$G$52</f>
        <v>73.374315850249857</v>
      </c>
      <c r="L113" s="67">
        <f t="shared" si="140"/>
        <v>6.1145263208541545</v>
      </c>
      <c r="M113" s="270">
        <v>202.75</v>
      </c>
      <c r="N113" s="67">
        <f t="shared" si="136"/>
        <v>208.86452632085417</v>
      </c>
      <c r="O113" s="67" t="s">
        <v>254</v>
      </c>
      <c r="S113" s="67"/>
      <c r="T113" s="67"/>
      <c r="U113" s="67"/>
      <c r="V113" s="307">
        <f t="shared" si="133"/>
        <v>3.0157959658960072E-2</v>
      </c>
      <c r="W113" s="67">
        <f t="shared" si="134"/>
        <v>1.3322676295501878E-14</v>
      </c>
    </row>
    <row r="114" spans="1:23">
      <c r="A114" s="131"/>
      <c r="B114" s="43" t="s">
        <v>127</v>
      </c>
      <c r="C114" s="113" t="s">
        <v>120</v>
      </c>
      <c r="D114" s="128">
        <v>1</v>
      </c>
      <c r="E114" s="69">
        <v>1</v>
      </c>
      <c r="F114" s="109">
        <f t="shared" si="122"/>
        <v>12</v>
      </c>
      <c r="G114" s="259">
        <f>References!B38</f>
        <v>1686</v>
      </c>
      <c r="H114" s="68">
        <f t="shared" si="135"/>
        <v>20232</v>
      </c>
      <c r="I114" s="47">
        <f t="shared" si="139"/>
        <v>12341.788649096121</v>
      </c>
      <c r="J114" s="67">
        <f>(References!$C$49*I114)</f>
        <v>92.74854169795745</v>
      </c>
      <c r="K114" s="67">
        <f>J114/References!$G$52</f>
        <v>95.087699095711955</v>
      </c>
      <c r="L114" s="67">
        <f t="shared" si="140"/>
        <v>7.9239749246426632</v>
      </c>
      <c r="M114" s="270">
        <v>340.91</v>
      </c>
      <c r="N114" s="67">
        <f t="shared" si="136"/>
        <v>348.83397492464269</v>
      </c>
      <c r="O114" s="67" t="s">
        <v>254</v>
      </c>
      <c r="S114" s="67"/>
      <c r="T114" s="67"/>
      <c r="U114" s="67"/>
      <c r="V114" s="307">
        <f t="shared" si="133"/>
        <v>2.3243597796024355E-2</v>
      </c>
      <c r="W114" s="67">
        <f t="shared" si="134"/>
        <v>0</v>
      </c>
    </row>
    <row r="115" spans="1:23">
      <c r="A115" s="132"/>
      <c r="B115" s="133" t="s">
        <v>127</v>
      </c>
      <c r="C115" s="134" t="s">
        <v>121</v>
      </c>
      <c r="D115" s="135">
        <v>1</v>
      </c>
      <c r="E115" s="136">
        <v>1</v>
      </c>
      <c r="F115" s="137">
        <f t="shared" si="122"/>
        <v>12</v>
      </c>
      <c r="G115" s="268">
        <f>References!B40</f>
        <v>2310</v>
      </c>
      <c r="H115" s="138">
        <f t="shared" si="135"/>
        <v>27720</v>
      </c>
      <c r="I115" s="139">
        <f t="shared" si="139"/>
        <v>16909.568077943084</v>
      </c>
      <c r="J115" s="140">
        <f>(References!$C$49*I115)</f>
        <v>127.07540410574241</v>
      </c>
      <c r="K115" s="140">
        <f>J115/References!$G$52</f>
        <v>130.28029947277261</v>
      </c>
      <c r="L115" s="140">
        <f t="shared" si="140"/>
        <v>10.85669162273105</v>
      </c>
      <c r="M115" s="270">
        <v>438.12</v>
      </c>
      <c r="N115" s="67">
        <f t="shared" si="136"/>
        <v>448.97669162273104</v>
      </c>
      <c r="O115" s="67" t="s">
        <v>254</v>
      </c>
      <c r="S115" s="67"/>
      <c r="T115" s="67"/>
      <c r="U115" s="67"/>
      <c r="V115" s="307">
        <f t="shared" si="133"/>
        <v>2.4780178085298664E-2</v>
      </c>
      <c r="W115" s="67">
        <f t="shared" si="134"/>
        <v>-1.5987211554602254E-14</v>
      </c>
    </row>
    <row r="116" spans="1:23">
      <c r="A116" s="63"/>
      <c r="B116" s="297" t="s">
        <v>232</v>
      </c>
      <c r="C116" s="298" t="s">
        <v>233</v>
      </c>
      <c r="D116" s="146">
        <v>1</v>
      </c>
      <c r="E116" s="69">
        <v>1</v>
      </c>
      <c r="F116" s="272">
        <v>12</v>
      </c>
      <c r="G116" s="259">
        <f>References!B42</f>
        <v>125</v>
      </c>
      <c r="H116" s="299">
        <f t="shared" ref="H116:H117" si="141">G116*F116</f>
        <v>1500</v>
      </c>
      <c r="I116" s="300">
        <f t="shared" ref="I116:I117" si="142">$D$126*H116</f>
        <v>915.01991763761271</v>
      </c>
      <c r="J116" s="72">
        <f>(References!$C$49*I116)</f>
        <v>6.8763746810466664</v>
      </c>
      <c r="K116" s="72">
        <f>J116/References!$G$52</f>
        <v>7.0497997550201621</v>
      </c>
      <c r="L116" s="72">
        <f t="shared" ref="L116:L117" si="143">IFERROR(K116/F116*E116,0)</f>
        <v>0.58748331291834688</v>
      </c>
      <c r="M116" s="304">
        <v>19.38</v>
      </c>
      <c r="N116" s="72">
        <f t="shared" ref="N116:N117" si="144">L116+M116</f>
        <v>19.967483312918347</v>
      </c>
      <c r="S116" s="67"/>
      <c r="T116" s="67"/>
      <c r="U116" s="67"/>
      <c r="V116" s="307">
        <f t="shared" si="133"/>
        <v>3.0313896435415218E-2</v>
      </c>
      <c r="W116" s="67">
        <f t="shared" si="134"/>
        <v>9.9920072216264089E-16</v>
      </c>
    </row>
    <row r="117" spans="1:23">
      <c r="A117" s="63"/>
      <c r="B117" s="297" t="s">
        <v>232</v>
      </c>
      <c r="C117" s="298" t="s">
        <v>234</v>
      </c>
      <c r="D117" s="146">
        <v>1</v>
      </c>
      <c r="E117" s="69">
        <v>1</v>
      </c>
      <c r="F117" s="272">
        <v>12</v>
      </c>
      <c r="G117" s="259">
        <f>References!B42</f>
        <v>125</v>
      </c>
      <c r="H117" s="68">
        <f t="shared" si="141"/>
        <v>1500</v>
      </c>
      <c r="I117" s="47">
        <f t="shared" si="142"/>
        <v>915.01991763761271</v>
      </c>
      <c r="J117" s="67">
        <f>(References!$C$49*I117)</f>
        <v>6.8763746810466664</v>
      </c>
      <c r="K117" s="67">
        <f>J117/References!$G$52</f>
        <v>7.0497997550201621</v>
      </c>
      <c r="L117" s="67">
        <f t="shared" si="143"/>
        <v>0.58748331291834688</v>
      </c>
      <c r="M117" s="270">
        <v>19.38</v>
      </c>
      <c r="N117" s="67">
        <f t="shared" si="144"/>
        <v>19.967483312918347</v>
      </c>
      <c r="S117" s="67"/>
      <c r="T117" s="67"/>
      <c r="U117" s="67"/>
      <c r="V117" s="307">
        <f t="shared" si="133"/>
        <v>3.0313896435415218E-2</v>
      </c>
      <c r="W117" s="67">
        <f t="shared" si="134"/>
        <v>9.9920072216264089E-16</v>
      </c>
    </row>
    <row r="118" spans="1:23">
      <c r="A118" s="63"/>
      <c r="C118" s="80"/>
      <c r="D118" s="39"/>
      <c r="E118" s="31"/>
      <c r="F118" s="57"/>
      <c r="G118" s="103"/>
      <c r="H118" s="57"/>
      <c r="J118" s="67"/>
      <c r="K118" s="82"/>
      <c r="L118" s="82"/>
      <c r="M118" s="82"/>
      <c r="N118" s="82"/>
      <c r="O118" s="60"/>
      <c r="P118" s="89"/>
      <c r="Q118" s="60"/>
      <c r="R118" s="60"/>
      <c r="S118" s="60"/>
      <c r="T118" s="115"/>
      <c r="U118" s="115"/>
    </row>
    <row r="119" spans="1:23">
      <c r="A119" s="63"/>
      <c r="C119" s="80"/>
      <c r="D119" s="39"/>
      <c r="E119" s="31"/>
      <c r="F119" s="57"/>
      <c r="G119" s="103"/>
      <c r="H119" s="57"/>
      <c r="J119" s="67"/>
      <c r="K119" s="82"/>
      <c r="L119" s="82"/>
      <c r="M119" s="82"/>
      <c r="N119" s="82"/>
      <c r="O119" s="60"/>
      <c r="P119" s="89"/>
      <c r="Q119" s="60"/>
      <c r="R119" s="60"/>
      <c r="S119" s="60"/>
      <c r="T119" s="115"/>
      <c r="U119" s="115"/>
    </row>
    <row r="120" spans="1:23">
      <c r="A120" s="63"/>
      <c r="C120" s="66"/>
      <c r="P120" s="61"/>
    </row>
    <row r="121" spans="1:23">
      <c r="A121" s="63"/>
      <c r="C121" s="313" t="s">
        <v>91</v>
      </c>
      <c r="D121" s="313"/>
      <c r="E121" s="79"/>
      <c r="F121" s="79"/>
    </row>
    <row r="122" spans="1:23">
      <c r="A122" s="63"/>
      <c r="D122" s="55" t="s">
        <v>17</v>
      </c>
      <c r="E122" s="38"/>
      <c r="F122" s="38"/>
      <c r="H122" s="297"/>
      <c r="J122" s="42"/>
      <c r="O122" s="59"/>
    </row>
    <row r="123" spans="1:23">
      <c r="A123" s="63"/>
      <c r="C123" s="58" t="s">
        <v>33</v>
      </c>
      <c r="D123" s="160">
        <f>'Disposal Summary (with IC)'!T33+'Disposal Summary (with IC)'!T44</f>
        <v>9964.4063536788544</v>
      </c>
      <c r="E123" s="57"/>
      <c r="F123" s="57"/>
      <c r="G123" s="104"/>
      <c r="H123" s="81"/>
      <c r="J123" s="42"/>
      <c r="O123" s="59"/>
    </row>
    <row r="124" spans="1:23">
      <c r="A124" s="63"/>
      <c r="C124" s="58" t="s">
        <v>34</v>
      </c>
      <c r="D124" s="36">
        <f>D123*2000</f>
        <v>19928812.707357708</v>
      </c>
      <c r="E124" s="36"/>
      <c r="F124" s="36"/>
      <c r="H124" s="91"/>
      <c r="J124" s="42"/>
    </row>
    <row r="125" spans="1:23">
      <c r="A125" s="63"/>
      <c r="C125" s="58" t="s">
        <v>5</v>
      </c>
      <c r="D125" s="36">
        <f>F52</f>
        <v>607684.31999999995</v>
      </c>
      <c r="E125" s="57"/>
      <c r="F125" s="57"/>
      <c r="H125" s="92"/>
      <c r="J125" s="42"/>
      <c r="O125" s="59"/>
    </row>
    <row r="126" spans="1:23">
      <c r="C126" s="43" t="s">
        <v>12</v>
      </c>
      <c r="D126" s="35">
        <f>D124/$H$52</f>
        <v>0.61001327842507513</v>
      </c>
      <c r="E126" s="35"/>
      <c r="F126" s="35"/>
      <c r="H126" s="30"/>
      <c r="J126" s="42"/>
      <c r="M126" s="41"/>
      <c r="N126" s="41"/>
      <c r="O126" s="40"/>
    </row>
    <row r="127" spans="1:23">
      <c r="G127" s="104"/>
      <c r="H127" s="32"/>
      <c r="J127" s="42"/>
      <c r="M127" s="44"/>
      <c r="N127" s="29"/>
      <c r="O127" s="61"/>
    </row>
    <row r="128" spans="1:23">
      <c r="D128" s="34"/>
      <c r="E128" s="33"/>
      <c r="G128" s="104"/>
      <c r="H128" s="32"/>
      <c r="J128" s="42"/>
      <c r="M128" s="44"/>
      <c r="N128" s="29"/>
      <c r="O128" s="61"/>
    </row>
    <row r="129" spans="4:15">
      <c r="D129" s="34"/>
      <c r="E129" s="33"/>
      <c r="G129" s="104"/>
      <c r="H129" s="32"/>
      <c r="J129" s="42"/>
      <c r="M129" s="44"/>
      <c r="N129" s="29"/>
      <c r="O129" s="61"/>
    </row>
    <row r="130" spans="4:15">
      <c r="D130" s="58"/>
      <c r="I130" s="58"/>
    </row>
    <row r="131" spans="4:15">
      <c r="D131" s="58"/>
      <c r="E131" s="42"/>
      <c r="I131" s="58"/>
    </row>
    <row r="132" spans="4:15">
      <c r="D132" s="58"/>
      <c r="I132" s="58"/>
    </row>
    <row r="133" spans="4:15">
      <c r="D133" s="58"/>
      <c r="I133" s="58"/>
    </row>
    <row r="134" spans="4:15">
      <c r="D134" s="58"/>
    </row>
  </sheetData>
  <mergeCells count="4">
    <mergeCell ref="C121:D121"/>
    <mergeCell ref="A2:A12"/>
    <mergeCell ref="A16:A38"/>
    <mergeCell ref="A40:A49"/>
  </mergeCells>
  <phoneticPr fontId="74" type="noConversion"/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  <ignoredErrors>
    <ignoredError sqref="E7 N7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opLeftCell="A40" zoomScaleNormal="100" workbookViewId="0">
      <selection sqref="A1:H1"/>
    </sheetView>
  </sheetViews>
  <sheetFormatPr defaultColWidth="9.109375" defaultRowHeight="14.4"/>
  <cols>
    <col min="1" max="1" width="36.33203125" style="3" bestFit="1" customWidth="1"/>
    <col min="2" max="2" width="22.109375" style="3" bestFit="1" customWidth="1"/>
    <col min="3" max="3" width="19.5546875" style="3" customWidth="1"/>
    <col min="4" max="4" width="13.109375" style="3" bestFit="1" customWidth="1"/>
    <col min="5" max="5" width="8.88671875" style="3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>
      <c r="A1" s="316" t="s">
        <v>19</v>
      </c>
      <c r="B1" s="316"/>
      <c r="C1" s="316"/>
      <c r="D1" s="316"/>
      <c r="E1" s="316"/>
      <c r="F1" s="316"/>
      <c r="G1" s="316"/>
      <c r="H1" s="316"/>
    </row>
    <row r="2" spans="1:8">
      <c r="A2" s="3" t="s">
        <v>61</v>
      </c>
      <c r="B2" s="9" t="s">
        <v>47</v>
      </c>
      <c r="C2" s="9" t="s">
        <v>48</v>
      </c>
      <c r="D2" s="9" t="s">
        <v>49</v>
      </c>
      <c r="E2" s="10" t="s">
        <v>52</v>
      </c>
      <c r="F2" s="10" t="s">
        <v>53</v>
      </c>
      <c r="G2" s="10" t="s">
        <v>54</v>
      </c>
      <c r="H2" s="9" t="s">
        <v>57</v>
      </c>
    </row>
    <row r="3" spans="1:8">
      <c r="A3" s="3" t="s">
        <v>58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92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59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60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316" t="s">
        <v>11</v>
      </c>
      <c r="B11" s="316"/>
      <c r="C11" s="26"/>
      <c r="D11" s="12"/>
      <c r="E11" s="12"/>
      <c r="F11" s="12"/>
      <c r="G11" s="12"/>
      <c r="H11" s="12"/>
    </row>
    <row r="12" spans="1:8">
      <c r="A12" s="24" t="s">
        <v>56</v>
      </c>
      <c r="B12" s="28" t="s">
        <v>86</v>
      </c>
      <c r="C12" s="26"/>
      <c r="D12" s="12"/>
      <c r="E12" s="12"/>
      <c r="F12" s="12"/>
      <c r="G12" s="12"/>
      <c r="H12" s="12"/>
    </row>
    <row r="13" spans="1:8">
      <c r="A13" s="27" t="s">
        <v>87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62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63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64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65</v>
      </c>
      <c r="B17" s="25">
        <v>97</v>
      </c>
      <c r="C17" s="26"/>
      <c r="D17" s="12"/>
      <c r="E17" s="12"/>
      <c r="F17" s="3" t="s">
        <v>21</v>
      </c>
      <c r="G17" s="14" t="s">
        <v>50</v>
      </c>
      <c r="H17" s="12"/>
    </row>
    <row r="18" spans="1:8">
      <c r="A18" s="27" t="s">
        <v>66</v>
      </c>
      <c r="B18" s="25">
        <v>117</v>
      </c>
      <c r="C18" s="26"/>
      <c r="D18" s="12"/>
      <c r="E18" s="12"/>
      <c r="H18" s="12"/>
    </row>
    <row r="19" spans="1:8">
      <c r="A19" s="27" t="s">
        <v>67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96</v>
      </c>
      <c r="B20" s="37">
        <v>37</v>
      </c>
      <c r="C20" s="45" t="s">
        <v>88</v>
      </c>
      <c r="D20" s="26"/>
      <c r="E20" s="26"/>
      <c r="F20" s="7"/>
      <c r="G20" s="8"/>
      <c r="H20" s="26"/>
    </row>
    <row r="21" spans="1:8">
      <c r="A21" s="27" t="s">
        <v>68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69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70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71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72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73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74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75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76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77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78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79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93</v>
      </c>
      <c r="B34" s="25">
        <v>482</v>
      </c>
      <c r="C34" s="26" t="s">
        <v>88</v>
      </c>
      <c r="D34" s="12"/>
      <c r="E34" s="12"/>
      <c r="F34" s="12"/>
      <c r="G34" s="12"/>
      <c r="H34" s="12"/>
    </row>
    <row r="35" spans="1:8">
      <c r="A35" s="27" t="s">
        <v>94</v>
      </c>
      <c r="B35" s="25">
        <v>689</v>
      </c>
      <c r="C35" s="26" t="s">
        <v>88</v>
      </c>
      <c r="D35" s="12"/>
      <c r="E35" s="12"/>
      <c r="F35" s="12"/>
      <c r="G35" s="12"/>
      <c r="H35" s="12"/>
    </row>
    <row r="36" spans="1:8" s="22" customFormat="1">
      <c r="A36" s="27" t="s">
        <v>81</v>
      </c>
      <c r="B36" s="25">
        <v>892</v>
      </c>
      <c r="C36" s="26" t="s">
        <v>88</v>
      </c>
      <c r="D36" s="23"/>
      <c r="E36" s="23"/>
      <c r="F36" s="23"/>
      <c r="G36" s="23"/>
      <c r="H36" s="23"/>
    </row>
    <row r="37" spans="1:8" s="22" customFormat="1">
      <c r="A37" s="27" t="s">
        <v>80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82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83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84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95</v>
      </c>
      <c r="B41" s="25">
        <v>2800</v>
      </c>
      <c r="C41" s="26" t="s">
        <v>88</v>
      </c>
      <c r="D41" s="23"/>
      <c r="E41" s="23"/>
      <c r="F41" s="23"/>
      <c r="G41" s="23"/>
      <c r="H41" s="23"/>
    </row>
    <row r="42" spans="1:8" s="22" customFormat="1">
      <c r="A42" s="27" t="s">
        <v>85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7" t="s">
        <v>98</v>
      </c>
      <c r="C43" s="97"/>
      <c r="D43" s="97"/>
    </row>
    <row r="46" spans="1:8">
      <c r="A46" s="21" t="s">
        <v>106</v>
      </c>
      <c r="B46" s="19" t="s">
        <v>6</v>
      </c>
      <c r="C46" s="19" t="s">
        <v>7</v>
      </c>
      <c r="F46" s="317" t="s">
        <v>27</v>
      </c>
      <c r="G46" s="317"/>
    </row>
    <row r="47" spans="1:8">
      <c r="A47" s="15" t="s">
        <v>8</v>
      </c>
      <c r="B47" s="255">
        <v>168.68</v>
      </c>
      <c r="C47" s="143">
        <f>B47/2000</f>
        <v>8.4339999999999998E-2</v>
      </c>
      <c r="D47" s="142"/>
      <c r="F47" s="3" t="s">
        <v>28</v>
      </c>
      <c r="G47" s="148">
        <f>0.0175</f>
        <v>1.7500000000000002E-2</v>
      </c>
    </row>
    <row r="48" spans="1:8">
      <c r="A48" s="15" t="s">
        <v>9</v>
      </c>
      <c r="B48" s="256">
        <f>150.83+32.88</f>
        <v>183.71</v>
      </c>
      <c r="C48" s="141">
        <f>B48/2000</f>
        <v>9.1855000000000006E-2</v>
      </c>
      <c r="D48" s="142"/>
      <c r="F48" s="3" t="s">
        <v>29</v>
      </c>
      <c r="G48" s="149">
        <v>5.1000000000000004E-3</v>
      </c>
    </row>
    <row r="49" spans="1:7">
      <c r="A49" s="13" t="s">
        <v>10</v>
      </c>
      <c r="B49" s="144">
        <f>B48-B47</f>
        <v>15.030000000000001</v>
      </c>
      <c r="C49" s="296">
        <f>C48-C47</f>
        <v>7.5150000000000078E-3</v>
      </c>
      <c r="D49" s="257">
        <f>B49/2000</f>
        <v>7.5150000000000008E-3</v>
      </c>
      <c r="F49" s="3" t="s">
        <v>55</v>
      </c>
      <c r="G49" s="150">
        <v>2E-3</v>
      </c>
    </row>
    <row r="50" spans="1:7">
      <c r="B50" s="305">
        <f>B49/B47</f>
        <v>8.9103628171686031E-2</v>
      </c>
      <c r="C50" s="142"/>
      <c r="D50" s="142"/>
      <c r="F50" s="3" t="s">
        <v>17</v>
      </c>
      <c r="G50" s="16">
        <f>SUM(G47:G49)</f>
        <v>2.4600000000000004E-2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15.030000000000001</v>
      </c>
      <c r="F52" s="3" t="s">
        <v>30</v>
      </c>
      <c r="G52" s="18">
        <f>1-G50</f>
        <v>0.97540000000000004</v>
      </c>
    </row>
    <row r="53" spans="1:7">
      <c r="A53" s="3" t="s">
        <v>26</v>
      </c>
      <c r="B53" s="17">
        <f>B52/$G$52</f>
        <v>15.409062948533935</v>
      </c>
    </row>
    <row r="54" spans="1:7">
      <c r="A54" s="3" t="s">
        <v>25</v>
      </c>
      <c r="B54" s="6">
        <f>'Price Out Rates'!D123</f>
        <v>9964.4063536788544</v>
      </c>
    </row>
    <row r="55" spans="1:7">
      <c r="A55" s="2" t="s">
        <v>31</v>
      </c>
      <c r="B55" s="4">
        <f>B53*B54</f>
        <v>153542.16474860895</v>
      </c>
    </row>
    <row r="58" spans="1:7" ht="15" thickBot="1"/>
    <row r="59" spans="1:7">
      <c r="A59" s="83" t="s">
        <v>90</v>
      </c>
      <c r="B59" s="84" t="s">
        <v>89</v>
      </c>
    </row>
    <row r="60" spans="1:7">
      <c r="A60" s="85" t="s">
        <v>51</v>
      </c>
      <c r="B60" s="86">
        <f>'Price Out Rates'!T52</f>
        <v>153542.16474860924</v>
      </c>
    </row>
    <row r="61" spans="1:7" ht="15" thickBot="1">
      <c r="A61" s="87" t="s">
        <v>13</v>
      </c>
      <c r="B61" s="88">
        <f>B60-B55</f>
        <v>2.9103830456733704E-10</v>
      </c>
      <c r="C61" s="17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2641-969E-4227-845E-E257AA996DB2}">
  <sheetPr>
    <pageSetUpPr fitToPage="1"/>
  </sheetPr>
  <dimension ref="A1:Z464"/>
  <sheetViews>
    <sheetView workbookViewId="0">
      <pane xSplit="6" ySplit="5" topLeftCell="G49" activePane="bottomRight" state="frozen"/>
      <selection pane="topRight" activeCell="G1" sqref="G1"/>
      <selection pane="bottomLeft" activeCell="A6" sqref="A6"/>
      <selection pane="bottomRight" sqref="A1:F1"/>
    </sheetView>
  </sheetViews>
  <sheetFormatPr defaultColWidth="10.88671875" defaultRowHeight="14.4" outlineLevelRow="1" outlineLevelCol="1"/>
  <cols>
    <col min="1" max="1" width="8.6640625" style="168" hidden="1" customWidth="1" outlineLevel="1"/>
    <col min="2" max="2" width="6.88671875" style="168" hidden="1" customWidth="1" outlineLevel="1"/>
    <col min="3" max="5" width="6.77734375" style="161" hidden="1" customWidth="1" outlineLevel="1"/>
    <col min="6" max="6" width="50.21875" style="161" customWidth="1" collapsed="1"/>
    <col min="7" max="13" width="13.44140625" style="161" customWidth="1"/>
    <col min="14" max="14" width="11.109375" style="161" bestFit="1" customWidth="1"/>
    <col min="15" max="15" width="14.77734375" style="161" bestFit="1" customWidth="1"/>
    <col min="16" max="16" width="12.33203125" style="161" bestFit="1" customWidth="1"/>
    <col min="17" max="17" width="14.5546875" style="161" bestFit="1" customWidth="1"/>
    <col min="18" max="18" width="14.21875" style="161" bestFit="1" customWidth="1"/>
    <col min="19" max="19" width="1.21875" style="161" customWidth="1"/>
    <col min="20" max="20" width="13" style="162" bestFit="1" customWidth="1"/>
    <col min="21" max="21" width="2.33203125" style="161" customWidth="1"/>
    <col min="22" max="23" width="16.44140625" style="161" customWidth="1"/>
    <col min="24" max="16384" width="10.88671875" style="161"/>
  </cols>
  <sheetData>
    <row r="1" spans="1:22">
      <c r="A1" s="318" t="s">
        <v>235</v>
      </c>
      <c r="B1" s="318"/>
      <c r="C1" s="318"/>
      <c r="D1" s="318"/>
      <c r="E1" s="318"/>
      <c r="F1" s="318"/>
    </row>
    <row r="2" spans="1:22">
      <c r="A2" s="320" t="s">
        <v>249</v>
      </c>
      <c r="B2" s="320"/>
      <c r="C2" s="320"/>
      <c r="D2" s="320"/>
      <c r="E2" s="320"/>
      <c r="F2" s="320"/>
      <c r="G2" s="166" t="s">
        <v>237</v>
      </c>
      <c r="H2" s="166" t="s">
        <v>238</v>
      </c>
      <c r="I2" s="166" t="s">
        <v>239</v>
      </c>
      <c r="J2" s="166" t="s">
        <v>240</v>
      </c>
      <c r="K2" s="166" t="s">
        <v>241</v>
      </c>
      <c r="L2" s="166" t="s">
        <v>242</v>
      </c>
      <c r="M2" s="166" t="s">
        <v>243</v>
      </c>
      <c r="N2" s="166" t="s">
        <v>244</v>
      </c>
      <c r="O2" s="166" t="s">
        <v>245</v>
      </c>
      <c r="P2" s="166" t="s">
        <v>246</v>
      </c>
      <c r="Q2" s="166" t="s">
        <v>247</v>
      </c>
      <c r="R2" s="166" t="s">
        <v>248</v>
      </c>
    </row>
    <row r="3" spans="1:22" s="162" customFormat="1">
      <c r="A3" s="274" t="s">
        <v>131</v>
      </c>
      <c r="B3" s="274" t="s">
        <v>132</v>
      </c>
      <c r="C3" s="319" t="s">
        <v>133</v>
      </c>
      <c r="D3" s="319"/>
      <c r="E3" s="274"/>
      <c r="G3" s="163">
        <v>44592</v>
      </c>
      <c r="H3" s="164">
        <f>EOMONTH(G3,1)</f>
        <v>44620</v>
      </c>
      <c r="I3" s="164">
        <f t="shared" ref="I3:R3" si="0">EOMONTH(H3,1)</f>
        <v>44651</v>
      </c>
      <c r="J3" s="164">
        <f t="shared" si="0"/>
        <v>44681</v>
      </c>
      <c r="K3" s="164">
        <f t="shared" si="0"/>
        <v>44712</v>
      </c>
      <c r="L3" s="164">
        <f t="shared" si="0"/>
        <v>44742</v>
      </c>
      <c r="M3" s="164">
        <f t="shared" si="0"/>
        <v>44773</v>
      </c>
      <c r="N3" s="164">
        <f t="shared" si="0"/>
        <v>44804</v>
      </c>
      <c r="O3" s="164">
        <f t="shared" si="0"/>
        <v>44834</v>
      </c>
      <c r="P3" s="164">
        <f t="shared" si="0"/>
        <v>44865</v>
      </c>
      <c r="Q3" s="164">
        <f t="shared" si="0"/>
        <v>44895</v>
      </c>
      <c r="R3" s="164">
        <f t="shared" si="0"/>
        <v>44926</v>
      </c>
      <c r="T3" s="162" t="s">
        <v>109</v>
      </c>
    </row>
    <row r="4" spans="1:22" s="166" customFormat="1">
      <c r="A4" s="165"/>
      <c r="B4" s="165"/>
      <c r="C4" s="165"/>
      <c r="D4" s="165"/>
      <c r="E4" s="165"/>
      <c r="G4" s="166">
        <f>MONTH(G3)</f>
        <v>1</v>
      </c>
      <c r="H4" s="166">
        <f t="shared" ref="H4:R4" si="1">MONTH(H3)</f>
        <v>2</v>
      </c>
      <c r="I4" s="166">
        <f t="shared" si="1"/>
        <v>3</v>
      </c>
      <c r="J4" s="166">
        <f t="shared" si="1"/>
        <v>4</v>
      </c>
      <c r="K4" s="166">
        <f t="shared" si="1"/>
        <v>5</v>
      </c>
      <c r="L4" s="166">
        <f t="shared" si="1"/>
        <v>6</v>
      </c>
      <c r="M4" s="166">
        <f t="shared" si="1"/>
        <v>7</v>
      </c>
      <c r="N4" s="166">
        <f t="shared" si="1"/>
        <v>8</v>
      </c>
      <c r="O4" s="166">
        <f t="shared" si="1"/>
        <v>9</v>
      </c>
      <c r="P4" s="166">
        <f t="shared" si="1"/>
        <v>10</v>
      </c>
      <c r="Q4" s="166">
        <f t="shared" si="1"/>
        <v>11</v>
      </c>
      <c r="R4" s="166">
        <f t="shared" si="1"/>
        <v>12</v>
      </c>
      <c r="T4" s="167"/>
    </row>
    <row r="5" spans="1:22" ht="15" thickBot="1">
      <c r="C5" s="168"/>
      <c r="D5" s="168"/>
      <c r="E5" s="168"/>
      <c r="F5" s="169" t="s">
        <v>134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69"/>
    </row>
    <row r="6" spans="1:22">
      <c r="C6" s="168"/>
      <c r="D6" s="168"/>
      <c r="E6" s="168"/>
    </row>
    <row r="7" spans="1:22">
      <c r="C7" s="168"/>
      <c r="D7" s="168"/>
      <c r="E7" s="168"/>
      <c r="F7" s="162" t="s">
        <v>135</v>
      </c>
    </row>
    <row r="8" spans="1:22">
      <c r="C8" s="168"/>
      <c r="D8" s="168"/>
      <c r="E8" s="168"/>
      <c r="F8" s="161" t="s">
        <v>136</v>
      </c>
      <c r="G8" s="275">
        <v>1870.36</v>
      </c>
      <c r="H8" s="275">
        <v>1625.14</v>
      </c>
      <c r="I8" s="275">
        <v>1899.27</v>
      </c>
      <c r="J8" s="275">
        <v>1792.11</v>
      </c>
      <c r="K8" s="275">
        <v>1976.84</v>
      </c>
      <c r="L8" s="275">
        <v>2020.35</v>
      </c>
      <c r="M8" s="275">
        <v>1987.46</v>
      </c>
      <c r="N8" s="275">
        <v>1984.99</v>
      </c>
      <c r="O8" s="275">
        <v>1957.23</v>
      </c>
      <c r="P8" s="275">
        <v>1815.58</v>
      </c>
      <c r="Q8" s="275">
        <v>1815.58</v>
      </c>
      <c r="R8" s="275">
        <v>1771.83</v>
      </c>
      <c r="T8" s="172">
        <f>SUM(G8:S8)</f>
        <v>22516.740000000005</v>
      </c>
    </row>
    <row r="9" spans="1:22">
      <c r="C9" s="168"/>
      <c r="D9" s="168"/>
      <c r="E9" s="168"/>
      <c r="F9" s="161" t="s">
        <v>137</v>
      </c>
      <c r="G9" s="275">
        <v>1027.45</v>
      </c>
      <c r="H9" s="275">
        <v>1273.1399999999999</v>
      </c>
      <c r="I9" s="275">
        <v>1353.8799999999999</v>
      </c>
      <c r="J9" s="275">
        <v>1479.6799999999998</v>
      </c>
      <c r="K9" s="275">
        <v>1703.8200000000002</v>
      </c>
      <c r="L9" s="275">
        <v>1683.4800000000002</v>
      </c>
      <c r="M9" s="275">
        <v>1745.3999999999999</v>
      </c>
      <c r="N9" s="275">
        <v>1894.41</v>
      </c>
      <c r="O9" s="275">
        <v>1635.4199999999998</v>
      </c>
      <c r="P9" s="275">
        <v>1923.2200000000003</v>
      </c>
      <c r="Q9" s="275">
        <v>2182.41</v>
      </c>
      <c r="R9" s="275">
        <v>1963.4700000000003</v>
      </c>
      <c r="T9" s="172">
        <f t="shared" ref="T9:T15" si="2">SUM(G9:S9)</f>
        <v>19865.78</v>
      </c>
    </row>
    <row r="10" spans="1:22">
      <c r="C10" s="168"/>
      <c r="D10" s="168"/>
      <c r="E10" s="168"/>
      <c r="F10" s="161" t="s">
        <v>138</v>
      </c>
      <c r="G10" s="275">
        <v>3425.74</v>
      </c>
      <c r="H10" s="275">
        <v>2776.03</v>
      </c>
      <c r="I10" s="275">
        <v>3360.74</v>
      </c>
      <c r="J10" s="275">
        <v>3071.97</v>
      </c>
      <c r="K10" s="275">
        <v>3359.81</v>
      </c>
      <c r="L10" s="275">
        <v>3405.31</v>
      </c>
      <c r="M10" s="275">
        <v>3116.41</v>
      </c>
      <c r="N10" s="275">
        <v>3456.19</v>
      </c>
      <c r="O10" s="275">
        <v>3217.57</v>
      </c>
      <c r="P10" s="275">
        <v>3133.7</v>
      </c>
      <c r="Q10" s="275">
        <v>3228.55</v>
      </c>
      <c r="R10" s="275">
        <v>3069.32</v>
      </c>
      <c r="T10" s="172">
        <f t="shared" si="2"/>
        <v>38621.339999999997</v>
      </c>
    </row>
    <row r="11" spans="1:22">
      <c r="C11" s="168"/>
      <c r="D11" s="168"/>
      <c r="E11" s="168"/>
      <c r="F11" s="161" t="s">
        <v>139</v>
      </c>
      <c r="G11" s="275">
        <v>1316.6599999999999</v>
      </c>
      <c r="H11" s="275">
        <v>998.3</v>
      </c>
      <c r="I11" s="275">
        <v>719.5</v>
      </c>
      <c r="J11" s="275">
        <v>1015.6</v>
      </c>
      <c r="K11" s="275">
        <v>1183.02</v>
      </c>
      <c r="L11" s="275">
        <v>1157.9099999999999</v>
      </c>
      <c r="M11" s="275">
        <v>1017.85</v>
      </c>
      <c r="N11" s="275">
        <v>1173.8500000000001</v>
      </c>
      <c r="O11" s="275">
        <v>1079.5</v>
      </c>
      <c r="P11" s="275">
        <v>1108.0999999999999</v>
      </c>
      <c r="Q11" s="275">
        <v>1165.5999999999999</v>
      </c>
      <c r="R11" s="275">
        <v>1193.31</v>
      </c>
      <c r="T11" s="172">
        <f t="shared" si="2"/>
        <v>13129.2</v>
      </c>
    </row>
    <row r="12" spans="1:22">
      <c r="C12" s="168"/>
      <c r="D12" s="168"/>
      <c r="E12" s="168"/>
      <c r="F12" s="161" t="s">
        <v>140</v>
      </c>
      <c r="G12" s="275">
        <v>3946.66</v>
      </c>
      <c r="H12" s="275">
        <v>2863.32</v>
      </c>
      <c r="I12" s="275">
        <v>3341.46</v>
      </c>
      <c r="J12" s="275">
        <v>3025.36</v>
      </c>
      <c r="K12" s="275">
        <v>3317.73</v>
      </c>
      <c r="L12" s="275">
        <v>3492.82</v>
      </c>
      <c r="M12" s="275">
        <v>3230.05</v>
      </c>
      <c r="N12" s="275">
        <v>3494.57</v>
      </c>
      <c r="O12" s="275">
        <v>3357.93</v>
      </c>
      <c r="P12" s="275">
        <v>3051.32</v>
      </c>
      <c r="Q12" s="275">
        <v>3152.24</v>
      </c>
      <c r="R12" s="275">
        <v>3212.95</v>
      </c>
      <c r="T12" s="172">
        <f>SUM(G12:S12)</f>
        <v>39486.409999999996</v>
      </c>
    </row>
    <row r="13" spans="1:22">
      <c r="C13" s="168"/>
      <c r="D13" s="168"/>
      <c r="E13" s="168"/>
      <c r="F13" s="161" t="s">
        <v>141</v>
      </c>
      <c r="G13" s="275">
        <v>2649.71</v>
      </c>
      <c r="H13" s="275">
        <v>1827</v>
      </c>
      <c r="I13" s="275">
        <v>2589.6400000000003</v>
      </c>
      <c r="J13" s="275">
        <v>2112.9</v>
      </c>
      <c r="K13" s="275">
        <v>2311.13</v>
      </c>
      <c r="L13" s="275">
        <v>2243.89</v>
      </c>
      <c r="M13" s="275">
        <v>1872.6500000000003</v>
      </c>
      <c r="N13" s="275">
        <v>2051.7000000000003</v>
      </c>
      <c r="O13" s="275">
        <v>1944.37</v>
      </c>
      <c r="P13" s="275">
        <v>1847.84</v>
      </c>
      <c r="Q13" s="275">
        <v>1961.82</v>
      </c>
      <c r="R13" s="275">
        <v>2040.95</v>
      </c>
      <c r="T13" s="172">
        <f>SUM(G13:S13)</f>
        <v>25453.599999999999</v>
      </c>
    </row>
    <row r="14" spans="1:22">
      <c r="C14" s="168"/>
      <c r="D14" s="168"/>
      <c r="E14" s="168"/>
      <c r="F14" s="173" t="s">
        <v>142</v>
      </c>
      <c r="G14" s="276">
        <v>2455.19</v>
      </c>
      <c r="H14" s="276">
        <v>2516.71</v>
      </c>
      <c r="I14" s="276">
        <v>3312.33</v>
      </c>
      <c r="J14" s="276">
        <v>4078.91</v>
      </c>
      <c r="K14" s="276">
        <v>5012.05</v>
      </c>
      <c r="L14" s="276">
        <v>5634.78</v>
      </c>
      <c r="M14" s="276">
        <v>3883.89</v>
      </c>
      <c r="N14" s="276">
        <v>3033.14</v>
      </c>
      <c r="O14" s="276">
        <v>2877.43</v>
      </c>
      <c r="P14" s="276">
        <v>2756.07</v>
      </c>
      <c r="Q14" s="276">
        <v>4746.1899999999996</v>
      </c>
      <c r="R14" s="276">
        <v>3595.85</v>
      </c>
      <c r="S14" s="173"/>
      <c r="T14" s="175">
        <f t="shared" si="2"/>
        <v>43902.539999999994</v>
      </c>
    </row>
    <row r="15" spans="1:22">
      <c r="C15" s="168"/>
      <c r="D15" s="168"/>
      <c r="E15" s="168"/>
      <c r="F15" s="161" t="s">
        <v>109</v>
      </c>
      <c r="G15" s="176">
        <f t="shared" ref="G15:Q15" si="3">SUM(G8:G14)</f>
        <v>16691.769999999997</v>
      </c>
      <c r="H15" s="176">
        <f t="shared" si="3"/>
        <v>13879.64</v>
      </c>
      <c r="I15" s="176">
        <f t="shared" si="3"/>
        <v>16576.82</v>
      </c>
      <c r="J15" s="176">
        <f t="shared" si="3"/>
        <v>16576.53</v>
      </c>
      <c r="K15" s="176">
        <f t="shared" si="3"/>
        <v>18864.399999999998</v>
      </c>
      <c r="L15" s="176">
        <f t="shared" si="3"/>
        <v>19638.539999999997</v>
      </c>
      <c r="M15" s="176">
        <f t="shared" si="3"/>
        <v>16853.71</v>
      </c>
      <c r="N15" s="176">
        <f t="shared" si="3"/>
        <v>17088.850000000002</v>
      </c>
      <c r="O15" s="176">
        <f t="shared" si="3"/>
        <v>16069.45</v>
      </c>
      <c r="P15" s="176">
        <f t="shared" si="3"/>
        <v>15635.83</v>
      </c>
      <c r="Q15" s="176">
        <f t="shared" si="3"/>
        <v>18252.39</v>
      </c>
      <c r="R15" s="176">
        <f>SUM(R8:R14)</f>
        <v>16847.68</v>
      </c>
      <c r="T15" s="172">
        <f t="shared" si="2"/>
        <v>202975.61</v>
      </c>
      <c r="V15" s="277">
        <v>2975622.4425999993</v>
      </c>
    </row>
    <row r="16" spans="1:22">
      <c r="C16" s="168"/>
      <c r="D16" s="168"/>
      <c r="E16" s="168"/>
    </row>
    <row r="17" spans="1:26">
      <c r="C17" s="168"/>
      <c r="D17" s="168"/>
      <c r="E17" s="168"/>
      <c r="F17" s="162" t="s">
        <v>143</v>
      </c>
      <c r="G17" s="171"/>
      <c r="H17" s="171"/>
      <c r="U17" s="177"/>
      <c r="V17" s="177"/>
      <c r="W17" s="177"/>
      <c r="X17" s="177"/>
      <c r="Y17" s="177"/>
      <c r="Z17" s="177"/>
    </row>
    <row r="18" spans="1:26">
      <c r="A18" s="178" t="s">
        <v>144</v>
      </c>
      <c r="B18" s="178" t="s">
        <v>145</v>
      </c>
      <c r="C18" s="178">
        <v>20</v>
      </c>
      <c r="D18" s="178" t="s">
        <v>146</v>
      </c>
      <c r="E18" s="178" t="s">
        <v>147</v>
      </c>
      <c r="F18" s="161" t="s">
        <v>148</v>
      </c>
      <c r="G18" s="171">
        <v>122.02000000000002</v>
      </c>
      <c r="H18" s="171">
        <v>81.119999999999948</v>
      </c>
      <c r="I18" s="171">
        <v>97.730000000000032</v>
      </c>
      <c r="J18" s="171">
        <v>95.420000000000073</v>
      </c>
      <c r="K18" s="171">
        <v>83.559999999999903</v>
      </c>
      <c r="L18" s="171">
        <v>97.270000000000067</v>
      </c>
      <c r="M18" s="171">
        <v>92.359999999999829</v>
      </c>
      <c r="N18" s="171">
        <v>108.67999999999982</v>
      </c>
      <c r="O18" s="171">
        <v>84.02000000000001</v>
      </c>
      <c r="P18" s="171">
        <v>50.27999999999993</v>
      </c>
      <c r="Q18" s="171">
        <v>69.450000000000017</v>
      </c>
      <c r="R18" s="171">
        <v>55.549999999999933</v>
      </c>
      <c r="S18" s="171"/>
      <c r="T18" s="172">
        <f>SUM(G18:S18)</f>
        <v>1037.4599999999996</v>
      </c>
      <c r="U18" s="171"/>
      <c r="V18" s="171"/>
      <c r="W18" s="171"/>
      <c r="X18" s="171"/>
      <c r="Y18" s="171"/>
      <c r="Z18" s="171"/>
    </row>
    <row r="19" spans="1:26">
      <c r="A19" s="168" t="s">
        <v>149</v>
      </c>
      <c r="B19" s="161" t="s">
        <v>150</v>
      </c>
      <c r="C19" s="161" t="s">
        <v>151</v>
      </c>
      <c r="D19" s="161" t="s">
        <v>152</v>
      </c>
      <c r="F19" s="161" t="s">
        <v>153</v>
      </c>
      <c r="G19" s="171">
        <f t="shared" ref="G19:R19" si="4">+G20-G18</f>
        <v>1777.9199999999996</v>
      </c>
      <c r="H19" s="171">
        <f t="shared" si="4"/>
        <v>1671.77</v>
      </c>
      <c r="I19" s="171">
        <f t="shared" si="4"/>
        <v>1803.54</v>
      </c>
      <c r="J19" s="171">
        <f t="shared" si="4"/>
        <v>1697.55</v>
      </c>
      <c r="K19" s="171">
        <f t="shared" si="4"/>
        <v>1897.58</v>
      </c>
      <c r="L19" s="171">
        <f t="shared" si="4"/>
        <v>1926.4099999999996</v>
      </c>
      <c r="M19" s="171">
        <f t="shared" si="4"/>
        <v>1893.3800000000003</v>
      </c>
      <c r="N19" s="171">
        <f t="shared" si="4"/>
        <v>1877.9600000000003</v>
      </c>
      <c r="O19" s="171">
        <f t="shared" si="4"/>
        <v>1878.6399999999999</v>
      </c>
      <c r="P19" s="171">
        <f t="shared" si="4"/>
        <v>1772.6999999999998</v>
      </c>
      <c r="Q19" s="171">
        <f t="shared" si="4"/>
        <v>1670.3699999999997</v>
      </c>
      <c r="R19" s="171">
        <f t="shared" si="4"/>
        <v>1709.7400000000002</v>
      </c>
      <c r="S19" s="171"/>
      <c r="T19" s="172">
        <f>SUM(G19:S19)</f>
        <v>21577.560000000005</v>
      </c>
      <c r="U19" s="171"/>
      <c r="V19" s="171"/>
      <c r="W19" s="171"/>
      <c r="X19" s="171"/>
      <c r="Y19" s="171"/>
      <c r="Z19" s="171"/>
    </row>
    <row r="20" spans="1:26" s="185" customFormat="1" outlineLevel="1">
      <c r="A20" s="179" t="str">
        <f>+A18</f>
        <v>I</v>
      </c>
      <c r="B20" s="180" t="str">
        <f>+B18</f>
        <v>MSW</v>
      </c>
      <c r="C20" s="181"/>
      <c r="D20" s="181"/>
      <c r="E20" s="181"/>
      <c r="F20" s="181" t="str">
        <f>"Total "&amp;F17&amp;" "&amp;B20</f>
        <v>Total Roll-off / Industrial MSW</v>
      </c>
      <c r="G20" s="182">
        <v>1899.9399999999996</v>
      </c>
      <c r="H20" s="182">
        <v>1752.8899999999999</v>
      </c>
      <c r="I20" s="182">
        <v>1901.27</v>
      </c>
      <c r="J20" s="182">
        <v>1792.97</v>
      </c>
      <c r="K20" s="182">
        <v>1981.1399999999999</v>
      </c>
      <c r="L20" s="182">
        <v>2023.6799999999996</v>
      </c>
      <c r="M20" s="182">
        <v>1985.7400000000002</v>
      </c>
      <c r="N20" s="182">
        <v>1986.64</v>
      </c>
      <c r="O20" s="182">
        <v>1962.6599999999999</v>
      </c>
      <c r="P20" s="182">
        <v>1822.9799999999998</v>
      </c>
      <c r="Q20" s="182">
        <v>1739.8199999999997</v>
      </c>
      <c r="R20" s="182">
        <v>1765.2900000000002</v>
      </c>
      <c r="S20" s="182"/>
      <c r="T20" s="183">
        <f>SUM(G20:S20)</f>
        <v>22615.02</v>
      </c>
      <c r="U20" s="184"/>
      <c r="V20" s="184"/>
      <c r="W20" s="184"/>
      <c r="X20" s="184"/>
      <c r="Y20" s="184"/>
      <c r="Z20" s="184"/>
    </row>
    <row r="21" spans="1:26">
      <c r="A21" s="168" t="str">
        <f>+A20</f>
        <v>I</v>
      </c>
      <c r="B21" s="178" t="s">
        <v>154</v>
      </c>
      <c r="C21" s="168">
        <f>+C18</f>
        <v>20</v>
      </c>
      <c r="D21" s="168" t="str">
        <f>+D18</f>
        <v>2B</v>
      </c>
      <c r="E21" s="168">
        <v>78</v>
      </c>
      <c r="F21" s="161" t="s">
        <v>155</v>
      </c>
      <c r="G21" s="171">
        <v>23.74</v>
      </c>
      <c r="H21" s="171">
        <v>20.07</v>
      </c>
      <c r="I21" s="171">
        <v>26.480000000000004</v>
      </c>
      <c r="J21" s="171">
        <v>19.400000000000006</v>
      </c>
      <c r="K21" s="171">
        <v>21.180000000000007</v>
      </c>
      <c r="L21" s="171">
        <v>19.8</v>
      </c>
      <c r="M21" s="171">
        <v>18.679999999999996</v>
      </c>
      <c r="N21" s="171">
        <v>20.259999999999998</v>
      </c>
      <c r="O21" s="171">
        <v>16</v>
      </c>
      <c r="P21" s="171">
        <v>17.87</v>
      </c>
      <c r="Q21" s="171">
        <v>23.990000000000002</v>
      </c>
      <c r="R21" s="171">
        <v>16.84</v>
      </c>
      <c r="S21" s="171"/>
      <c r="T21" s="172">
        <f>SUM(G21:S21)</f>
        <v>244.31000000000003</v>
      </c>
      <c r="U21" s="171"/>
      <c r="V21" s="186"/>
      <c r="W21" s="171"/>
      <c r="X21" s="171"/>
      <c r="Y21" s="171"/>
      <c r="Z21" s="171"/>
    </row>
    <row r="22" spans="1:26">
      <c r="C22" s="161" t="s">
        <v>156</v>
      </c>
      <c r="F22" s="161" t="s">
        <v>157</v>
      </c>
      <c r="G22" s="171">
        <f t="shared" ref="G22:R22" si="5">+G23-G21</f>
        <v>1039.6300000000001</v>
      </c>
      <c r="H22" s="171">
        <f t="shared" si="5"/>
        <v>1299.03</v>
      </c>
      <c r="I22" s="171">
        <f t="shared" si="5"/>
        <v>1361.04</v>
      </c>
      <c r="J22" s="171">
        <f t="shared" si="5"/>
        <v>1467.38</v>
      </c>
      <c r="K22" s="171">
        <f t="shared" si="5"/>
        <v>1723.1999999999998</v>
      </c>
      <c r="L22" s="171">
        <f t="shared" si="5"/>
        <v>1661.6699999999998</v>
      </c>
      <c r="M22" s="171">
        <f t="shared" si="5"/>
        <v>1763.22</v>
      </c>
      <c r="N22" s="171">
        <f t="shared" si="5"/>
        <v>1923.86</v>
      </c>
      <c r="O22" s="171">
        <f t="shared" si="5"/>
        <v>1621.2300000000002</v>
      </c>
      <c r="P22" s="171">
        <f t="shared" si="5"/>
        <v>1934.7900000000002</v>
      </c>
      <c r="Q22" s="171">
        <f t="shared" si="5"/>
        <v>1931.2100000000003</v>
      </c>
      <c r="R22" s="171">
        <f t="shared" si="5"/>
        <v>1895.77</v>
      </c>
      <c r="S22" s="171"/>
      <c r="T22" s="172">
        <f>SUM(G22:S22)</f>
        <v>19622.03</v>
      </c>
      <c r="U22" s="171"/>
      <c r="V22" s="171"/>
      <c r="W22" s="171"/>
      <c r="X22" s="171"/>
      <c r="Y22" s="171"/>
      <c r="Z22" s="171"/>
    </row>
    <row r="23" spans="1:26" s="185" customFormat="1" outlineLevel="1">
      <c r="A23" s="179" t="str">
        <f>+A21</f>
        <v>I</v>
      </c>
      <c r="B23" s="187" t="str">
        <f>+B21</f>
        <v>RCY</v>
      </c>
      <c r="C23" s="188" t="s">
        <v>158</v>
      </c>
      <c r="D23" s="181"/>
      <c r="E23" s="181"/>
      <c r="F23" s="181" t="str">
        <f>"Total "&amp;F17&amp;" "&amp;B23</f>
        <v>Total Roll-off / Industrial RCY</v>
      </c>
      <c r="G23" s="182">
        <v>1063.3700000000001</v>
      </c>
      <c r="H23" s="182">
        <v>1319.1</v>
      </c>
      <c r="I23" s="182">
        <v>1387.52</v>
      </c>
      <c r="J23" s="182">
        <v>1486.7800000000002</v>
      </c>
      <c r="K23" s="182">
        <v>1744.3799999999999</v>
      </c>
      <c r="L23" s="182">
        <v>1681.4699999999998</v>
      </c>
      <c r="M23" s="182">
        <v>1781.9</v>
      </c>
      <c r="N23" s="182">
        <v>1944.12</v>
      </c>
      <c r="O23" s="182">
        <v>1637.2300000000002</v>
      </c>
      <c r="P23" s="182">
        <v>1952.66</v>
      </c>
      <c r="Q23" s="182">
        <v>1955.2000000000003</v>
      </c>
      <c r="R23" s="182">
        <v>1912.61</v>
      </c>
      <c r="S23" s="182"/>
      <c r="T23" s="183"/>
      <c r="U23" s="184"/>
      <c r="V23" s="184"/>
      <c r="W23" s="184"/>
      <c r="X23" s="184"/>
      <c r="Y23" s="184"/>
      <c r="Z23" s="184"/>
    </row>
    <row r="24" spans="1:26" s="190" customFormat="1">
      <c r="A24" s="189">
        <v>6666666</v>
      </c>
      <c r="B24" s="278" t="s">
        <v>159</v>
      </c>
      <c r="F24" s="190" t="s">
        <v>160</v>
      </c>
      <c r="G24" s="191">
        <f t="array" ref="G24:R24">+T24/12</f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/>
      <c r="T24" s="192">
        <v>0</v>
      </c>
      <c r="U24" s="191"/>
      <c r="V24" s="191"/>
      <c r="W24" s="191"/>
      <c r="X24" s="191"/>
      <c r="Y24" s="191"/>
      <c r="Z24" s="191"/>
    </row>
    <row r="25" spans="1:26">
      <c r="A25" s="193"/>
      <c r="B25" s="193"/>
      <c r="C25" s="193"/>
      <c r="D25" s="193"/>
      <c r="E25" s="193"/>
      <c r="F25" s="194" t="str">
        <f>"Total "&amp;F17</f>
        <v>Total Roll-off / Industrial</v>
      </c>
      <c r="G25" s="195">
        <v>2963.3099999999995</v>
      </c>
      <c r="H25" s="195">
        <v>3071.9900000000002</v>
      </c>
      <c r="I25" s="195">
        <v>3288.7899999999995</v>
      </c>
      <c r="J25" s="195">
        <v>3279.75</v>
      </c>
      <c r="K25" s="195">
        <v>3725.5200000000004</v>
      </c>
      <c r="L25" s="195">
        <v>3705.1499999999996</v>
      </c>
      <c r="M25" s="195">
        <v>3767.64</v>
      </c>
      <c r="N25" s="195">
        <v>3930.76</v>
      </c>
      <c r="O25" s="195">
        <v>3599.8900000000003</v>
      </c>
      <c r="P25" s="195">
        <v>3775.64</v>
      </c>
      <c r="Q25" s="195">
        <v>3695.02</v>
      </c>
      <c r="R25" s="195">
        <v>3677.9</v>
      </c>
      <c r="S25" s="195"/>
      <c r="T25" s="196">
        <f>SUM(G25:S25)</f>
        <v>42481.359999999993</v>
      </c>
      <c r="U25" s="171"/>
      <c r="V25" s="171"/>
      <c r="W25" s="171"/>
      <c r="X25" s="171"/>
      <c r="Y25" s="171"/>
      <c r="Z25" s="171"/>
    </row>
    <row r="26" spans="1:26">
      <c r="C26" s="168"/>
      <c r="D26" s="168"/>
      <c r="E26" s="168"/>
      <c r="F26" s="197" t="s">
        <v>161</v>
      </c>
      <c r="G26" s="198">
        <f>+G25/SUM(G8:G9)-1</f>
        <v>2.2603276267249894E-2</v>
      </c>
      <c r="H26" s="198">
        <f t="shared" ref="H26:R26" si="6">+H25/SUM(H8:H9)-1</f>
        <v>5.9935547980181525E-2</v>
      </c>
      <c r="I26" s="198">
        <f t="shared" si="6"/>
        <v>1.0955535404146621E-2</v>
      </c>
      <c r="J26" s="198">
        <f t="shared" si="6"/>
        <v>2.4329189831866493E-3</v>
      </c>
      <c r="K26" s="198">
        <f t="shared" si="6"/>
        <v>1.2188031494351659E-2</v>
      </c>
      <c r="L26" s="198">
        <f t="shared" si="6"/>
        <v>3.5638784717439975E-4</v>
      </c>
      <c r="M26" s="198">
        <f t="shared" si="6"/>
        <v>9.317252723113123E-3</v>
      </c>
      <c r="N26" s="198">
        <f t="shared" si="6"/>
        <v>1.3239160694952901E-2</v>
      </c>
      <c r="O26" s="198">
        <f t="shared" si="6"/>
        <v>2.0152255299015209E-3</v>
      </c>
      <c r="P26" s="198">
        <f t="shared" si="6"/>
        <v>9.8534289076708248E-3</v>
      </c>
      <c r="Q26" s="198">
        <f t="shared" si="6"/>
        <v>-7.578057974132002E-2</v>
      </c>
      <c r="R26" s="198">
        <f t="shared" si="6"/>
        <v>-1.5366904934008052E-2</v>
      </c>
      <c r="S26" s="198"/>
      <c r="T26" s="199">
        <f>+T25/SUM(T8:T9)-1</f>
        <v>2.3320935140238586E-3</v>
      </c>
      <c r="U26" s="171"/>
      <c r="V26" s="171"/>
      <c r="W26" s="171"/>
      <c r="X26" s="171"/>
      <c r="Y26" s="171"/>
      <c r="Z26" s="171"/>
    </row>
    <row r="27" spans="1:26">
      <c r="C27" s="168"/>
      <c r="D27" s="168"/>
      <c r="E27" s="168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171"/>
      <c r="V27" s="171"/>
      <c r="W27" s="171"/>
      <c r="X27" s="171"/>
      <c r="Y27" s="171"/>
      <c r="Z27" s="171"/>
    </row>
    <row r="28" spans="1:26">
      <c r="C28" s="168"/>
      <c r="D28" s="168"/>
      <c r="E28" s="168"/>
      <c r="F28" s="161" t="s">
        <v>162</v>
      </c>
      <c r="G28" s="171">
        <f t="shared" ref="G28:R28" si="7">+G18</f>
        <v>122.02000000000002</v>
      </c>
      <c r="H28" s="171">
        <f t="shared" si="7"/>
        <v>81.119999999999948</v>
      </c>
      <c r="I28" s="171">
        <f t="shared" si="7"/>
        <v>97.730000000000032</v>
      </c>
      <c r="J28" s="171">
        <f t="shared" si="7"/>
        <v>95.420000000000073</v>
      </c>
      <c r="K28" s="171">
        <f t="shared" si="7"/>
        <v>83.559999999999903</v>
      </c>
      <c r="L28" s="171">
        <f t="shared" si="7"/>
        <v>97.270000000000067</v>
      </c>
      <c r="M28" s="171">
        <f t="shared" si="7"/>
        <v>92.359999999999829</v>
      </c>
      <c r="N28" s="171">
        <f t="shared" si="7"/>
        <v>108.67999999999982</v>
      </c>
      <c r="O28" s="171">
        <f t="shared" si="7"/>
        <v>84.02000000000001</v>
      </c>
      <c r="P28" s="171">
        <f t="shared" si="7"/>
        <v>50.27999999999993</v>
      </c>
      <c r="Q28" s="171">
        <f t="shared" si="7"/>
        <v>69.450000000000017</v>
      </c>
      <c r="R28" s="171">
        <f t="shared" si="7"/>
        <v>55.549999999999933</v>
      </c>
      <c r="S28" s="171"/>
      <c r="T28" s="172">
        <f>SUM(G28:S28)</f>
        <v>1037.4599999999996</v>
      </c>
      <c r="U28" s="171"/>
      <c r="V28" s="171"/>
      <c r="W28" s="171"/>
      <c r="X28" s="171"/>
      <c r="Y28" s="171"/>
      <c r="Z28" s="171"/>
    </row>
    <row r="29" spans="1:26">
      <c r="C29" s="168"/>
      <c r="D29" s="168"/>
      <c r="E29" s="168"/>
      <c r="F29" s="161" t="s">
        <v>163</v>
      </c>
      <c r="G29" s="171">
        <f>+G30-G28</f>
        <v>2436.4100000000003</v>
      </c>
      <c r="H29" s="171">
        <f t="shared" ref="H29:R29" si="8">+H30-H28</f>
        <v>2550.4200000000005</v>
      </c>
      <c r="I29" s="171">
        <f t="shared" si="8"/>
        <v>2725.76</v>
      </c>
      <c r="J29" s="171">
        <f t="shared" si="8"/>
        <v>2670.05</v>
      </c>
      <c r="K29" s="171">
        <f t="shared" si="8"/>
        <v>3192.16</v>
      </c>
      <c r="L29" s="171">
        <f t="shared" si="8"/>
        <v>3126.2099999999996</v>
      </c>
      <c r="M29" s="171">
        <f t="shared" si="8"/>
        <v>3120.4600000000005</v>
      </c>
      <c r="N29" s="171">
        <f t="shared" si="8"/>
        <v>3369.83</v>
      </c>
      <c r="O29" s="171">
        <f t="shared" si="8"/>
        <v>3063.9500000000003</v>
      </c>
      <c r="P29" s="171">
        <f t="shared" si="8"/>
        <v>3324.0700000000006</v>
      </c>
      <c r="Q29" s="171">
        <f t="shared" si="8"/>
        <v>3132.3799999999997</v>
      </c>
      <c r="R29" s="171">
        <f t="shared" si="8"/>
        <v>3256.34</v>
      </c>
      <c r="S29" s="171"/>
      <c r="T29" s="172">
        <f>SUM(G29:S29)</f>
        <v>35968.040000000008</v>
      </c>
      <c r="U29" s="171"/>
      <c r="V29" s="171"/>
      <c r="W29" s="171"/>
      <c r="X29" s="171"/>
      <c r="Y29" s="171"/>
      <c r="Z29" s="171"/>
    </row>
    <row r="30" spans="1:26">
      <c r="A30" s="201" t="str">
        <f>+A18</f>
        <v>I</v>
      </c>
      <c r="C30" s="168"/>
      <c r="D30" s="168"/>
      <c r="E30" s="168"/>
      <c r="F30" s="181" t="str">
        <f>"Total "&amp;F17&amp;" Pass Thru Disp."</f>
        <v>Total Roll-off / Industrial Pass Thru Disp.</v>
      </c>
      <c r="G30" s="182">
        <v>2558.4300000000003</v>
      </c>
      <c r="H30" s="182">
        <v>2631.5400000000004</v>
      </c>
      <c r="I30" s="182">
        <v>2823.4900000000002</v>
      </c>
      <c r="J30" s="182">
        <v>2765.4700000000003</v>
      </c>
      <c r="K30" s="182">
        <v>3275.72</v>
      </c>
      <c r="L30" s="182">
        <v>3223.4799999999996</v>
      </c>
      <c r="M30" s="182">
        <v>3212.82</v>
      </c>
      <c r="N30" s="182">
        <v>3478.5099999999998</v>
      </c>
      <c r="O30" s="182">
        <v>3147.9700000000003</v>
      </c>
      <c r="P30" s="182">
        <v>3374.3500000000004</v>
      </c>
      <c r="Q30" s="182">
        <v>3201.8299999999995</v>
      </c>
      <c r="R30" s="182">
        <v>3311.89</v>
      </c>
      <c r="S30" s="182"/>
      <c r="T30" s="183">
        <f>SUM(G30:S30)</f>
        <v>37005.5</v>
      </c>
      <c r="U30" s="171"/>
      <c r="V30" s="171"/>
      <c r="W30" s="171"/>
      <c r="X30" s="171"/>
      <c r="Y30" s="171"/>
      <c r="Z30" s="171"/>
    </row>
    <row r="31" spans="1:26">
      <c r="C31" s="168"/>
      <c r="D31" s="168"/>
      <c r="E31" s="168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2"/>
      <c r="U31" s="171"/>
      <c r="V31" s="171"/>
      <c r="W31" s="171"/>
      <c r="X31" s="171"/>
      <c r="Y31" s="171"/>
      <c r="Z31" s="171"/>
    </row>
    <row r="32" spans="1:26">
      <c r="C32" s="168"/>
      <c r="D32" s="168"/>
      <c r="E32" s="168"/>
      <c r="F32" s="162" t="s">
        <v>15</v>
      </c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2"/>
      <c r="U32" s="171"/>
      <c r="V32" s="202"/>
      <c r="W32" s="171"/>
      <c r="X32" s="171"/>
      <c r="Y32" s="171"/>
      <c r="Z32" s="171"/>
    </row>
    <row r="33" spans="1:26">
      <c r="C33" s="168"/>
      <c r="D33" s="203" t="s">
        <v>164</v>
      </c>
      <c r="E33" s="203"/>
      <c r="F33" s="161" t="s">
        <v>148</v>
      </c>
      <c r="G33" s="171">
        <v>234.3459775570384</v>
      </c>
      <c r="H33" s="171">
        <v>190.77252515614526</v>
      </c>
      <c r="I33" s="171">
        <v>237.75065003389776</v>
      </c>
      <c r="J33" s="171">
        <v>206.86163195877037</v>
      </c>
      <c r="K33" s="171">
        <v>229.3035402070428</v>
      </c>
      <c r="L33" s="171">
        <v>233.75138560097983</v>
      </c>
      <c r="M33" s="171">
        <v>212.50710290268435</v>
      </c>
      <c r="N33" s="171">
        <v>238.35267638860188</v>
      </c>
      <c r="O33" s="171">
        <v>219.53945704835158</v>
      </c>
      <c r="P33" s="171">
        <v>221.03985622728899</v>
      </c>
      <c r="Q33" s="171">
        <v>243.96659328272062</v>
      </c>
      <c r="R33" s="171">
        <v>221.7701480387432</v>
      </c>
      <c r="S33" s="171"/>
      <c r="T33" s="172">
        <f>SUM(G33:S33)</f>
        <v>2689.9615444022652</v>
      </c>
      <c r="U33" s="171"/>
      <c r="V33" s="204"/>
      <c r="W33" s="171"/>
      <c r="X33" s="171"/>
      <c r="Y33" s="171"/>
      <c r="Z33" s="171"/>
    </row>
    <row r="34" spans="1:26">
      <c r="D34" s="203" t="s">
        <v>165</v>
      </c>
      <c r="E34" s="203"/>
      <c r="F34" s="161" t="s">
        <v>153</v>
      </c>
      <c r="G34" s="171">
        <v>3345.9833520672719</v>
      </c>
      <c r="H34" s="171">
        <v>2630.9323887218447</v>
      </c>
      <c r="I34" s="171">
        <v>3191.9222753427475</v>
      </c>
      <c r="J34" s="171">
        <v>2932.8624968672698</v>
      </c>
      <c r="K34" s="171">
        <v>3247.7420295868073</v>
      </c>
      <c r="L34" s="171">
        <v>3274.8341843749836</v>
      </c>
      <c r="M34" s="171">
        <v>2955.4679642756068</v>
      </c>
      <c r="N34" s="171">
        <v>3324.8462372118365</v>
      </c>
      <c r="O34" s="171">
        <v>3072.7810485890864</v>
      </c>
      <c r="P34" s="171">
        <v>2972.4537106174757</v>
      </c>
      <c r="Q34" s="171">
        <v>3053.927020370983</v>
      </c>
      <c r="R34" s="171">
        <v>2902.9461456427453</v>
      </c>
      <c r="S34" s="171"/>
      <c r="T34" s="172">
        <f>SUM(G34:S34)</f>
        <v>36906.698853668662</v>
      </c>
      <c r="U34" s="171"/>
      <c r="V34" s="205"/>
      <c r="W34" s="171"/>
      <c r="X34" s="171"/>
      <c r="Y34" s="171"/>
      <c r="Z34" s="171"/>
    </row>
    <row r="35" spans="1:26" s="185" customFormat="1" outlineLevel="1">
      <c r="A35" s="206" t="s">
        <v>166</v>
      </c>
      <c r="B35" s="206" t="s">
        <v>145</v>
      </c>
      <c r="C35" s="181"/>
      <c r="D35" s="181"/>
      <c r="E35" s="181"/>
      <c r="F35" s="207" t="str">
        <f>"Total "&amp;F32&amp;" "&amp;B35</f>
        <v>Total Commercial MSW</v>
      </c>
      <c r="G35" s="208">
        <v>3444.74</v>
      </c>
      <c r="H35" s="208">
        <v>2776.8500000000008</v>
      </c>
      <c r="I35" s="208">
        <v>3360.0700000000006</v>
      </c>
      <c r="J35" s="208">
        <v>3072.9800000000005</v>
      </c>
      <c r="K35" s="208">
        <v>3360.7499999999991</v>
      </c>
      <c r="L35" s="208">
        <v>3413.1000000000004</v>
      </c>
      <c r="M35" s="208">
        <v>3134.73</v>
      </c>
      <c r="N35" s="208">
        <v>3468.4100000000003</v>
      </c>
      <c r="O35" s="208">
        <v>3218.2099999999991</v>
      </c>
      <c r="P35" s="208">
        <v>3137.2700000000004</v>
      </c>
      <c r="Q35" s="208">
        <v>3226.55</v>
      </c>
      <c r="R35" s="208">
        <v>3069.3400000000006</v>
      </c>
      <c r="S35" s="208"/>
      <c r="T35" s="209">
        <f>SUM(G35:R35)-SUM(T33:T34)</f>
        <v>-913.66039807092602</v>
      </c>
      <c r="U35" s="184"/>
      <c r="V35" s="210"/>
      <c r="W35" s="171"/>
      <c r="X35" s="184"/>
      <c r="Y35" s="184"/>
      <c r="Z35" s="184"/>
    </row>
    <row r="36" spans="1:26">
      <c r="C36" s="168"/>
      <c r="D36" s="203" t="s">
        <v>164</v>
      </c>
      <c r="E36" s="203"/>
      <c r="F36" s="161" t="s">
        <v>155</v>
      </c>
      <c r="G36" s="171">
        <v>81.169781223153635</v>
      </c>
      <c r="H36" s="171">
        <v>66.551814972281477</v>
      </c>
      <c r="I36" s="171">
        <v>73.746369649917256</v>
      </c>
      <c r="J36" s="171">
        <v>59.947306261703403</v>
      </c>
      <c r="K36" s="171">
        <v>70.410138020121408</v>
      </c>
      <c r="L36" s="171">
        <v>70.672982167487632</v>
      </c>
      <c r="M36" s="171">
        <v>60.512831061944091</v>
      </c>
      <c r="N36" s="171">
        <v>70.362153550570341</v>
      </c>
      <c r="O36" s="171">
        <v>63.723892560392272</v>
      </c>
      <c r="P36" s="171">
        <v>61.228385977864605</v>
      </c>
      <c r="Q36" s="171">
        <v>70.508951410233266</v>
      </c>
      <c r="R36" s="171">
        <v>68.09217564509153</v>
      </c>
      <c r="S36" s="171"/>
      <c r="T36" s="172">
        <f>SUM(G36:S36)</f>
        <v>816.92678250076096</v>
      </c>
      <c r="U36" s="171"/>
      <c r="V36" s="204"/>
      <c r="W36" s="171"/>
      <c r="X36" s="171"/>
      <c r="Y36" s="171"/>
      <c r="Z36" s="171"/>
    </row>
    <row r="37" spans="1:26">
      <c r="D37" s="203" t="s">
        <v>165</v>
      </c>
      <c r="E37" s="203"/>
      <c r="F37" s="161" t="s">
        <v>157</v>
      </c>
      <c r="G37" s="171">
        <v>1198.4845293285459</v>
      </c>
      <c r="H37" s="171">
        <v>943.17565998955229</v>
      </c>
      <c r="I37" s="171">
        <v>1148.4768951194064</v>
      </c>
      <c r="J37" s="171">
        <v>957.5833758858256</v>
      </c>
      <c r="K37" s="171">
        <v>1076.2134769311674</v>
      </c>
      <c r="L37" s="171">
        <v>1082.8201568559487</v>
      </c>
      <c r="M37" s="171">
        <v>941.48809130609823</v>
      </c>
      <c r="N37" s="171">
        <v>1088.4469979524833</v>
      </c>
      <c r="O37" s="171">
        <v>1013.7954066270689</v>
      </c>
      <c r="P37" s="171">
        <v>1030.7906459048902</v>
      </c>
      <c r="Q37" s="171">
        <v>1080.3929832914607</v>
      </c>
      <c r="R37" s="171">
        <v>1112.2229470394241</v>
      </c>
      <c r="S37" s="171"/>
      <c r="T37" s="172">
        <f>SUM(G37:S37)</f>
        <v>12673.891166231871</v>
      </c>
      <c r="U37" s="171"/>
      <c r="V37" s="205"/>
      <c r="W37" s="171"/>
      <c r="X37" s="171"/>
      <c r="Y37" s="171"/>
      <c r="Z37" s="171"/>
    </row>
    <row r="38" spans="1:26" s="185" customFormat="1" outlineLevel="1">
      <c r="A38" s="179" t="str">
        <f>+A35</f>
        <v>C</v>
      </c>
      <c r="B38" s="187" t="s">
        <v>154</v>
      </c>
      <c r="C38" s="188" t="s">
        <v>158</v>
      </c>
      <c r="D38" s="211"/>
      <c r="E38" s="181"/>
      <c r="F38" s="207" t="str">
        <f>"Total "&amp;F32&amp;" Recycling"</f>
        <v>Total Commercial Recycling</v>
      </c>
      <c r="G38" s="208">
        <v>1376.8600000000001</v>
      </c>
      <c r="H38" s="208">
        <v>1014.83</v>
      </c>
      <c r="I38" s="208">
        <v>1241.97</v>
      </c>
      <c r="J38" s="208">
        <v>1040.08</v>
      </c>
      <c r="K38" s="208">
        <v>1208.79</v>
      </c>
      <c r="L38" s="208">
        <v>1198.5800000000002</v>
      </c>
      <c r="M38" s="208">
        <v>996.86000000000013</v>
      </c>
      <c r="N38" s="208">
        <v>1170.68</v>
      </c>
      <c r="O38" s="208">
        <v>1073.22</v>
      </c>
      <c r="P38" s="208">
        <v>1139.92</v>
      </c>
      <c r="Q38" s="208">
        <v>1174.1699999999998</v>
      </c>
      <c r="R38" s="208">
        <v>1189.9100000000001</v>
      </c>
      <c r="S38" s="208"/>
      <c r="T38" s="209">
        <f>SUM(G38:R38)-SUM(T36:T37)</f>
        <v>335.05205126736655</v>
      </c>
      <c r="U38" s="184"/>
      <c r="V38" s="212"/>
      <c r="W38" s="171"/>
      <c r="X38" s="184"/>
      <c r="Y38" s="184"/>
      <c r="Z38" s="184"/>
    </row>
    <row r="39" spans="1:26" outlineLevel="1">
      <c r="A39" s="193"/>
      <c r="B39" s="193"/>
      <c r="C39" s="193"/>
      <c r="D39" s="193"/>
      <c r="E39" s="193"/>
      <c r="F39" s="213" t="str">
        <f>"Total "&amp;F32&amp;" per Disposal Report"</f>
        <v>Total Commercial per Disposal Report</v>
      </c>
      <c r="G39" s="214">
        <v>4821.5999999999985</v>
      </c>
      <c r="H39" s="214">
        <v>3791.6800000000012</v>
      </c>
      <c r="I39" s="214">
        <v>4602.04</v>
      </c>
      <c r="J39" s="214">
        <v>4113.0600000000004</v>
      </c>
      <c r="K39" s="214">
        <v>4569.5399999999991</v>
      </c>
      <c r="L39" s="214">
        <v>4611.68</v>
      </c>
      <c r="M39" s="214">
        <v>4131.59</v>
      </c>
      <c r="N39" s="214">
        <v>4639.09</v>
      </c>
      <c r="O39" s="214">
        <v>4291.4299999999985</v>
      </c>
      <c r="P39" s="214">
        <v>4277.1900000000005</v>
      </c>
      <c r="Q39" s="214">
        <v>4400.72</v>
      </c>
      <c r="R39" s="214">
        <v>4259.25</v>
      </c>
      <c r="S39" s="214"/>
      <c r="T39" s="215">
        <f>SUM(G39:S39)</f>
        <v>52508.87</v>
      </c>
      <c r="U39" s="171"/>
      <c r="V39" s="216"/>
      <c r="W39" s="171"/>
      <c r="X39" s="171"/>
      <c r="Y39" s="171"/>
      <c r="Z39" s="171"/>
    </row>
    <row r="40" spans="1:26">
      <c r="C40" s="168"/>
      <c r="D40" s="168"/>
      <c r="E40" s="168"/>
      <c r="F40" s="161" t="str">
        <f>"Total "&amp;F32</f>
        <v>Total Commercial</v>
      </c>
      <c r="G40" s="177">
        <f>SUM(G33:G34,G36:G37)</f>
        <v>4859.9836401760094</v>
      </c>
      <c r="H40" s="177">
        <f t="shared" ref="H40:R40" si="9">SUM(H33:H34,H36:H37)</f>
        <v>3831.4323888398239</v>
      </c>
      <c r="I40" s="177">
        <f t="shared" si="9"/>
        <v>4651.8961901459688</v>
      </c>
      <c r="J40" s="177">
        <f t="shared" si="9"/>
        <v>4157.254810973569</v>
      </c>
      <c r="K40" s="177">
        <f t="shared" si="9"/>
        <v>4623.6691847451384</v>
      </c>
      <c r="L40" s="177">
        <f t="shared" si="9"/>
        <v>4662.0787089994001</v>
      </c>
      <c r="M40" s="177">
        <f t="shared" si="9"/>
        <v>4169.975989546333</v>
      </c>
      <c r="N40" s="177">
        <f t="shared" si="9"/>
        <v>4722.0080651034923</v>
      </c>
      <c r="O40" s="177">
        <f t="shared" si="9"/>
        <v>4369.8398048248991</v>
      </c>
      <c r="P40" s="177">
        <f t="shared" si="9"/>
        <v>4285.5125987275196</v>
      </c>
      <c r="Q40" s="177">
        <f t="shared" si="9"/>
        <v>4448.7955483553978</v>
      </c>
      <c r="R40" s="177">
        <f t="shared" si="9"/>
        <v>4305.0314163660041</v>
      </c>
      <c r="S40" s="177"/>
      <c r="T40" s="172">
        <f>SUM(T33:T34,T36:T37)</f>
        <v>53087.47834680356</v>
      </c>
      <c r="U40" s="171"/>
      <c r="V40" s="218"/>
      <c r="W40" s="171"/>
      <c r="X40" s="171"/>
      <c r="Y40" s="171"/>
      <c r="Z40" s="171"/>
    </row>
    <row r="41" spans="1:26">
      <c r="C41" s="168"/>
      <c r="D41" s="168"/>
      <c r="E41" s="168"/>
      <c r="F41" s="197" t="s">
        <v>161</v>
      </c>
      <c r="G41" s="198">
        <f t="shared" ref="G41:R41" si="10">+G40/SUM(G10:G11)-1</f>
        <v>2.4794121157222015E-2</v>
      </c>
      <c r="H41" s="198">
        <f t="shared" si="10"/>
        <v>1.5129145792716514E-2</v>
      </c>
      <c r="I41" s="198">
        <f t="shared" si="10"/>
        <v>0.14010356992382045</v>
      </c>
      <c r="J41" s="198">
        <f t="shared" si="10"/>
        <v>1.7047979844643457E-2</v>
      </c>
      <c r="K41" s="198">
        <f t="shared" si="10"/>
        <v>1.7794895416543888E-2</v>
      </c>
      <c r="L41" s="198">
        <f t="shared" si="10"/>
        <v>2.166424345076523E-2</v>
      </c>
      <c r="M41" s="198">
        <f t="shared" si="10"/>
        <v>8.6390283983912575E-3</v>
      </c>
      <c r="N41" s="198">
        <f t="shared" si="10"/>
        <v>1.9863341375774723E-2</v>
      </c>
      <c r="O41" s="198">
        <f t="shared" si="10"/>
        <v>1.6934749684063721E-2</v>
      </c>
      <c r="P41" s="198">
        <f t="shared" si="10"/>
        <v>1.0305200322391572E-2</v>
      </c>
      <c r="Q41" s="198">
        <f t="shared" si="10"/>
        <v>1.2435977004744636E-2</v>
      </c>
      <c r="R41" s="198">
        <f t="shared" si="10"/>
        <v>9.947242985200111E-3</v>
      </c>
      <c r="S41" s="171"/>
      <c r="T41" s="199">
        <f>+T40/SUM(T10:T11)-1</f>
        <v>2.5834287850978299E-2</v>
      </c>
      <c r="U41" s="171"/>
      <c r="V41" s="171"/>
      <c r="W41" s="171"/>
      <c r="X41" s="171"/>
      <c r="Y41" s="171"/>
      <c r="Z41" s="171"/>
    </row>
    <row r="42" spans="1:26">
      <c r="C42" s="168"/>
      <c r="D42" s="168"/>
      <c r="E42" s="168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200"/>
      <c r="U42" s="171"/>
      <c r="V42" s="171"/>
      <c r="W42" s="171"/>
      <c r="X42" s="171"/>
      <c r="Y42" s="171"/>
      <c r="Z42" s="171"/>
    </row>
    <row r="43" spans="1:26">
      <c r="C43" s="168"/>
      <c r="D43" s="168"/>
      <c r="E43" s="168"/>
      <c r="F43" s="162" t="s">
        <v>14</v>
      </c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2"/>
      <c r="U43" s="171"/>
      <c r="V43" s="202"/>
      <c r="W43" s="171"/>
      <c r="X43" s="171"/>
      <c r="Y43" s="171"/>
      <c r="Z43" s="171"/>
    </row>
    <row r="44" spans="1:26">
      <c r="C44" s="168"/>
      <c r="D44" s="203" t="s">
        <v>164</v>
      </c>
      <c r="E44" s="203"/>
      <c r="F44" s="161" t="s">
        <v>148</v>
      </c>
      <c r="G44" s="171">
        <v>726.04387750604269</v>
      </c>
      <c r="H44" s="171">
        <v>522.157464500586</v>
      </c>
      <c r="I44" s="171">
        <v>637.15890631959553</v>
      </c>
      <c r="J44" s="171">
        <v>547.40851926831886</v>
      </c>
      <c r="K44" s="171">
        <v>599.80725747138865</v>
      </c>
      <c r="L44" s="171">
        <v>677.20505346149332</v>
      </c>
      <c r="M44" s="171">
        <v>583.34929563872549</v>
      </c>
      <c r="N44" s="171">
        <v>653.38057593425322</v>
      </c>
      <c r="O44" s="171">
        <v>605.51652018356162</v>
      </c>
      <c r="P44" s="171">
        <v>551.58678437437686</v>
      </c>
      <c r="Q44" s="171">
        <v>603.91624495200654</v>
      </c>
      <c r="R44" s="171">
        <v>566.91430966624034</v>
      </c>
      <c r="S44" s="171"/>
      <c r="T44" s="172">
        <f>SUM(G44:S44)</f>
        <v>7274.4448092765888</v>
      </c>
      <c r="U44" s="171"/>
      <c r="V44" s="217"/>
      <c r="W44" s="171"/>
      <c r="X44" s="171"/>
      <c r="Y44" s="171"/>
      <c r="Z44" s="171"/>
    </row>
    <row r="45" spans="1:26">
      <c r="D45" s="203" t="s">
        <v>165</v>
      </c>
      <c r="E45" s="203"/>
      <c r="F45" s="161" t="s">
        <v>153</v>
      </c>
      <c r="G45" s="171">
        <v>3157.3752121574062</v>
      </c>
      <c r="H45" s="171">
        <v>2301.9555869367714</v>
      </c>
      <c r="I45" s="171">
        <v>2651.2418945820941</v>
      </c>
      <c r="J45" s="171">
        <v>2427.6036440040971</v>
      </c>
      <c r="K45" s="171">
        <v>2658.4324115409354</v>
      </c>
      <c r="L45" s="171">
        <v>2767.0614641935299</v>
      </c>
      <c r="M45" s="171">
        <v>2593.306235282339</v>
      </c>
      <c r="N45" s="171">
        <v>2785.9927646793822</v>
      </c>
      <c r="O45" s="171">
        <v>2706.4401528891099</v>
      </c>
      <c r="P45" s="171">
        <v>2455.3712967115812</v>
      </c>
      <c r="Q45" s="171">
        <v>2503.1577914460458</v>
      </c>
      <c r="R45" s="171">
        <v>2576.4427701835684</v>
      </c>
      <c r="S45" s="171"/>
      <c r="T45" s="172">
        <f>SUM(G45:S45)</f>
        <v>31584.381224606863</v>
      </c>
      <c r="U45" s="171"/>
      <c r="V45" s="205"/>
      <c r="W45" s="171"/>
      <c r="X45" s="171"/>
      <c r="Y45" s="171"/>
      <c r="Z45" s="171"/>
    </row>
    <row r="46" spans="1:26" s="185" customFormat="1" outlineLevel="1">
      <c r="A46" s="178" t="s">
        <v>164</v>
      </c>
      <c r="B46" s="178" t="s">
        <v>145</v>
      </c>
      <c r="C46" s="181"/>
      <c r="D46" s="211"/>
      <c r="E46" s="181"/>
      <c r="F46" s="207" t="str">
        <f>"Total "&amp;F43&amp;" "&amp;B46</f>
        <v>Total Residential MSW</v>
      </c>
      <c r="G46" s="208">
        <v>3944.549999999997</v>
      </c>
      <c r="H46" s="208">
        <v>2863.3200000000006</v>
      </c>
      <c r="I46" s="208">
        <v>3342.06</v>
      </c>
      <c r="J46" s="208">
        <v>3025.32</v>
      </c>
      <c r="K46" s="208">
        <v>3319.75</v>
      </c>
      <c r="L46" s="208">
        <v>3492.85</v>
      </c>
      <c r="M46" s="208">
        <v>3230.0499999999997</v>
      </c>
      <c r="N46" s="208">
        <v>3505.1999999999994</v>
      </c>
      <c r="O46" s="208">
        <v>3357.93</v>
      </c>
      <c r="P46" s="208">
        <v>3051.0800000000004</v>
      </c>
      <c r="Q46" s="208">
        <v>3157.2400000000002</v>
      </c>
      <c r="R46" s="208">
        <v>3212.6199999999994</v>
      </c>
      <c r="S46" s="208"/>
      <c r="T46" s="209">
        <f>SUM(G46:R46)-SUM(T44:T45)</f>
        <v>643.14396611654229</v>
      </c>
      <c r="U46" s="184"/>
      <c r="V46" s="210"/>
      <c r="W46" s="184"/>
      <c r="X46" s="184"/>
      <c r="Y46" s="184"/>
      <c r="Z46" s="184"/>
    </row>
    <row r="47" spans="1:26">
      <c r="C47" s="168"/>
      <c r="D47" s="203" t="s">
        <v>164</v>
      </c>
      <c r="E47" s="203"/>
      <c r="F47" s="161" t="s">
        <v>167</v>
      </c>
      <c r="G47" s="171">
        <v>248.44489120681115</v>
      </c>
      <c r="H47" s="171">
        <v>270.42298308430321</v>
      </c>
      <c r="I47" s="171">
        <v>364.14385472384015</v>
      </c>
      <c r="J47" s="171">
        <v>422.3352717497354</v>
      </c>
      <c r="K47" s="171">
        <v>500.27336617640003</v>
      </c>
      <c r="L47" s="171">
        <v>630.62533673186999</v>
      </c>
      <c r="M47" s="171">
        <v>397.69299014925446</v>
      </c>
      <c r="N47" s="171">
        <v>355.28648218389054</v>
      </c>
      <c r="O47" s="171">
        <v>286.07034664282816</v>
      </c>
      <c r="P47" s="171">
        <v>268.47019411658772</v>
      </c>
      <c r="Q47" s="171">
        <v>535.35060944089241</v>
      </c>
      <c r="R47" s="171">
        <v>347.65311344818741</v>
      </c>
      <c r="S47" s="171"/>
      <c r="T47" s="172">
        <f>SUM(G47:S47)</f>
        <v>4626.7694396546012</v>
      </c>
      <c r="U47" s="171"/>
      <c r="V47" s="204"/>
      <c r="W47" s="171"/>
      <c r="X47" s="171"/>
      <c r="Y47" s="171"/>
      <c r="Z47" s="171"/>
    </row>
    <row r="48" spans="1:26">
      <c r="D48" s="203" t="s">
        <v>165</v>
      </c>
      <c r="E48" s="203"/>
      <c r="F48" s="161" t="s">
        <v>168</v>
      </c>
      <c r="G48" s="171">
        <v>2211.2858396970018</v>
      </c>
      <c r="H48" s="171">
        <v>2203.7627289287907</v>
      </c>
      <c r="I48" s="171">
        <v>2912.4991367318371</v>
      </c>
      <c r="J48" s="171">
        <v>3602.817245083309</v>
      </c>
      <c r="K48" s="171">
        <v>4435.6074602510716</v>
      </c>
      <c r="L48" s="171">
        <v>4838.6554762462101</v>
      </c>
      <c r="M48" s="171">
        <v>3420.9813245555197</v>
      </c>
      <c r="N48" s="171">
        <v>2657.0111923815139</v>
      </c>
      <c r="O48" s="171">
        <v>2552.8693906023282</v>
      </c>
      <c r="P48" s="171">
        <v>2459.0655378326369</v>
      </c>
      <c r="Q48" s="171">
        <v>4140.6074615509242</v>
      </c>
      <c r="R48" s="171">
        <v>3196.2997569146928</v>
      </c>
      <c r="S48" s="171"/>
      <c r="T48" s="172">
        <f>SUM(G48:S48)</f>
        <v>38631.462550775839</v>
      </c>
      <c r="U48" s="171"/>
      <c r="V48" s="205"/>
      <c r="W48" s="171"/>
      <c r="X48" s="171"/>
      <c r="Y48" s="171"/>
      <c r="Z48" s="171"/>
    </row>
    <row r="49" spans="1:26" s="185" customFormat="1" outlineLevel="1">
      <c r="A49" s="179" t="str">
        <f>+A46</f>
        <v>R</v>
      </c>
      <c r="B49" s="179" t="s">
        <v>158</v>
      </c>
      <c r="C49" s="181"/>
      <c r="D49" s="211"/>
      <c r="E49" s="181"/>
      <c r="F49" s="207" t="str">
        <f>"Total "&amp;F43&amp;" "&amp;B49</f>
        <v>Total Residential YW</v>
      </c>
      <c r="G49" s="208">
        <v>2455.1899999999996</v>
      </c>
      <c r="H49" s="208">
        <v>2517.19</v>
      </c>
      <c r="I49" s="208">
        <v>3313.3399999999997</v>
      </c>
      <c r="J49" s="208">
        <v>4078.56</v>
      </c>
      <c r="K49" s="208">
        <v>5001.16</v>
      </c>
      <c r="L49" s="208">
        <v>5601.1299999999992</v>
      </c>
      <c r="M49" s="208">
        <v>3877.41</v>
      </c>
      <c r="N49" s="208">
        <v>3026.86</v>
      </c>
      <c r="O49" s="208">
        <v>2877.4300000000003</v>
      </c>
      <c r="P49" s="208">
        <v>2748.86</v>
      </c>
      <c r="Q49" s="208">
        <v>4746.1399999999994</v>
      </c>
      <c r="R49" s="208">
        <v>3597.88</v>
      </c>
      <c r="S49" s="208"/>
      <c r="T49" s="209">
        <f>SUM(G49:R49)-SUM(T47:T48)</f>
        <v>582.91800956955558</v>
      </c>
      <c r="U49" s="184"/>
      <c r="V49" s="210"/>
      <c r="W49" s="184"/>
      <c r="X49" s="184"/>
      <c r="Y49" s="184"/>
      <c r="Z49" s="184"/>
    </row>
    <row r="50" spans="1:26">
      <c r="C50" s="168"/>
      <c r="D50" s="203" t="s">
        <v>164</v>
      </c>
      <c r="E50" s="203"/>
      <c r="F50" s="161" t="s">
        <v>169</v>
      </c>
      <c r="G50" s="171">
        <v>401.97739689256639</v>
      </c>
      <c r="H50" s="171">
        <v>300.28416120352853</v>
      </c>
      <c r="I50" s="171">
        <v>326.15493552236802</v>
      </c>
      <c r="J50" s="171">
        <v>293.50539276392681</v>
      </c>
      <c r="K50" s="171">
        <v>343.1133618374829</v>
      </c>
      <c r="L50" s="171">
        <v>388.11104561491476</v>
      </c>
      <c r="M50" s="171">
        <v>298.0733515771513</v>
      </c>
      <c r="N50" s="171">
        <v>305.67243411358555</v>
      </c>
      <c r="O50" s="171">
        <v>299.0573939005979</v>
      </c>
      <c r="P50" s="171">
        <v>294.7118758598798</v>
      </c>
      <c r="Q50" s="171">
        <v>348.60042013699928</v>
      </c>
      <c r="R50" s="171">
        <v>300.83725829061484</v>
      </c>
      <c r="S50" s="171"/>
      <c r="T50" s="172">
        <f>SUM(G50:S50)</f>
        <v>3900.0990277136166</v>
      </c>
      <c r="U50" s="171"/>
      <c r="V50" s="204"/>
      <c r="W50" s="171"/>
      <c r="X50" s="171"/>
      <c r="Y50" s="171"/>
      <c r="Z50" s="171"/>
    </row>
    <row r="51" spans="1:26">
      <c r="D51" s="203" t="s">
        <v>165</v>
      </c>
      <c r="E51" s="203"/>
      <c r="F51" s="161" t="s">
        <v>170</v>
      </c>
      <c r="G51" s="171">
        <v>2189.4921426871047</v>
      </c>
      <c r="H51" s="171">
        <v>1531.5541275407268</v>
      </c>
      <c r="I51" s="171">
        <v>1738.4428800785117</v>
      </c>
      <c r="J51" s="171">
        <v>1567.983383292921</v>
      </c>
      <c r="K51" s="171">
        <v>1662.170098421441</v>
      </c>
      <c r="L51" s="171">
        <v>1736.5605962972031</v>
      </c>
      <c r="M51" s="171">
        <v>1587.192030715084</v>
      </c>
      <c r="N51" s="171">
        <v>1747.940254332864</v>
      </c>
      <c r="O51" s="171">
        <v>1616.5084404190595</v>
      </c>
      <c r="P51" s="171">
        <v>1548.6659727968383</v>
      </c>
      <c r="Q51" s="171">
        <v>1678.3670836601827</v>
      </c>
      <c r="R51" s="171">
        <v>1757.0878891254733</v>
      </c>
      <c r="S51" s="171"/>
      <c r="T51" s="172">
        <f>SUM(G51:S51)</f>
        <v>20361.964899367405</v>
      </c>
      <c r="U51" s="171"/>
      <c r="V51" s="205"/>
      <c r="W51" s="171"/>
      <c r="X51" s="171"/>
      <c r="Y51" s="171"/>
      <c r="Z51" s="171"/>
    </row>
    <row r="52" spans="1:26" s="185" customFormat="1" outlineLevel="1">
      <c r="A52" s="179" t="str">
        <f>+A49</f>
        <v>R</v>
      </c>
      <c r="B52" s="179" t="s">
        <v>154</v>
      </c>
      <c r="C52" s="181"/>
      <c r="D52" s="211"/>
      <c r="E52" s="181"/>
      <c r="F52" s="207" t="str">
        <f>"Total "&amp;F43&amp;" "&amp;B50</f>
        <v xml:space="preserve">Total Residential </v>
      </c>
      <c r="G52" s="208">
        <v>2645.0700000000006</v>
      </c>
      <c r="H52" s="208">
        <v>1835.1999999999998</v>
      </c>
      <c r="I52" s="208">
        <v>2083.2100000000005</v>
      </c>
      <c r="J52" s="208">
        <v>1843.6300000000006</v>
      </c>
      <c r="K52" s="208">
        <v>2001.4700000000003</v>
      </c>
      <c r="L52" s="208">
        <v>2047.04</v>
      </c>
      <c r="M52" s="208">
        <v>1888.2400000000002</v>
      </c>
      <c r="N52" s="208">
        <v>2061.2100000000005</v>
      </c>
      <c r="O52" s="208">
        <v>1928.6399999999999</v>
      </c>
      <c r="P52" s="208">
        <v>1856.4900000000002</v>
      </c>
      <c r="Q52" s="208">
        <v>1996.53</v>
      </c>
      <c r="R52" s="208">
        <v>2033.47</v>
      </c>
      <c r="S52" s="208"/>
      <c r="T52" s="209">
        <f>SUM(G52:R52)-SUM(T50:T51)</f>
        <v>-41.8639270810163</v>
      </c>
      <c r="U52" s="184"/>
      <c r="V52" s="212"/>
      <c r="W52" s="184"/>
      <c r="X52" s="184"/>
      <c r="Y52" s="184"/>
      <c r="Z52" s="184"/>
    </row>
    <row r="53" spans="1:26" outlineLevel="1">
      <c r="A53" s="193"/>
      <c r="B53" s="193"/>
      <c r="C53" s="193"/>
      <c r="D53" s="193"/>
      <c r="E53" s="193"/>
      <c r="F53" s="213" t="str">
        <f>"Total "&amp;F43&amp;" per Disposal Report"</f>
        <v>Total Residential per Disposal Report</v>
      </c>
      <c r="G53" s="214">
        <v>9044.8100000000013</v>
      </c>
      <c r="H53" s="214">
        <v>7215.7100000000009</v>
      </c>
      <c r="I53" s="214">
        <v>8738.6100000000024</v>
      </c>
      <c r="J53" s="214">
        <v>8947.5100000000039</v>
      </c>
      <c r="K53" s="214">
        <v>10322.379999999997</v>
      </c>
      <c r="L53" s="214">
        <v>11141.019999999997</v>
      </c>
      <c r="M53" s="214">
        <v>8995.7000000000025</v>
      </c>
      <c r="N53" s="214">
        <v>8593.2699999999986</v>
      </c>
      <c r="O53" s="214">
        <v>8164.0000000000018</v>
      </c>
      <c r="P53" s="214">
        <v>7656.4299999999994</v>
      </c>
      <c r="Q53" s="214">
        <v>9899.909999999998</v>
      </c>
      <c r="R53" s="214">
        <v>8843.970000000003</v>
      </c>
      <c r="S53" s="214"/>
      <c r="T53" s="215">
        <f>SUM(G53:S53)</f>
        <v>107563.32</v>
      </c>
      <c r="U53" s="171"/>
      <c r="V53" s="216"/>
      <c r="W53" s="171"/>
      <c r="X53" s="171"/>
      <c r="Y53" s="171"/>
      <c r="Z53" s="171"/>
    </row>
    <row r="54" spans="1:26">
      <c r="C54" s="168"/>
      <c r="D54" s="168"/>
      <c r="E54" s="168"/>
      <c r="F54" s="161" t="str">
        <f>"Total "&amp;F43</f>
        <v>Total Residential</v>
      </c>
      <c r="G54" s="177">
        <f>SUM(G44:G45,G47:G48,G50:G51)</f>
        <v>8934.6193601469331</v>
      </c>
      <c r="H54" s="177">
        <f t="shared" ref="H54:R54" si="11">SUM(H44:H45,H47:H48,H50:H51)</f>
        <v>7130.1370521947065</v>
      </c>
      <c r="I54" s="177">
        <f t="shared" si="11"/>
        <v>8629.6416079582468</v>
      </c>
      <c r="J54" s="177">
        <f t="shared" si="11"/>
        <v>8861.6534561623084</v>
      </c>
      <c r="K54" s="177">
        <f t="shared" si="11"/>
        <v>10199.403955698719</v>
      </c>
      <c r="L54" s="177">
        <f t="shared" si="11"/>
        <v>11038.218972545223</v>
      </c>
      <c r="M54" s="177">
        <f t="shared" si="11"/>
        <v>8880.5952279180747</v>
      </c>
      <c r="N54" s="177">
        <f t="shared" si="11"/>
        <v>8505.2837036254896</v>
      </c>
      <c r="O54" s="177">
        <f t="shared" si="11"/>
        <v>8066.4622446374851</v>
      </c>
      <c r="P54" s="177">
        <f t="shared" si="11"/>
        <v>7577.8716616919</v>
      </c>
      <c r="Q54" s="177">
        <f t="shared" si="11"/>
        <v>9809.9996111870514</v>
      </c>
      <c r="R54" s="177">
        <f t="shared" si="11"/>
        <v>8745.235097628778</v>
      </c>
      <c r="S54" s="177"/>
      <c r="T54" s="172">
        <f>SUM(T44:T45,T47:T48,T50:T51)</f>
        <v>106379.1219513949</v>
      </c>
      <c r="U54" s="171"/>
      <c r="V54" s="218"/>
      <c r="W54" s="171"/>
      <c r="X54" s="171"/>
      <c r="Y54" s="171"/>
      <c r="Z54" s="171"/>
    </row>
    <row r="55" spans="1:26">
      <c r="C55" s="168"/>
      <c r="D55" s="168"/>
      <c r="E55" s="168"/>
      <c r="F55" s="197" t="s">
        <v>161</v>
      </c>
      <c r="G55" s="198">
        <f>+G54/SUM(G12:G14)-1</f>
        <v>-1.2919390674432485E-2</v>
      </c>
      <c r="H55" s="198">
        <f t="shared" ref="H55:T55" si="12">+H54/SUM(H12:H14)-1</f>
        <v>-1.0669158835927339E-2</v>
      </c>
      <c r="I55" s="198">
        <f t="shared" si="12"/>
        <v>-6.6402665681652095E-2</v>
      </c>
      <c r="J55" s="198">
        <f t="shared" si="12"/>
        <v>-3.8571117147420675E-2</v>
      </c>
      <c r="K55" s="198">
        <f t="shared" si="12"/>
        <v>-4.1491380370784148E-2</v>
      </c>
      <c r="L55" s="198">
        <f t="shared" si="12"/>
        <v>-2.9307595350721583E-2</v>
      </c>
      <c r="M55" s="198">
        <f t="shared" si="12"/>
        <v>-1.1794771106941049E-2</v>
      </c>
      <c r="N55" s="198">
        <f t="shared" si="12"/>
        <v>-8.6400226093065191E-3</v>
      </c>
      <c r="O55" s="198">
        <f t="shared" si="12"/>
        <v>-1.3847370923308566E-2</v>
      </c>
      <c r="P55" s="198">
        <f t="shared" si="12"/>
        <v>-1.0105292500434238E-2</v>
      </c>
      <c r="Q55" s="198">
        <f t="shared" si="12"/>
        <v>-5.0962591022487569E-3</v>
      </c>
      <c r="R55" s="198">
        <f t="shared" si="12"/>
        <v>-1.1809927102033657E-2</v>
      </c>
      <c r="S55" s="171"/>
      <c r="T55" s="198">
        <f t="shared" si="12"/>
        <v>-2.2632950519857253E-2</v>
      </c>
      <c r="U55" s="171"/>
      <c r="V55" s="171"/>
      <c r="W55" s="171"/>
      <c r="X55" s="171"/>
      <c r="Y55" s="171"/>
      <c r="Z55" s="171"/>
    </row>
    <row r="56" spans="1:26">
      <c r="C56" s="168"/>
      <c r="D56" s="168"/>
      <c r="E56" s="168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2"/>
      <c r="U56" s="171"/>
      <c r="V56" s="171"/>
      <c r="W56" s="171"/>
      <c r="X56" s="171"/>
      <c r="Y56" s="171"/>
      <c r="Z56" s="171"/>
    </row>
    <row r="57" spans="1:26">
      <c r="C57" s="168"/>
      <c r="D57" s="168"/>
      <c r="E57" s="168"/>
      <c r="F57" s="219" t="s">
        <v>171</v>
      </c>
      <c r="G57" s="171">
        <f t="shared" ref="G57:R57" si="13">SUM(G18:G19,G33:G34,G44:G45)</f>
        <v>9363.6884192877587</v>
      </c>
      <c r="H57" s="171">
        <f t="shared" si="13"/>
        <v>7398.7079653153469</v>
      </c>
      <c r="I57" s="171">
        <f t="shared" si="13"/>
        <v>8619.3437262783336</v>
      </c>
      <c r="J57" s="171">
        <f t="shared" si="13"/>
        <v>7907.7062920984563</v>
      </c>
      <c r="K57" s="171">
        <f t="shared" si="13"/>
        <v>8716.4252388061741</v>
      </c>
      <c r="L57" s="171">
        <f t="shared" si="13"/>
        <v>8976.532087630987</v>
      </c>
      <c r="M57" s="171">
        <f t="shared" si="13"/>
        <v>8330.3705980993545</v>
      </c>
      <c r="N57" s="171">
        <f t="shared" si="13"/>
        <v>8989.2122542140751</v>
      </c>
      <c r="O57" s="171">
        <f t="shared" si="13"/>
        <v>8566.9371787101099</v>
      </c>
      <c r="P57" s="171">
        <f t="shared" si="13"/>
        <v>8023.4316479307236</v>
      </c>
      <c r="Q57" s="171">
        <f t="shared" si="13"/>
        <v>8144.787650051755</v>
      </c>
      <c r="R57" s="171">
        <f t="shared" si="13"/>
        <v>8033.3633735312969</v>
      </c>
      <c r="S57" s="171"/>
      <c r="T57" s="172">
        <f>SUM(G57:S57)</f>
        <v>101070.50643195436</v>
      </c>
      <c r="U57" s="171"/>
      <c r="V57" s="171"/>
      <c r="W57" s="171"/>
      <c r="X57" s="171"/>
      <c r="Y57" s="171"/>
      <c r="Z57" s="171"/>
    </row>
    <row r="58" spans="1:26" outlineLevel="1">
      <c r="C58" s="168"/>
      <c r="D58" s="168"/>
      <c r="E58" s="168"/>
      <c r="F58" s="220" t="s">
        <v>161</v>
      </c>
      <c r="G58" s="198">
        <f t="shared" ref="G58:R58" si="14">+G57/SUM(G8,G10,G12)-1</f>
        <v>1.3083583181621172E-2</v>
      </c>
      <c r="H58" s="198">
        <f t="shared" si="14"/>
        <v>1.8475896493125754E-2</v>
      </c>
      <c r="I58" s="198">
        <f t="shared" si="14"/>
        <v>2.0779850744503392E-3</v>
      </c>
      <c r="J58" s="198">
        <f t="shared" si="14"/>
        <v>2.3152837335040921E-3</v>
      </c>
      <c r="K58" s="198">
        <f t="shared" si="14"/>
        <v>7.1692297780054925E-3</v>
      </c>
      <c r="L58" s="198">
        <f t="shared" si="14"/>
        <v>6.5091907624379441E-3</v>
      </c>
      <c r="M58" s="198">
        <f t="shared" si="14"/>
        <v>-4.2589824484107197E-4</v>
      </c>
      <c r="N58" s="198">
        <f t="shared" si="14"/>
        <v>5.9829621703915148E-3</v>
      </c>
      <c r="O58" s="198">
        <f t="shared" si="14"/>
        <v>4.0089371994789236E-3</v>
      </c>
      <c r="P58" s="198">
        <f t="shared" si="14"/>
        <v>2.8537419606933234E-3</v>
      </c>
      <c r="Q58" s="198">
        <f t="shared" si="14"/>
        <v>-6.2933164252277907E-3</v>
      </c>
      <c r="R58" s="198">
        <f t="shared" si="14"/>
        <v>-2.5746671221741346E-3</v>
      </c>
      <c r="S58" s="198"/>
      <c r="T58" s="198">
        <f>+T57/SUM(T8,T10,T12)-1</f>
        <v>4.4324839008313965E-3</v>
      </c>
      <c r="U58" s="171"/>
      <c r="V58" s="171"/>
      <c r="W58" s="171"/>
      <c r="X58" s="171"/>
      <c r="Y58" s="171"/>
      <c r="Z58" s="171"/>
    </row>
    <row r="59" spans="1:26">
      <c r="C59" s="168"/>
      <c r="D59" s="168"/>
      <c r="E59" s="168"/>
      <c r="F59" s="219" t="s">
        <v>172</v>
      </c>
      <c r="G59" s="171">
        <f t="shared" ref="G59:R59" si="15">SUM(G21:G22,G36:G37,G50:G51)</f>
        <v>4934.4938501313709</v>
      </c>
      <c r="H59" s="171">
        <f t="shared" si="15"/>
        <v>4160.6657637060889</v>
      </c>
      <c r="I59" s="171">
        <f t="shared" si="15"/>
        <v>4674.3410803702027</v>
      </c>
      <c r="J59" s="171">
        <f t="shared" si="15"/>
        <v>4365.7994582043775</v>
      </c>
      <c r="K59" s="171">
        <f t="shared" si="15"/>
        <v>4896.2870752102126</v>
      </c>
      <c r="L59" s="171">
        <f t="shared" si="15"/>
        <v>4959.6347809355539</v>
      </c>
      <c r="M59" s="171">
        <f t="shared" si="15"/>
        <v>4669.1663046602771</v>
      </c>
      <c r="N59" s="171">
        <f t="shared" si="15"/>
        <v>5156.5418399495029</v>
      </c>
      <c r="O59" s="171">
        <f t="shared" si="15"/>
        <v>4630.3151335071188</v>
      </c>
      <c r="P59" s="171">
        <f t="shared" si="15"/>
        <v>4888.0568805394732</v>
      </c>
      <c r="Q59" s="171">
        <f t="shared" si="15"/>
        <v>5133.0694384988765</v>
      </c>
      <c r="R59" s="171">
        <f t="shared" si="15"/>
        <v>5150.8502701006037</v>
      </c>
      <c r="S59" s="171"/>
      <c r="T59" s="172">
        <f>SUM(G59:S59)</f>
        <v>57619.221875813659</v>
      </c>
      <c r="U59" s="171"/>
      <c r="V59" s="171"/>
      <c r="W59" s="171"/>
      <c r="X59" s="171"/>
      <c r="Y59" s="171"/>
      <c r="Z59" s="171"/>
    </row>
    <row r="60" spans="1:26">
      <c r="C60" s="168"/>
      <c r="D60" s="168"/>
      <c r="E60" s="168"/>
      <c r="F60" s="219" t="s">
        <v>173</v>
      </c>
      <c r="G60" s="171">
        <f>SUM(G47:G48)</f>
        <v>2459.7307309038129</v>
      </c>
      <c r="H60" s="171">
        <f t="shared" ref="H60:R60" si="16">SUM(H47:H48)</f>
        <v>2474.185712013094</v>
      </c>
      <c r="I60" s="171">
        <f t="shared" si="16"/>
        <v>3276.6429914556775</v>
      </c>
      <c r="J60" s="171">
        <f t="shared" si="16"/>
        <v>4025.1525168330445</v>
      </c>
      <c r="K60" s="171">
        <f t="shared" si="16"/>
        <v>4935.8808264274721</v>
      </c>
      <c r="L60" s="171">
        <f t="shared" si="16"/>
        <v>5469.2808129780806</v>
      </c>
      <c r="M60" s="171">
        <f t="shared" si="16"/>
        <v>3818.6743147047741</v>
      </c>
      <c r="N60" s="171">
        <f t="shared" si="16"/>
        <v>3012.2976745654046</v>
      </c>
      <c r="O60" s="171">
        <f t="shared" si="16"/>
        <v>2838.9397372451563</v>
      </c>
      <c r="P60" s="171">
        <f t="shared" si="16"/>
        <v>2727.5357319492246</v>
      </c>
      <c r="Q60" s="171">
        <f t="shared" si="16"/>
        <v>4675.9580709918164</v>
      </c>
      <c r="R60" s="171">
        <f t="shared" si="16"/>
        <v>3543.9528703628803</v>
      </c>
      <c r="S60" s="171"/>
      <c r="T60" s="172">
        <f>SUM(G60:S60)</f>
        <v>43258.231990430439</v>
      </c>
      <c r="U60" s="171"/>
      <c r="V60" s="221"/>
      <c r="W60" s="171"/>
      <c r="X60" s="171"/>
      <c r="Y60" s="171"/>
      <c r="Z60" s="171"/>
    </row>
    <row r="61" spans="1:26" outlineLevel="1">
      <c r="C61" s="168"/>
      <c r="D61" s="168"/>
      <c r="E61" s="168"/>
      <c r="F61" s="220" t="s">
        <v>161</v>
      </c>
      <c r="G61" s="198">
        <f>SUM(G59:G60)/SUM(G9,G11,G13:G14)-1</f>
        <v>-7.3547248513314845E-3</v>
      </c>
      <c r="H61" s="198">
        <f t="shared" ref="H61:R61" si="17">SUM(H59:H60)/SUM(H9,H11,H13:H14)-1</f>
        <v>2.978235674048646E-3</v>
      </c>
      <c r="I61" s="198">
        <f t="shared" si="17"/>
        <v>-3.055154717237496E-3</v>
      </c>
      <c r="J61" s="198">
        <f t="shared" si="17"/>
        <v>-3.4089439036844138E-2</v>
      </c>
      <c r="K61" s="198">
        <f t="shared" si="17"/>
        <v>-3.700796848216914E-2</v>
      </c>
      <c r="L61" s="198">
        <f t="shared" si="17"/>
        <v>-2.715884109663258E-2</v>
      </c>
      <c r="M61" s="198">
        <f t="shared" si="17"/>
        <v>-3.7500197346354014E-3</v>
      </c>
      <c r="N61" s="198">
        <f t="shared" si="17"/>
        <v>1.9304944763227638E-3</v>
      </c>
      <c r="O61" s="198">
        <f t="shared" si="17"/>
        <v>-8.9515239053228335E-3</v>
      </c>
      <c r="P61" s="198">
        <f t="shared" si="17"/>
        <v>-2.5719444615686093E-3</v>
      </c>
      <c r="Q61" s="198">
        <f t="shared" si="17"/>
        <v>-2.456165466151683E-2</v>
      </c>
      <c r="R61" s="198">
        <f t="shared" si="17"/>
        <v>-1.1232837995050482E-2</v>
      </c>
      <c r="S61" s="198"/>
      <c r="T61" s="198">
        <f>SUM(T59:T60)/SUM(T9,T11,T13:T14)-1</f>
        <v>-1.4398143701367494E-2</v>
      </c>
      <c r="U61" s="171"/>
      <c r="V61" s="171"/>
      <c r="W61" s="171"/>
      <c r="X61" s="171"/>
      <c r="Y61" s="171"/>
      <c r="Z61" s="171"/>
    </row>
    <row r="62" spans="1:26">
      <c r="C62" s="168"/>
      <c r="D62" s="168"/>
      <c r="E62" s="168"/>
      <c r="F62" s="222" t="s">
        <v>174</v>
      </c>
      <c r="G62" s="195">
        <f>+G57+G59+G60</f>
        <v>16757.91300032294</v>
      </c>
      <c r="H62" s="195">
        <f t="shared" ref="H62:R62" si="18">+H57+H59+H60</f>
        <v>14033.559441034529</v>
      </c>
      <c r="I62" s="195">
        <f t="shared" si="18"/>
        <v>16570.327798104212</v>
      </c>
      <c r="J62" s="195">
        <f t="shared" si="18"/>
        <v>16298.658267135877</v>
      </c>
      <c r="K62" s="195">
        <f t="shared" si="18"/>
        <v>18548.59314044386</v>
      </c>
      <c r="L62" s="195">
        <f t="shared" si="18"/>
        <v>19405.447681544621</v>
      </c>
      <c r="M62" s="195">
        <f t="shared" si="18"/>
        <v>16818.211217464406</v>
      </c>
      <c r="N62" s="195">
        <f t="shared" si="18"/>
        <v>17158.051768728983</v>
      </c>
      <c r="O62" s="195">
        <f t="shared" si="18"/>
        <v>16036.192049462385</v>
      </c>
      <c r="P62" s="195">
        <f t="shared" si="18"/>
        <v>15639.024260419421</v>
      </c>
      <c r="Q62" s="195">
        <f t="shared" si="18"/>
        <v>17953.815159542446</v>
      </c>
      <c r="R62" s="195">
        <f t="shared" si="18"/>
        <v>16728.16651399478</v>
      </c>
      <c r="S62" s="195"/>
      <c r="T62" s="196">
        <f>SUM(G62:S62)</f>
        <v>201947.96029819848</v>
      </c>
      <c r="U62" s="171"/>
      <c r="V62" s="171"/>
      <c r="W62" s="171"/>
      <c r="X62" s="171"/>
      <c r="Y62" s="171"/>
      <c r="Z62" s="171"/>
    </row>
    <row r="63" spans="1:26">
      <c r="C63" s="168"/>
      <c r="D63" s="168"/>
      <c r="E63" s="168"/>
      <c r="F63" s="220" t="s">
        <v>161</v>
      </c>
      <c r="G63" s="198">
        <f t="shared" ref="G63:R63" si="19">+G62/G15-1</f>
        <v>3.9626115338842194E-3</v>
      </c>
      <c r="H63" s="198">
        <f t="shared" si="19"/>
        <v>1.1089584530616703E-2</v>
      </c>
      <c r="I63" s="198">
        <f t="shared" si="19"/>
        <v>-3.9164338490660366E-4</v>
      </c>
      <c r="J63" s="198">
        <f t="shared" si="19"/>
        <v>-1.6762961419797828E-2</v>
      </c>
      <c r="K63" s="198">
        <f t="shared" si="19"/>
        <v>-1.6740890754868287E-2</v>
      </c>
      <c r="L63" s="198">
        <f t="shared" si="19"/>
        <v>-1.1869126648690553E-2</v>
      </c>
      <c r="M63" s="198">
        <f t="shared" si="19"/>
        <v>-2.1062889141674201E-3</v>
      </c>
      <c r="N63" s="198">
        <f t="shared" si="19"/>
        <v>4.0495275415830534E-3</v>
      </c>
      <c r="O63" s="198">
        <f t="shared" si="19"/>
        <v>-2.0696383844883703E-3</v>
      </c>
      <c r="P63" s="198">
        <f t="shared" si="19"/>
        <v>2.0429106861752366E-4</v>
      </c>
      <c r="Q63" s="198">
        <f t="shared" si="19"/>
        <v>-1.6358122988690993E-2</v>
      </c>
      <c r="R63" s="198">
        <f t="shared" si="19"/>
        <v>-7.0937651952802661E-3</v>
      </c>
      <c r="S63" s="171"/>
      <c r="T63" s="198">
        <f>+T62/T15-1</f>
        <v>-5.0629221008450243E-3</v>
      </c>
      <c r="U63" s="171"/>
      <c r="V63" s="171"/>
      <c r="W63" s="171"/>
      <c r="X63" s="171"/>
      <c r="Y63" s="171"/>
      <c r="Z63" s="171"/>
    </row>
    <row r="64" spans="1:26">
      <c r="C64" s="168"/>
      <c r="D64" s="168"/>
      <c r="E64" s="168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200"/>
      <c r="U64" s="171"/>
      <c r="V64" s="171"/>
      <c r="W64" s="171"/>
      <c r="X64" s="171"/>
      <c r="Y64" s="171"/>
      <c r="Z64" s="171"/>
    </row>
    <row r="65" spans="3:26" ht="15" thickBot="1">
      <c r="C65" s="168"/>
      <c r="D65" s="168"/>
      <c r="E65" s="168"/>
      <c r="F65" s="169" t="s">
        <v>175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69"/>
    </row>
    <row r="66" spans="3:26">
      <c r="C66" s="168"/>
      <c r="D66" s="168"/>
      <c r="E66" s="168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200"/>
      <c r="U66" s="171"/>
      <c r="V66" s="171"/>
      <c r="W66" s="171"/>
      <c r="X66" s="171"/>
      <c r="Y66" s="171"/>
      <c r="Z66" s="171"/>
    </row>
    <row r="67" spans="3:26">
      <c r="C67" s="168"/>
      <c r="D67" s="168"/>
      <c r="E67" s="168"/>
      <c r="F67" s="162" t="str">
        <f>+F17</f>
        <v>Roll-off / Industrial</v>
      </c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200"/>
      <c r="U67" s="171"/>
      <c r="V67" s="171"/>
      <c r="W67" s="171"/>
      <c r="X67" s="171"/>
      <c r="Y67" s="171"/>
      <c r="Z67" s="171"/>
    </row>
    <row r="68" spans="3:26">
      <c r="C68" s="168"/>
      <c r="D68" s="168"/>
      <c r="E68" s="168"/>
      <c r="F68" s="161" t="str">
        <f>+F18</f>
        <v>Regulated Garbage</v>
      </c>
      <c r="G68" s="223">
        <v>154.02000000000001</v>
      </c>
      <c r="H68" s="224">
        <f>+G68</f>
        <v>154.02000000000001</v>
      </c>
      <c r="I68" s="224">
        <f t="shared" ref="I68:R70" si="20">+H68</f>
        <v>154.02000000000001</v>
      </c>
      <c r="J68" s="224">
        <f t="shared" si="20"/>
        <v>154.02000000000001</v>
      </c>
      <c r="K68" s="224">
        <f t="shared" si="20"/>
        <v>154.02000000000001</v>
      </c>
      <c r="L68" s="224">
        <f t="shared" si="20"/>
        <v>154.02000000000001</v>
      </c>
      <c r="M68" s="224">
        <f t="shared" si="20"/>
        <v>154.02000000000001</v>
      </c>
      <c r="N68" s="224">
        <f t="shared" si="20"/>
        <v>154.02000000000001</v>
      </c>
      <c r="O68" s="224">
        <f t="shared" si="20"/>
        <v>154.02000000000001</v>
      </c>
      <c r="P68" s="224">
        <f t="shared" si="20"/>
        <v>154.02000000000001</v>
      </c>
      <c r="Q68" s="224">
        <f t="shared" si="20"/>
        <v>154.02000000000001</v>
      </c>
      <c r="R68" s="224">
        <f t="shared" si="20"/>
        <v>154.02000000000001</v>
      </c>
      <c r="S68" s="224"/>
      <c r="T68" s="225"/>
      <c r="U68" s="171"/>
      <c r="V68" s="171"/>
      <c r="W68" s="171"/>
      <c r="X68" s="171"/>
      <c r="Y68" s="171"/>
      <c r="Z68" s="171"/>
    </row>
    <row r="69" spans="3:26">
      <c r="C69" s="168"/>
      <c r="D69" s="168"/>
      <c r="E69" s="168"/>
      <c r="F69" s="161" t="str">
        <f>+F19</f>
        <v>Unregulated Garbage</v>
      </c>
      <c r="G69" s="224">
        <f>+G68</f>
        <v>154.02000000000001</v>
      </c>
      <c r="H69" s="224">
        <f>+G69</f>
        <v>154.02000000000001</v>
      </c>
      <c r="I69" s="224">
        <f t="shared" si="20"/>
        <v>154.02000000000001</v>
      </c>
      <c r="J69" s="224">
        <f t="shared" si="20"/>
        <v>154.02000000000001</v>
      </c>
      <c r="K69" s="224">
        <f t="shared" si="20"/>
        <v>154.02000000000001</v>
      </c>
      <c r="L69" s="224">
        <f t="shared" si="20"/>
        <v>154.02000000000001</v>
      </c>
      <c r="M69" s="224">
        <f t="shared" si="20"/>
        <v>154.02000000000001</v>
      </c>
      <c r="N69" s="224">
        <f t="shared" si="20"/>
        <v>154.02000000000001</v>
      </c>
      <c r="O69" s="224">
        <f t="shared" si="20"/>
        <v>154.02000000000001</v>
      </c>
      <c r="P69" s="224">
        <f t="shared" si="20"/>
        <v>154.02000000000001</v>
      </c>
      <c r="Q69" s="224">
        <f t="shared" si="20"/>
        <v>154.02000000000001</v>
      </c>
      <c r="R69" s="224">
        <f t="shared" si="20"/>
        <v>154.02000000000001</v>
      </c>
      <c r="S69" s="224"/>
      <c r="T69" s="225"/>
      <c r="U69" s="171"/>
      <c r="V69" s="171"/>
      <c r="W69" s="171"/>
      <c r="X69" s="171"/>
      <c r="Y69" s="171"/>
      <c r="Z69" s="171"/>
    </row>
    <row r="70" spans="3:26">
      <c r="C70" s="168"/>
      <c r="D70" s="168"/>
      <c r="E70" s="168"/>
      <c r="F70" s="161" t="str">
        <f>+F21</f>
        <v>Regulated RCY (MF)</v>
      </c>
      <c r="G70" s="223">
        <v>116.77</v>
      </c>
      <c r="H70" s="224">
        <f>+G70</f>
        <v>116.77</v>
      </c>
      <c r="I70" s="224">
        <f t="shared" si="20"/>
        <v>116.77</v>
      </c>
      <c r="J70" s="224">
        <f t="shared" si="20"/>
        <v>116.77</v>
      </c>
      <c r="K70" s="224">
        <f t="shared" si="20"/>
        <v>116.77</v>
      </c>
      <c r="L70" s="224">
        <f t="shared" si="20"/>
        <v>116.77</v>
      </c>
      <c r="M70" s="224">
        <f t="shared" si="20"/>
        <v>116.77</v>
      </c>
      <c r="N70" s="224">
        <f t="shared" si="20"/>
        <v>116.77</v>
      </c>
      <c r="O70" s="224">
        <f t="shared" si="20"/>
        <v>116.77</v>
      </c>
      <c r="P70" s="224">
        <f t="shared" si="20"/>
        <v>116.77</v>
      </c>
      <c r="Q70" s="224">
        <f t="shared" si="20"/>
        <v>116.77</v>
      </c>
      <c r="R70" s="224">
        <f t="shared" si="20"/>
        <v>116.77</v>
      </c>
      <c r="S70" s="224"/>
      <c r="T70" s="225"/>
      <c r="U70" s="171"/>
      <c r="V70" s="171"/>
      <c r="W70" s="171"/>
      <c r="X70" s="171"/>
      <c r="Y70" s="171"/>
      <c r="Z70" s="171"/>
    </row>
    <row r="71" spans="3:26">
      <c r="C71" s="168"/>
      <c r="D71" s="168"/>
      <c r="E71" s="168"/>
      <c r="F71" s="161" t="str">
        <f>+F22</f>
        <v>Unregulated RCY / COGS</v>
      </c>
      <c r="G71" s="224">
        <f t="shared" ref="G71:Q71" si="21">+G102/G22</f>
        <v>86.612477516039348</v>
      </c>
      <c r="H71" s="224">
        <f t="shared" si="21"/>
        <v>76.919740113777223</v>
      </c>
      <c r="I71" s="224">
        <f t="shared" si="21"/>
        <v>80.893875271850945</v>
      </c>
      <c r="J71" s="224">
        <f t="shared" si="21"/>
        <v>85.324885169485754</v>
      </c>
      <c r="K71" s="224">
        <f t="shared" si="21"/>
        <v>84.280942432683375</v>
      </c>
      <c r="L71" s="224">
        <f t="shared" si="21"/>
        <v>87.339164816118753</v>
      </c>
      <c r="M71" s="224">
        <f t="shared" si="21"/>
        <v>85.823601138825566</v>
      </c>
      <c r="N71" s="224">
        <f t="shared" si="21"/>
        <v>88.955672450178284</v>
      </c>
      <c r="O71" s="224">
        <f t="shared" si="21"/>
        <v>96.887283112204898</v>
      </c>
      <c r="P71" s="224">
        <f t="shared" si="21"/>
        <v>88.091317403955998</v>
      </c>
      <c r="Q71" s="224">
        <f t="shared" si="21"/>
        <v>87.65771200439103</v>
      </c>
      <c r="R71" s="224">
        <f>+R102/R22</f>
        <v>97.286801668978796</v>
      </c>
      <c r="S71" s="224"/>
      <c r="T71" s="225"/>
      <c r="U71" s="171"/>
      <c r="V71" s="171"/>
      <c r="W71" s="171"/>
      <c r="X71" s="171"/>
      <c r="Y71" s="171"/>
      <c r="Z71" s="171"/>
    </row>
    <row r="72" spans="3:26">
      <c r="C72" s="168"/>
      <c r="D72" s="168"/>
      <c r="E72" s="168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200"/>
      <c r="U72" s="171"/>
      <c r="V72" s="171"/>
      <c r="W72" s="171"/>
      <c r="X72" s="171"/>
      <c r="Y72" s="171"/>
      <c r="Z72" s="171"/>
    </row>
    <row r="73" spans="3:26">
      <c r="C73" s="168"/>
      <c r="D73" s="168"/>
      <c r="E73" s="168"/>
      <c r="F73" s="161" t="s">
        <v>176</v>
      </c>
      <c r="G73" s="224">
        <f t="shared" ref="G73:R74" si="22">+G105/G28</f>
        <v>826.66284215702331</v>
      </c>
      <c r="H73" s="224">
        <f t="shared" si="22"/>
        <v>1173.3942307692316</v>
      </c>
      <c r="I73" s="224">
        <f t="shared" si="22"/>
        <v>1118.779289880282</v>
      </c>
      <c r="J73" s="224">
        <f t="shared" si="22"/>
        <v>1128.8975057639898</v>
      </c>
      <c r="K73" s="224">
        <f t="shared" si="22"/>
        <v>1272.8596218286277</v>
      </c>
      <c r="L73" s="224">
        <f t="shared" si="22"/>
        <v>1361.6210547959279</v>
      </c>
      <c r="M73" s="224">
        <f t="shared" si="22"/>
        <v>1271.0451494153335</v>
      </c>
      <c r="N73" s="224">
        <f t="shared" si="22"/>
        <v>1177.2044534412976</v>
      </c>
      <c r="O73" s="224">
        <f t="shared" si="22"/>
        <v>1471.1527017376814</v>
      </c>
      <c r="P73" s="224">
        <f t="shared" si="22"/>
        <v>2127.7169848846488</v>
      </c>
      <c r="Q73" s="224">
        <f t="shared" si="22"/>
        <v>1552.2028797696182</v>
      </c>
      <c r="R73" s="224">
        <f t="shared" si="22"/>
        <v>2206.1180918091836</v>
      </c>
      <c r="S73" s="171"/>
      <c r="T73" s="200"/>
      <c r="U73" s="171"/>
      <c r="V73" s="171"/>
      <c r="W73" s="171"/>
      <c r="X73" s="171"/>
      <c r="Y73" s="171"/>
      <c r="Z73" s="171"/>
    </row>
    <row r="74" spans="3:26">
      <c r="C74" s="168"/>
      <c r="D74" s="168"/>
      <c r="E74" s="168"/>
      <c r="F74" s="161" t="s">
        <v>177</v>
      </c>
      <c r="G74" s="224">
        <f t="shared" si="22"/>
        <v>95.961287303861056</v>
      </c>
      <c r="H74" s="224">
        <f t="shared" si="22"/>
        <v>89.103712329733909</v>
      </c>
      <c r="I74" s="224">
        <f t="shared" si="22"/>
        <v>92.750851138765</v>
      </c>
      <c r="J74" s="224">
        <f t="shared" si="22"/>
        <v>92.112552199397001</v>
      </c>
      <c r="K74" s="224">
        <f t="shared" si="22"/>
        <v>93.47241679615054</v>
      </c>
      <c r="L74" s="224">
        <f t="shared" si="22"/>
        <v>87.964749648935921</v>
      </c>
      <c r="M74" s="224">
        <f t="shared" si="22"/>
        <v>92.011257955557824</v>
      </c>
      <c r="N74" s="224">
        <f t="shared" si="22"/>
        <v>92.468008771955894</v>
      </c>
      <c r="O74" s="224">
        <f t="shared" si="22"/>
        <v>90.656335775714339</v>
      </c>
      <c r="P74" s="224">
        <f t="shared" si="22"/>
        <v>84.308137313594457</v>
      </c>
      <c r="Q74" s="224">
        <f t="shared" si="22"/>
        <v>89.890616719555098</v>
      </c>
      <c r="R74" s="224">
        <f t="shared" si="22"/>
        <v>93.037456162439995</v>
      </c>
      <c r="S74" s="171"/>
      <c r="T74" s="200"/>
      <c r="U74" s="171"/>
      <c r="V74" s="171"/>
      <c r="W74" s="171"/>
      <c r="X74" s="171"/>
      <c r="Y74" s="171"/>
      <c r="Z74" s="171"/>
    </row>
    <row r="75" spans="3:26">
      <c r="C75" s="168"/>
      <c r="D75" s="168"/>
      <c r="E75" s="168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200"/>
      <c r="U75" s="171"/>
      <c r="V75" s="171"/>
      <c r="W75" s="171"/>
      <c r="X75" s="171"/>
      <c r="Y75" s="171"/>
      <c r="Z75" s="171"/>
    </row>
    <row r="76" spans="3:26">
      <c r="C76" s="168"/>
      <c r="D76" s="168"/>
      <c r="E76" s="168"/>
      <c r="F76" s="162" t="str">
        <f>+F32</f>
        <v>Commercial</v>
      </c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200"/>
      <c r="U76" s="171"/>
      <c r="V76" s="171"/>
      <c r="W76" s="171"/>
      <c r="X76" s="171"/>
      <c r="Y76" s="171"/>
      <c r="Z76" s="171"/>
    </row>
    <row r="77" spans="3:26">
      <c r="C77" s="168"/>
      <c r="D77" s="168"/>
      <c r="E77" s="168"/>
      <c r="F77" s="161" t="str">
        <f>+F33</f>
        <v>Regulated Garbage</v>
      </c>
      <c r="G77" s="224">
        <f>+G68</f>
        <v>154.02000000000001</v>
      </c>
      <c r="H77" s="224">
        <f>+G77</f>
        <v>154.02000000000001</v>
      </c>
      <c r="I77" s="224">
        <f t="shared" ref="I77:R78" si="23">+H77</f>
        <v>154.02000000000001</v>
      </c>
      <c r="J77" s="224">
        <f t="shared" si="23"/>
        <v>154.02000000000001</v>
      </c>
      <c r="K77" s="224">
        <f t="shared" si="23"/>
        <v>154.02000000000001</v>
      </c>
      <c r="L77" s="224">
        <f t="shared" si="23"/>
        <v>154.02000000000001</v>
      </c>
      <c r="M77" s="224">
        <f t="shared" si="23"/>
        <v>154.02000000000001</v>
      </c>
      <c r="N77" s="224">
        <f t="shared" si="23"/>
        <v>154.02000000000001</v>
      </c>
      <c r="O77" s="224">
        <f t="shared" si="23"/>
        <v>154.02000000000001</v>
      </c>
      <c r="P77" s="224">
        <f t="shared" si="23"/>
        <v>154.02000000000001</v>
      </c>
      <c r="Q77" s="224">
        <f t="shared" si="23"/>
        <v>154.02000000000001</v>
      </c>
      <c r="R77" s="224">
        <f t="shared" si="23"/>
        <v>154.02000000000001</v>
      </c>
      <c r="S77" s="171"/>
      <c r="T77" s="200"/>
      <c r="U77" s="171"/>
      <c r="V77" s="171"/>
      <c r="W77" s="171"/>
      <c r="X77" s="171"/>
      <c r="Y77" s="171"/>
      <c r="Z77" s="171"/>
    </row>
    <row r="78" spans="3:26">
      <c r="C78" s="168"/>
      <c r="D78" s="168"/>
      <c r="E78" s="168"/>
      <c r="F78" s="161" t="str">
        <f>+F34</f>
        <v>Unregulated Garbage</v>
      </c>
      <c r="G78" s="224">
        <f>+G69</f>
        <v>154.02000000000001</v>
      </c>
      <c r="H78" s="224">
        <f>+G78</f>
        <v>154.02000000000001</v>
      </c>
      <c r="I78" s="224">
        <f t="shared" si="23"/>
        <v>154.02000000000001</v>
      </c>
      <c r="J78" s="224">
        <f t="shared" si="23"/>
        <v>154.02000000000001</v>
      </c>
      <c r="K78" s="224">
        <f t="shared" si="23"/>
        <v>154.02000000000001</v>
      </c>
      <c r="L78" s="224">
        <f t="shared" si="23"/>
        <v>154.02000000000001</v>
      </c>
      <c r="M78" s="224">
        <f t="shared" si="23"/>
        <v>154.02000000000001</v>
      </c>
      <c r="N78" s="224">
        <f t="shared" si="23"/>
        <v>154.02000000000001</v>
      </c>
      <c r="O78" s="224">
        <f t="shared" si="23"/>
        <v>154.02000000000001</v>
      </c>
      <c r="P78" s="224">
        <f t="shared" si="23"/>
        <v>154.02000000000001</v>
      </c>
      <c r="Q78" s="224">
        <f t="shared" si="23"/>
        <v>154.02000000000001</v>
      </c>
      <c r="R78" s="224">
        <f t="shared" si="23"/>
        <v>154.02000000000001</v>
      </c>
      <c r="S78" s="171"/>
      <c r="T78" s="200"/>
      <c r="U78" s="171"/>
      <c r="V78" s="171"/>
      <c r="W78" s="171"/>
      <c r="X78" s="171"/>
      <c r="Y78" s="171"/>
      <c r="Z78" s="171"/>
    </row>
    <row r="79" spans="3:26">
      <c r="C79" s="168"/>
      <c r="D79" s="168"/>
      <c r="E79" s="168"/>
      <c r="F79" s="161" t="str">
        <f>+F36</f>
        <v>Regulated RCY (MF)</v>
      </c>
      <c r="G79" s="279">
        <f>+G70</f>
        <v>116.77</v>
      </c>
      <c r="H79" s="224">
        <f t="shared" ref="H79:Q79" si="24">+H70</f>
        <v>116.77</v>
      </c>
      <c r="I79" s="224">
        <f t="shared" si="24"/>
        <v>116.77</v>
      </c>
      <c r="J79" s="224">
        <f t="shared" si="24"/>
        <v>116.77</v>
      </c>
      <c r="K79" s="224">
        <f t="shared" si="24"/>
        <v>116.77</v>
      </c>
      <c r="L79" s="224">
        <f t="shared" si="24"/>
        <v>116.77</v>
      </c>
      <c r="M79" s="224">
        <f t="shared" si="24"/>
        <v>116.77</v>
      </c>
      <c r="N79" s="224">
        <f t="shared" si="24"/>
        <v>116.77</v>
      </c>
      <c r="O79" s="224">
        <f t="shared" si="24"/>
        <v>116.77</v>
      </c>
      <c r="P79" s="224">
        <f t="shared" si="24"/>
        <v>116.77</v>
      </c>
      <c r="Q79" s="224">
        <f t="shared" si="24"/>
        <v>116.77</v>
      </c>
      <c r="R79" s="224">
        <f>+R70</f>
        <v>116.77</v>
      </c>
      <c r="S79" s="171"/>
      <c r="T79" s="200"/>
      <c r="U79" s="171"/>
      <c r="V79" s="171"/>
      <c r="W79" s="171"/>
      <c r="X79" s="280"/>
      <c r="Y79" s="171"/>
      <c r="Z79" s="171"/>
    </row>
    <row r="80" spans="3:26">
      <c r="C80" s="168"/>
      <c r="D80" s="168"/>
      <c r="E80" s="168"/>
      <c r="F80" s="161" t="str">
        <f>+F37</f>
        <v>Unregulated RCY / COGS</v>
      </c>
      <c r="G80" s="279">
        <v>116.77</v>
      </c>
      <c r="H80" s="224">
        <f t="shared" ref="H80:R80" si="25">+G80</f>
        <v>116.77</v>
      </c>
      <c r="I80" s="224">
        <f t="shared" si="25"/>
        <v>116.77</v>
      </c>
      <c r="J80" s="224">
        <f t="shared" si="25"/>
        <v>116.77</v>
      </c>
      <c r="K80" s="224">
        <f t="shared" si="25"/>
        <v>116.77</v>
      </c>
      <c r="L80" s="224">
        <f t="shared" si="25"/>
        <v>116.77</v>
      </c>
      <c r="M80" s="224">
        <f t="shared" si="25"/>
        <v>116.77</v>
      </c>
      <c r="N80" s="224">
        <f t="shared" si="25"/>
        <v>116.77</v>
      </c>
      <c r="O80" s="224">
        <f t="shared" si="25"/>
        <v>116.77</v>
      </c>
      <c r="P80" s="224">
        <f t="shared" si="25"/>
        <v>116.77</v>
      </c>
      <c r="Q80" s="224">
        <f t="shared" si="25"/>
        <v>116.77</v>
      </c>
      <c r="R80" s="224">
        <f t="shared" si="25"/>
        <v>116.77</v>
      </c>
      <c r="S80" s="224"/>
      <c r="T80" s="200"/>
      <c r="U80" s="171"/>
      <c r="V80" s="171"/>
      <c r="W80" s="171"/>
      <c r="X80" s="171"/>
      <c r="Y80" s="171"/>
      <c r="Z80" s="171"/>
    </row>
    <row r="81" spans="3:26">
      <c r="C81" s="168"/>
      <c r="D81" s="168"/>
      <c r="E81" s="168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200"/>
      <c r="U81" s="171"/>
      <c r="V81" s="171"/>
      <c r="W81" s="171"/>
      <c r="X81" s="171"/>
      <c r="Y81" s="171"/>
      <c r="Z81" s="171"/>
    </row>
    <row r="82" spans="3:26">
      <c r="C82" s="168"/>
      <c r="D82" s="168"/>
      <c r="E82" s="168"/>
      <c r="F82" s="162" t="str">
        <f>+F43</f>
        <v>Residential</v>
      </c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200"/>
      <c r="U82" s="171"/>
      <c r="V82" s="171"/>
      <c r="W82" s="171"/>
      <c r="X82" s="171"/>
      <c r="Y82" s="171"/>
      <c r="Z82" s="171"/>
    </row>
    <row r="83" spans="3:26">
      <c r="C83" s="168"/>
      <c r="D83" s="168"/>
      <c r="E83" s="168"/>
      <c r="F83" s="161" t="str">
        <f>+F44</f>
        <v>Regulated Garbage</v>
      </c>
      <c r="G83" s="224">
        <f>+G68</f>
        <v>154.02000000000001</v>
      </c>
      <c r="H83" s="224">
        <f t="shared" ref="H83:R88" si="26">+G83</f>
        <v>154.02000000000001</v>
      </c>
      <c r="I83" s="224">
        <f t="shared" si="26"/>
        <v>154.02000000000001</v>
      </c>
      <c r="J83" s="224">
        <f t="shared" si="26"/>
        <v>154.02000000000001</v>
      </c>
      <c r="K83" s="224">
        <f t="shared" si="26"/>
        <v>154.02000000000001</v>
      </c>
      <c r="L83" s="224">
        <f t="shared" si="26"/>
        <v>154.02000000000001</v>
      </c>
      <c r="M83" s="224">
        <f t="shared" si="26"/>
        <v>154.02000000000001</v>
      </c>
      <c r="N83" s="224">
        <f t="shared" si="26"/>
        <v>154.02000000000001</v>
      </c>
      <c r="O83" s="224">
        <f t="shared" si="26"/>
        <v>154.02000000000001</v>
      </c>
      <c r="P83" s="224">
        <f t="shared" si="26"/>
        <v>154.02000000000001</v>
      </c>
      <c r="Q83" s="224">
        <f t="shared" si="26"/>
        <v>154.02000000000001</v>
      </c>
      <c r="R83" s="224">
        <f t="shared" si="26"/>
        <v>154.02000000000001</v>
      </c>
      <c r="S83" s="171"/>
      <c r="T83" s="200"/>
      <c r="U83" s="171"/>
      <c r="V83" s="171"/>
      <c r="W83" s="171"/>
      <c r="X83" s="171"/>
      <c r="Y83" s="171"/>
      <c r="Z83" s="171"/>
    </row>
    <row r="84" spans="3:26">
      <c r="C84" s="168"/>
      <c r="D84" s="168"/>
      <c r="E84" s="168"/>
      <c r="F84" s="161" t="str">
        <f>+F45</f>
        <v>Unregulated Garbage</v>
      </c>
      <c r="G84" s="224">
        <f>+G69</f>
        <v>154.02000000000001</v>
      </c>
      <c r="H84" s="224">
        <f t="shared" si="26"/>
        <v>154.02000000000001</v>
      </c>
      <c r="I84" s="224">
        <f t="shared" si="26"/>
        <v>154.02000000000001</v>
      </c>
      <c r="J84" s="224">
        <f t="shared" si="26"/>
        <v>154.02000000000001</v>
      </c>
      <c r="K84" s="224">
        <f t="shared" si="26"/>
        <v>154.02000000000001</v>
      </c>
      <c r="L84" s="224">
        <f t="shared" si="26"/>
        <v>154.02000000000001</v>
      </c>
      <c r="M84" s="224">
        <f t="shared" si="26"/>
        <v>154.02000000000001</v>
      </c>
      <c r="N84" s="224">
        <f t="shared" si="26"/>
        <v>154.02000000000001</v>
      </c>
      <c r="O84" s="224">
        <f t="shared" si="26"/>
        <v>154.02000000000001</v>
      </c>
      <c r="P84" s="224">
        <f t="shared" si="26"/>
        <v>154.02000000000001</v>
      </c>
      <c r="Q84" s="224">
        <f t="shared" si="26"/>
        <v>154.02000000000001</v>
      </c>
      <c r="R84" s="224">
        <f>+Q84</f>
        <v>154.02000000000001</v>
      </c>
      <c r="S84" s="171"/>
      <c r="T84" s="200"/>
      <c r="U84" s="171"/>
      <c r="V84" s="171"/>
      <c r="W84" s="171"/>
      <c r="X84" s="171"/>
      <c r="Y84" s="171"/>
      <c r="Z84" s="171"/>
    </row>
    <row r="85" spans="3:26">
      <c r="C85" s="168"/>
      <c r="D85" s="168"/>
      <c r="E85" s="168"/>
      <c r="F85" s="161" t="str">
        <f>+F47</f>
        <v>Regulated Yardwaste</v>
      </c>
      <c r="G85" s="279">
        <v>52.434804861654953</v>
      </c>
      <c r="H85" s="279">
        <f>G85</f>
        <v>52.434804861654953</v>
      </c>
      <c r="I85" s="224">
        <f t="shared" si="26"/>
        <v>52.434804861654953</v>
      </c>
      <c r="J85" s="224">
        <f t="shared" si="26"/>
        <v>52.434804861654953</v>
      </c>
      <c r="K85" s="224">
        <f t="shared" si="26"/>
        <v>52.434804861654953</v>
      </c>
      <c r="L85" s="224">
        <f>K85</f>
        <v>52.434804861654953</v>
      </c>
      <c r="M85" s="224">
        <f t="shared" si="26"/>
        <v>52.434804861654953</v>
      </c>
      <c r="N85" s="281">
        <f>M85</f>
        <v>52.434804861654953</v>
      </c>
      <c r="O85" s="281">
        <f t="shared" si="26"/>
        <v>52.434804861654953</v>
      </c>
      <c r="P85" s="224">
        <f t="shared" si="26"/>
        <v>52.434804861654953</v>
      </c>
      <c r="Q85" s="224">
        <f t="shared" si="26"/>
        <v>52.434804861654953</v>
      </c>
      <c r="R85" s="224">
        <f>+Q85</f>
        <v>52.434804861654953</v>
      </c>
      <c r="S85" s="171"/>
      <c r="T85" s="200"/>
      <c r="U85" s="171"/>
      <c r="V85" s="280"/>
      <c r="W85" s="171"/>
      <c r="X85" s="171"/>
      <c r="Y85" s="171"/>
      <c r="Z85" s="171"/>
    </row>
    <row r="86" spans="3:26">
      <c r="C86" s="168"/>
      <c r="D86" s="168"/>
      <c r="E86" s="168"/>
      <c r="F86" s="161" t="str">
        <f>+F48</f>
        <v>Unregulated Yardwaste</v>
      </c>
      <c r="G86" s="279">
        <v>52.434804861654953</v>
      </c>
      <c r="H86" s="279">
        <f>G86</f>
        <v>52.434804861654953</v>
      </c>
      <c r="I86" s="224">
        <f t="shared" si="26"/>
        <v>52.434804861654953</v>
      </c>
      <c r="J86" s="224">
        <f t="shared" si="26"/>
        <v>52.434804861654953</v>
      </c>
      <c r="K86" s="224">
        <f t="shared" si="26"/>
        <v>52.434804861654953</v>
      </c>
      <c r="L86" s="224">
        <f>K86</f>
        <v>52.434804861654953</v>
      </c>
      <c r="M86" s="224">
        <f t="shared" si="26"/>
        <v>52.434804861654953</v>
      </c>
      <c r="N86" s="281">
        <f>M86</f>
        <v>52.434804861654953</v>
      </c>
      <c r="O86" s="281">
        <f t="shared" si="26"/>
        <v>52.434804861654953</v>
      </c>
      <c r="P86" s="224">
        <f t="shared" si="26"/>
        <v>52.434804861654953</v>
      </c>
      <c r="Q86" s="224">
        <f t="shared" si="26"/>
        <v>52.434804861654953</v>
      </c>
      <c r="R86" s="224">
        <f>+Q86</f>
        <v>52.434804861654953</v>
      </c>
      <c r="S86" s="171"/>
      <c r="T86" s="200"/>
      <c r="U86" s="171"/>
      <c r="V86" s="171"/>
      <c r="W86" s="171"/>
      <c r="X86" s="171"/>
      <c r="Y86" s="171"/>
      <c r="Z86" s="171"/>
    </row>
    <row r="87" spans="3:26">
      <c r="C87" s="168"/>
      <c r="D87" s="168"/>
      <c r="E87" s="168"/>
      <c r="F87" s="161" t="str">
        <f>+F50</f>
        <v>Regulated RCY</v>
      </c>
      <c r="G87" s="279">
        <v>114.46</v>
      </c>
      <c r="H87" s="224">
        <f t="shared" si="26"/>
        <v>114.46</v>
      </c>
      <c r="I87" s="224">
        <f t="shared" si="26"/>
        <v>114.46</v>
      </c>
      <c r="J87" s="224">
        <f t="shared" si="26"/>
        <v>114.46</v>
      </c>
      <c r="K87" s="224">
        <f t="shared" si="26"/>
        <v>114.46</v>
      </c>
      <c r="L87" s="224">
        <f t="shared" si="26"/>
        <v>114.46</v>
      </c>
      <c r="M87" s="224">
        <f t="shared" si="26"/>
        <v>114.46</v>
      </c>
      <c r="N87" s="224">
        <f t="shared" si="26"/>
        <v>114.46</v>
      </c>
      <c r="O87" s="224">
        <f t="shared" si="26"/>
        <v>114.46</v>
      </c>
      <c r="P87" s="224">
        <f t="shared" si="26"/>
        <v>114.46</v>
      </c>
      <c r="Q87" s="224">
        <f t="shared" si="26"/>
        <v>114.46</v>
      </c>
      <c r="R87" s="224">
        <f>+Q87</f>
        <v>114.46</v>
      </c>
      <c r="S87" s="171"/>
      <c r="T87" s="200"/>
      <c r="U87" s="171"/>
      <c r="V87" s="171"/>
      <c r="W87" s="171"/>
      <c r="X87" s="171"/>
      <c r="Y87" s="171"/>
      <c r="Z87" s="171"/>
    </row>
    <row r="88" spans="3:26">
      <c r="C88" s="168"/>
      <c r="D88" s="168"/>
      <c r="E88" s="168"/>
      <c r="F88" s="161" t="str">
        <f>+F51</f>
        <v>Unregulated RCY</v>
      </c>
      <c r="G88" s="279">
        <f>+G87</f>
        <v>114.46</v>
      </c>
      <c r="H88" s="224">
        <f t="shared" si="26"/>
        <v>114.46</v>
      </c>
      <c r="I88" s="224">
        <f t="shared" si="26"/>
        <v>114.46</v>
      </c>
      <c r="J88" s="224">
        <f t="shared" si="26"/>
        <v>114.46</v>
      </c>
      <c r="K88" s="224">
        <f t="shared" si="26"/>
        <v>114.46</v>
      </c>
      <c r="L88" s="224">
        <f t="shared" si="26"/>
        <v>114.46</v>
      </c>
      <c r="M88" s="224">
        <f t="shared" si="26"/>
        <v>114.46</v>
      </c>
      <c r="N88" s="224">
        <f t="shared" si="26"/>
        <v>114.46</v>
      </c>
      <c r="O88" s="224">
        <f t="shared" si="26"/>
        <v>114.46</v>
      </c>
      <c r="P88" s="224">
        <f t="shared" si="26"/>
        <v>114.46</v>
      </c>
      <c r="Q88" s="224">
        <f t="shared" si="26"/>
        <v>114.46</v>
      </c>
      <c r="R88" s="224">
        <f>+Q88</f>
        <v>114.46</v>
      </c>
      <c r="S88" s="171"/>
      <c r="T88" s="200"/>
      <c r="U88" s="171"/>
      <c r="V88" s="171"/>
      <c r="W88" s="171"/>
      <c r="X88" s="171"/>
      <c r="Y88" s="171"/>
      <c r="Z88" s="171"/>
    </row>
    <row r="89" spans="3:26">
      <c r="C89" s="168"/>
      <c r="D89" s="168"/>
      <c r="E89" s="168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200"/>
      <c r="U89" s="171"/>
      <c r="V89" s="171"/>
      <c r="W89" s="171"/>
      <c r="X89" s="171"/>
      <c r="Y89" s="171"/>
      <c r="Z89" s="171"/>
    </row>
    <row r="90" spans="3:26" ht="15" thickBot="1">
      <c r="C90" s="168"/>
      <c r="D90" s="168"/>
      <c r="E90" s="168"/>
      <c r="F90" s="169" t="s">
        <v>178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69"/>
    </row>
    <row r="91" spans="3:26">
      <c r="C91" s="168"/>
      <c r="D91" s="168"/>
      <c r="E91" s="168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200"/>
      <c r="U91" s="171"/>
      <c r="V91" s="171" t="s">
        <v>230</v>
      </c>
      <c r="W91" s="171"/>
      <c r="X91" s="171"/>
      <c r="Y91" s="171"/>
      <c r="Z91" s="171"/>
    </row>
    <row r="92" spans="3:26">
      <c r="C92" s="168"/>
      <c r="D92" s="168"/>
      <c r="E92" s="168"/>
      <c r="F92" s="161" t="s">
        <v>179</v>
      </c>
      <c r="G92" s="171">
        <v>1582555.8799999997</v>
      </c>
      <c r="H92" s="171">
        <v>1322773.28</v>
      </c>
      <c r="I92" s="171">
        <v>1564439.5100000002</v>
      </c>
      <c r="J92" s="171">
        <v>1521487.3200000003</v>
      </c>
      <c r="K92" s="171">
        <v>1667190.3600000003</v>
      </c>
      <c r="L92" s="171">
        <v>1760706.2300000002</v>
      </c>
      <c r="M92" s="171">
        <v>1584201.27</v>
      </c>
      <c r="N92" s="171">
        <v>1672547.5799999994</v>
      </c>
      <c r="O92" s="171">
        <v>1574435.9799999995</v>
      </c>
      <c r="P92" s="171">
        <v>1501091.7299999997</v>
      </c>
      <c r="Q92" s="171">
        <v>1643642.3699999999</v>
      </c>
      <c r="R92" s="171">
        <v>1570867.3199999998</v>
      </c>
      <c r="S92" s="171"/>
      <c r="T92" s="172">
        <f>SUM(G92:S92)</f>
        <v>18965938.830000002</v>
      </c>
      <c r="U92" s="171"/>
      <c r="V92" s="171">
        <v>0</v>
      </c>
      <c r="W92" s="171"/>
      <c r="X92" s="171"/>
      <c r="Y92" s="171"/>
      <c r="Z92" s="171"/>
    </row>
    <row r="93" spans="3:26">
      <c r="C93" s="168"/>
      <c r="D93" s="168"/>
      <c r="E93" s="168"/>
      <c r="F93" s="173" t="s">
        <v>180</v>
      </c>
      <c r="G93" s="282">
        <v>399349.48</v>
      </c>
      <c r="H93" s="282">
        <v>313692.70999999996</v>
      </c>
      <c r="I93" s="282">
        <v>357775.72</v>
      </c>
      <c r="J93" s="282">
        <v>349779.34</v>
      </c>
      <c r="K93" s="282">
        <v>382694.75</v>
      </c>
      <c r="L93" s="282">
        <v>384041.74</v>
      </c>
      <c r="M93" s="282">
        <v>338015.43</v>
      </c>
      <c r="N93" s="282">
        <v>386765.14</v>
      </c>
      <c r="O93" s="282">
        <v>368039.67999999999</v>
      </c>
      <c r="P93" s="282">
        <v>357268.41</v>
      </c>
      <c r="Q93" s="282">
        <v>380441.56999999995</v>
      </c>
      <c r="R93" s="282">
        <v>388972.67000000004</v>
      </c>
      <c r="S93" s="276"/>
      <c r="T93" s="175">
        <f>SUM(G93:S93)</f>
        <v>4406836.6400000006</v>
      </c>
      <c r="U93" s="275"/>
      <c r="V93" s="275">
        <v>0</v>
      </c>
      <c r="W93" s="275"/>
      <c r="X93" s="275"/>
      <c r="Y93" s="275"/>
      <c r="Z93" s="275"/>
    </row>
    <row r="94" spans="3:26">
      <c r="C94" s="168"/>
      <c r="D94" s="168"/>
      <c r="E94" s="168"/>
      <c r="F94" s="161" t="s">
        <v>17</v>
      </c>
      <c r="G94" s="171">
        <f t="shared" ref="G94:Q94" si="27">SUM(G92:G93)</f>
        <v>1981905.3599999996</v>
      </c>
      <c r="H94" s="171">
        <f t="shared" si="27"/>
        <v>1636465.99</v>
      </c>
      <c r="I94" s="171">
        <f t="shared" si="27"/>
        <v>1922215.2300000002</v>
      </c>
      <c r="J94" s="171">
        <f t="shared" si="27"/>
        <v>1871266.6600000004</v>
      </c>
      <c r="K94" s="171">
        <f t="shared" si="27"/>
        <v>2049885.1100000003</v>
      </c>
      <c r="L94" s="171">
        <f t="shared" si="27"/>
        <v>2144747.9700000002</v>
      </c>
      <c r="M94" s="171">
        <f t="shared" si="27"/>
        <v>1922216.7</v>
      </c>
      <c r="N94" s="171">
        <f t="shared" si="27"/>
        <v>2059312.7199999993</v>
      </c>
      <c r="O94" s="171">
        <f t="shared" si="27"/>
        <v>1942475.6599999995</v>
      </c>
      <c r="P94" s="171">
        <f t="shared" si="27"/>
        <v>1858360.1399999997</v>
      </c>
      <c r="Q94" s="171">
        <f t="shared" si="27"/>
        <v>2024083.94</v>
      </c>
      <c r="R94" s="171">
        <f>SUM(R92:R93)</f>
        <v>1959839.9899999998</v>
      </c>
      <c r="S94" s="171"/>
      <c r="T94" s="172">
        <f>SUM(G94:S94)</f>
        <v>23372775.469999999</v>
      </c>
      <c r="U94" s="171"/>
      <c r="V94" s="171"/>
      <c r="W94" s="171"/>
      <c r="X94" s="171"/>
      <c r="Y94" s="171"/>
      <c r="Z94" s="171"/>
    </row>
    <row r="95" spans="3:26">
      <c r="C95" s="168"/>
      <c r="D95" s="168"/>
      <c r="E95" s="168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200"/>
      <c r="U95" s="171"/>
      <c r="V95" s="171"/>
      <c r="W95" s="171"/>
      <c r="X95" s="171"/>
      <c r="Y95" s="171"/>
      <c r="Z95" s="171"/>
    </row>
    <row r="96" spans="3:26">
      <c r="C96" s="168"/>
      <c r="D96" s="168"/>
      <c r="E96" s="168"/>
      <c r="F96" s="161" t="s">
        <v>181</v>
      </c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200"/>
      <c r="U96" s="171"/>
      <c r="V96" s="171"/>
      <c r="W96" s="171"/>
      <c r="X96" s="171"/>
      <c r="Y96" s="171"/>
      <c r="Z96" s="171"/>
    </row>
    <row r="97" spans="1:26">
      <c r="C97" s="168"/>
      <c r="D97" s="168"/>
      <c r="E97" s="168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200"/>
      <c r="U97" s="171"/>
      <c r="V97" s="171"/>
      <c r="W97" s="171"/>
      <c r="X97" s="171"/>
      <c r="Y97" s="171"/>
      <c r="Z97" s="171"/>
    </row>
    <row r="98" spans="1:26">
      <c r="C98" s="168"/>
      <c r="D98" s="168"/>
      <c r="E98" s="168"/>
      <c r="F98" s="162" t="str">
        <f>+F67</f>
        <v>Roll-off / Industrial</v>
      </c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2"/>
      <c r="U98" s="171"/>
      <c r="V98" s="171"/>
      <c r="W98" s="171"/>
      <c r="X98" s="171"/>
      <c r="Y98" s="171"/>
      <c r="Z98" s="171"/>
    </row>
    <row r="99" spans="1:26" s="284" customFormat="1">
      <c r="A99" s="283"/>
      <c r="B99" s="283"/>
      <c r="C99" s="283"/>
      <c r="D99" s="283"/>
      <c r="E99" s="283"/>
      <c r="F99" s="284" t="str">
        <f>+F68</f>
        <v>Regulated Garbage</v>
      </c>
      <c r="G99" s="285">
        <f t="shared" ref="G99:R100" si="28">+G18*G68</f>
        <v>18793.520400000005</v>
      </c>
      <c r="H99" s="285">
        <f t="shared" si="28"/>
        <v>12494.102399999992</v>
      </c>
      <c r="I99" s="285">
        <f t="shared" si="28"/>
        <v>15052.374600000006</v>
      </c>
      <c r="J99" s="285">
        <f t="shared" si="28"/>
        <v>14696.588400000011</v>
      </c>
      <c r="K99" s="285">
        <f t="shared" si="28"/>
        <v>12869.911199999986</v>
      </c>
      <c r="L99" s="285">
        <f t="shared" si="28"/>
        <v>14981.525400000011</v>
      </c>
      <c r="M99" s="285">
        <f t="shared" si="28"/>
        <v>14225.287199999975</v>
      </c>
      <c r="N99" s="285">
        <f t="shared" si="28"/>
        <v>16738.893599999974</v>
      </c>
      <c r="O99" s="285">
        <f t="shared" si="28"/>
        <v>12940.760400000003</v>
      </c>
      <c r="P99" s="285">
        <f t="shared" si="28"/>
        <v>7744.1255999999894</v>
      </c>
      <c r="Q99" s="285">
        <f t="shared" si="28"/>
        <v>10696.689000000004</v>
      </c>
      <c r="R99" s="285">
        <f t="shared" si="28"/>
        <v>8555.8109999999906</v>
      </c>
      <c r="S99" s="285"/>
      <c r="T99" s="286">
        <f>SUM(G99:S99)</f>
        <v>159789.58919999996</v>
      </c>
      <c r="U99" s="285"/>
      <c r="V99" s="285"/>
      <c r="W99" s="285"/>
      <c r="X99" s="285"/>
      <c r="Y99" s="285"/>
      <c r="Z99" s="285"/>
    </row>
    <row r="100" spans="1:26">
      <c r="C100" s="168"/>
      <c r="D100" s="168"/>
      <c r="E100" s="168"/>
      <c r="F100" s="161" t="str">
        <f>+F69</f>
        <v>Unregulated Garbage</v>
      </c>
      <c r="G100" s="171">
        <f>+G19*G69</f>
        <v>273835.23839999997</v>
      </c>
      <c r="H100" s="171">
        <f t="shared" si="28"/>
        <v>257486.0154</v>
      </c>
      <c r="I100" s="171">
        <f t="shared" si="28"/>
        <v>277781.23080000002</v>
      </c>
      <c r="J100" s="171">
        <f t="shared" si="28"/>
        <v>261456.65100000001</v>
      </c>
      <c r="K100" s="171">
        <f t="shared" si="28"/>
        <v>292265.27160000004</v>
      </c>
      <c r="L100" s="171">
        <f t="shared" si="28"/>
        <v>296705.66819999996</v>
      </c>
      <c r="M100" s="171">
        <f t="shared" si="28"/>
        <v>291618.38760000007</v>
      </c>
      <c r="N100" s="171">
        <f t="shared" si="28"/>
        <v>289243.39920000004</v>
      </c>
      <c r="O100" s="171">
        <f t="shared" si="28"/>
        <v>289348.13280000002</v>
      </c>
      <c r="P100" s="171">
        <f t="shared" si="28"/>
        <v>273031.25400000002</v>
      </c>
      <c r="Q100" s="171">
        <f t="shared" si="28"/>
        <v>257270.38739999998</v>
      </c>
      <c r="R100" s="171">
        <f t="shared" si="28"/>
        <v>263334.15480000008</v>
      </c>
      <c r="S100" s="171"/>
      <c r="T100" s="172">
        <f>SUM(G100:S100)</f>
        <v>3323375.7912000003</v>
      </c>
      <c r="U100" s="171"/>
      <c r="V100" s="171"/>
      <c r="W100" s="171"/>
      <c r="X100" s="171"/>
      <c r="Y100" s="171"/>
      <c r="Z100" s="171"/>
    </row>
    <row r="101" spans="1:26" s="284" customFormat="1">
      <c r="A101" s="283"/>
      <c r="B101" s="283"/>
      <c r="C101" s="283"/>
      <c r="D101" s="283"/>
      <c r="E101" s="283"/>
      <c r="F101" s="284" t="str">
        <f>+F70</f>
        <v>Regulated RCY (MF)</v>
      </c>
      <c r="G101" s="285">
        <f>+G21*G70</f>
        <v>2772.1197999999999</v>
      </c>
      <c r="H101" s="285">
        <f t="shared" ref="H101:R101" si="29">+H21*H70</f>
        <v>2343.5738999999999</v>
      </c>
      <c r="I101" s="285">
        <f t="shared" si="29"/>
        <v>3092.0696000000003</v>
      </c>
      <c r="J101" s="285">
        <f t="shared" si="29"/>
        <v>2265.3380000000006</v>
      </c>
      <c r="K101" s="285">
        <f t="shared" si="29"/>
        <v>2473.1886000000009</v>
      </c>
      <c r="L101" s="285">
        <f t="shared" si="29"/>
        <v>2312.0459999999998</v>
      </c>
      <c r="M101" s="285">
        <f t="shared" si="29"/>
        <v>2181.2635999999993</v>
      </c>
      <c r="N101" s="285">
        <f t="shared" si="29"/>
        <v>2365.7601999999997</v>
      </c>
      <c r="O101" s="285">
        <f t="shared" si="29"/>
        <v>1868.32</v>
      </c>
      <c r="P101" s="285">
        <f t="shared" si="29"/>
        <v>2086.6799000000001</v>
      </c>
      <c r="Q101" s="285">
        <f t="shared" si="29"/>
        <v>2801.3123000000001</v>
      </c>
      <c r="R101" s="285">
        <f t="shared" si="29"/>
        <v>1966.4068</v>
      </c>
      <c r="S101" s="285"/>
      <c r="T101" s="286">
        <f>SUM(G101:S101)</f>
        <v>28528.078700000005</v>
      </c>
      <c r="U101" s="285"/>
      <c r="V101" s="285"/>
      <c r="W101" s="285"/>
      <c r="X101" s="285"/>
      <c r="Y101" s="285"/>
      <c r="Z101" s="285"/>
    </row>
    <row r="102" spans="1:26">
      <c r="A102" s="168" t="str">
        <f>A23</f>
        <v>I</v>
      </c>
      <c r="B102" s="168" t="str">
        <f>B23</f>
        <v>RCY</v>
      </c>
      <c r="C102" s="168" t="str">
        <f>C23</f>
        <v>YW</v>
      </c>
      <c r="D102" s="168"/>
      <c r="E102" s="168"/>
      <c r="F102" s="173" t="str">
        <f>+F71</f>
        <v>Unregulated RCY / COGS</v>
      </c>
      <c r="G102" s="174">
        <v>90044.93</v>
      </c>
      <c r="H102" s="174">
        <v>99921.050000000017</v>
      </c>
      <c r="I102" s="174">
        <v>110099.8</v>
      </c>
      <c r="J102" s="174">
        <v>125204.03000000001</v>
      </c>
      <c r="K102" s="174">
        <v>145232.91999999998</v>
      </c>
      <c r="L102" s="174">
        <v>145128.87000000002</v>
      </c>
      <c r="M102" s="174">
        <v>151325.89000000001</v>
      </c>
      <c r="N102" s="174">
        <v>171138.25999999998</v>
      </c>
      <c r="O102" s="174">
        <v>157076.56999999998</v>
      </c>
      <c r="P102" s="174">
        <v>170438.20000000004</v>
      </c>
      <c r="Q102" s="174">
        <v>169285.45</v>
      </c>
      <c r="R102" s="174">
        <v>184433.39999999994</v>
      </c>
      <c r="S102" s="174"/>
      <c r="T102" s="175">
        <f>SUM(G102:S102)</f>
        <v>1719329.3699999999</v>
      </c>
      <c r="U102" s="171"/>
      <c r="V102" s="171"/>
      <c r="W102" s="171"/>
      <c r="X102" s="171"/>
      <c r="Y102" s="171"/>
      <c r="Z102" s="171"/>
    </row>
    <row r="103" spans="1:26">
      <c r="C103" s="168"/>
      <c r="D103" s="168"/>
      <c r="E103" s="168"/>
      <c r="F103" s="161" t="str">
        <f>+F25</f>
        <v>Total Roll-off / Industrial</v>
      </c>
      <c r="G103" s="171">
        <f>SUM(G99:G102)</f>
        <v>385445.80859999993</v>
      </c>
      <c r="H103" s="171">
        <f t="shared" ref="H103:R103" si="30">SUM(H98:H102)</f>
        <v>372244.74170000001</v>
      </c>
      <c r="I103" s="171">
        <f t="shared" si="30"/>
        <v>406025.47499999998</v>
      </c>
      <c r="J103" s="171">
        <f t="shared" si="30"/>
        <v>403622.60740000004</v>
      </c>
      <c r="K103" s="171">
        <f t="shared" si="30"/>
        <v>452841.29139999999</v>
      </c>
      <c r="L103" s="171">
        <f t="shared" si="30"/>
        <v>459128.10959999997</v>
      </c>
      <c r="M103" s="171">
        <f t="shared" si="30"/>
        <v>459350.82840000006</v>
      </c>
      <c r="N103" s="171">
        <f t="shared" si="30"/>
        <v>479486.31299999997</v>
      </c>
      <c r="O103" s="171">
        <f t="shared" si="30"/>
        <v>461233.78320000006</v>
      </c>
      <c r="P103" s="171">
        <f t="shared" si="30"/>
        <v>453300.25950000004</v>
      </c>
      <c r="Q103" s="171">
        <f t="shared" si="30"/>
        <v>440053.83869999996</v>
      </c>
      <c r="R103" s="171">
        <f t="shared" si="30"/>
        <v>458289.77260000003</v>
      </c>
      <c r="S103" s="171"/>
      <c r="T103" s="172">
        <f>SUM(G103:S103)</f>
        <v>5231022.8290999997</v>
      </c>
      <c r="U103" s="171"/>
      <c r="V103" s="171"/>
      <c r="W103" s="171"/>
      <c r="X103" s="171"/>
      <c r="Y103" s="171"/>
      <c r="Z103" s="171"/>
    </row>
    <row r="104" spans="1:26">
      <c r="C104" s="168"/>
      <c r="D104" s="168"/>
      <c r="E104" s="168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200"/>
      <c r="U104" s="171"/>
      <c r="V104" s="171"/>
      <c r="W104" s="171"/>
      <c r="X104" s="171"/>
      <c r="Y104" s="171"/>
      <c r="Z104" s="171"/>
    </row>
    <row r="105" spans="1:26">
      <c r="A105" s="168" t="str">
        <f>A18</f>
        <v>I</v>
      </c>
      <c r="B105" s="168" t="str">
        <f>+B18</f>
        <v>MSW</v>
      </c>
      <c r="C105" s="168">
        <f>C18</f>
        <v>20</v>
      </c>
      <c r="D105" s="168" t="str">
        <f>D18</f>
        <v>2B</v>
      </c>
      <c r="E105" s="168" t="s">
        <v>147</v>
      </c>
      <c r="F105" s="161" t="s">
        <v>182</v>
      </c>
      <c r="G105" s="171">
        <v>100869.40000000001</v>
      </c>
      <c r="H105" s="171">
        <v>95185.74</v>
      </c>
      <c r="I105" s="171">
        <v>109338.3</v>
      </c>
      <c r="J105" s="171">
        <v>107719.4</v>
      </c>
      <c r="K105" s="171">
        <v>106360.15000000001</v>
      </c>
      <c r="L105" s="171">
        <v>132444.88</v>
      </c>
      <c r="M105" s="171">
        <v>117393.73</v>
      </c>
      <c r="N105" s="171">
        <v>127938.58</v>
      </c>
      <c r="O105" s="171">
        <v>123606.25</v>
      </c>
      <c r="P105" s="171">
        <v>106981.61</v>
      </c>
      <c r="Q105" s="171">
        <v>107800.49</v>
      </c>
      <c r="R105" s="171">
        <v>122549.86000000002</v>
      </c>
      <c r="S105" s="171"/>
      <c r="T105" s="172">
        <f>SUM(G105:S105)</f>
        <v>1358188.3900000001</v>
      </c>
      <c r="U105" s="171"/>
      <c r="V105" s="171"/>
      <c r="W105" s="171"/>
      <c r="X105" s="171"/>
      <c r="Y105" s="171"/>
      <c r="Z105" s="171"/>
    </row>
    <row r="106" spans="1:26">
      <c r="C106" s="168"/>
      <c r="D106" s="168"/>
      <c r="E106" s="168"/>
      <c r="F106" s="161" t="s">
        <v>183</v>
      </c>
      <c r="G106" s="171">
        <f>+G107-G105</f>
        <v>233801.04000000015</v>
      </c>
      <c r="H106" s="171">
        <f t="shared" ref="H106:R106" si="31">+H107-H105</f>
        <v>227251.89</v>
      </c>
      <c r="I106" s="171">
        <f t="shared" si="31"/>
        <v>252816.56000000011</v>
      </c>
      <c r="J106" s="171">
        <f t="shared" si="31"/>
        <v>245945.11999999997</v>
      </c>
      <c r="K106" s="171">
        <f t="shared" si="31"/>
        <v>298378.90999999992</v>
      </c>
      <c r="L106" s="171">
        <f t="shared" si="31"/>
        <v>274996.27999999991</v>
      </c>
      <c r="M106" s="171">
        <f t="shared" si="31"/>
        <v>287117.45</v>
      </c>
      <c r="N106" s="171">
        <f t="shared" si="31"/>
        <v>311601.47000000015</v>
      </c>
      <c r="O106" s="171">
        <f t="shared" si="31"/>
        <v>277766.48</v>
      </c>
      <c r="P106" s="171">
        <f t="shared" si="31"/>
        <v>280246.14999999997</v>
      </c>
      <c r="Q106" s="171">
        <f t="shared" si="31"/>
        <v>281571.56999999995</v>
      </c>
      <c r="R106" s="171">
        <f t="shared" si="31"/>
        <v>302961.58999999985</v>
      </c>
      <c r="S106" s="171"/>
      <c r="T106" s="172">
        <f>SUM(G106:S106)</f>
        <v>3274454.5099999993</v>
      </c>
      <c r="U106" s="171"/>
      <c r="V106" s="171"/>
      <c r="W106" s="171"/>
      <c r="X106" s="171"/>
      <c r="Y106" s="171"/>
      <c r="Z106" s="171"/>
    </row>
    <row r="107" spans="1:26">
      <c r="A107" s="168" t="str">
        <f>A105</f>
        <v>I</v>
      </c>
      <c r="C107" s="168"/>
      <c r="D107" s="168"/>
      <c r="E107" s="168"/>
      <c r="F107" s="226" t="str">
        <f>+F30</f>
        <v>Total Roll-off / Industrial Pass Thru Disp.</v>
      </c>
      <c r="G107" s="227">
        <v>334670.44000000018</v>
      </c>
      <c r="H107" s="227">
        <v>322437.63</v>
      </c>
      <c r="I107" s="227">
        <v>362154.8600000001</v>
      </c>
      <c r="J107" s="227">
        <v>353664.51999999996</v>
      </c>
      <c r="K107" s="227">
        <v>404739.05999999994</v>
      </c>
      <c r="L107" s="227">
        <v>407441.15999999992</v>
      </c>
      <c r="M107" s="227">
        <v>404511.18</v>
      </c>
      <c r="N107" s="227">
        <v>439540.05000000016</v>
      </c>
      <c r="O107" s="227">
        <v>401372.73</v>
      </c>
      <c r="P107" s="227">
        <v>387227.75999999995</v>
      </c>
      <c r="Q107" s="227">
        <v>389372.05999999994</v>
      </c>
      <c r="R107" s="227">
        <v>425511.4499999999</v>
      </c>
      <c r="S107" s="227"/>
      <c r="T107" s="228">
        <f>SUM(G107:S107)</f>
        <v>4632642.9000000004</v>
      </c>
      <c r="U107" s="171"/>
      <c r="V107" s="171"/>
      <c r="W107" s="171"/>
      <c r="X107" s="171"/>
      <c r="Y107" s="171"/>
      <c r="Z107" s="171"/>
    </row>
    <row r="108" spans="1:26">
      <c r="C108" s="168"/>
      <c r="D108" s="168"/>
      <c r="E108" s="168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229"/>
      <c r="U108" s="171"/>
      <c r="V108" s="171"/>
      <c r="W108" s="171"/>
      <c r="X108" s="171"/>
      <c r="Y108" s="171"/>
      <c r="Z108" s="171"/>
    </row>
    <row r="109" spans="1:26">
      <c r="C109" s="168"/>
      <c r="D109" s="168"/>
      <c r="E109" s="168"/>
      <c r="F109" s="162" t="str">
        <f>+F76</f>
        <v>Commercial</v>
      </c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200"/>
      <c r="U109" s="171"/>
      <c r="V109" s="171"/>
      <c r="W109" s="171"/>
      <c r="X109" s="171"/>
      <c r="Y109" s="171"/>
      <c r="Z109" s="171"/>
    </row>
    <row r="110" spans="1:26" s="284" customFormat="1">
      <c r="A110" s="283"/>
      <c r="B110" s="283"/>
      <c r="C110" s="283"/>
      <c r="D110" s="283"/>
      <c r="E110" s="283"/>
      <c r="F110" s="284" t="str">
        <f>+F77</f>
        <v>Regulated Garbage</v>
      </c>
      <c r="G110" s="285">
        <f>+G33*G77</f>
        <v>36093.967463335059</v>
      </c>
      <c r="H110" s="285">
        <f t="shared" ref="H110:R111" si="32">+H33*H77</f>
        <v>29382.784324549495</v>
      </c>
      <c r="I110" s="285">
        <f t="shared" si="32"/>
        <v>36618.355118220934</v>
      </c>
      <c r="J110" s="285">
        <f t="shared" si="32"/>
        <v>31860.828554289816</v>
      </c>
      <c r="K110" s="285">
        <f t="shared" si="32"/>
        <v>35317.331262688735</v>
      </c>
      <c r="L110" s="285">
        <f t="shared" si="32"/>
        <v>36002.388410262916</v>
      </c>
      <c r="M110" s="285">
        <f t="shared" si="32"/>
        <v>32730.343989071447</v>
      </c>
      <c r="N110" s="285">
        <f t="shared" si="32"/>
        <v>36711.079217372462</v>
      </c>
      <c r="O110" s="285">
        <f t="shared" si="32"/>
        <v>33813.467174587109</v>
      </c>
      <c r="P110" s="285">
        <f t="shared" si="32"/>
        <v>34044.558656127054</v>
      </c>
      <c r="Q110" s="285">
        <f t="shared" si="32"/>
        <v>37575.73469740463</v>
      </c>
      <c r="R110" s="285">
        <f t="shared" si="32"/>
        <v>34157.038200927229</v>
      </c>
      <c r="S110" s="285"/>
      <c r="T110" s="286">
        <f>SUM(G110:S110)</f>
        <v>414307.87706883682</v>
      </c>
      <c r="U110" s="285"/>
      <c r="V110" s="285"/>
      <c r="W110" s="285"/>
      <c r="X110" s="285"/>
      <c r="Y110" s="285"/>
      <c r="Z110" s="285"/>
    </row>
    <row r="111" spans="1:26">
      <c r="C111" s="168"/>
      <c r="D111" s="168"/>
      <c r="E111" s="168"/>
      <c r="F111" s="161" t="str">
        <f>+F78</f>
        <v>Unregulated Garbage</v>
      </c>
      <c r="G111" s="171">
        <f>+G34*G78</f>
        <v>515348.35588540125</v>
      </c>
      <c r="H111" s="171">
        <f t="shared" si="32"/>
        <v>405216.20651093853</v>
      </c>
      <c r="I111" s="171">
        <f t="shared" si="32"/>
        <v>491619.86884829</v>
      </c>
      <c r="J111" s="171">
        <f t="shared" si="32"/>
        <v>451719.48176749691</v>
      </c>
      <c r="K111" s="171">
        <f t="shared" si="32"/>
        <v>500217.22739696008</v>
      </c>
      <c r="L111" s="171">
        <f t="shared" si="32"/>
        <v>504389.961077435</v>
      </c>
      <c r="M111" s="171">
        <f t="shared" si="32"/>
        <v>455201.17585772899</v>
      </c>
      <c r="N111" s="171">
        <f t="shared" si="32"/>
        <v>512092.81745536707</v>
      </c>
      <c r="O111" s="171">
        <f t="shared" si="32"/>
        <v>473269.73710369109</v>
      </c>
      <c r="P111" s="171">
        <f t="shared" si="32"/>
        <v>457817.32050930365</v>
      </c>
      <c r="Q111" s="171">
        <f t="shared" si="32"/>
        <v>470365.83967753884</v>
      </c>
      <c r="R111" s="171">
        <f t="shared" si="32"/>
        <v>447111.76535189565</v>
      </c>
      <c r="S111" s="171"/>
      <c r="T111" s="172">
        <f>SUM(G111:S111)</f>
        <v>5684369.757442046</v>
      </c>
      <c r="U111" s="171"/>
      <c r="V111" s="171"/>
      <c r="W111" s="171"/>
      <c r="X111" s="171"/>
      <c r="Y111" s="171"/>
      <c r="Z111" s="171"/>
    </row>
    <row r="112" spans="1:26" s="284" customFormat="1">
      <c r="A112" s="283"/>
      <c r="B112" s="283"/>
      <c r="C112" s="283"/>
      <c r="D112" s="283"/>
      <c r="E112" s="283"/>
      <c r="F112" s="284" t="str">
        <f>+F79</f>
        <v>Regulated RCY (MF)</v>
      </c>
      <c r="G112" s="285">
        <f t="shared" ref="G112:R113" si="33">+G36*G79</f>
        <v>9478.195353427649</v>
      </c>
      <c r="H112" s="285">
        <f t="shared" si="33"/>
        <v>7771.2554343133079</v>
      </c>
      <c r="I112" s="285">
        <f t="shared" si="33"/>
        <v>8611.3635840208372</v>
      </c>
      <c r="J112" s="285">
        <f t="shared" si="33"/>
        <v>7000.0469521791065</v>
      </c>
      <c r="K112" s="285">
        <f t="shared" si="33"/>
        <v>8221.7918166095769</v>
      </c>
      <c r="L112" s="285">
        <f t="shared" si="33"/>
        <v>8252.4841276975312</v>
      </c>
      <c r="M112" s="285">
        <f t="shared" si="33"/>
        <v>7066.0832831032112</v>
      </c>
      <c r="N112" s="285">
        <f t="shared" si="33"/>
        <v>8216.1886701000985</v>
      </c>
      <c r="O112" s="285">
        <f t="shared" si="33"/>
        <v>7441.038934277005</v>
      </c>
      <c r="P112" s="285">
        <f t="shared" si="33"/>
        <v>7149.6386306352497</v>
      </c>
      <c r="Q112" s="285">
        <f t="shared" si="33"/>
        <v>8233.3302561729379</v>
      </c>
      <c r="R112" s="285">
        <f t="shared" si="33"/>
        <v>7951.1233500773378</v>
      </c>
      <c r="S112" s="285"/>
      <c r="T112" s="286">
        <f>SUM(G112:S112)</f>
        <v>95392.540392613853</v>
      </c>
      <c r="U112" s="285"/>
      <c r="V112" s="285"/>
      <c r="W112" s="285"/>
      <c r="X112" s="285"/>
      <c r="Y112" s="285"/>
      <c r="Z112" s="285"/>
    </row>
    <row r="113" spans="1:26">
      <c r="C113" s="168"/>
      <c r="D113" s="168"/>
      <c r="E113" s="168"/>
      <c r="F113" s="173" t="str">
        <f>+F80</f>
        <v>Unregulated RCY / COGS</v>
      </c>
      <c r="G113" s="174">
        <f t="shared" si="33"/>
        <v>139947.0384896943</v>
      </c>
      <c r="H113" s="174">
        <f t="shared" si="33"/>
        <v>110134.62181698001</v>
      </c>
      <c r="I113" s="174">
        <f t="shared" si="33"/>
        <v>134107.64704309308</v>
      </c>
      <c r="J113" s="174">
        <f t="shared" si="33"/>
        <v>111817.01080218786</v>
      </c>
      <c r="K113" s="174">
        <f t="shared" si="33"/>
        <v>125669.44770125241</v>
      </c>
      <c r="L113" s="174">
        <f t="shared" si="33"/>
        <v>126440.90971606912</v>
      </c>
      <c r="M113" s="174">
        <f t="shared" si="33"/>
        <v>109937.56442181309</v>
      </c>
      <c r="N113" s="174">
        <f t="shared" si="33"/>
        <v>127097.95595091148</v>
      </c>
      <c r="O113" s="174">
        <f t="shared" si="33"/>
        <v>118380.88963184283</v>
      </c>
      <c r="P113" s="174">
        <f t="shared" si="33"/>
        <v>120365.42372231402</v>
      </c>
      <c r="Q113" s="174">
        <f t="shared" si="33"/>
        <v>126157.48865894387</v>
      </c>
      <c r="R113" s="174">
        <f t="shared" si="33"/>
        <v>129874.27352579354</v>
      </c>
      <c r="S113" s="174"/>
      <c r="T113" s="175">
        <f>SUM(G113:S113)</f>
        <v>1479930.2714808956</v>
      </c>
      <c r="U113" s="171"/>
      <c r="V113" s="171"/>
      <c r="W113" s="171"/>
      <c r="X113" s="171"/>
      <c r="Y113" s="171"/>
      <c r="Z113" s="171"/>
    </row>
    <row r="114" spans="1:26">
      <c r="C114" s="168"/>
      <c r="D114" s="168"/>
      <c r="E114" s="168"/>
      <c r="F114" s="161" t="str">
        <f>+F39</f>
        <v>Total Commercial per Disposal Report</v>
      </c>
      <c r="G114" s="171">
        <f>SUM(G110:G113)</f>
        <v>700867.5571918583</v>
      </c>
      <c r="H114" s="171">
        <f t="shared" ref="H114:R114" si="34">SUM(H109:H113)</f>
        <v>552504.86808678135</v>
      </c>
      <c r="I114" s="171">
        <f t="shared" si="34"/>
        <v>670957.23459362495</v>
      </c>
      <c r="J114" s="171">
        <f t="shared" si="34"/>
        <v>602397.36807615368</v>
      </c>
      <c r="K114" s="171">
        <f t="shared" si="34"/>
        <v>669425.79817751073</v>
      </c>
      <c r="L114" s="171">
        <f t="shared" si="34"/>
        <v>675085.74333146459</v>
      </c>
      <c r="M114" s="171">
        <f t="shared" si="34"/>
        <v>604935.16755171667</v>
      </c>
      <c r="N114" s="171">
        <f t="shared" si="34"/>
        <v>684118.0412937511</v>
      </c>
      <c r="O114" s="171">
        <f t="shared" si="34"/>
        <v>632905.13284439803</v>
      </c>
      <c r="P114" s="171">
        <f t="shared" si="34"/>
        <v>619376.94151837996</v>
      </c>
      <c r="Q114" s="171">
        <f t="shared" si="34"/>
        <v>642332.39329006022</v>
      </c>
      <c r="R114" s="171">
        <f t="shared" si="34"/>
        <v>619094.20042869379</v>
      </c>
      <c r="S114" s="171"/>
      <c r="T114" s="172">
        <f>SUM(G114:S114)</f>
        <v>7674000.4463843936</v>
      </c>
      <c r="U114" s="171"/>
      <c r="V114" s="171"/>
      <c r="W114" s="171"/>
      <c r="X114" s="171"/>
      <c r="Y114" s="171"/>
      <c r="Z114" s="171"/>
    </row>
    <row r="115" spans="1:26">
      <c r="C115" s="168"/>
      <c r="D115" s="168"/>
      <c r="E115" s="168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200"/>
      <c r="U115" s="171"/>
      <c r="V115" s="171"/>
      <c r="W115" s="171"/>
      <c r="X115" s="171"/>
      <c r="Y115" s="171"/>
      <c r="Z115" s="171"/>
    </row>
    <row r="116" spans="1:26">
      <c r="C116" s="168"/>
      <c r="D116" s="168"/>
      <c r="E116" s="168"/>
      <c r="F116" s="162" t="str">
        <f t="shared" ref="F116:F122" si="35">+F82</f>
        <v>Residential</v>
      </c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200"/>
      <c r="U116" s="171"/>
      <c r="X116" s="171"/>
      <c r="Y116" s="171"/>
      <c r="Z116" s="171"/>
    </row>
    <row r="117" spans="1:26" s="284" customFormat="1">
      <c r="A117" s="283"/>
      <c r="B117" s="283"/>
      <c r="C117" s="283"/>
      <c r="D117" s="283"/>
      <c r="E117" s="283"/>
      <c r="F117" s="284" t="str">
        <f t="shared" si="35"/>
        <v>Regulated Garbage</v>
      </c>
      <c r="G117" s="285">
        <f t="shared" ref="G117:R118" si="36">+G44*G83</f>
        <v>111825.2780134807</v>
      </c>
      <c r="H117" s="285">
        <f t="shared" si="36"/>
        <v>80422.692682380264</v>
      </c>
      <c r="I117" s="285">
        <f t="shared" si="36"/>
        <v>98135.214751344116</v>
      </c>
      <c r="J117" s="285">
        <f t="shared" si="36"/>
        <v>84311.860137706477</v>
      </c>
      <c r="K117" s="285">
        <f t="shared" si="36"/>
        <v>92382.313795743292</v>
      </c>
      <c r="L117" s="285">
        <f t="shared" si="36"/>
        <v>104303.1223341392</v>
      </c>
      <c r="M117" s="285">
        <f t="shared" si="36"/>
        <v>89847.458514276514</v>
      </c>
      <c r="N117" s="285">
        <f t="shared" si="36"/>
        <v>100633.67630539369</v>
      </c>
      <c r="O117" s="285">
        <f t="shared" si="36"/>
        <v>93261.654438672165</v>
      </c>
      <c r="P117" s="285">
        <f t="shared" si="36"/>
        <v>84955.396529341524</v>
      </c>
      <c r="Q117" s="285">
        <f t="shared" si="36"/>
        <v>93015.180047508053</v>
      </c>
      <c r="R117" s="285">
        <f t="shared" si="36"/>
        <v>87316.141974794344</v>
      </c>
      <c r="S117" s="285"/>
      <c r="T117" s="286">
        <f t="shared" ref="T117:T123" si="37">SUM(G117:S117)</f>
        <v>1120409.9895247805</v>
      </c>
      <c r="U117" s="285"/>
      <c r="V117" s="285"/>
      <c r="W117" s="285"/>
      <c r="X117" s="285"/>
      <c r="Y117" s="285"/>
      <c r="Z117" s="285"/>
    </row>
    <row r="118" spans="1:26">
      <c r="C118" s="168"/>
      <c r="D118" s="168"/>
      <c r="E118" s="168"/>
      <c r="F118" s="161" t="str">
        <f t="shared" si="35"/>
        <v>Unregulated Garbage</v>
      </c>
      <c r="G118" s="171">
        <f t="shared" si="36"/>
        <v>486298.93017648376</v>
      </c>
      <c r="H118" s="171">
        <f t="shared" si="36"/>
        <v>354547.19950000156</v>
      </c>
      <c r="I118" s="171">
        <f t="shared" si="36"/>
        <v>408344.27660353418</v>
      </c>
      <c r="J118" s="171">
        <f t="shared" si="36"/>
        <v>373899.51324951107</v>
      </c>
      <c r="K118" s="171">
        <f t="shared" si="36"/>
        <v>409451.7600255349</v>
      </c>
      <c r="L118" s="171">
        <f t="shared" si="36"/>
        <v>426182.8067150875</v>
      </c>
      <c r="M118" s="171">
        <f t="shared" si="36"/>
        <v>399421.02635818586</v>
      </c>
      <c r="N118" s="171">
        <f t="shared" si="36"/>
        <v>429098.60561591847</v>
      </c>
      <c r="O118" s="171">
        <f t="shared" si="36"/>
        <v>416845.91234798072</v>
      </c>
      <c r="P118" s="171">
        <f t="shared" si="36"/>
        <v>378176.28711951774</v>
      </c>
      <c r="Q118" s="171">
        <f t="shared" si="36"/>
        <v>385536.36303851998</v>
      </c>
      <c r="R118" s="171">
        <f t="shared" si="36"/>
        <v>396823.71546367323</v>
      </c>
      <c r="S118" s="171"/>
      <c r="T118" s="172">
        <f t="shared" si="37"/>
        <v>4864626.3962139487</v>
      </c>
      <c r="U118" s="171"/>
      <c r="V118" s="171"/>
      <c r="W118" s="171"/>
      <c r="X118" s="171"/>
      <c r="Y118" s="171"/>
      <c r="Z118" s="171"/>
    </row>
    <row r="119" spans="1:26" s="284" customFormat="1">
      <c r="A119" s="283"/>
      <c r="B119" s="283"/>
      <c r="C119" s="283"/>
      <c r="D119" s="283"/>
      <c r="E119" s="283"/>
      <c r="F119" s="284" t="str">
        <f t="shared" si="35"/>
        <v>Regulated Yardwaste</v>
      </c>
      <c r="G119" s="285">
        <f t="shared" ref="G119:R120" si="38">+G47*G85</f>
        <v>13027.159389304237</v>
      </c>
      <c r="H119" s="285">
        <f t="shared" si="38"/>
        <v>14179.576348132057</v>
      </c>
      <c r="I119" s="285">
        <f t="shared" si="38"/>
        <v>19093.811964015389</v>
      </c>
      <c r="J119" s="285">
        <f t="shared" si="38"/>
        <v>22145.067560391391</v>
      </c>
      <c r="K119" s="285">
        <f t="shared" si="38"/>
        <v>26231.73633294279</v>
      </c>
      <c r="L119" s="285">
        <f t="shared" si="38"/>
        <v>33066.71647235105</v>
      </c>
      <c r="M119" s="285">
        <f t="shared" si="38"/>
        <v>20852.954333324222</v>
      </c>
      <c r="N119" s="285">
        <f t="shared" si="38"/>
        <v>18629.377363296149</v>
      </c>
      <c r="O119" s="285">
        <f t="shared" si="38"/>
        <v>15000.042802922684</v>
      </c>
      <c r="P119" s="285">
        <f t="shared" si="38"/>
        <v>14077.182239673903</v>
      </c>
      <c r="Q119" s="285">
        <f t="shared" si="38"/>
        <v>28071.004738601248</v>
      </c>
      <c r="R119" s="285">
        <f t="shared" si="38"/>
        <v>18229.123163202497</v>
      </c>
      <c r="S119" s="285"/>
      <c r="T119" s="286">
        <f t="shared" si="37"/>
        <v>242603.75270815761</v>
      </c>
      <c r="U119" s="285"/>
      <c r="V119" s="285"/>
      <c r="W119" s="285"/>
      <c r="X119" s="285"/>
      <c r="Y119" s="285"/>
      <c r="Z119" s="285"/>
    </row>
    <row r="120" spans="1:26">
      <c r="C120" s="168"/>
      <c r="D120" s="168"/>
      <c r="E120" s="168"/>
      <c r="F120" s="161" t="str">
        <f t="shared" si="35"/>
        <v>Unregulated Yardwaste</v>
      </c>
      <c r="G120" s="171">
        <f t="shared" si="38"/>
        <v>115948.34149785311</v>
      </c>
      <c r="H120" s="171">
        <f t="shared" si="38"/>
        <v>115553.86865276934</v>
      </c>
      <c r="I120" s="171">
        <f t="shared" si="38"/>
        <v>152716.32389427238</v>
      </c>
      <c r="J120" s="171">
        <f t="shared" si="38"/>
        <v>188913.0191981486</v>
      </c>
      <c r="K120" s="171">
        <f t="shared" si="38"/>
        <v>232580.21162116586</v>
      </c>
      <c r="L120" s="171">
        <f t="shared" si="38"/>
        <v>253713.95568974814</v>
      </c>
      <c r="M120" s="171">
        <f t="shared" si="38"/>
        <v>179378.48818843457</v>
      </c>
      <c r="N120" s="171">
        <f t="shared" si="38"/>
        <v>139319.86338775782</v>
      </c>
      <c r="O120" s="171">
        <f t="shared" si="38"/>
        <v>133859.20833352508</v>
      </c>
      <c r="P120" s="171">
        <f t="shared" si="38"/>
        <v>128940.6216182749</v>
      </c>
      <c r="Q120" s="171">
        <f t="shared" si="38"/>
        <v>217111.94425513517</v>
      </c>
      <c r="R120" s="171">
        <f t="shared" si="38"/>
        <v>167597.35403317708</v>
      </c>
      <c r="S120" s="171"/>
      <c r="T120" s="172">
        <f t="shared" si="37"/>
        <v>2025633.2003702621</v>
      </c>
      <c r="U120" s="171"/>
      <c r="V120" s="171"/>
      <c r="W120" s="171"/>
      <c r="X120" s="171"/>
      <c r="Y120" s="171"/>
      <c r="Z120" s="171"/>
    </row>
    <row r="121" spans="1:26" s="284" customFormat="1">
      <c r="A121" s="283"/>
      <c r="B121" s="283"/>
      <c r="C121" s="283"/>
      <c r="D121" s="283"/>
      <c r="E121" s="283"/>
      <c r="F121" s="284" t="str">
        <f t="shared" si="35"/>
        <v>Regulated RCY</v>
      </c>
      <c r="G121" s="285">
        <f>+G50*G87</f>
        <v>46010.332848323145</v>
      </c>
      <c r="H121" s="285">
        <f t="shared" ref="H121:R121" si="39">+H50*H87</f>
        <v>34370.52509135587</v>
      </c>
      <c r="I121" s="285">
        <f t="shared" si="39"/>
        <v>37331.69391989024</v>
      </c>
      <c r="J121" s="285">
        <f t="shared" si="39"/>
        <v>33594.627255759064</v>
      </c>
      <c r="K121" s="285">
        <f t="shared" si="39"/>
        <v>39272.755395918291</v>
      </c>
      <c r="L121" s="285">
        <f t="shared" si="39"/>
        <v>44423.190281083138</v>
      </c>
      <c r="M121" s="285">
        <f t="shared" si="39"/>
        <v>34117.475821520733</v>
      </c>
      <c r="N121" s="285">
        <f t="shared" si="39"/>
        <v>34987.266808640998</v>
      </c>
      <c r="O121" s="285">
        <f t="shared" si="39"/>
        <v>34230.109305862432</v>
      </c>
      <c r="P121" s="285">
        <f t="shared" si="39"/>
        <v>33732.721310921843</v>
      </c>
      <c r="Q121" s="285">
        <f t="shared" si="39"/>
        <v>39900.804088880934</v>
      </c>
      <c r="R121" s="285">
        <f t="shared" si="39"/>
        <v>34433.832583943775</v>
      </c>
      <c r="S121" s="285"/>
      <c r="T121" s="286">
        <f t="shared" si="37"/>
        <v>446405.33471210056</v>
      </c>
      <c r="U121" s="285"/>
      <c r="V121" s="285"/>
      <c r="W121" s="285"/>
      <c r="X121" s="285"/>
      <c r="Y121" s="285"/>
      <c r="Z121" s="285"/>
    </row>
    <row r="122" spans="1:26">
      <c r="C122" s="168"/>
      <c r="D122" s="168"/>
      <c r="E122" s="168"/>
      <c r="F122" s="173" t="str">
        <f t="shared" si="35"/>
        <v>Unregulated RCY</v>
      </c>
      <c r="G122" s="174">
        <f t="shared" ref="G122:R122" si="40">+G51*G88</f>
        <v>250609.27065196598</v>
      </c>
      <c r="H122" s="174">
        <f t="shared" si="40"/>
        <v>175301.68543831157</v>
      </c>
      <c r="I122" s="174">
        <f t="shared" si="40"/>
        <v>198982.17205378643</v>
      </c>
      <c r="J122" s="174">
        <f t="shared" si="40"/>
        <v>179471.37805170772</v>
      </c>
      <c r="K122" s="174">
        <f t="shared" si="40"/>
        <v>190251.98946531813</v>
      </c>
      <c r="L122" s="174">
        <f t="shared" si="40"/>
        <v>198766.72585217786</v>
      </c>
      <c r="M122" s="174">
        <f t="shared" si="40"/>
        <v>181669.99983564852</v>
      </c>
      <c r="N122" s="174">
        <f t="shared" si="40"/>
        <v>200069.24151093961</v>
      </c>
      <c r="O122" s="174">
        <f t="shared" si="40"/>
        <v>185025.55609036554</v>
      </c>
      <c r="P122" s="174">
        <f t="shared" si="40"/>
        <v>177260.30724632612</v>
      </c>
      <c r="Q122" s="174">
        <f t="shared" si="40"/>
        <v>192105.89639574449</v>
      </c>
      <c r="R122" s="174">
        <f t="shared" si="40"/>
        <v>201116.27978930165</v>
      </c>
      <c r="S122" s="174"/>
      <c r="T122" s="175">
        <f t="shared" si="37"/>
        <v>2330630.5023815935</v>
      </c>
      <c r="U122" s="171"/>
      <c r="V122" s="171"/>
      <c r="W122" s="171"/>
      <c r="X122" s="171"/>
      <c r="Y122" s="171"/>
      <c r="Z122" s="171"/>
    </row>
    <row r="123" spans="1:26">
      <c r="C123" s="168"/>
      <c r="D123" s="168"/>
      <c r="E123" s="168"/>
      <c r="F123" s="161" t="str">
        <f>+F53</f>
        <v>Total Residential per Disposal Report</v>
      </c>
      <c r="G123" s="171">
        <f>SUM(G117:G122)</f>
        <v>1023719.3125774108</v>
      </c>
      <c r="H123" s="171">
        <f t="shared" ref="H123:R123" si="41">SUM(H117:H122)</f>
        <v>774375.54771295062</v>
      </c>
      <c r="I123" s="171">
        <f t="shared" si="41"/>
        <v>914603.49318684277</v>
      </c>
      <c r="J123" s="171">
        <f t="shared" si="41"/>
        <v>882335.46545322437</v>
      </c>
      <c r="K123" s="171">
        <f t="shared" si="41"/>
        <v>990170.7666366233</v>
      </c>
      <c r="L123" s="171">
        <f t="shared" si="41"/>
        <v>1060456.5173445868</v>
      </c>
      <c r="M123" s="171">
        <f t="shared" si="41"/>
        <v>905287.40305139031</v>
      </c>
      <c r="N123" s="171">
        <f t="shared" si="41"/>
        <v>922738.03099194681</v>
      </c>
      <c r="O123" s="171">
        <f t="shared" si="41"/>
        <v>878222.48331932863</v>
      </c>
      <c r="P123" s="171">
        <f t="shared" si="41"/>
        <v>817142.51606405608</v>
      </c>
      <c r="Q123" s="171">
        <f t="shared" si="41"/>
        <v>955741.1925643899</v>
      </c>
      <c r="R123" s="171">
        <f t="shared" si="41"/>
        <v>905516.44700809254</v>
      </c>
      <c r="S123" s="171"/>
      <c r="T123" s="172">
        <f t="shared" si="37"/>
        <v>11030309.175910842</v>
      </c>
      <c r="U123" s="171"/>
      <c r="V123" s="171"/>
      <c r="W123" s="171"/>
      <c r="X123" s="171"/>
      <c r="Y123" s="171"/>
      <c r="Z123" s="171"/>
    </row>
    <row r="124" spans="1:26" ht="15" thickBot="1">
      <c r="C124" s="168"/>
      <c r="D124" s="168"/>
      <c r="E124" s="168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200"/>
      <c r="U124" s="171"/>
      <c r="V124" s="171"/>
      <c r="W124" s="171"/>
      <c r="X124" s="171"/>
      <c r="Y124" s="171"/>
      <c r="Z124" s="171"/>
    </row>
    <row r="125" spans="1:26">
      <c r="C125" s="168"/>
      <c r="D125" s="168"/>
      <c r="E125" s="168"/>
      <c r="F125" s="161" t="s">
        <v>184</v>
      </c>
      <c r="G125" s="171">
        <f>SUM(G99,G101,G110,G112,G117,G119,G121)</f>
        <v>238000.57326787082</v>
      </c>
      <c r="H125" s="171">
        <f t="shared" ref="H125:Q125" si="42">SUM(H99,H101,H110,H112,H117,H119,H121)</f>
        <v>180964.51018073098</v>
      </c>
      <c r="I125" s="171">
        <f t="shared" si="42"/>
        <v>217934.88353749152</v>
      </c>
      <c r="J125" s="171">
        <f t="shared" si="42"/>
        <v>195874.35686032585</v>
      </c>
      <c r="K125" s="171">
        <f t="shared" si="42"/>
        <v>216769.02840390269</v>
      </c>
      <c r="L125" s="171">
        <f t="shared" si="42"/>
        <v>243341.47302553387</v>
      </c>
      <c r="M125" s="171">
        <f t="shared" si="42"/>
        <v>201020.86674129608</v>
      </c>
      <c r="N125" s="171">
        <f t="shared" si="42"/>
        <v>218282.24216480335</v>
      </c>
      <c r="O125" s="171">
        <f t="shared" si="42"/>
        <v>198555.39305632139</v>
      </c>
      <c r="P125" s="171">
        <f t="shared" si="42"/>
        <v>183790.30286669958</v>
      </c>
      <c r="Q125" s="171">
        <f t="shared" si="42"/>
        <v>220294.05512856779</v>
      </c>
      <c r="R125" s="171">
        <f>SUM(R99,R101,R110,R112,R117,R119,R121)</f>
        <v>192609.47707294516</v>
      </c>
      <c r="S125" s="171"/>
      <c r="T125" s="172">
        <f>SUM(G125:S125)</f>
        <v>2507437.1623064894</v>
      </c>
      <c r="U125" s="171"/>
      <c r="V125" s="287">
        <f>V15</f>
        <v>2975622.4425999993</v>
      </c>
      <c r="W125" s="288"/>
      <c r="X125" s="289"/>
      <c r="Y125" s="171"/>
      <c r="Z125" s="171"/>
    </row>
    <row r="126" spans="1:26">
      <c r="C126" s="168"/>
      <c r="D126" s="168"/>
      <c r="E126" s="168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200"/>
      <c r="U126" s="171"/>
      <c r="V126" s="290">
        <f>T125</f>
        <v>2507437.1623064894</v>
      </c>
      <c r="W126" s="177"/>
      <c r="X126" s="291"/>
      <c r="Y126" s="171"/>
      <c r="Z126" s="171"/>
    </row>
    <row r="127" spans="1:26" ht="15" thickBot="1">
      <c r="C127" s="168"/>
      <c r="D127" s="168"/>
      <c r="E127" s="168"/>
      <c r="F127" s="161" t="s">
        <v>185</v>
      </c>
      <c r="G127" s="171">
        <f>+G103+G114+G123</f>
        <v>2110032.6783692688</v>
      </c>
      <c r="H127" s="171">
        <f t="shared" ref="H127:R127" si="43">+H103+H114+H123</f>
        <v>1699125.157499732</v>
      </c>
      <c r="I127" s="171">
        <f t="shared" si="43"/>
        <v>1991586.2027804675</v>
      </c>
      <c r="J127" s="171">
        <f t="shared" si="43"/>
        <v>1888355.4409293779</v>
      </c>
      <c r="K127" s="171">
        <f t="shared" si="43"/>
        <v>2112437.856214134</v>
      </c>
      <c r="L127" s="171">
        <f t="shared" si="43"/>
        <v>2194670.3702760516</v>
      </c>
      <c r="M127" s="171">
        <f t="shared" si="43"/>
        <v>1969573.3990031071</v>
      </c>
      <c r="N127" s="171">
        <f t="shared" si="43"/>
        <v>2086342.3852856979</v>
      </c>
      <c r="O127" s="171">
        <f t="shared" si="43"/>
        <v>1972361.3993637268</v>
      </c>
      <c r="P127" s="171">
        <f t="shared" si="43"/>
        <v>1889819.7170824362</v>
      </c>
      <c r="Q127" s="171">
        <f t="shared" si="43"/>
        <v>2038127.4245544502</v>
      </c>
      <c r="R127" s="171">
        <f t="shared" si="43"/>
        <v>1982900.4200367862</v>
      </c>
      <c r="S127" s="171"/>
      <c r="T127" s="171">
        <f>+T103+T114+T123</f>
        <v>23935332.451395236</v>
      </c>
      <c r="U127" s="171"/>
      <c r="V127" s="292">
        <f>V125-V126</f>
        <v>468185.28029350983</v>
      </c>
      <c r="W127" s="293" t="s">
        <v>236</v>
      </c>
      <c r="X127" s="294"/>
      <c r="Y127" s="171"/>
      <c r="Z127" s="171"/>
    </row>
    <row r="128" spans="1:26">
      <c r="C128" s="168"/>
      <c r="D128" s="168"/>
      <c r="E128" s="168"/>
      <c r="F128" s="197" t="s">
        <v>161</v>
      </c>
      <c r="G128" s="198">
        <f>+G127/G94-1</f>
        <v>6.4648555352445847E-2</v>
      </c>
      <c r="H128" s="198">
        <f t="shared" ref="H128:R128" si="44">+H127/H94-1</f>
        <v>3.8289318496458336E-2</v>
      </c>
      <c r="I128" s="198">
        <f t="shared" si="44"/>
        <v>3.6089076653745611E-2</v>
      </c>
      <c r="J128" s="198">
        <f t="shared" si="44"/>
        <v>9.1321997525342091E-3</v>
      </c>
      <c r="K128" s="198">
        <f t="shared" si="44"/>
        <v>3.0515244932011631E-2</v>
      </c>
      <c r="L128" s="198">
        <f t="shared" si="44"/>
        <v>2.3276581199445756E-2</v>
      </c>
      <c r="M128" s="198">
        <f t="shared" si="44"/>
        <v>2.4636503783942443E-2</v>
      </c>
      <c r="N128" s="198">
        <f t="shared" si="44"/>
        <v>1.3125575840515769E-2</v>
      </c>
      <c r="O128" s="198">
        <f t="shared" si="44"/>
        <v>1.5385386792299505E-2</v>
      </c>
      <c r="P128" s="198">
        <f t="shared" si="44"/>
        <v>1.6928676205052673E-2</v>
      </c>
      <c r="Q128" s="198">
        <f t="shared" si="44"/>
        <v>6.9381927680578492E-3</v>
      </c>
      <c r="R128" s="198">
        <f t="shared" si="44"/>
        <v>1.1766486118484742E-2</v>
      </c>
      <c r="S128" s="198"/>
      <c r="T128" s="198">
        <f>+T127/T94-1</f>
        <v>2.4068899396107346E-2</v>
      </c>
      <c r="U128" s="171"/>
      <c r="V128" s="171"/>
      <c r="W128" s="171"/>
      <c r="X128" s="171"/>
      <c r="Y128" s="171"/>
      <c r="Z128" s="171"/>
    </row>
    <row r="129" spans="3:26">
      <c r="C129" s="168"/>
      <c r="D129" s="168"/>
      <c r="E129" s="168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200"/>
      <c r="U129" s="171"/>
      <c r="V129" s="171"/>
      <c r="W129" s="171"/>
      <c r="X129" s="171"/>
      <c r="Y129" s="171"/>
      <c r="Z129" s="171"/>
    </row>
    <row r="130" spans="3:26">
      <c r="C130" s="168"/>
      <c r="D130" s="168"/>
      <c r="E130" s="168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200"/>
      <c r="U130" s="171"/>
      <c r="V130" s="171"/>
      <c r="W130" s="171"/>
      <c r="X130" s="171"/>
      <c r="Y130" s="171"/>
      <c r="Z130" s="171"/>
    </row>
    <row r="131" spans="3:26"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200"/>
      <c r="U131" s="171"/>
      <c r="V131" s="171"/>
      <c r="W131" s="171"/>
      <c r="X131" s="171"/>
      <c r="Y131" s="171"/>
      <c r="Z131" s="171"/>
    </row>
    <row r="132" spans="3:26"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200"/>
      <c r="U132" s="171"/>
      <c r="V132" s="171"/>
      <c r="W132" s="171"/>
      <c r="X132" s="171"/>
      <c r="Y132" s="171"/>
      <c r="Z132" s="171"/>
    </row>
    <row r="133" spans="3:26"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200"/>
      <c r="U133" s="171"/>
      <c r="V133" s="171"/>
      <c r="W133" s="171"/>
      <c r="X133" s="171"/>
      <c r="Y133" s="171"/>
      <c r="Z133" s="171"/>
    </row>
    <row r="134" spans="3:26"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200"/>
      <c r="U134" s="171"/>
      <c r="V134" s="171"/>
      <c r="W134" s="171"/>
      <c r="X134" s="171"/>
      <c r="Y134" s="171"/>
      <c r="Z134" s="171"/>
    </row>
    <row r="135" spans="3:26"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200"/>
      <c r="U135" s="171"/>
      <c r="V135" s="171"/>
      <c r="W135" s="171"/>
      <c r="X135" s="171"/>
      <c r="Y135" s="171"/>
      <c r="Z135" s="171"/>
    </row>
    <row r="136" spans="3:26"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200"/>
      <c r="U136" s="171"/>
      <c r="V136" s="171"/>
      <c r="W136" s="171"/>
      <c r="X136" s="171"/>
      <c r="Y136" s="171"/>
      <c r="Z136" s="171"/>
    </row>
    <row r="137" spans="3:26"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200"/>
      <c r="U137" s="171"/>
      <c r="V137" s="171"/>
      <c r="W137" s="171"/>
      <c r="X137" s="171"/>
      <c r="Y137" s="171"/>
      <c r="Z137" s="171"/>
    </row>
    <row r="138" spans="3:26"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200"/>
      <c r="U138" s="171"/>
      <c r="V138" s="171"/>
      <c r="W138" s="171"/>
      <c r="X138" s="171"/>
      <c r="Y138" s="171"/>
      <c r="Z138" s="171"/>
    </row>
    <row r="139" spans="3:26"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200"/>
      <c r="U139" s="171"/>
      <c r="V139" s="171"/>
      <c r="W139" s="171"/>
      <c r="X139" s="171"/>
      <c r="Y139" s="171"/>
      <c r="Z139" s="171"/>
    </row>
    <row r="140" spans="3:26"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200"/>
      <c r="U140" s="171"/>
      <c r="V140" s="171"/>
      <c r="W140" s="171"/>
      <c r="X140" s="171"/>
      <c r="Y140" s="171"/>
      <c r="Z140" s="171"/>
    </row>
    <row r="141" spans="3:26"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200"/>
      <c r="U141" s="171"/>
      <c r="V141" s="171"/>
      <c r="W141" s="171"/>
      <c r="X141" s="171"/>
      <c r="Y141" s="171"/>
      <c r="Z141" s="171"/>
    </row>
    <row r="142" spans="3:26"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200"/>
      <c r="U142" s="171"/>
      <c r="V142" s="171"/>
      <c r="W142" s="171"/>
      <c r="X142" s="171"/>
      <c r="Y142" s="171"/>
      <c r="Z142" s="171"/>
    </row>
    <row r="143" spans="3:26"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200"/>
      <c r="U143" s="171"/>
      <c r="V143" s="171"/>
      <c r="W143" s="171"/>
      <c r="X143" s="171"/>
      <c r="Y143" s="171"/>
      <c r="Z143" s="171"/>
    </row>
    <row r="144" spans="3:26"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200"/>
      <c r="U144" s="171"/>
      <c r="V144" s="171"/>
      <c r="W144" s="171"/>
      <c r="X144" s="171"/>
      <c r="Y144" s="171"/>
      <c r="Z144" s="171"/>
    </row>
    <row r="145" spans="7:26"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200"/>
      <c r="U145" s="171"/>
      <c r="V145" s="171"/>
      <c r="W145" s="171"/>
      <c r="X145" s="171"/>
      <c r="Y145" s="171"/>
      <c r="Z145" s="171"/>
    </row>
    <row r="146" spans="7:26"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200"/>
      <c r="U146" s="171"/>
      <c r="V146" s="171"/>
      <c r="W146" s="171"/>
      <c r="X146" s="171"/>
      <c r="Y146" s="171"/>
      <c r="Z146" s="171"/>
    </row>
    <row r="147" spans="7:26"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200"/>
      <c r="U147" s="171"/>
      <c r="V147" s="171"/>
      <c r="W147" s="171"/>
      <c r="X147" s="171"/>
      <c r="Y147" s="171"/>
      <c r="Z147" s="171"/>
    </row>
    <row r="148" spans="7:26"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200"/>
      <c r="U148" s="171"/>
      <c r="V148" s="171"/>
      <c r="W148" s="171"/>
      <c r="X148" s="171"/>
      <c r="Y148" s="171"/>
      <c r="Z148" s="171"/>
    </row>
    <row r="149" spans="7:26"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200"/>
      <c r="U149" s="171"/>
      <c r="V149" s="171"/>
      <c r="W149" s="171"/>
      <c r="X149" s="171"/>
      <c r="Y149" s="171"/>
      <c r="Z149" s="171"/>
    </row>
    <row r="150" spans="7:26"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200"/>
      <c r="U150" s="171"/>
      <c r="V150" s="171"/>
      <c r="W150" s="171"/>
      <c r="X150" s="171"/>
      <c r="Y150" s="171"/>
      <c r="Z150" s="171"/>
    </row>
    <row r="151" spans="7:26"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200"/>
      <c r="U151" s="171"/>
      <c r="V151" s="171"/>
      <c r="W151" s="171"/>
      <c r="X151" s="171"/>
      <c r="Y151" s="171"/>
      <c r="Z151" s="171"/>
    </row>
    <row r="152" spans="7:26"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200"/>
      <c r="U152" s="171"/>
      <c r="V152" s="171"/>
      <c r="W152" s="171"/>
      <c r="X152" s="171"/>
      <c r="Y152" s="171"/>
      <c r="Z152" s="171"/>
    </row>
    <row r="153" spans="7:26"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200"/>
      <c r="U153" s="171"/>
      <c r="V153" s="171"/>
      <c r="W153" s="171"/>
      <c r="X153" s="171"/>
      <c r="Y153" s="171"/>
      <c r="Z153" s="171"/>
    </row>
    <row r="154" spans="7:26"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200"/>
      <c r="U154" s="171"/>
      <c r="V154" s="171"/>
      <c r="W154" s="171"/>
      <c r="X154" s="171"/>
      <c r="Y154" s="171"/>
      <c r="Z154" s="171"/>
    </row>
    <row r="155" spans="7:26"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200"/>
      <c r="U155" s="171"/>
      <c r="V155" s="171"/>
      <c r="W155" s="171"/>
      <c r="X155" s="171"/>
      <c r="Y155" s="171"/>
      <c r="Z155" s="171"/>
    </row>
    <row r="156" spans="7:26"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200"/>
      <c r="U156" s="171"/>
      <c r="V156" s="171"/>
      <c r="W156" s="171"/>
      <c r="X156" s="171"/>
      <c r="Y156" s="171"/>
      <c r="Z156" s="171"/>
    </row>
    <row r="157" spans="7:26"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200"/>
      <c r="U157" s="171"/>
      <c r="V157" s="171"/>
      <c r="W157" s="171"/>
      <c r="X157" s="171"/>
      <c r="Y157" s="171"/>
      <c r="Z157" s="171"/>
    </row>
    <row r="158" spans="7:26"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200"/>
      <c r="U158" s="171"/>
      <c r="V158" s="171"/>
      <c r="W158" s="171"/>
      <c r="X158" s="171"/>
      <c r="Y158" s="171"/>
      <c r="Z158" s="171"/>
    </row>
    <row r="159" spans="7:26"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200"/>
      <c r="U159" s="171"/>
      <c r="V159" s="171"/>
      <c r="W159" s="171"/>
      <c r="X159" s="171"/>
      <c r="Y159" s="171"/>
      <c r="Z159" s="171"/>
    </row>
    <row r="160" spans="7:26"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200"/>
      <c r="U160" s="171"/>
      <c r="V160" s="171"/>
      <c r="W160" s="171"/>
      <c r="X160" s="171"/>
      <c r="Y160" s="171"/>
      <c r="Z160" s="171"/>
    </row>
    <row r="161" spans="7:26"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200"/>
      <c r="U161" s="171"/>
      <c r="V161" s="171"/>
      <c r="W161" s="171"/>
      <c r="X161" s="171"/>
      <c r="Y161" s="171"/>
      <c r="Z161" s="171"/>
    </row>
    <row r="162" spans="7:26"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200"/>
      <c r="U162" s="171"/>
      <c r="V162" s="171"/>
      <c r="W162" s="171"/>
      <c r="X162" s="171"/>
      <c r="Y162" s="171"/>
      <c r="Z162" s="171"/>
    </row>
    <row r="163" spans="7:26"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200"/>
      <c r="U163" s="171"/>
      <c r="V163" s="171"/>
      <c r="W163" s="171"/>
      <c r="X163" s="171"/>
      <c r="Y163" s="171"/>
      <c r="Z163" s="171"/>
    </row>
    <row r="164" spans="7:26"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200"/>
      <c r="U164" s="171"/>
      <c r="V164" s="171"/>
      <c r="W164" s="171"/>
      <c r="X164" s="171"/>
      <c r="Y164" s="171"/>
      <c r="Z164" s="171"/>
    </row>
    <row r="165" spans="7:26"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200"/>
      <c r="U165" s="171"/>
      <c r="V165" s="171"/>
      <c r="W165" s="171"/>
      <c r="X165" s="171"/>
      <c r="Y165" s="171"/>
      <c r="Z165" s="171"/>
    </row>
    <row r="166" spans="7:26"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200"/>
      <c r="U166" s="171"/>
      <c r="V166" s="171"/>
      <c r="W166" s="171"/>
      <c r="X166" s="171"/>
      <c r="Y166" s="171"/>
      <c r="Z166" s="171"/>
    </row>
    <row r="167" spans="7:26"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200"/>
      <c r="U167" s="171"/>
      <c r="V167" s="171"/>
      <c r="W167" s="171"/>
      <c r="X167" s="171"/>
      <c r="Y167" s="171"/>
      <c r="Z167" s="171"/>
    </row>
    <row r="168" spans="7:26"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200"/>
      <c r="U168" s="171"/>
      <c r="V168" s="171"/>
      <c r="W168" s="171"/>
      <c r="X168" s="171"/>
      <c r="Y168" s="171"/>
      <c r="Z168" s="171"/>
    </row>
    <row r="169" spans="7:26"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200"/>
      <c r="U169" s="171"/>
      <c r="V169" s="171"/>
      <c r="W169" s="171"/>
      <c r="X169" s="171"/>
      <c r="Y169" s="171"/>
      <c r="Z169" s="171"/>
    </row>
    <row r="170" spans="7:26"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200"/>
      <c r="U170" s="171"/>
      <c r="V170" s="171"/>
      <c r="W170" s="171"/>
      <c r="X170" s="171"/>
      <c r="Y170" s="171"/>
      <c r="Z170" s="171"/>
    </row>
    <row r="171" spans="7:26"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200"/>
      <c r="U171" s="171"/>
      <c r="V171" s="171"/>
      <c r="W171" s="171"/>
      <c r="X171" s="171"/>
      <c r="Y171" s="171"/>
      <c r="Z171" s="171"/>
    </row>
    <row r="172" spans="7:26"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200"/>
      <c r="U172" s="171"/>
      <c r="V172" s="171"/>
      <c r="W172" s="171"/>
      <c r="X172" s="171"/>
      <c r="Y172" s="171"/>
      <c r="Z172" s="171"/>
    </row>
    <row r="173" spans="7:26"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200"/>
      <c r="U173" s="171"/>
      <c r="V173" s="171"/>
      <c r="W173" s="171"/>
      <c r="X173" s="171"/>
      <c r="Y173" s="171"/>
      <c r="Z173" s="171"/>
    </row>
    <row r="174" spans="7:26"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200"/>
      <c r="U174" s="171"/>
      <c r="V174" s="171"/>
      <c r="W174" s="171"/>
      <c r="X174" s="171"/>
      <c r="Y174" s="171"/>
      <c r="Z174" s="171"/>
    </row>
    <row r="175" spans="7:26"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200"/>
      <c r="U175" s="171"/>
      <c r="V175" s="171"/>
      <c r="W175" s="171"/>
      <c r="X175" s="171"/>
      <c r="Y175" s="171"/>
      <c r="Z175" s="171"/>
    </row>
    <row r="176" spans="7:26"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200"/>
      <c r="U176" s="171"/>
      <c r="V176" s="171"/>
      <c r="W176" s="171"/>
      <c r="X176" s="171"/>
      <c r="Y176" s="171"/>
      <c r="Z176" s="171"/>
    </row>
    <row r="177" spans="7:26"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200"/>
      <c r="U177" s="171"/>
      <c r="V177" s="171"/>
      <c r="W177" s="171"/>
      <c r="X177" s="171"/>
      <c r="Y177" s="171"/>
      <c r="Z177" s="171"/>
    </row>
    <row r="178" spans="7:26"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200"/>
      <c r="U178" s="171"/>
      <c r="V178" s="171"/>
      <c r="W178" s="171"/>
      <c r="X178" s="171"/>
      <c r="Y178" s="171"/>
      <c r="Z178" s="171"/>
    </row>
    <row r="179" spans="7:26"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200"/>
      <c r="U179" s="171"/>
      <c r="V179" s="171"/>
      <c r="W179" s="171"/>
      <c r="X179" s="171"/>
      <c r="Y179" s="171"/>
      <c r="Z179" s="171"/>
    </row>
    <row r="180" spans="7:26"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200"/>
      <c r="U180" s="171"/>
      <c r="V180" s="171"/>
      <c r="W180" s="171"/>
      <c r="X180" s="171"/>
      <c r="Y180" s="171"/>
      <c r="Z180" s="171"/>
    </row>
    <row r="181" spans="7:26"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200"/>
      <c r="U181" s="171"/>
      <c r="V181" s="171"/>
      <c r="W181" s="171"/>
      <c r="X181" s="171"/>
      <c r="Y181" s="171"/>
      <c r="Z181" s="171"/>
    </row>
    <row r="182" spans="7:26"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200"/>
      <c r="U182" s="171"/>
      <c r="V182" s="171"/>
      <c r="W182" s="171"/>
      <c r="X182" s="171"/>
      <c r="Y182" s="171"/>
      <c r="Z182" s="171"/>
    </row>
    <row r="183" spans="7:26"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200"/>
      <c r="U183" s="171"/>
      <c r="V183" s="171"/>
      <c r="W183" s="171"/>
      <c r="X183" s="171"/>
      <c r="Y183" s="171"/>
      <c r="Z183" s="171"/>
    </row>
    <row r="184" spans="7:26"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200"/>
      <c r="U184" s="171"/>
      <c r="V184" s="171"/>
      <c r="W184" s="171"/>
      <c r="X184" s="171"/>
      <c r="Y184" s="171"/>
      <c r="Z184" s="171"/>
    </row>
    <row r="185" spans="7:26"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200"/>
      <c r="U185" s="171"/>
      <c r="V185" s="171"/>
      <c r="W185" s="171"/>
      <c r="X185" s="171"/>
      <c r="Y185" s="171"/>
      <c r="Z185" s="171"/>
    </row>
    <row r="186" spans="7:26"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200"/>
      <c r="U186" s="171"/>
      <c r="V186" s="171"/>
      <c r="W186" s="171"/>
      <c r="X186" s="171"/>
      <c r="Y186" s="171"/>
      <c r="Z186" s="171"/>
    </row>
    <row r="187" spans="7:26"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200"/>
      <c r="U187" s="171"/>
      <c r="V187" s="171"/>
      <c r="W187" s="171"/>
      <c r="X187" s="171"/>
      <c r="Y187" s="171"/>
      <c r="Z187" s="171"/>
    </row>
    <row r="188" spans="7:26"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200"/>
      <c r="U188" s="171"/>
      <c r="V188" s="171"/>
      <c r="W188" s="171"/>
      <c r="X188" s="171"/>
      <c r="Y188" s="171"/>
      <c r="Z188" s="171"/>
    </row>
    <row r="189" spans="7:26"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200"/>
      <c r="U189" s="171"/>
      <c r="V189" s="171"/>
      <c r="W189" s="171"/>
      <c r="X189" s="171"/>
      <c r="Y189" s="171"/>
      <c r="Z189" s="171"/>
    </row>
    <row r="190" spans="7:26"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200"/>
      <c r="U190" s="171"/>
      <c r="V190" s="171"/>
      <c r="W190" s="171"/>
      <c r="X190" s="171"/>
      <c r="Y190" s="171"/>
      <c r="Z190" s="171"/>
    </row>
    <row r="191" spans="7:26"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200"/>
      <c r="U191" s="171"/>
      <c r="V191" s="171"/>
      <c r="W191" s="171"/>
      <c r="X191" s="171"/>
      <c r="Y191" s="171"/>
      <c r="Z191" s="171"/>
    </row>
    <row r="192" spans="7:26"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200"/>
      <c r="U192" s="171"/>
      <c r="V192" s="171"/>
      <c r="W192" s="171"/>
      <c r="X192" s="171"/>
      <c r="Y192" s="171"/>
      <c r="Z192" s="171"/>
    </row>
    <row r="193" spans="7:26"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200"/>
      <c r="U193" s="171"/>
      <c r="V193" s="171"/>
      <c r="W193" s="171"/>
      <c r="X193" s="171"/>
      <c r="Y193" s="171"/>
      <c r="Z193" s="171"/>
    </row>
    <row r="194" spans="7:26"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200"/>
      <c r="U194" s="171"/>
      <c r="V194" s="171"/>
      <c r="W194" s="171"/>
      <c r="X194" s="171"/>
      <c r="Y194" s="171"/>
      <c r="Z194" s="171"/>
    </row>
    <row r="195" spans="7:26"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200"/>
      <c r="U195" s="171"/>
      <c r="V195" s="171"/>
      <c r="W195" s="171"/>
      <c r="X195" s="171"/>
      <c r="Y195" s="171"/>
      <c r="Z195" s="171"/>
    </row>
    <row r="196" spans="7:26"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200"/>
      <c r="U196" s="171"/>
      <c r="V196" s="171"/>
      <c r="W196" s="171"/>
      <c r="X196" s="171"/>
      <c r="Y196" s="171"/>
      <c r="Z196" s="171"/>
    </row>
    <row r="197" spans="7:26"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200"/>
      <c r="U197" s="171"/>
      <c r="V197" s="171"/>
      <c r="W197" s="171"/>
      <c r="X197" s="171"/>
      <c r="Y197" s="171"/>
      <c r="Z197" s="171"/>
    </row>
    <row r="198" spans="7:26"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200"/>
      <c r="U198" s="171"/>
      <c r="V198" s="171"/>
      <c r="W198" s="171"/>
      <c r="X198" s="171"/>
      <c r="Y198" s="171"/>
      <c r="Z198" s="171"/>
    </row>
    <row r="199" spans="7:26"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200"/>
      <c r="U199" s="171"/>
      <c r="V199" s="171"/>
      <c r="W199" s="171"/>
      <c r="X199" s="171"/>
      <c r="Y199" s="171"/>
      <c r="Z199" s="171"/>
    </row>
    <row r="200" spans="7:26"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200"/>
      <c r="U200" s="171"/>
      <c r="V200" s="171"/>
      <c r="W200" s="171"/>
      <c r="X200" s="171"/>
      <c r="Y200" s="171"/>
      <c r="Z200" s="171"/>
    </row>
    <row r="201" spans="7:26"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200"/>
      <c r="U201" s="171"/>
      <c r="V201" s="171"/>
      <c r="W201" s="171"/>
      <c r="X201" s="171"/>
      <c r="Y201" s="171"/>
      <c r="Z201" s="171"/>
    </row>
    <row r="202" spans="7:26"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200"/>
      <c r="U202" s="171"/>
      <c r="V202" s="171"/>
      <c r="W202" s="171"/>
      <c r="X202" s="171"/>
      <c r="Y202" s="171"/>
      <c r="Z202" s="171"/>
    </row>
    <row r="203" spans="7:26"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200"/>
      <c r="U203" s="171"/>
      <c r="V203" s="171"/>
      <c r="W203" s="171"/>
      <c r="X203" s="171"/>
      <c r="Y203" s="171"/>
      <c r="Z203" s="171"/>
    </row>
    <row r="204" spans="7:26"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200"/>
      <c r="U204" s="171"/>
      <c r="V204" s="171"/>
      <c r="W204" s="171"/>
      <c r="X204" s="171"/>
      <c r="Y204" s="171"/>
      <c r="Z204" s="171"/>
    </row>
    <row r="205" spans="7:26"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200"/>
      <c r="U205" s="171"/>
      <c r="V205" s="171"/>
      <c r="W205" s="171"/>
      <c r="X205" s="171"/>
      <c r="Y205" s="171"/>
      <c r="Z205" s="171"/>
    </row>
    <row r="206" spans="7:26"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200"/>
      <c r="U206" s="171"/>
      <c r="V206" s="171"/>
      <c r="W206" s="171"/>
      <c r="X206" s="171"/>
      <c r="Y206" s="171"/>
      <c r="Z206" s="171"/>
    </row>
    <row r="207" spans="7:26"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200"/>
      <c r="U207" s="171"/>
      <c r="V207" s="171"/>
      <c r="W207" s="171"/>
      <c r="X207" s="171"/>
      <c r="Y207" s="171"/>
      <c r="Z207" s="171"/>
    </row>
    <row r="208" spans="7:26"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200"/>
      <c r="U208" s="171"/>
      <c r="V208" s="171"/>
      <c r="W208" s="171"/>
      <c r="X208" s="171"/>
      <c r="Y208" s="171"/>
      <c r="Z208" s="171"/>
    </row>
    <row r="209" spans="7:26"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200"/>
      <c r="U209" s="171"/>
      <c r="V209" s="171"/>
      <c r="W209" s="171"/>
      <c r="X209" s="171"/>
      <c r="Y209" s="171"/>
      <c r="Z209" s="171"/>
    </row>
    <row r="210" spans="7:26"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200"/>
      <c r="U210" s="171"/>
      <c r="V210" s="171"/>
      <c r="W210" s="171"/>
      <c r="X210" s="171"/>
      <c r="Y210" s="171"/>
      <c r="Z210" s="171"/>
    </row>
    <row r="211" spans="7:26"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200"/>
      <c r="U211" s="171"/>
      <c r="V211" s="171"/>
      <c r="W211" s="171"/>
      <c r="X211" s="171"/>
      <c r="Y211" s="171"/>
      <c r="Z211" s="171"/>
    </row>
    <row r="212" spans="7:26"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200"/>
      <c r="U212" s="171"/>
      <c r="V212" s="171"/>
      <c r="W212" s="171"/>
      <c r="X212" s="171"/>
      <c r="Y212" s="171"/>
      <c r="Z212" s="171"/>
    </row>
    <row r="213" spans="7:26"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200"/>
      <c r="U213" s="171"/>
      <c r="V213" s="171"/>
      <c r="W213" s="171"/>
      <c r="X213" s="171"/>
      <c r="Y213" s="171"/>
      <c r="Z213" s="171"/>
    </row>
    <row r="214" spans="7:26"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200"/>
      <c r="U214" s="171"/>
      <c r="V214" s="171"/>
      <c r="W214" s="171"/>
      <c r="X214" s="171"/>
      <c r="Y214" s="171"/>
      <c r="Z214" s="171"/>
    </row>
    <row r="215" spans="7:26"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200"/>
      <c r="U215" s="171"/>
      <c r="V215" s="171"/>
      <c r="W215" s="171"/>
      <c r="X215" s="171"/>
      <c r="Y215" s="171"/>
      <c r="Z215" s="171"/>
    </row>
    <row r="216" spans="7:26"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200"/>
      <c r="U216" s="171"/>
      <c r="V216" s="171"/>
      <c r="W216" s="171"/>
      <c r="X216" s="171"/>
      <c r="Y216" s="171"/>
      <c r="Z216" s="171"/>
    </row>
    <row r="217" spans="7:26"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200"/>
      <c r="U217" s="171"/>
      <c r="V217" s="171"/>
      <c r="W217" s="171"/>
      <c r="X217" s="171"/>
      <c r="Y217" s="171"/>
      <c r="Z217" s="171"/>
    </row>
    <row r="218" spans="7:26"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200"/>
      <c r="U218" s="171"/>
      <c r="V218" s="171"/>
      <c r="W218" s="171"/>
      <c r="X218" s="171"/>
      <c r="Y218" s="171"/>
      <c r="Z218" s="171"/>
    </row>
    <row r="219" spans="7:26"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200"/>
      <c r="U219" s="171"/>
      <c r="V219" s="171"/>
      <c r="W219" s="171"/>
      <c r="X219" s="171"/>
      <c r="Y219" s="171"/>
      <c r="Z219" s="171"/>
    </row>
    <row r="220" spans="7:26"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200"/>
      <c r="U220" s="171"/>
      <c r="V220" s="171"/>
      <c r="W220" s="171"/>
      <c r="X220" s="171"/>
      <c r="Y220" s="171"/>
      <c r="Z220" s="171"/>
    </row>
    <row r="221" spans="7:26"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200"/>
      <c r="U221" s="171"/>
      <c r="V221" s="171"/>
      <c r="W221" s="171"/>
      <c r="X221" s="171"/>
      <c r="Y221" s="171"/>
      <c r="Z221" s="171"/>
    </row>
    <row r="222" spans="7:26"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200"/>
      <c r="U222" s="171"/>
      <c r="V222" s="171"/>
      <c r="W222" s="171"/>
      <c r="X222" s="171"/>
      <c r="Y222" s="171"/>
      <c r="Z222" s="171"/>
    </row>
    <row r="223" spans="7:26"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200"/>
      <c r="U223" s="171"/>
      <c r="V223" s="171"/>
      <c r="W223" s="171"/>
      <c r="X223" s="171"/>
      <c r="Y223" s="171"/>
      <c r="Z223" s="171"/>
    </row>
    <row r="224" spans="7:26"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200"/>
      <c r="U224" s="171"/>
      <c r="V224" s="171"/>
      <c r="W224" s="171"/>
      <c r="X224" s="171"/>
      <c r="Y224" s="171"/>
      <c r="Z224" s="171"/>
    </row>
    <row r="225" spans="7:26"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200"/>
      <c r="U225" s="171"/>
      <c r="V225" s="171"/>
      <c r="W225" s="171"/>
      <c r="X225" s="171"/>
      <c r="Y225" s="171"/>
      <c r="Z225" s="171"/>
    </row>
    <row r="226" spans="7:26"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200"/>
      <c r="U226" s="171"/>
      <c r="V226" s="171"/>
      <c r="W226" s="171"/>
      <c r="X226" s="171"/>
      <c r="Y226" s="171"/>
      <c r="Z226" s="171"/>
    </row>
    <row r="227" spans="7:26"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200"/>
      <c r="U227" s="171"/>
      <c r="V227" s="171"/>
      <c r="W227" s="171"/>
      <c r="X227" s="171"/>
      <c r="Y227" s="171"/>
      <c r="Z227" s="171"/>
    </row>
    <row r="228" spans="7:26"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200"/>
      <c r="U228" s="171"/>
      <c r="V228" s="171"/>
      <c r="W228" s="171"/>
      <c r="X228" s="171"/>
      <c r="Y228" s="171"/>
      <c r="Z228" s="171"/>
    </row>
    <row r="229" spans="7:26"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200"/>
      <c r="U229" s="171"/>
      <c r="V229" s="171"/>
      <c r="W229" s="171"/>
      <c r="X229" s="171"/>
      <c r="Y229" s="171"/>
      <c r="Z229" s="171"/>
    </row>
    <row r="230" spans="7:26"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200"/>
      <c r="U230" s="171"/>
      <c r="V230" s="171"/>
      <c r="W230" s="171"/>
      <c r="X230" s="171"/>
      <c r="Y230" s="171"/>
      <c r="Z230" s="171"/>
    </row>
    <row r="231" spans="7:26"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200"/>
      <c r="U231" s="171"/>
      <c r="V231" s="171"/>
      <c r="W231" s="171"/>
      <c r="X231" s="171"/>
      <c r="Y231" s="171"/>
      <c r="Z231" s="171"/>
    </row>
    <row r="232" spans="7:26"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200"/>
      <c r="U232" s="171"/>
      <c r="V232" s="171"/>
      <c r="W232" s="171"/>
      <c r="X232" s="171"/>
      <c r="Y232" s="171"/>
      <c r="Z232" s="171"/>
    </row>
    <row r="233" spans="7:26"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200"/>
      <c r="U233" s="171"/>
      <c r="V233" s="171"/>
      <c r="W233" s="171"/>
      <c r="X233" s="171"/>
      <c r="Y233" s="171"/>
      <c r="Z233" s="171"/>
    </row>
    <row r="234" spans="7:26"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200"/>
      <c r="U234" s="171"/>
      <c r="V234" s="171"/>
      <c r="W234" s="171"/>
      <c r="X234" s="171"/>
      <c r="Y234" s="171"/>
      <c r="Z234" s="171"/>
    </row>
    <row r="235" spans="7:26"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200"/>
      <c r="U235" s="171"/>
      <c r="V235" s="171"/>
      <c r="W235" s="171"/>
      <c r="X235" s="171"/>
      <c r="Y235" s="171"/>
      <c r="Z235" s="171"/>
    </row>
    <row r="236" spans="7:26"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200"/>
      <c r="U236" s="171"/>
      <c r="V236" s="171"/>
      <c r="W236" s="171"/>
      <c r="X236" s="171"/>
      <c r="Y236" s="171"/>
      <c r="Z236" s="171"/>
    </row>
    <row r="237" spans="7:26"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200"/>
      <c r="U237" s="171"/>
      <c r="V237" s="171"/>
      <c r="W237" s="171"/>
      <c r="X237" s="171"/>
      <c r="Y237" s="171"/>
      <c r="Z237" s="171"/>
    </row>
    <row r="238" spans="7:26"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200"/>
      <c r="U238" s="171"/>
      <c r="V238" s="171"/>
      <c r="W238" s="171"/>
      <c r="X238" s="171"/>
      <c r="Y238" s="171"/>
      <c r="Z238" s="171"/>
    </row>
    <row r="239" spans="7:26"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200"/>
      <c r="U239" s="171"/>
      <c r="V239" s="171"/>
      <c r="W239" s="171"/>
      <c r="X239" s="171"/>
      <c r="Y239" s="171"/>
      <c r="Z239" s="171"/>
    </row>
    <row r="240" spans="7:26"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200"/>
      <c r="U240" s="171"/>
      <c r="V240" s="171"/>
      <c r="W240" s="171"/>
      <c r="X240" s="171"/>
      <c r="Y240" s="171"/>
      <c r="Z240" s="171"/>
    </row>
    <row r="241" spans="7:26"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200"/>
      <c r="U241" s="171"/>
      <c r="V241" s="171"/>
      <c r="W241" s="171"/>
      <c r="X241" s="171"/>
      <c r="Y241" s="171"/>
      <c r="Z241" s="171"/>
    </row>
    <row r="242" spans="7:26"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200"/>
      <c r="U242" s="171"/>
      <c r="V242" s="171"/>
      <c r="W242" s="171"/>
      <c r="X242" s="171"/>
      <c r="Y242" s="171"/>
      <c r="Z242" s="171"/>
    </row>
    <row r="243" spans="7:26"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200"/>
      <c r="U243" s="171"/>
      <c r="V243" s="171"/>
      <c r="W243" s="171"/>
      <c r="X243" s="171"/>
      <c r="Y243" s="171"/>
      <c r="Z243" s="171"/>
    </row>
    <row r="244" spans="7:26"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200"/>
      <c r="U244" s="171"/>
      <c r="V244" s="171"/>
      <c r="W244" s="171"/>
      <c r="X244" s="171"/>
      <c r="Y244" s="171"/>
      <c r="Z244" s="171"/>
    </row>
    <row r="245" spans="7:26"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200"/>
      <c r="U245" s="171"/>
      <c r="V245" s="171"/>
      <c r="W245" s="171"/>
      <c r="X245" s="171"/>
      <c r="Y245" s="171"/>
      <c r="Z245" s="171"/>
    </row>
    <row r="246" spans="7:26"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200"/>
      <c r="U246" s="171"/>
      <c r="V246" s="171"/>
      <c r="W246" s="171"/>
      <c r="X246" s="171"/>
      <c r="Y246" s="171"/>
      <c r="Z246" s="171"/>
    </row>
    <row r="247" spans="7:26"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200"/>
      <c r="U247" s="171"/>
      <c r="V247" s="171"/>
      <c r="W247" s="171"/>
      <c r="X247" s="171"/>
      <c r="Y247" s="171"/>
      <c r="Z247" s="171"/>
    </row>
    <row r="248" spans="7:26"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200"/>
      <c r="U248" s="171"/>
      <c r="V248" s="171"/>
      <c r="W248" s="171"/>
      <c r="X248" s="171"/>
      <c r="Y248" s="171"/>
      <c r="Z248" s="171"/>
    </row>
    <row r="249" spans="7:26"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200"/>
      <c r="U249" s="171"/>
      <c r="V249" s="171"/>
      <c r="W249" s="171"/>
      <c r="X249" s="171"/>
      <c r="Y249" s="171"/>
      <c r="Z249" s="171"/>
    </row>
    <row r="250" spans="7:26"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200"/>
      <c r="U250" s="171"/>
      <c r="V250" s="171"/>
      <c r="W250" s="171"/>
      <c r="X250" s="171"/>
      <c r="Y250" s="171"/>
      <c r="Z250" s="171"/>
    </row>
    <row r="251" spans="7:26"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200"/>
      <c r="U251" s="171"/>
      <c r="V251" s="171"/>
      <c r="W251" s="171"/>
      <c r="X251" s="171"/>
      <c r="Y251" s="171"/>
      <c r="Z251" s="171"/>
    </row>
    <row r="252" spans="7:26"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200"/>
      <c r="U252" s="171"/>
      <c r="V252" s="171"/>
      <c r="W252" s="171"/>
      <c r="X252" s="171"/>
      <c r="Y252" s="171"/>
      <c r="Z252" s="171"/>
    </row>
    <row r="253" spans="7:26"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200"/>
      <c r="U253" s="171"/>
      <c r="V253" s="171"/>
      <c r="W253" s="171"/>
      <c r="X253" s="171"/>
      <c r="Y253" s="171"/>
      <c r="Z253" s="171"/>
    </row>
    <row r="254" spans="7:26"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200"/>
      <c r="U254" s="171"/>
      <c r="V254" s="171"/>
      <c r="W254" s="171"/>
      <c r="X254" s="171"/>
      <c r="Y254" s="171"/>
      <c r="Z254" s="171"/>
    </row>
    <row r="255" spans="7:26"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200"/>
      <c r="U255" s="171"/>
      <c r="V255" s="171"/>
      <c r="W255" s="171"/>
      <c r="X255" s="171"/>
      <c r="Y255" s="171"/>
      <c r="Z255" s="171"/>
    </row>
    <row r="256" spans="7:26"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200"/>
      <c r="U256" s="171"/>
      <c r="V256" s="171"/>
      <c r="W256" s="171"/>
      <c r="X256" s="171"/>
      <c r="Y256" s="171"/>
      <c r="Z256" s="171"/>
    </row>
    <row r="257" spans="7:26"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200"/>
      <c r="U257" s="171"/>
      <c r="V257" s="171"/>
      <c r="W257" s="171"/>
      <c r="X257" s="171"/>
      <c r="Y257" s="171"/>
      <c r="Z257" s="171"/>
    </row>
    <row r="258" spans="7:26"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200"/>
      <c r="U258" s="171"/>
      <c r="V258" s="171"/>
      <c r="W258" s="171"/>
      <c r="X258" s="171"/>
      <c r="Y258" s="171"/>
      <c r="Z258" s="171"/>
    </row>
    <row r="259" spans="7:26"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200"/>
      <c r="U259" s="171"/>
      <c r="V259" s="171"/>
      <c r="W259" s="171"/>
      <c r="X259" s="171"/>
      <c r="Y259" s="171"/>
      <c r="Z259" s="171"/>
    </row>
    <row r="260" spans="7:26"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200"/>
      <c r="U260" s="171"/>
      <c r="V260" s="171"/>
      <c r="W260" s="171"/>
      <c r="X260" s="171"/>
      <c r="Y260" s="171"/>
      <c r="Z260" s="171"/>
    </row>
    <row r="261" spans="7:26"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200"/>
      <c r="U261" s="171"/>
      <c r="V261" s="171"/>
      <c r="W261" s="171"/>
      <c r="X261" s="171"/>
      <c r="Y261" s="171"/>
      <c r="Z261" s="171"/>
    </row>
    <row r="262" spans="7:26"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200"/>
      <c r="U262" s="171"/>
      <c r="V262" s="171"/>
      <c r="W262" s="171"/>
      <c r="X262" s="171"/>
      <c r="Y262" s="171"/>
      <c r="Z262" s="171"/>
    </row>
    <row r="263" spans="7:26"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200"/>
      <c r="U263" s="171"/>
      <c r="V263" s="171"/>
      <c r="W263" s="171"/>
      <c r="X263" s="171"/>
      <c r="Y263" s="171"/>
      <c r="Z263" s="171"/>
    </row>
    <row r="264" spans="7:26"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200"/>
      <c r="U264" s="171"/>
      <c r="V264" s="171"/>
      <c r="W264" s="171"/>
      <c r="X264" s="171"/>
      <c r="Y264" s="171"/>
      <c r="Z264" s="171"/>
    </row>
    <row r="265" spans="7:26"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200"/>
      <c r="U265" s="171"/>
      <c r="V265" s="171"/>
      <c r="W265" s="171"/>
      <c r="X265" s="171"/>
      <c r="Y265" s="171"/>
      <c r="Z265" s="171"/>
    </row>
    <row r="266" spans="7:26"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200"/>
      <c r="U266" s="171"/>
      <c r="V266" s="171"/>
      <c r="W266" s="171"/>
      <c r="X266" s="171"/>
      <c r="Y266" s="171"/>
      <c r="Z266" s="171"/>
    </row>
    <row r="267" spans="7:26"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200"/>
      <c r="U267" s="171"/>
      <c r="V267" s="171"/>
      <c r="W267" s="171"/>
      <c r="X267" s="171"/>
      <c r="Y267" s="171"/>
      <c r="Z267" s="171"/>
    </row>
    <row r="268" spans="7:26"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200"/>
      <c r="U268" s="171"/>
      <c r="V268" s="171"/>
      <c r="W268" s="171"/>
      <c r="X268" s="171"/>
      <c r="Y268" s="171"/>
      <c r="Z268" s="171"/>
    </row>
    <row r="269" spans="7:26"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200"/>
      <c r="U269" s="171"/>
      <c r="V269" s="171"/>
      <c r="W269" s="171"/>
      <c r="X269" s="171"/>
      <c r="Y269" s="171"/>
      <c r="Z269" s="171"/>
    </row>
    <row r="270" spans="7:26"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200"/>
      <c r="U270" s="171"/>
      <c r="V270" s="171"/>
      <c r="W270" s="171"/>
      <c r="X270" s="171"/>
      <c r="Y270" s="171"/>
      <c r="Z270" s="171"/>
    </row>
    <row r="271" spans="7:26"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200"/>
      <c r="U271" s="171"/>
      <c r="V271" s="171"/>
      <c r="W271" s="171"/>
      <c r="X271" s="171"/>
      <c r="Y271" s="171"/>
      <c r="Z271" s="171"/>
    </row>
    <row r="272" spans="7:26"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200"/>
      <c r="U272" s="171"/>
      <c r="V272" s="171"/>
      <c r="W272" s="171"/>
      <c r="X272" s="171"/>
      <c r="Y272" s="171"/>
      <c r="Z272" s="171"/>
    </row>
    <row r="273" spans="7:26"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200"/>
      <c r="U273" s="171"/>
      <c r="V273" s="171"/>
      <c r="W273" s="171"/>
      <c r="X273" s="171"/>
      <c r="Y273" s="171"/>
      <c r="Z273" s="171"/>
    </row>
    <row r="274" spans="7:26"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200"/>
      <c r="U274" s="171"/>
      <c r="V274" s="171"/>
      <c r="W274" s="171"/>
      <c r="X274" s="171"/>
      <c r="Y274" s="171"/>
      <c r="Z274" s="171"/>
    </row>
    <row r="275" spans="7:26"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200"/>
      <c r="U275" s="171"/>
      <c r="V275" s="171"/>
      <c r="W275" s="171"/>
      <c r="X275" s="171"/>
      <c r="Y275" s="171"/>
      <c r="Z275" s="171"/>
    </row>
    <row r="276" spans="7:26"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200"/>
      <c r="U276" s="171"/>
      <c r="V276" s="171"/>
      <c r="W276" s="171"/>
      <c r="X276" s="171"/>
      <c r="Y276" s="171"/>
      <c r="Z276" s="171"/>
    </row>
    <row r="277" spans="7:26"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200"/>
      <c r="U277" s="171"/>
      <c r="V277" s="171"/>
      <c r="W277" s="171"/>
      <c r="X277" s="171"/>
      <c r="Y277" s="171"/>
      <c r="Z277" s="171"/>
    </row>
    <row r="278" spans="7:26"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200"/>
      <c r="U278" s="171"/>
      <c r="V278" s="171"/>
      <c r="W278" s="171"/>
      <c r="X278" s="171"/>
      <c r="Y278" s="171"/>
      <c r="Z278" s="171"/>
    </row>
    <row r="279" spans="7:26"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200"/>
      <c r="U279" s="171"/>
      <c r="V279" s="171"/>
      <c r="W279" s="171"/>
      <c r="X279" s="171"/>
      <c r="Y279" s="171"/>
      <c r="Z279" s="171"/>
    </row>
    <row r="280" spans="7:26"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200"/>
      <c r="U280" s="171"/>
      <c r="V280" s="171"/>
      <c r="W280" s="171"/>
      <c r="X280" s="171"/>
      <c r="Y280" s="171"/>
      <c r="Z280" s="171"/>
    </row>
    <row r="281" spans="7:26"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200"/>
      <c r="U281" s="171"/>
      <c r="V281" s="171"/>
      <c r="W281" s="171"/>
      <c r="X281" s="171"/>
      <c r="Y281" s="171"/>
      <c r="Z281" s="171"/>
    </row>
    <row r="282" spans="7:26"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200"/>
      <c r="U282" s="171"/>
      <c r="V282" s="171"/>
      <c r="W282" s="171"/>
      <c r="X282" s="171"/>
      <c r="Y282" s="171"/>
      <c r="Z282" s="171"/>
    </row>
    <row r="283" spans="7:26"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200"/>
      <c r="U283" s="171"/>
      <c r="V283" s="171"/>
      <c r="W283" s="171"/>
      <c r="X283" s="171"/>
      <c r="Y283" s="171"/>
      <c r="Z283" s="171"/>
    </row>
    <row r="284" spans="7:26"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200"/>
      <c r="U284" s="171"/>
      <c r="V284" s="171"/>
      <c r="W284" s="171"/>
      <c r="X284" s="171"/>
      <c r="Y284" s="171"/>
      <c r="Z284" s="171"/>
    </row>
    <row r="285" spans="7:26"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200"/>
      <c r="U285" s="171"/>
      <c r="V285" s="171"/>
      <c r="W285" s="171"/>
      <c r="X285" s="171"/>
      <c r="Y285" s="171"/>
      <c r="Z285" s="171"/>
    </row>
    <row r="286" spans="7:26"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200"/>
      <c r="U286" s="171"/>
      <c r="V286" s="171"/>
      <c r="W286" s="171"/>
      <c r="X286" s="171"/>
      <c r="Y286" s="171"/>
      <c r="Z286" s="171"/>
    </row>
    <row r="287" spans="7:26"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200"/>
      <c r="U287" s="171"/>
      <c r="V287" s="171"/>
      <c r="W287" s="171"/>
      <c r="X287" s="171"/>
      <c r="Y287" s="171"/>
      <c r="Z287" s="171"/>
    </row>
    <row r="288" spans="7:26"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200"/>
      <c r="U288" s="171"/>
      <c r="V288" s="171"/>
      <c r="W288" s="171"/>
      <c r="X288" s="171"/>
      <c r="Y288" s="171"/>
      <c r="Z288" s="171"/>
    </row>
    <row r="289" spans="7:26"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200"/>
      <c r="U289" s="171"/>
      <c r="V289" s="171"/>
      <c r="W289" s="171"/>
      <c r="X289" s="171"/>
      <c r="Y289" s="171"/>
      <c r="Z289" s="171"/>
    </row>
    <row r="290" spans="7:26"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200"/>
      <c r="U290" s="171"/>
      <c r="V290" s="171"/>
      <c r="W290" s="171"/>
      <c r="X290" s="171"/>
      <c r="Y290" s="171"/>
      <c r="Z290" s="171"/>
    </row>
    <row r="291" spans="7:26"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200"/>
      <c r="U291" s="171"/>
      <c r="V291" s="171"/>
      <c r="W291" s="171"/>
      <c r="X291" s="171"/>
      <c r="Y291" s="171"/>
      <c r="Z291" s="171"/>
    </row>
    <row r="292" spans="7:26"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200"/>
      <c r="U292" s="171"/>
      <c r="V292" s="171"/>
      <c r="W292" s="171"/>
      <c r="X292" s="171"/>
      <c r="Y292" s="171"/>
      <c r="Z292" s="171"/>
    </row>
    <row r="293" spans="7:26"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200"/>
      <c r="U293" s="171"/>
      <c r="V293" s="171"/>
      <c r="W293" s="171"/>
      <c r="X293" s="171"/>
      <c r="Y293" s="171"/>
      <c r="Z293" s="171"/>
    </row>
    <row r="294" spans="7:26"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200"/>
      <c r="U294" s="171"/>
      <c r="V294" s="171"/>
      <c r="W294" s="171"/>
      <c r="X294" s="171"/>
      <c r="Y294" s="171"/>
      <c r="Z294" s="171"/>
    </row>
    <row r="295" spans="7:26"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200"/>
      <c r="U295" s="171"/>
      <c r="V295" s="171"/>
      <c r="W295" s="171"/>
      <c r="X295" s="171"/>
      <c r="Y295" s="171"/>
      <c r="Z295" s="171"/>
    </row>
    <row r="296" spans="7:26"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200"/>
      <c r="U296" s="171"/>
      <c r="V296" s="171"/>
      <c r="W296" s="171"/>
      <c r="X296" s="171"/>
      <c r="Y296" s="171"/>
      <c r="Z296" s="171"/>
    </row>
    <row r="297" spans="7:26"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200"/>
      <c r="U297" s="171"/>
      <c r="V297" s="171"/>
      <c r="W297" s="171"/>
      <c r="X297" s="171"/>
      <c r="Y297" s="171"/>
      <c r="Z297" s="171"/>
    </row>
    <row r="298" spans="7:26"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200"/>
      <c r="U298" s="171"/>
      <c r="V298" s="171"/>
      <c r="W298" s="171"/>
      <c r="X298" s="171"/>
      <c r="Y298" s="171"/>
      <c r="Z298" s="171"/>
    </row>
    <row r="299" spans="7:26"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200"/>
      <c r="U299" s="171"/>
      <c r="V299" s="171"/>
      <c r="W299" s="171"/>
      <c r="X299" s="171"/>
      <c r="Y299" s="171"/>
      <c r="Z299" s="171"/>
    </row>
    <row r="300" spans="7:26"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200"/>
      <c r="U300" s="171"/>
      <c r="V300" s="171"/>
      <c r="W300" s="171"/>
      <c r="X300" s="171"/>
      <c r="Y300" s="171"/>
      <c r="Z300" s="171"/>
    </row>
    <row r="301" spans="7:26"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200"/>
      <c r="U301" s="171"/>
      <c r="V301" s="171"/>
      <c r="W301" s="171"/>
      <c r="X301" s="171"/>
      <c r="Y301" s="171"/>
      <c r="Z301" s="171"/>
    </row>
    <row r="302" spans="7:26"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200"/>
      <c r="U302" s="171"/>
      <c r="V302" s="171"/>
      <c r="W302" s="171"/>
      <c r="X302" s="171"/>
      <c r="Y302" s="171"/>
      <c r="Z302" s="171"/>
    </row>
    <row r="303" spans="7:26"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200"/>
      <c r="U303" s="171"/>
      <c r="V303" s="171"/>
      <c r="W303" s="171"/>
      <c r="X303" s="171"/>
      <c r="Y303" s="171"/>
      <c r="Z303" s="171"/>
    </row>
    <row r="304" spans="7:26"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200"/>
      <c r="U304" s="171"/>
      <c r="V304" s="171"/>
      <c r="W304" s="171"/>
      <c r="X304" s="171"/>
      <c r="Y304" s="171"/>
      <c r="Z304" s="171"/>
    </row>
    <row r="305" spans="7:26"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200"/>
      <c r="U305" s="171"/>
      <c r="V305" s="171"/>
      <c r="W305" s="171"/>
      <c r="X305" s="171"/>
      <c r="Y305" s="171"/>
      <c r="Z305" s="171"/>
    </row>
    <row r="306" spans="7:26"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200"/>
      <c r="U306" s="171"/>
      <c r="V306" s="171"/>
      <c r="W306" s="171"/>
      <c r="X306" s="171"/>
      <c r="Y306" s="171"/>
      <c r="Z306" s="171"/>
    </row>
    <row r="307" spans="7:26"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200"/>
      <c r="U307" s="171"/>
      <c r="V307" s="171"/>
      <c r="W307" s="171"/>
      <c r="X307" s="171"/>
      <c r="Y307" s="171"/>
      <c r="Z307" s="171"/>
    </row>
    <row r="308" spans="7:26"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200"/>
      <c r="U308" s="171"/>
      <c r="V308" s="171"/>
      <c r="W308" s="171"/>
      <c r="X308" s="171"/>
      <c r="Y308" s="171"/>
      <c r="Z308" s="171"/>
    </row>
    <row r="309" spans="7:26"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200"/>
      <c r="U309" s="171"/>
      <c r="V309" s="171"/>
      <c r="W309" s="171"/>
      <c r="X309" s="171"/>
      <c r="Y309" s="171"/>
      <c r="Z309" s="171"/>
    </row>
    <row r="310" spans="7:26"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200"/>
      <c r="U310" s="171"/>
      <c r="V310" s="171"/>
      <c r="W310" s="171"/>
      <c r="X310" s="171"/>
      <c r="Y310" s="171"/>
      <c r="Z310" s="171"/>
    </row>
    <row r="311" spans="7:26"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200"/>
      <c r="U311" s="171"/>
      <c r="V311" s="171"/>
      <c r="W311" s="171"/>
      <c r="X311" s="171"/>
      <c r="Y311" s="171"/>
      <c r="Z311" s="171"/>
    </row>
    <row r="312" spans="7:26"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200"/>
      <c r="U312" s="171"/>
      <c r="V312" s="171"/>
      <c r="W312" s="171"/>
      <c r="X312" s="171"/>
      <c r="Y312" s="171"/>
      <c r="Z312" s="171"/>
    </row>
    <row r="313" spans="7:26"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200"/>
      <c r="U313" s="171"/>
      <c r="V313" s="171"/>
      <c r="W313" s="171"/>
      <c r="X313" s="171"/>
      <c r="Y313" s="171"/>
      <c r="Z313" s="171"/>
    </row>
    <row r="314" spans="7:26"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200"/>
      <c r="U314" s="171"/>
      <c r="V314" s="171"/>
      <c r="W314" s="171"/>
      <c r="X314" s="171"/>
      <c r="Y314" s="171"/>
      <c r="Z314" s="171"/>
    </row>
    <row r="315" spans="7:26"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200"/>
      <c r="U315" s="171"/>
      <c r="V315" s="171"/>
      <c r="W315" s="171"/>
      <c r="X315" s="171"/>
      <c r="Y315" s="171"/>
      <c r="Z315" s="171"/>
    </row>
    <row r="316" spans="7:26"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200"/>
      <c r="U316" s="171"/>
      <c r="V316" s="171"/>
      <c r="W316" s="171"/>
      <c r="X316" s="171"/>
      <c r="Y316" s="171"/>
      <c r="Z316" s="171"/>
    </row>
    <row r="317" spans="7:26"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200"/>
      <c r="U317" s="171"/>
      <c r="V317" s="171"/>
      <c r="W317" s="171"/>
      <c r="X317" s="171"/>
      <c r="Y317" s="171"/>
      <c r="Z317" s="171"/>
    </row>
    <row r="318" spans="7:26"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200"/>
      <c r="U318" s="171"/>
      <c r="V318" s="171"/>
      <c r="W318" s="171"/>
      <c r="X318" s="171"/>
      <c r="Y318" s="171"/>
      <c r="Z318" s="171"/>
    </row>
    <row r="319" spans="7:26"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200"/>
      <c r="U319" s="171"/>
      <c r="V319" s="171"/>
      <c r="W319" s="171"/>
      <c r="X319" s="171"/>
      <c r="Y319" s="171"/>
      <c r="Z319" s="171"/>
    </row>
    <row r="320" spans="7:26"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200"/>
      <c r="U320" s="171"/>
      <c r="V320" s="171"/>
      <c r="W320" s="171"/>
      <c r="X320" s="171"/>
      <c r="Y320" s="171"/>
      <c r="Z320" s="171"/>
    </row>
    <row r="321" spans="7:26"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200"/>
      <c r="U321" s="171"/>
      <c r="V321" s="171"/>
      <c r="W321" s="171"/>
      <c r="X321" s="171"/>
      <c r="Y321" s="171"/>
      <c r="Z321" s="171"/>
    </row>
    <row r="322" spans="7:26"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200"/>
      <c r="U322" s="171"/>
      <c r="V322" s="171"/>
      <c r="W322" s="171"/>
      <c r="X322" s="171"/>
      <c r="Y322" s="171"/>
      <c r="Z322" s="171"/>
    </row>
    <row r="323" spans="7:26"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200"/>
      <c r="U323" s="171"/>
      <c r="V323" s="171"/>
      <c r="W323" s="171"/>
      <c r="X323" s="171"/>
      <c r="Y323" s="171"/>
      <c r="Z323" s="171"/>
    </row>
    <row r="324" spans="7:26"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200"/>
      <c r="U324" s="171"/>
      <c r="V324" s="171"/>
      <c r="W324" s="171"/>
      <c r="X324" s="171"/>
      <c r="Y324" s="171"/>
      <c r="Z324" s="171"/>
    </row>
    <row r="325" spans="7:26"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200"/>
      <c r="U325" s="171"/>
      <c r="V325" s="171"/>
      <c r="W325" s="171"/>
      <c r="X325" s="171"/>
      <c r="Y325" s="171"/>
      <c r="Z325" s="171"/>
    </row>
    <row r="326" spans="7:26"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200"/>
      <c r="U326" s="171"/>
      <c r="V326" s="171"/>
      <c r="W326" s="171"/>
      <c r="X326" s="171"/>
      <c r="Y326" s="171"/>
      <c r="Z326" s="171"/>
    </row>
    <row r="327" spans="7:26"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200"/>
      <c r="U327" s="171"/>
      <c r="V327" s="171"/>
      <c r="W327" s="171"/>
      <c r="X327" s="171"/>
      <c r="Y327" s="171"/>
      <c r="Z327" s="171"/>
    </row>
    <row r="328" spans="7:26"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200"/>
      <c r="U328" s="171"/>
      <c r="V328" s="171"/>
      <c r="W328" s="171"/>
      <c r="X328" s="171"/>
      <c r="Y328" s="171"/>
      <c r="Z328" s="171"/>
    </row>
    <row r="329" spans="7:26"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200"/>
      <c r="U329" s="171"/>
      <c r="V329" s="171"/>
      <c r="W329" s="171"/>
      <c r="X329" s="171"/>
      <c r="Y329" s="171"/>
      <c r="Z329" s="171"/>
    </row>
    <row r="330" spans="7:26"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200"/>
      <c r="U330" s="171"/>
      <c r="V330" s="171"/>
      <c r="W330" s="171"/>
      <c r="X330" s="171"/>
      <c r="Y330" s="171"/>
      <c r="Z330" s="171"/>
    </row>
    <row r="331" spans="7:26"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200"/>
      <c r="U331" s="171"/>
      <c r="V331" s="171"/>
      <c r="W331" s="171"/>
      <c r="X331" s="171"/>
      <c r="Y331" s="171"/>
      <c r="Z331" s="171"/>
    </row>
    <row r="332" spans="7:26"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200"/>
      <c r="U332" s="171"/>
      <c r="V332" s="171"/>
      <c r="W332" s="171"/>
      <c r="X332" s="171"/>
      <c r="Y332" s="171"/>
      <c r="Z332" s="171"/>
    </row>
    <row r="333" spans="7:26"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200"/>
      <c r="U333" s="171"/>
      <c r="V333" s="171"/>
      <c r="W333" s="171"/>
      <c r="X333" s="171"/>
      <c r="Y333" s="171"/>
      <c r="Z333" s="171"/>
    </row>
    <row r="334" spans="7:26"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200"/>
      <c r="U334" s="171"/>
      <c r="V334" s="171"/>
      <c r="W334" s="171"/>
      <c r="X334" s="171"/>
      <c r="Y334" s="171"/>
      <c r="Z334" s="171"/>
    </row>
    <row r="335" spans="7:26"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200"/>
      <c r="U335" s="171"/>
      <c r="V335" s="171"/>
      <c r="W335" s="171"/>
      <c r="X335" s="171"/>
      <c r="Y335" s="171"/>
      <c r="Z335" s="171"/>
    </row>
    <row r="336" spans="7:26"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200"/>
      <c r="U336" s="171"/>
      <c r="V336" s="171"/>
      <c r="W336" s="171"/>
      <c r="X336" s="171"/>
      <c r="Y336" s="171"/>
      <c r="Z336" s="171"/>
    </row>
    <row r="337" spans="7:26"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200"/>
      <c r="U337" s="171"/>
      <c r="V337" s="171"/>
      <c r="W337" s="171"/>
      <c r="X337" s="171"/>
      <c r="Y337" s="171"/>
      <c r="Z337" s="171"/>
    </row>
    <row r="338" spans="7:26"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200"/>
      <c r="U338" s="171"/>
      <c r="V338" s="171"/>
      <c r="W338" s="171"/>
      <c r="X338" s="171"/>
      <c r="Y338" s="171"/>
      <c r="Z338" s="171"/>
    </row>
    <row r="339" spans="7:26"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200"/>
      <c r="U339" s="171"/>
      <c r="V339" s="171"/>
      <c r="W339" s="171"/>
      <c r="X339" s="171"/>
      <c r="Y339" s="171"/>
      <c r="Z339" s="171"/>
    </row>
    <row r="340" spans="7:26"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200"/>
      <c r="U340" s="171"/>
      <c r="V340" s="171"/>
      <c r="W340" s="171"/>
      <c r="X340" s="171"/>
      <c r="Y340" s="171"/>
      <c r="Z340" s="171"/>
    </row>
    <row r="341" spans="7:26"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200"/>
      <c r="U341" s="171"/>
      <c r="V341" s="171"/>
      <c r="W341" s="171"/>
      <c r="X341" s="171"/>
      <c r="Y341" s="171"/>
      <c r="Z341" s="171"/>
    </row>
    <row r="342" spans="7:26"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200"/>
      <c r="U342" s="171"/>
      <c r="V342" s="171"/>
      <c r="W342" s="171"/>
      <c r="X342" s="171"/>
      <c r="Y342" s="171"/>
      <c r="Z342" s="171"/>
    </row>
    <row r="343" spans="7:26"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200"/>
      <c r="U343" s="171"/>
      <c r="V343" s="171"/>
      <c r="W343" s="171"/>
      <c r="X343" s="171"/>
      <c r="Y343" s="171"/>
      <c r="Z343" s="171"/>
    </row>
    <row r="344" spans="7:26"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200"/>
      <c r="U344" s="171"/>
      <c r="V344" s="171"/>
      <c r="W344" s="171"/>
      <c r="X344" s="171"/>
      <c r="Y344" s="171"/>
      <c r="Z344" s="171"/>
    </row>
    <row r="345" spans="7:26"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200"/>
      <c r="U345" s="171"/>
      <c r="V345" s="171"/>
      <c r="W345" s="171"/>
      <c r="X345" s="171"/>
      <c r="Y345" s="171"/>
      <c r="Z345" s="171"/>
    </row>
    <row r="346" spans="7:26"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200"/>
      <c r="U346" s="171"/>
      <c r="V346" s="171"/>
      <c r="W346" s="171"/>
      <c r="X346" s="171"/>
      <c r="Y346" s="171"/>
      <c r="Z346" s="171"/>
    </row>
    <row r="347" spans="7:26"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200"/>
      <c r="U347" s="171"/>
      <c r="V347" s="171"/>
      <c r="W347" s="171"/>
      <c r="X347" s="171"/>
      <c r="Y347" s="171"/>
      <c r="Z347" s="171"/>
    </row>
    <row r="348" spans="7:26"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200"/>
      <c r="U348" s="171"/>
      <c r="V348" s="171"/>
      <c r="W348" s="171"/>
      <c r="X348" s="171"/>
      <c r="Y348" s="171"/>
      <c r="Z348" s="171"/>
    </row>
    <row r="349" spans="7:26"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200"/>
      <c r="U349" s="171"/>
      <c r="V349" s="171"/>
      <c r="W349" s="171"/>
      <c r="X349" s="171"/>
      <c r="Y349" s="171"/>
      <c r="Z349" s="171"/>
    </row>
    <row r="350" spans="7:26"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200"/>
      <c r="U350" s="171"/>
      <c r="V350" s="171"/>
      <c r="W350" s="171"/>
      <c r="X350" s="171"/>
      <c r="Y350" s="171"/>
      <c r="Z350" s="171"/>
    </row>
    <row r="351" spans="7:26"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200"/>
      <c r="U351" s="171"/>
      <c r="V351" s="171"/>
      <c r="W351" s="171"/>
      <c r="X351" s="171"/>
      <c r="Y351" s="171"/>
      <c r="Z351" s="171"/>
    </row>
    <row r="352" spans="7:26"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200"/>
      <c r="U352" s="171"/>
      <c r="V352" s="171"/>
      <c r="W352" s="171"/>
      <c r="X352" s="171"/>
      <c r="Y352" s="171"/>
      <c r="Z352" s="171"/>
    </row>
    <row r="353" spans="7:26"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200"/>
      <c r="U353" s="171"/>
      <c r="V353" s="171"/>
      <c r="W353" s="171"/>
      <c r="X353" s="171"/>
      <c r="Y353" s="171"/>
      <c r="Z353" s="171"/>
    </row>
    <row r="354" spans="7:26"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200"/>
      <c r="U354" s="171"/>
      <c r="V354" s="171"/>
      <c r="W354" s="171"/>
      <c r="X354" s="171"/>
      <c r="Y354" s="171"/>
      <c r="Z354" s="171"/>
    </row>
    <row r="355" spans="7:26"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200"/>
      <c r="U355" s="171"/>
      <c r="V355" s="171"/>
      <c r="W355" s="171"/>
      <c r="X355" s="171"/>
      <c r="Y355" s="171"/>
      <c r="Z355" s="171"/>
    </row>
    <row r="356" spans="7:26"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200"/>
      <c r="U356" s="171"/>
      <c r="V356" s="171"/>
      <c r="W356" s="171"/>
      <c r="X356" s="171"/>
      <c r="Y356" s="171"/>
      <c r="Z356" s="171"/>
    </row>
    <row r="357" spans="7:26"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200"/>
      <c r="U357" s="171"/>
      <c r="V357" s="171"/>
      <c r="W357" s="171"/>
      <c r="X357" s="171"/>
      <c r="Y357" s="171"/>
      <c r="Z357" s="171"/>
    </row>
    <row r="358" spans="7:26"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200"/>
      <c r="U358" s="171"/>
      <c r="V358" s="171"/>
      <c r="W358" s="171"/>
      <c r="X358" s="171"/>
      <c r="Y358" s="171"/>
      <c r="Z358" s="171"/>
    </row>
    <row r="359" spans="7:26"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200"/>
      <c r="U359" s="171"/>
      <c r="V359" s="171"/>
      <c r="W359" s="171"/>
      <c r="X359" s="171"/>
      <c r="Y359" s="171"/>
      <c r="Z359" s="171"/>
    </row>
    <row r="360" spans="7:26"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200"/>
      <c r="U360" s="171"/>
      <c r="V360" s="171"/>
      <c r="W360" s="171"/>
      <c r="X360" s="171"/>
      <c r="Y360" s="171"/>
      <c r="Z360" s="171"/>
    </row>
    <row r="361" spans="7:26"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200"/>
      <c r="U361" s="171"/>
      <c r="V361" s="171"/>
      <c r="W361" s="171"/>
      <c r="X361" s="171"/>
      <c r="Y361" s="171"/>
      <c r="Z361" s="171"/>
    </row>
    <row r="362" spans="7:26"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200"/>
      <c r="U362" s="171"/>
      <c r="V362" s="171"/>
      <c r="W362" s="171"/>
      <c r="X362" s="171"/>
      <c r="Y362" s="171"/>
      <c r="Z362" s="171"/>
    </row>
    <row r="363" spans="7:26"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200"/>
      <c r="U363" s="171"/>
      <c r="V363" s="171"/>
      <c r="W363" s="171"/>
      <c r="X363" s="171"/>
      <c r="Y363" s="171"/>
      <c r="Z363" s="171"/>
    </row>
    <row r="364" spans="7:26"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200"/>
      <c r="U364" s="171"/>
      <c r="V364" s="171"/>
      <c r="W364" s="171"/>
      <c r="X364" s="171"/>
      <c r="Y364" s="171"/>
      <c r="Z364" s="171"/>
    </row>
    <row r="365" spans="7:26"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200"/>
      <c r="U365" s="171"/>
      <c r="V365" s="171"/>
      <c r="W365" s="171"/>
      <c r="X365" s="171"/>
      <c r="Y365" s="171"/>
      <c r="Z365" s="171"/>
    </row>
    <row r="366" spans="7:26"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200"/>
      <c r="U366" s="171"/>
      <c r="V366" s="171"/>
      <c r="W366" s="171"/>
      <c r="X366" s="171"/>
      <c r="Y366" s="171"/>
      <c r="Z366" s="171"/>
    </row>
    <row r="367" spans="7:26"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200"/>
      <c r="U367" s="171"/>
      <c r="V367" s="171"/>
      <c r="W367" s="171"/>
      <c r="X367" s="171"/>
      <c r="Y367" s="171"/>
      <c r="Z367" s="171"/>
    </row>
    <row r="368" spans="7:26"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200"/>
      <c r="U368" s="171"/>
      <c r="V368" s="171"/>
      <c r="W368" s="171"/>
      <c r="X368" s="171"/>
      <c r="Y368" s="171"/>
      <c r="Z368" s="171"/>
    </row>
    <row r="369" spans="7:26"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200"/>
      <c r="U369" s="171"/>
      <c r="V369" s="171"/>
      <c r="W369" s="171"/>
      <c r="X369" s="171"/>
      <c r="Y369" s="171"/>
      <c r="Z369" s="171"/>
    </row>
    <row r="370" spans="7:26"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200"/>
      <c r="U370" s="171"/>
      <c r="V370" s="171"/>
      <c r="W370" s="171"/>
      <c r="X370" s="171"/>
      <c r="Y370" s="171"/>
      <c r="Z370" s="171"/>
    </row>
    <row r="371" spans="7:26"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200"/>
      <c r="U371" s="171"/>
      <c r="V371" s="171"/>
      <c r="W371" s="171"/>
      <c r="X371" s="171"/>
      <c r="Y371" s="171"/>
      <c r="Z371" s="171"/>
    </row>
    <row r="372" spans="7:26"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200"/>
      <c r="U372" s="171"/>
      <c r="V372" s="171"/>
      <c r="W372" s="171"/>
      <c r="X372" s="171"/>
      <c r="Y372" s="171"/>
      <c r="Z372" s="171"/>
    </row>
    <row r="373" spans="7:26"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200"/>
      <c r="U373" s="171"/>
      <c r="V373" s="171"/>
      <c r="W373" s="171"/>
      <c r="X373" s="171"/>
      <c r="Y373" s="171"/>
      <c r="Z373" s="171"/>
    </row>
    <row r="374" spans="7:26"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200"/>
      <c r="U374" s="171"/>
      <c r="V374" s="171"/>
      <c r="W374" s="171"/>
      <c r="X374" s="171"/>
      <c r="Y374" s="171"/>
      <c r="Z374" s="171"/>
    </row>
    <row r="375" spans="7:26"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200"/>
      <c r="U375" s="171"/>
      <c r="V375" s="171"/>
      <c r="W375" s="171"/>
      <c r="X375" s="171"/>
      <c r="Y375" s="171"/>
      <c r="Z375" s="171"/>
    </row>
    <row r="376" spans="7:26"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200"/>
      <c r="U376" s="171"/>
      <c r="V376" s="171"/>
      <c r="W376" s="171"/>
      <c r="X376" s="171"/>
      <c r="Y376" s="171"/>
      <c r="Z376" s="171"/>
    </row>
    <row r="377" spans="7:26"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200"/>
      <c r="U377" s="171"/>
      <c r="V377" s="171"/>
      <c r="W377" s="171"/>
      <c r="X377" s="171"/>
      <c r="Y377" s="171"/>
      <c r="Z377" s="171"/>
    </row>
    <row r="378" spans="7:26"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200"/>
      <c r="U378" s="171"/>
      <c r="V378" s="171"/>
      <c r="W378" s="171"/>
      <c r="X378" s="171"/>
      <c r="Y378" s="171"/>
      <c r="Z378" s="171"/>
    </row>
    <row r="379" spans="7:26"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200"/>
      <c r="U379" s="171"/>
      <c r="V379" s="171"/>
      <c r="W379" s="171"/>
      <c r="X379" s="171"/>
      <c r="Y379" s="171"/>
      <c r="Z379" s="171"/>
    </row>
    <row r="380" spans="7:26"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200"/>
      <c r="U380" s="171"/>
      <c r="V380" s="171"/>
      <c r="W380" s="171"/>
      <c r="X380" s="171"/>
      <c r="Y380" s="171"/>
      <c r="Z380" s="171"/>
    </row>
    <row r="381" spans="7:26"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200"/>
      <c r="U381" s="171"/>
      <c r="V381" s="171"/>
      <c r="W381" s="171"/>
      <c r="X381" s="171"/>
      <c r="Y381" s="171"/>
      <c r="Z381" s="171"/>
    </row>
    <row r="382" spans="7:26"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200"/>
      <c r="U382" s="171"/>
      <c r="V382" s="171"/>
      <c r="W382" s="171"/>
      <c r="X382" s="171"/>
      <c r="Y382" s="171"/>
      <c r="Z382" s="171"/>
    </row>
    <row r="383" spans="7:26"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200"/>
      <c r="U383" s="171"/>
      <c r="V383" s="171"/>
      <c r="W383" s="171"/>
      <c r="X383" s="171"/>
      <c r="Y383" s="171"/>
      <c r="Z383" s="171"/>
    </row>
    <row r="384" spans="7:26"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200"/>
      <c r="U384" s="171"/>
      <c r="V384" s="171"/>
      <c r="W384" s="171"/>
      <c r="X384" s="171"/>
      <c r="Y384" s="171"/>
      <c r="Z384" s="171"/>
    </row>
    <row r="385" spans="7:26"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200"/>
      <c r="U385" s="171"/>
      <c r="V385" s="171"/>
      <c r="W385" s="171"/>
      <c r="X385" s="171"/>
      <c r="Y385" s="171"/>
      <c r="Z385" s="171"/>
    </row>
    <row r="386" spans="7:26"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200"/>
      <c r="U386" s="171"/>
      <c r="V386" s="171"/>
      <c r="W386" s="171"/>
      <c r="X386" s="171"/>
      <c r="Y386" s="171"/>
      <c r="Z386" s="171"/>
    </row>
    <row r="387" spans="7:26"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200"/>
      <c r="U387" s="171"/>
      <c r="V387" s="171"/>
      <c r="W387" s="171"/>
      <c r="X387" s="171"/>
      <c r="Y387" s="171"/>
      <c r="Z387" s="171"/>
    </row>
    <row r="388" spans="7:26"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200"/>
      <c r="U388" s="171"/>
      <c r="V388" s="171"/>
      <c r="W388" s="171"/>
      <c r="X388" s="171"/>
      <c r="Y388" s="171"/>
      <c r="Z388" s="171"/>
    </row>
    <row r="389" spans="7:26"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200"/>
      <c r="U389" s="171"/>
      <c r="V389" s="171"/>
      <c r="W389" s="171"/>
      <c r="X389" s="171"/>
      <c r="Y389" s="171"/>
      <c r="Z389" s="171"/>
    </row>
    <row r="390" spans="7:26"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200"/>
      <c r="U390" s="171"/>
      <c r="V390" s="171"/>
      <c r="W390" s="171"/>
      <c r="X390" s="171"/>
      <c r="Y390" s="171"/>
      <c r="Z390" s="171"/>
    </row>
    <row r="391" spans="7:26"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200"/>
      <c r="U391" s="171"/>
      <c r="V391" s="171"/>
      <c r="W391" s="171"/>
      <c r="X391" s="171"/>
      <c r="Y391" s="171"/>
      <c r="Z391" s="171"/>
    </row>
    <row r="392" spans="7:26"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200"/>
      <c r="U392" s="171"/>
      <c r="V392" s="171"/>
      <c r="W392" s="171"/>
      <c r="X392" s="171"/>
      <c r="Y392" s="171"/>
      <c r="Z392" s="171"/>
    </row>
    <row r="393" spans="7:26"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200"/>
      <c r="U393" s="171"/>
      <c r="V393" s="171"/>
      <c r="W393" s="171"/>
      <c r="X393" s="171"/>
      <c r="Y393" s="171"/>
      <c r="Z393" s="171"/>
    </row>
    <row r="394" spans="7:26"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200"/>
      <c r="U394" s="171"/>
      <c r="V394" s="171"/>
      <c r="W394" s="171"/>
      <c r="X394" s="171"/>
      <c r="Y394" s="171"/>
      <c r="Z394" s="171"/>
    </row>
    <row r="395" spans="7:26"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200"/>
      <c r="U395" s="171"/>
      <c r="V395" s="171"/>
      <c r="W395" s="171"/>
      <c r="X395" s="171"/>
      <c r="Y395" s="171"/>
      <c r="Z395" s="171"/>
    </row>
    <row r="396" spans="7:26"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200"/>
      <c r="U396" s="171"/>
      <c r="V396" s="171"/>
      <c r="W396" s="171"/>
      <c r="X396" s="171"/>
      <c r="Y396" s="171"/>
      <c r="Z396" s="171"/>
    </row>
    <row r="397" spans="7:26"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200"/>
      <c r="U397" s="171"/>
      <c r="V397" s="171"/>
      <c r="W397" s="171"/>
      <c r="X397" s="171"/>
      <c r="Y397" s="171"/>
      <c r="Z397" s="171"/>
    </row>
    <row r="398" spans="7:26"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200"/>
      <c r="U398" s="171"/>
      <c r="V398" s="171"/>
      <c r="W398" s="171"/>
      <c r="X398" s="171"/>
      <c r="Y398" s="171"/>
      <c r="Z398" s="171"/>
    </row>
    <row r="399" spans="7:26"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200"/>
      <c r="U399" s="171"/>
      <c r="V399" s="171"/>
      <c r="W399" s="171"/>
      <c r="X399" s="171"/>
      <c r="Y399" s="171"/>
      <c r="Z399" s="171"/>
    </row>
    <row r="400" spans="7:26"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200"/>
      <c r="U400" s="171"/>
      <c r="V400" s="171"/>
      <c r="W400" s="171"/>
      <c r="X400" s="171"/>
      <c r="Y400" s="171"/>
      <c r="Z400" s="171"/>
    </row>
    <row r="401" spans="7:26"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200"/>
      <c r="U401" s="171"/>
      <c r="V401" s="171"/>
      <c r="W401" s="171"/>
      <c r="X401" s="171"/>
      <c r="Y401" s="171"/>
      <c r="Z401" s="171"/>
    </row>
    <row r="402" spans="7:26"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200"/>
      <c r="U402" s="171"/>
      <c r="V402" s="171"/>
      <c r="W402" s="171"/>
      <c r="X402" s="171"/>
      <c r="Y402" s="171"/>
      <c r="Z402" s="171"/>
    </row>
    <row r="403" spans="7:26"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200"/>
      <c r="U403" s="171"/>
      <c r="V403" s="171"/>
      <c r="W403" s="171"/>
      <c r="X403" s="171"/>
      <c r="Y403" s="171"/>
      <c r="Z403" s="171"/>
    </row>
    <row r="404" spans="7:26"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200"/>
      <c r="U404" s="171"/>
      <c r="V404" s="171"/>
      <c r="W404" s="171"/>
      <c r="X404" s="171"/>
      <c r="Y404" s="171"/>
      <c r="Z404" s="171"/>
    </row>
    <row r="405" spans="7:26"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200"/>
      <c r="U405" s="171"/>
      <c r="V405" s="171"/>
      <c r="W405" s="171"/>
      <c r="X405" s="171"/>
      <c r="Y405" s="171"/>
      <c r="Z405" s="171"/>
    </row>
    <row r="406" spans="7:26"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200"/>
      <c r="U406" s="171"/>
      <c r="V406" s="171"/>
      <c r="W406" s="171"/>
      <c r="X406" s="171"/>
      <c r="Y406" s="171"/>
      <c r="Z406" s="171"/>
    </row>
    <row r="407" spans="7:26"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200"/>
      <c r="U407" s="171"/>
      <c r="V407" s="171"/>
      <c r="W407" s="171"/>
      <c r="X407" s="171"/>
      <c r="Y407" s="171"/>
      <c r="Z407" s="171"/>
    </row>
    <row r="408" spans="7:26"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200"/>
      <c r="U408" s="171"/>
      <c r="V408" s="171"/>
      <c r="W408" s="171"/>
      <c r="X408" s="171"/>
      <c r="Y408" s="171"/>
      <c r="Z408" s="171"/>
    </row>
    <row r="409" spans="7:26"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200"/>
      <c r="U409" s="171"/>
      <c r="V409" s="171"/>
      <c r="W409" s="171"/>
      <c r="X409" s="171"/>
      <c r="Y409" s="171"/>
      <c r="Z409" s="171"/>
    </row>
    <row r="410" spans="7:26"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200"/>
      <c r="U410" s="171"/>
      <c r="V410" s="171"/>
      <c r="W410" s="171"/>
      <c r="X410" s="171"/>
      <c r="Y410" s="171"/>
      <c r="Z410" s="171"/>
    </row>
    <row r="411" spans="7:26"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200"/>
      <c r="U411" s="171"/>
      <c r="V411" s="171"/>
      <c r="W411" s="171"/>
      <c r="X411" s="171"/>
      <c r="Y411" s="171"/>
      <c r="Z411" s="171"/>
    </row>
    <row r="412" spans="7:26"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200"/>
      <c r="U412" s="171"/>
      <c r="V412" s="171"/>
      <c r="W412" s="171"/>
      <c r="X412" s="171"/>
      <c r="Y412" s="171"/>
      <c r="Z412" s="171"/>
    </row>
    <row r="413" spans="7:26"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200"/>
      <c r="U413" s="171"/>
      <c r="V413" s="171"/>
      <c r="W413" s="171"/>
      <c r="X413" s="171"/>
      <c r="Y413" s="171"/>
      <c r="Z413" s="171"/>
    </row>
    <row r="414" spans="7:26"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200"/>
      <c r="U414" s="171"/>
      <c r="V414" s="171"/>
      <c r="W414" s="171"/>
      <c r="X414" s="171"/>
      <c r="Y414" s="171"/>
      <c r="Z414" s="171"/>
    </row>
    <row r="415" spans="7:26"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200"/>
      <c r="U415" s="171"/>
      <c r="V415" s="171"/>
      <c r="W415" s="171"/>
      <c r="X415" s="171"/>
      <c r="Y415" s="171"/>
      <c r="Z415" s="171"/>
    </row>
    <row r="416" spans="7:26"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200"/>
      <c r="U416" s="171"/>
      <c r="V416" s="171"/>
      <c r="W416" s="171"/>
      <c r="X416" s="171"/>
      <c r="Y416" s="171"/>
      <c r="Z416" s="171"/>
    </row>
    <row r="417" spans="7:26"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200"/>
      <c r="U417" s="171"/>
      <c r="V417" s="171"/>
      <c r="W417" s="171"/>
      <c r="X417" s="171"/>
      <c r="Y417" s="171"/>
      <c r="Z417" s="171"/>
    </row>
    <row r="418" spans="7:26"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200"/>
      <c r="U418" s="171"/>
      <c r="V418" s="171"/>
      <c r="W418" s="171"/>
      <c r="X418" s="171"/>
      <c r="Y418" s="171"/>
      <c r="Z418" s="171"/>
    </row>
    <row r="419" spans="7:26"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200"/>
      <c r="U419" s="171"/>
      <c r="V419" s="171"/>
      <c r="W419" s="171"/>
      <c r="X419" s="171"/>
      <c r="Y419" s="171"/>
      <c r="Z419" s="171"/>
    </row>
    <row r="420" spans="7:26"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200"/>
      <c r="U420" s="171"/>
      <c r="V420" s="171"/>
      <c r="W420" s="171"/>
      <c r="X420" s="171"/>
      <c r="Y420" s="171"/>
      <c r="Z420" s="171"/>
    </row>
    <row r="421" spans="7:26"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200"/>
      <c r="U421" s="171"/>
      <c r="V421" s="171"/>
      <c r="W421" s="171"/>
      <c r="X421" s="171"/>
      <c r="Y421" s="171"/>
      <c r="Z421" s="171"/>
    </row>
    <row r="422" spans="7:26"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200"/>
      <c r="U422" s="171"/>
      <c r="V422" s="171"/>
      <c r="W422" s="171"/>
      <c r="X422" s="171"/>
      <c r="Y422" s="171"/>
      <c r="Z422" s="171"/>
    </row>
    <row r="423" spans="7:26"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200"/>
      <c r="U423" s="171"/>
      <c r="V423" s="171"/>
      <c r="W423" s="171"/>
      <c r="X423" s="171"/>
      <c r="Y423" s="171"/>
      <c r="Z423" s="171"/>
    </row>
    <row r="424" spans="7:26"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200"/>
      <c r="U424" s="171"/>
      <c r="V424" s="171"/>
      <c r="W424" s="171"/>
      <c r="X424" s="171"/>
      <c r="Y424" s="171"/>
      <c r="Z424" s="171"/>
    </row>
    <row r="425" spans="7:26"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200"/>
      <c r="U425" s="171"/>
      <c r="V425" s="171"/>
      <c r="W425" s="171"/>
      <c r="X425" s="171"/>
      <c r="Y425" s="171"/>
      <c r="Z425" s="171"/>
    </row>
    <row r="426" spans="7:26"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200"/>
      <c r="U426" s="171"/>
      <c r="V426" s="171"/>
      <c r="W426" s="171"/>
      <c r="X426" s="171"/>
      <c r="Y426" s="171"/>
      <c r="Z426" s="171"/>
    </row>
    <row r="427" spans="7:26"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200"/>
      <c r="U427" s="171"/>
      <c r="V427" s="171"/>
      <c r="W427" s="171"/>
      <c r="X427" s="171"/>
      <c r="Y427" s="171"/>
      <c r="Z427" s="171"/>
    </row>
    <row r="428" spans="7:26"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200"/>
      <c r="U428" s="171"/>
      <c r="V428" s="171"/>
      <c r="W428" s="171"/>
      <c r="X428" s="171"/>
      <c r="Y428" s="171"/>
      <c r="Z428" s="171"/>
    </row>
    <row r="429" spans="7:26"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200"/>
      <c r="U429" s="171"/>
      <c r="V429" s="171"/>
      <c r="W429" s="171"/>
      <c r="X429" s="171"/>
      <c r="Y429" s="171"/>
      <c r="Z429" s="171"/>
    </row>
    <row r="430" spans="7:26"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200"/>
      <c r="U430" s="171"/>
      <c r="V430" s="171"/>
      <c r="W430" s="171"/>
      <c r="X430" s="171"/>
      <c r="Y430" s="171"/>
      <c r="Z430" s="171"/>
    </row>
    <row r="431" spans="7:26"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200"/>
      <c r="U431" s="171"/>
      <c r="V431" s="171"/>
      <c r="W431" s="171"/>
      <c r="X431" s="171"/>
      <c r="Y431" s="171"/>
      <c r="Z431" s="171"/>
    </row>
    <row r="432" spans="7:26"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200"/>
      <c r="U432" s="171"/>
      <c r="V432" s="171"/>
      <c r="W432" s="171"/>
      <c r="X432" s="171"/>
      <c r="Y432" s="171"/>
      <c r="Z432" s="171"/>
    </row>
    <row r="433" spans="7:26"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200"/>
      <c r="U433" s="171"/>
      <c r="V433" s="171"/>
      <c r="W433" s="171"/>
      <c r="X433" s="171"/>
      <c r="Y433" s="171"/>
      <c r="Z433" s="171"/>
    </row>
    <row r="434" spans="7:26"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200"/>
      <c r="U434" s="171"/>
      <c r="V434" s="171"/>
      <c r="W434" s="171"/>
      <c r="X434" s="171"/>
      <c r="Y434" s="171"/>
      <c r="Z434" s="171"/>
    </row>
    <row r="435" spans="7:26"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200"/>
      <c r="U435" s="171"/>
      <c r="V435" s="171"/>
      <c r="W435" s="171"/>
      <c r="X435" s="171"/>
      <c r="Y435" s="171"/>
      <c r="Z435" s="171"/>
    </row>
    <row r="436" spans="7:26"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200"/>
      <c r="U436" s="171"/>
      <c r="V436" s="171"/>
      <c r="W436" s="171"/>
      <c r="X436" s="171"/>
      <c r="Y436" s="171"/>
      <c r="Z436" s="171"/>
    </row>
    <row r="437" spans="7:26"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200"/>
      <c r="U437" s="171"/>
      <c r="V437" s="171"/>
      <c r="W437" s="171"/>
      <c r="X437" s="171"/>
      <c r="Y437" s="171"/>
      <c r="Z437" s="171"/>
    </row>
    <row r="438" spans="7:26"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200"/>
      <c r="U438" s="171"/>
      <c r="V438" s="171"/>
      <c r="W438" s="171"/>
      <c r="X438" s="171"/>
      <c r="Y438" s="171"/>
      <c r="Z438" s="171"/>
    </row>
    <row r="439" spans="7:26"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200"/>
      <c r="U439" s="171"/>
      <c r="V439" s="171"/>
      <c r="W439" s="171"/>
      <c r="X439" s="171"/>
      <c r="Y439" s="171"/>
      <c r="Z439" s="171"/>
    </row>
    <row r="440" spans="7:26"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200"/>
      <c r="U440" s="171"/>
      <c r="V440" s="171"/>
      <c r="W440" s="171"/>
      <c r="X440" s="171"/>
      <c r="Y440" s="171"/>
      <c r="Z440" s="171"/>
    </row>
    <row r="441" spans="7:26"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200"/>
      <c r="U441" s="171"/>
      <c r="V441" s="171"/>
      <c r="W441" s="171"/>
      <c r="X441" s="171"/>
      <c r="Y441" s="171"/>
      <c r="Z441" s="171"/>
    </row>
    <row r="442" spans="7:26"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200"/>
      <c r="U442" s="171"/>
      <c r="V442" s="171"/>
      <c r="W442" s="171"/>
      <c r="X442" s="171"/>
      <c r="Y442" s="171"/>
      <c r="Z442" s="171"/>
    </row>
    <row r="443" spans="7:26"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200"/>
      <c r="U443" s="171"/>
      <c r="V443" s="171"/>
      <c r="W443" s="171"/>
      <c r="X443" s="171"/>
      <c r="Y443" s="171"/>
      <c r="Z443" s="171"/>
    </row>
    <row r="444" spans="7:26"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200"/>
      <c r="U444" s="171"/>
      <c r="V444" s="171"/>
      <c r="W444" s="171"/>
      <c r="X444" s="171"/>
      <c r="Y444" s="171"/>
      <c r="Z444" s="171"/>
    </row>
    <row r="445" spans="7:26"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200"/>
      <c r="U445" s="171"/>
      <c r="V445" s="171"/>
      <c r="W445" s="171"/>
      <c r="X445" s="171"/>
      <c r="Y445" s="171"/>
      <c r="Z445" s="171"/>
    </row>
    <row r="446" spans="7:26"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200"/>
      <c r="U446" s="171"/>
      <c r="V446" s="171"/>
      <c r="W446" s="171"/>
      <c r="X446" s="171"/>
      <c r="Y446" s="171"/>
      <c r="Z446" s="171"/>
    </row>
    <row r="447" spans="7:26"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200"/>
      <c r="U447" s="171"/>
      <c r="V447" s="171"/>
      <c r="W447" s="171"/>
      <c r="X447" s="171"/>
      <c r="Y447" s="171"/>
      <c r="Z447" s="171"/>
    </row>
    <row r="448" spans="7:26"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200"/>
      <c r="U448" s="171"/>
      <c r="V448" s="171"/>
      <c r="W448" s="171"/>
      <c r="X448" s="171"/>
      <c r="Y448" s="171"/>
      <c r="Z448" s="171"/>
    </row>
    <row r="449" spans="7:26"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200"/>
      <c r="U449" s="171"/>
      <c r="V449" s="171"/>
      <c r="W449" s="171"/>
      <c r="X449" s="171"/>
      <c r="Y449" s="171"/>
      <c r="Z449" s="171"/>
    </row>
    <row r="450" spans="7:26"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200"/>
      <c r="U450" s="171"/>
      <c r="V450" s="171"/>
      <c r="W450" s="171"/>
      <c r="X450" s="171"/>
      <c r="Y450" s="171"/>
      <c r="Z450" s="171"/>
    </row>
    <row r="451" spans="7:26"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200"/>
      <c r="U451" s="171"/>
      <c r="V451" s="171"/>
      <c r="W451" s="171"/>
      <c r="X451" s="171"/>
      <c r="Y451" s="171"/>
      <c r="Z451" s="171"/>
    </row>
    <row r="452" spans="7:26"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200"/>
      <c r="U452" s="171"/>
      <c r="V452" s="171"/>
      <c r="W452" s="171"/>
      <c r="X452" s="171"/>
      <c r="Y452" s="171"/>
      <c r="Z452" s="171"/>
    </row>
    <row r="453" spans="7:26"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200"/>
      <c r="U453" s="171"/>
      <c r="V453" s="171"/>
      <c r="W453" s="171"/>
      <c r="X453" s="171"/>
      <c r="Y453" s="171"/>
      <c r="Z453" s="171"/>
    </row>
    <row r="454" spans="7:26"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200"/>
      <c r="U454" s="171"/>
      <c r="V454" s="171"/>
      <c r="W454" s="171"/>
      <c r="X454" s="171"/>
      <c r="Y454" s="171"/>
      <c r="Z454" s="171"/>
    </row>
    <row r="455" spans="7:26"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200"/>
      <c r="U455" s="171"/>
      <c r="V455" s="171"/>
      <c r="W455" s="171"/>
      <c r="X455" s="171"/>
      <c r="Y455" s="171"/>
      <c r="Z455" s="171"/>
    </row>
    <row r="456" spans="7:26"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200"/>
      <c r="U456" s="171"/>
      <c r="V456" s="171"/>
      <c r="W456" s="171"/>
      <c r="X456" s="171"/>
      <c r="Y456" s="171"/>
      <c r="Z456" s="171"/>
    </row>
    <row r="457" spans="7:26"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200"/>
      <c r="U457" s="171"/>
      <c r="V457" s="171"/>
      <c r="W457" s="171"/>
      <c r="X457" s="171"/>
      <c r="Y457" s="171"/>
      <c r="Z457" s="171"/>
    </row>
    <row r="458" spans="7:26"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200"/>
      <c r="U458" s="171"/>
      <c r="V458" s="171"/>
      <c r="W458" s="171"/>
      <c r="X458" s="171"/>
      <c r="Y458" s="171"/>
      <c r="Z458" s="171"/>
    </row>
    <row r="459" spans="7:26"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200"/>
      <c r="U459" s="171"/>
      <c r="V459" s="171"/>
      <c r="W459" s="171"/>
      <c r="X459" s="171"/>
      <c r="Y459" s="171"/>
      <c r="Z459" s="171"/>
    </row>
    <row r="460" spans="7:26"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200"/>
      <c r="U460" s="171"/>
      <c r="V460" s="171"/>
      <c r="W460" s="171"/>
      <c r="X460" s="171"/>
      <c r="Y460" s="171"/>
      <c r="Z460" s="171"/>
    </row>
    <row r="461" spans="7:26"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200"/>
      <c r="U461" s="171"/>
      <c r="V461" s="171"/>
      <c r="W461" s="171"/>
      <c r="X461" s="171"/>
      <c r="Y461" s="171"/>
      <c r="Z461" s="171"/>
    </row>
    <row r="462" spans="7:26"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200"/>
      <c r="U462" s="171"/>
      <c r="V462" s="171"/>
      <c r="W462" s="171"/>
      <c r="X462" s="171"/>
      <c r="Y462" s="171"/>
      <c r="Z462" s="171"/>
    </row>
    <row r="463" spans="7:26"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200"/>
      <c r="U463" s="171"/>
      <c r="V463" s="171"/>
      <c r="W463" s="171"/>
      <c r="X463" s="171"/>
      <c r="Y463" s="171"/>
      <c r="Z463" s="171"/>
    </row>
    <row r="464" spans="7:26"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200"/>
      <c r="U464" s="171"/>
      <c r="V464" s="171"/>
      <c r="W464" s="171"/>
      <c r="X464" s="171"/>
      <c r="Y464" s="171"/>
      <c r="Z464" s="171"/>
    </row>
  </sheetData>
  <mergeCells count="3">
    <mergeCell ref="A1:F1"/>
    <mergeCell ref="C3:D3"/>
    <mergeCell ref="A2:F2"/>
  </mergeCells>
  <pageMargins left="0.25" right="0.25" top="0.75" bottom="0.75" header="0.3" footer="0.3"/>
  <pageSetup scale="34" fitToHeight="0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2023-11-14T08:00:00+00:00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230961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34F481A65663F4CBE2FB9CE2FB5F9B6" ma:contentTypeVersion="24" ma:contentTypeDescription="" ma:contentTypeScope="" ma:versionID="e3c1e5b04989b7713fc08af581c5d9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3.xml><?xml version="1.0" encoding="utf-8"?>
<ds:datastoreItem xmlns:ds="http://schemas.openxmlformats.org/officeDocument/2006/customXml" ds:itemID="{E6EBC916-80A3-49F9-8AEF-C91D66AD398E}"/>
</file>

<file path=customXml/itemProps4.xml><?xml version="1.0" encoding="utf-8"?>
<ds:datastoreItem xmlns:ds="http://schemas.openxmlformats.org/officeDocument/2006/customXml" ds:itemID="{A9B9612D-1404-45D3-8A66-DDCF7E499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Tariff Changes</vt:lpstr>
      <vt:lpstr>Price Out Rates</vt:lpstr>
      <vt:lpstr>References</vt:lpstr>
      <vt:lpstr>Disposal Summary (with IC)</vt:lpstr>
      <vt:lpstr>'Disposal Summary (with IC)'!Print_Titles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Easley, Maria</cp:lastModifiedBy>
  <cp:lastPrinted>2018-11-09T21:11:35Z</cp:lastPrinted>
  <dcterms:created xsi:type="dcterms:W3CDTF">2013-10-29T22:33:54Z</dcterms:created>
  <dcterms:modified xsi:type="dcterms:W3CDTF">2023-11-09T01:43:57Z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0x0101006E56B4D1795A2E4DB2F0B01679ED314A00C34F481A65663F4CBE2FB9CE2FB5F9B6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