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dvice Filings - WA/2023 Advice Filings/23-xx_CCA_Cost_Recovery/"/>
    </mc:Choice>
  </mc:AlternateContent>
  <xr:revisionPtr revIDLastSave="0" documentId="13_ncr:1_{11A1869B-5330-45B3-A5C7-222C58CC9C97}" xr6:coauthVersionLast="47" xr6:coauthVersionMax="47" xr10:uidLastSave="{00000000-0000-0000-0000-000000000000}"/>
  <bookViews>
    <workbookView xWindow="29940" yWindow="1140" windowWidth="21600" windowHeight="11265" activeTab="3" xr2:uid="{4975A6F4-77CE-4A45-A2C8-A2E642055772}"/>
  </bookViews>
  <sheets>
    <sheet name="Cost Allocation = cent per th." sheetId="1" r:id="rId1"/>
    <sheet name="Revenue Effects" sheetId="4" r:id="rId2"/>
    <sheet name="Revenue Credits" sheetId="3" r:id="rId3"/>
    <sheet name="Avg Bill by RS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'Cost Allocation = cent per th.'!$A$7:$L$90</definedName>
    <definedName name="calcsheet1">#N/A</definedName>
    <definedName name="calcsheet2">#N/A</definedName>
    <definedName name="calcsheet3">#N/A</definedName>
    <definedName name="CMonth">#REF!</definedName>
    <definedName name="CYTD">#REF!</definedName>
    <definedName name="Differences">#REF!</definedName>
    <definedName name="DivM">#REF!</definedName>
    <definedName name="DivY">#REF!</definedName>
    <definedName name="EFFDATE">[1]Inputs!$B$63</definedName>
    <definedName name="EMonth">[2]Data!$G$4:$G$4,[2]Data!#REF!</definedName>
    <definedName name="ExpM">#REF!</definedName>
    <definedName name="ExpY">#REF!</definedName>
    <definedName name="EYTD">[2]Data!#REF!,[2]Data!#REF!</definedName>
    <definedName name="Month">#REF!</definedName>
    <definedName name="Pal_Workbook_GUID" hidden="1">"VX3CWJGNQX2CCGI81U4N2V76"</definedName>
    <definedName name="_xlnm.Print_Area" localSheetId="3">'Avg Bill by RS'!$A$1:$M$102</definedName>
    <definedName name="_xlnm.Print_Area" localSheetId="0">'Cost Allocation = cent per th.'!$A$1:$K$88</definedName>
    <definedName name="_xlnm.Print_Area" localSheetId="2">'Revenue Credits'!$A$1:$E$45</definedName>
    <definedName name="_xlnm.Print_Titles" localSheetId="3">'Avg Bill by RS'!$A:$I</definedName>
    <definedName name="_xlnm.Print_Titles" localSheetId="0">'Cost Allocation = cent per th.'!$A:$M</definedName>
    <definedName name="print55">#REF!</definedName>
    <definedName name="RevM">#REF!</definedName>
    <definedName name="revsens">[1]Inputs!$B$30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>#REF!</definedName>
    <definedName name="shitodear">#N/A</definedName>
    <definedName name="shitodear2">#N/A</definedName>
    <definedName name="shitodear3">#N/A</definedName>
    <definedName name="Version">#REF!</definedName>
    <definedName name="wa_revsens">'[3]General Inputs'!$E$10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2" l="1"/>
  <c r="C15" i="4"/>
  <c r="D44" i="3" l="1"/>
  <c r="C44" i="3"/>
  <c r="D43" i="3"/>
  <c r="C43" i="3"/>
  <c r="D42" i="3"/>
  <c r="C42" i="3"/>
  <c r="D41" i="3"/>
  <c r="C41" i="3"/>
  <c r="C22" i="4" l="1"/>
  <c r="B22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96" i="2" l="1"/>
  <c r="A97" i="2" s="1"/>
  <c r="A98" i="2" s="1"/>
  <c r="A99" i="2" s="1"/>
  <c r="A100" i="2" s="1"/>
  <c r="A101" i="2" s="1"/>
  <c r="A102" i="2" s="1"/>
  <c r="D45" i="3"/>
  <c r="C45" i="3"/>
  <c r="C36" i="3"/>
  <c r="D36" i="3"/>
  <c r="C37" i="3"/>
  <c r="D37" i="3"/>
  <c r="C38" i="3"/>
  <c r="D38" i="3"/>
  <c r="C39" i="3"/>
  <c r="D39" i="3"/>
  <c r="C40" i="3"/>
  <c r="D40" i="3"/>
  <c r="D35" i="3"/>
  <c r="C3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5" i="3"/>
  <c r="E42" i="3" l="1"/>
  <c r="E44" i="3"/>
  <c r="E43" i="3"/>
  <c r="E38" i="3"/>
  <c r="E37" i="3"/>
  <c r="L15" i="2" s="1"/>
  <c r="E36" i="3"/>
  <c r="E35" i="3"/>
  <c r="E45" i="3"/>
  <c r="E41" i="3"/>
  <c r="E40" i="3"/>
  <c r="E39" i="3"/>
  <c r="F16" i="2" l="1"/>
  <c r="F17" i="2"/>
  <c r="F18" i="2"/>
  <c r="F14" i="2"/>
  <c r="F13" i="2"/>
  <c r="J76" i="1" l="1"/>
  <c r="J75" i="1"/>
  <c r="J74" i="1"/>
  <c r="J73" i="1"/>
  <c r="J50" i="1"/>
  <c r="J49" i="1"/>
  <c r="D94" i="2"/>
  <c r="D95" i="2"/>
  <c r="F95" i="2" s="1"/>
  <c r="D93" i="2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8" i="1"/>
  <c r="J79" i="1"/>
  <c r="J80" i="1"/>
  <c r="J81" i="1"/>
  <c r="J13" i="1"/>
  <c r="J77" i="1" l="1"/>
  <c r="L8" i="2" l="1"/>
  <c r="M8" i="2" s="1"/>
  <c r="H87" i="2" l="1"/>
  <c r="H88" i="2"/>
  <c r="H89" i="2"/>
  <c r="H90" i="2"/>
  <c r="H91" i="2"/>
  <c r="H86" i="2"/>
  <c r="H80" i="2"/>
  <c r="H81" i="2"/>
  <c r="H82" i="2"/>
  <c r="H83" i="2"/>
  <c r="H84" i="2"/>
  <c r="H79" i="2"/>
  <c r="H73" i="2"/>
  <c r="H74" i="2"/>
  <c r="H75" i="2"/>
  <c r="H76" i="2"/>
  <c r="H77" i="2"/>
  <c r="H72" i="2"/>
  <c r="H66" i="2"/>
  <c r="H67" i="2"/>
  <c r="H68" i="2"/>
  <c r="H69" i="2"/>
  <c r="H70" i="2"/>
  <c r="H65" i="2"/>
  <c r="H59" i="2"/>
  <c r="H60" i="2"/>
  <c r="H61" i="2"/>
  <c r="H62" i="2"/>
  <c r="H63" i="2"/>
  <c r="H58" i="2"/>
  <c r="H52" i="2"/>
  <c r="H53" i="2"/>
  <c r="H54" i="2"/>
  <c r="H55" i="2"/>
  <c r="H56" i="2"/>
  <c r="H51" i="2"/>
  <c r="H45" i="2"/>
  <c r="H46" i="2"/>
  <c r="H47" i="2"/>
  <c r="H48" i="2"/>
  <c r="H49" i="2"/>
  <c r="H44" i="2"/>
  <c r="H38" i="2"/>
  <c r="H39" i="2"/>
  <c r="H40" i="2"/>
  <c r="H41" i="2"/>
  <c r="H42" i="2"/>
  <c r="H37" i="2"/>
  <c r="H35" i="2"/>
  <c r="H34" i="2"/>
  <c r="H32" i="2"/>
  <c r="H31" i="2"/>
  <c r="H29" i="2"/>
  <c r="H28" i="2"/>
  <c r="H26" i="2"/>
  <c r="H25" i="2"/>
  <c r="H23" i="2"/>
  <c r="H22" i="2"/>
  <c r="H20" i="2"/>
  <c r="H19" i="2"/>
  <c r="H18" i="2"/>
  <c r="H17" i="2"/>
  <c r="H16" i="2"/>
  <c r="H15" i="2"/>
  <c r="H14" i="2"/>
  <c r="H13" i="2"/>
  <c r="G94" i="2"/>
  <c r="G93" i="2"/>
  <c r="G86" i="2"/>
  <c r="G79" i="2"/>
  <c r="G72" i="2"/>
  <c r="G65" i="2"/>
  <c r="G58" i="2"/>
  <c r="G51" i="2"/>
  <c r="G44" i="2"/>
  <c r="G37" i="2"/>
  <c r="G34" i="2"/>
  <c r="G31" i="2"/>
  <c r="G28" i="2"/>
  <c r="G25" i="2"/>
  <c r="G22" i="2"/>
  <c r="G19" i="2"/>
  <c r="G18" i="2"/>
  <c r="G17" i="2"/>
  <c r="G16" i="2"/>
  <c r="G15" i="2"/>
  <c r="G14" i="2"/>
  <c r="G13" i="2"/>
  <c r="D87" i="2"/>
  <c r="D88" i="2"/>
  <c r="D89" i="2"/>
  <c r="D90" i="2"/>
  <c r="D91" i="2"/>
  <c r="D86" i="2"/>
  <c r="D80" i="2"/>
  <c r="D81" i="2"/>
  <c r="D82" i="2"/>
  <c r="D83" i="2"/>
  <c r="D84" i="2"/>
  <c r="D79" i="2"/>
  <c r="D73" i="2"/>
  <c r="D74" i="2"/>
  <c r="D75" i="2"/>
  <c r="D76" i="2"/>
  <c r="D77" i="2"/>
  <c r="D72" i="2"/>
  <c r="D66" i="2"/>
  <c r="D67" i="2"/>
  <c r="D68" i="2"/>
  <c r="D69" i="2"/>
  <c r="D70" i="2"/>
  <c r="D65" i="2"/>
  <c r="D59" i="2"/>
  <c r="D60" i="2"/>
  <c r="D61" i="2"/>
  <c r="D62" i="2"/>
  <c r="D63" i="2"/>
  <c r="D58" i="2"/>
  <c r="D52" i="2"/>
  <c r="D53" i="2"/>
  <c r="D54" i="2"/>
  <c r="D55" i="2"/>
  <c r="D56" i="2"/>
  <c r="D51" i="2"/>
  <c r="D45" i="2"/>
  <c r="D46" i="2"/>
  <c r="D47" i="2"/>
  <c r="D48" i="2"/>
  <c r="D49" i="2"/>
  <c r="D44" i="2"/>
  <c r="D38" i="2"/>
  <c r="D39" i="2"/>
  <c r="D40" i="2"/>
  <c r="D41" i="2"/>
  <c r="D42" i="2"/>
  <c r="D37" i="2"/>
  <c r="F37" i="2" s="1"/>
  <c r="D35" i="2"/>
  <c r="D34" i="2"/>
  <c r="D32" i="2"/>
  <c r="D31" i="2"/>
  <c r="D29" i="2"/>
  <c r="D28" i="2"/>
  <c r="D26" i="2"/>
  <c r="D25" i="2"/>
  <c r="D23" i="2"/>
  <c r="D22" i="2"/>
  <c r="F22" i="2" s="1"/>
  <c r="D20" i="2"/>
  <c r="D19" i="2"/>
  <c r="F19" i="2" s="1"/>
  <c r="D18" i="2"/>
  <c r="D17" i="2"/>
  <c r="D16" i="2"/>
  <c r="D14" i="2"/>
  <c r="D13" i="2"/>
  <c r="B34" i="2"/>
  <c r="B31" i="2"/>
  <c r="F65" i="2" l="1"/>
  <c r="F31" i="2"/>
  <c r="I33" i="2" s="1"/>
  <c r="F51" i="2"/>
  <c r="F44" i="2"/>
  <c r="F72" i="2"/>
  <c r="F58" i="2"/>
  <c r="F86" i="2"/>
  <c r="I92" i="2" s="1"/>
  <c r="I13" i="2"/>
  <c r="I14" i="2"/>
  <c r="I24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J8" i="1"/>
  <c r="J10" i="1"/>
  <c r="I27" i="2" l="1"/>
  <c r="I94" i="2"/>
  <c r="I93" i="2"/>
  <c r="I85" i="2"/>
  <c r="I78" i="2"/>
  <c r="I71" i="2"/>
  <c r="I64" i="2"/>
  <c r="I57" i="2"/>
  <c r="I50" i="2"/>
  <c r="I43" i="2"/>
  <c r="I36" i="2"/>
  <c r="I30" i="2"/>
  <c r="I21" i="2"/>
  <c r="I18" i="2"/>
  <c r="I17" i="2"/>
  <c r="I16" i="2"/>
  <c r="H10" i="2"/>
  <c r="I10" i="2" s="1"/>
  <c r="H9" i="2"/>
  <c r="H8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" i="2"/>
  <c r="A1" i="2"/>
  <c r="A25" i="2" l="1"/>
  <c r="A26" i="2" s="1"/>
  <c r="A22" i="2"/>
  <c r="A23" i="2" s="1"/>
  <c r="A24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93" i="2" s="1"/>
  <c r="A94" i="2" s="1"/>
  <c r="A95" i="2" s="1"/>
  <c r="A86" i="2" l="1"/>
  <c r="A87" i="2" s="1"/>
  <c r="A88" i="2" s="1"/>
  <c r="A89" i="2" s="1"/>
  <c r="A90" i="2" s="1"/>
  <c r="A91" i="2" s="1"/>
  <c r="A92" i="2" s="1"/>
  <c r="F15" i="2" l="1"/>
  <c r="J15" i="1"/>
  <c r="J85" i="1" s="1"/>
  <c r="D85" i="1"/>
  <c r="D15" i="2"/>
  <c r="I15" i="2" l="1"/>
  <c r="I8" i="1"/>
  <c r="I10" i="1" s="1"/>
  <c r="C18" i="4" l="1"/>
  <c r="C24" i="4" s="1"/>
  <c r="K85" i="1"/>
  <c r="K17" i="1" l="1"/>
  <c r="K81" i="1"/>
  <c r="N81" i="1" s="1"/>
  <c r="K51" i="1"/>
  <c r="K44" i="1"/>
  <c r="K37" i="1"/>
  <c r="K22" i="1"/>
  <c r="K15" i="1"/>
  <c r="K79" i="1"/>
  <c r="K56" i="1"/>
  <c r="K13" i="1"/>
  <c r="K67" i="1"/>
  <c r="K53" i="1"/>
  <c r="K31" i="1"/>
  <c r="K72" i="1"/>
  <c r="K50" i="1"/>
  <c r="K55" i="1"/>
  <c r="K65" i="1"/>
  <c r="K66" i="1"/>
  <c r="K25" i="1"/>
  <c r="K26" i="1"/>
  <c r="K59" i="1"/>
  <c r="K52" i="1"/>
  <c r="K45" i="1"/>
  <c r="K30" i="1"/>
  <c r="K23" i="1"/>
  <c r="K34" i="1"/>
  <c r="K64" i="1"/>
  <c r="K33" i="1"/>
  <c r="K60" i="1"/>
  <c r="K38" i="1"/>
  <c r="K58" i="1"/>
  <c r="K20" i="1"/>
  <c r="K62" i="1"/>
  <c r="K21" i="1"/>
  <c r="K40" i="1"/>
  <c r="K41" i="1"/>
  <c r="K18" i="1"/>
  <c r="K75" i="1"/>
  <c r="K68" i="1"/>
  <c r="K61" i="1"/>
  <c r="K46" i="1"/>
  <c r="K39" i="1"/>
  <c r="K16" i="1"/>
  <c r="K80" i="1"/>
  <c r="K57" i="1"/>
  <c r="K77" i="1"/>
  <c r="K35" i="1"/>
  <c r="K70" i="1"/>
  <c r="K49" i="1"/>
  <c r="K19" i="1"/>
  <c r="K74" i="1"/>
  <c r="K76" i="1"/>
  <c r="K69" i="1"/>
  <c r="K54" i="1"/>
  <c r="K47" i="1"/>
  <c r="K24" i="1"/>
  <c r="K42" i="1"/>
  <c r="K27" i="1"/>
  <c r="K32" i="1"/>
  <c r="K28" i="1"/>
  <c r="K63" i="1"/>
  <c r="K73" i="1"/>
  <c r="K43" i="1"/>
  <c r="K36" i="1"/>
  <c r="K29" i="1"/>
  <c r="K14" i="1"/>
  <c r="K78" i="1"/>
  <c r="K71" i="1"/>
  <c r="K48" i="1"/>
  <c r="K82" i="2" l="1"/>
  <c r="N70" i="1"/>
  <c r="K65" i="2"/>
  <c r="N55" i="1"/>
  <c r="K55" i="2"/>
  <c r="N47" i="1"/>
  <c r="K68" i="2"/>
  <c r="N58" i="1"/>
  <c r="K86" i="2"/>
  <c r="N73" i="1"/>
  <c r="K63" i="2"/>
  <c r="N54" i="1"/>
  <c r="K90" i="2"/>
  <c r="N77" i="1"/>
  <c r="K88" i="2"/>
  <c r="N75" i="1"/>
  <c r="K45" i="2"/>
  <c r="N38" i="1"/>
  <c r="K61" i="2"/>
  <c r="N52" i="1"/>
  <c r="K84" i="2"/>
  <c r="N72" i="1"/>
  <c r="K23" i="2"/>
  <c r="N22" i="1"/>
  <c r="K42" i="2"/>
  <c r="N36" i="1"/>
  <c r="K35" i="2"/>
  <c r="N30" i="1"/>
  <c r="K51" i="2"/>
  <c r="N43" i="1"/>
  <c r="K53" i="2"/>
  <c r="N45" i="1"/>
  <c r="K56" i="2"/>
  <c r="N48" i="1"/>
  <c r="K81" i="2"/>
  <c r="N69" i="1"/>
  <c r="K67" i="2"/>
  <c r="N57" i="1"/>
  <c r="K70" i="2"/>
  <c r="N60" i="1"/>
  <c r="K69" i="2"/>
  <c r="N59" i="1"/>
  <c r="K37" i="2"/>
  <c r="N31" i="1"/>
  <c r="K44" i="2"/>
  <c r="L50" i="2" s="1"/>
  <c r="N37" i="1"/>
  <c r="K72" i="2"/>
  <c r="N61" i="1"/>
  <c r="K74" i="2"/>
  <c r="N63" i="1"/>
  <c r="K18" i="2"/>
  <c r="N18" i="1"/>
  <c r="K83" i="2"/>
  <c r="N71" i="1"/>
  <c r="K32" i="2"/>
  <c r="N28" i="1"/>
  <c r="K89" i="2"/>
  <c r="N76" i="1"/>
  <c r="K94" i="2"/>
  <c r="L94" i="2" s="1"/>
  <c r="M94" i="2" s="1"/>
  <c r="N80" i="1"/>
  <c r="K48" i="2"/>
  <c r="N41" i="1"/>
  <c r="K39" i="2"/>
  <c r="N33" i="1"/>
  <c r="K29" i="2"/>
  <c r="N26" i="1"/>
  <c r="K62" i="2"/>
  <c r="N53" i="1"/>
  <c r="K52" i="2"/>
  <c r="N44" i="1"/>
  <c r="K59" i="2"/>
  <c r="N50" i="1"/>
  <c r="K91" i="2"/>
  <c r="N78" i="1"/>
  <c r="K38" i="2"/>
  <c r="N32" i="1"/>
  <c r="K87" i="2"/>
  <c r="N74" i="1"/>
  <c r="K16" i="2"/>
  <c r="N16" i="1"/>
  <c r="N40" i="1"/>
  <c r="K47" i="2"/>
  <c r="K75" i="2"/>
  <c r="N64" i="1"/>
  <c r="K28" i="2"/>
  <c r="L30" i="2" s="1"/>
  <c r="M30" i="2" s="1"/>
  <c r="N25" i="1"/>
  <c r="N67" i="1"/>
  <c r="K79" i="2"/>
  <c r="K60" i="2"/>
  <c r="N51" i="1"/>
  <c r="K26" i="2"/>
  <c r="N24" i="1"/>
  <c r="K93" i="2"/>
  <c r="L93" i="2" s="1"/>
  <c r="M93" i="2" s="1"/>
  <c r="N79" i="1"/>
  <c r="K41" i="2"/>
  <c r="N35" i="1"/>
  <c r="K80" i="2"/>
  <c r="N68" i="1"/>
  <c r="K31" i="2"/>
  <c r="N27" i="1"/>
  <c r="K46" i="2"/>
  <c r="N39" i="1"/>
  <c r="K40" i="2"/>
  <c r="N34" i="1"/>
  <c r="K77" i="2"/>
  <c r="N66" i="1"/>
  <c r="K13" i="2"/>
  <c r="N13" i="1"/>
  <c r="K20" i="2"/>
  <c r="N20" i="1"/>
  <c r="K15" i="2"/>
  <c r="N15" i="1"/>
  <c r="K14" i="2"/>
  <c r="N14" i="1"/>
  <c r="K19" i="2"/>
  <c r="N19" i="1"/>
  <c r="K22" i="2"/>
  <c r="L24" i="2" s="1"/>
  <c r="N21" i="1"/>
  <c r="K34" i="2"/>
  <c r="L36" i="2" s="1"/>
  <c r="M36" i="2" s="1"/>
  <c r="N29" i="1"/>
  <c r="K49" i="2"/>
  <c r="N42" i="1"/>
  <c r="K58" i="2"/>
  <c r="N49" i="1"/>
  <c r="K54" i="2"/>
  <c r="N46" i="1"/>
  <c r="K73" i="2"/>
  <c r="N62" i="1"/>
  <c r="K25" i="2"/>
  <c r="L27" i="2" s="1"/>
  <c r="M27" i="2" s="1"/>
  <c r="N23" i="1"/>
  <c r="K76" i="2"/>
  <c r="N65" i="1"/>
  <c r="K66" i="2"/>
  <c r="N56" i="1"/>
  <c r="N17" i="1"/>
  <c r="K17" i="2"/>
  <c r="L43" i="2" l="1"/>
  <c r="L78" i="2"/>
  <c r="L57" i="2"/>
  <c r="M57" i="2" s="1"/>
  <c r="L64" i="2"/>
  <c r="M64" i="2" s="1"/>
  <c r="L33" i="2"/>
  <c r="M33" i="2" s="1"/>
  <c r="L18" i="2"/>
  <c r="M18" i="2" s="1"/>
  <c r="L71" i="2"/>
  <c r="M71" i="2" s="1"/>
  <c r="L92" i="2"/>
  <c r="M92" i="2" s="1"/>
  <c r="L13" i="2"/>
  <c r="M13" i="2" s="1"/>
  <c r="L17" i="2"/>
  <c r="M17" i="2" s="1"/>
  <c r="L85" i="2"/>
  <c r="M85" i="2" s="1"/>
  <c r="M15" i="2"/>
  <c r="M16" i="2"/>
  <c r="L21" i="2"/>
  <c r="M21" i="2" s="1"/>
  <c r="L14" i="2"/>
  <c r="M14" i="2" s="1"/>
  <c r="M50" i="2"/>
  <c r="N83" i="1"/>
  <c r="N84" i="1" s="1"/>
  <c r="M78" i="2"/>
  <c r="M24" i="2"/>
  <c r="M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</author>
  </authors>
  <commentList>
    <comment ref="D15" authorId="0" shapeId="0" xr:uid="{C397985A-162B-46CB-A04D-B144112148E1}">
      <text>
        <r>
          <rPr>
            <b/>
            <sz val="9"/>
            <color indexed="81"/>
            <rFont val="Tahoma"/>
            <charset val="1"/>
          </rPr>
          <t>Walker, Kyle:</t>
        </r>
        <r>
          <rPr>
            <sz val="9"/>
            <color indexed="81"/>
            <rFont val="Tahoma"/>
            <charset val="1"/>
          </rPr>
          <t xml:space="preserve">
Low-income volumes are being removed.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</author>
  </authors>
  <commentList>
    <comment ref="B10" authorId="0" shapeId="0" xr:uid="{A208519C-D85B-4EF0-9B7E-CAEF549B1ACB}">
      <text>
        <r>
          <rPr>
            <b/>
            <sz val="9"/>
            <color indexed="81"/>
            <rFont val="Tahoma"/>
            <family val="2"/>
          </rPr>
          <t>Walker, Kyle:</t>
        </r>
        <r>
          <rPr>
            <sz val="9"/>
            <color indexed="81"/>
            <rFont val="Tahoma"/>
            <family val="2"/>
          </rPr>
          <t xml:space="preserve">
Assume no existing customers are before July 2021 on Dry Out Schedule</t>
        </r>
      </text>
    </comment>
  </commentList>
</comments>
</file>

<file path=xl/sharedStrings.xml><?xml version="1.0" encoding="utf-8"?>
<sst xmlns="http://schemas.openxmlformats.org/spreadsheetml/2006/main" count="356" uniqueCount="150">
  <si>
    <t>Billing</t>
  </si>
  <si>
    <t>Proposed Amount:</t>
  </si>
  <si>
    <t>Customer</t>
  </si>
  <si>
    <t>Total</t>
  </si>
  <si>
    <t>Revenue Sensitive Multiplier:</t>
  </si>
  <si>
    <t>add revenue sensitive factor</t>
  </si>
  <si>
    <t>Rate</t>
  </si>
  <si>
    <t>Charge</t>
  </si>
  <si>
    <t>Customers</t>
  </si>
  <si>
    <t>Amount to Amortize:</t>
  </si>
  <si>
    <t>Multiplier</t>
  </si>
  <si>
    <t>Increment</t>
  </si>
  <si>
    <t>Schedule</t>
  </si>
  <si>
    <t>Block</t>
  </si>
  <si>
    <t>A</t>
  </si>
  <si>
    <t>B</t>
  </si>
  <si>
    <t>C</t>
  </si>
  <si>
    <t>D</t>
  </si>
  <si>
    <t>E</t>
  </si>
  <si>
    <t>G</t>
  </si>
  <si>
    <t>H</t>
  </si>
  <si>
    <t>S</t>
  </si>
  <si>
    <t>T</t>
  </si>
  <si>
    <t>U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</si>
  <si>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</si>
  <si>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</si>
  <si>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</si>
  <si>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</si>
  <si>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</si>
  <si>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</si>
  <si>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</si>
  <si>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</si>
  <si>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41C Interr Sales</t>
  </si>
  <si>
    <t>41I Firm Sales</t>
  </si>
  <si>
    <t>41I Interr Sales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</si>
  <si>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</si>
  <si>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</si>
  <si>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</si>
  <si>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</si>
  <si>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</si>
  <si>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</si>
  <si>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</si>
  <si>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</si>
  <si>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</si>
  <si>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</si>
  <si>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43 Firm Trans</t>
  </si>
  <si>
    <t>43 Interr Trans</t>
  </si>
  <si>
    <t>Intentionally blank</t>
  </si>
  <si>
    <t>Totals</t>
  </si>
  <si>
    <t>Tariff Schedules:</t>
  </si>
  <si>
    <t>Schedule #</t>
  </si>
  <si>
    <t>Note: Allocation to rate schedules or blocks with zero volumes is calculated on an overall margin percentage change basis.</t>
  </si>
  <si>
    <t>Calculation of Effect on Customer Average Bill by Rate Schedule [1]</t>
  </si>
  <si>
    <t>Normal</t>
  </si>
  <si>
    <t>Current</t>
  </si>
  <si>
    <t>Proposed</t>
  </si>
  <si>
    <t>Therms</t>
  </si>
  <si>
    <t>Minimum</t>
  </si>
  <si>
    <t>Therms in</t>
  </si>
  <si>
    <t>Monthly</t>
  </si>
  <si>
    <t>Rates</t>
  </si>
  <si>
    <t>Average Bill</t>
  </si>
  <si>
    <t>F=D+(C * E)</t>
  </si>
  <si>
    <t>F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</si>
  <si>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</si>
  <si>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</si>
  <si>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</si>
  <si>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</si>
  <si>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</si>
  <si>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</si>
  <si>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</si>
  <si>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NW Natural</t>
  </si>
  <si>
    <t>Rates &amp; Regulatory Affairs</t>
  </si>
  <si>
    <t>PROOF:</t>
  </si>
  <si>
    <t>Diff.</t>
  </si>
  <si>
    <t>&lt;&lt;-- Deemed immaterial</t>
  </si>
  <si>
    <t>Volumes</t>
  </si>
  <si>
    <t>Average Use</t>
  </si>
  <si>
    <t>Bill</t>
  </si>
  <si>
    <t>Average</t>
  </si>
  <si>
    <t>[2]</t>
  </si>
  <si>
    <t>I</t>
  </si>
  <si>
    <t>T = D+(C*G)</t>
  </si>
  <si>
    <t>I=(K-I)/I</t>
  </si>
  <si>
    <t>Effects on Average Bill by Rate Schedule</t>
  </si>
  <si>
    <t xml:space="preserve">PGA </t>
  </si>
  <si>
    <t>n/a</t>
  </si>
  <si>
    <t>27R</t>
  </si>
  <si>
    <t>41C Firm Transpt</t>
  </si>
  <si>
    <t>41I Firm Transpt</t>
  </si>
  <si>
    <t>42C Firm Transpt</t>
  </si>
  <si>
    <t>42I Firm Transpt</t>
  </si>
  <si>
    <t>42C Inter Transpt</t>
  </si>
  <si>
    <t>42I Inter Transpt</t>
  </si>
  <si>
    <t>43 Firm Transpt</t>
  </si>
  <si>
    <t>43 Interr Transpt</t>
  </si>
  <si>
    <t>Special Contract</t>
  </si>
  <si>
    <t>42C Inter Trans</t>
  </si>
  <si>
    <t>42I Inter Trans</t>
  </si>
  <si>
    <t>J</t>
  </si>
  <si>
    <t>CCA Recovery</t>
  </si>
  <si>
    <t>Schedule 1 Residential</t>
  </si>
  <si>
    <t>Schedule 1 Commercial</t>
  </si>
  <si>
    <t>Schedule 2</t>
  </si>
  <si>
    <t>Schedule 3 Commercial</t>
  </si>
  <si>
    <t>Schedule 3 Industrial</t>
  </si>
  <si>
    <t>Schedule 27</t>
  </si>
  <si>
    <t>Schedule 41C Firm Sales</t>
  </si>
  <si>
    <t>Schedule 41C Interr Sales</t>
  </si>
  <si>
    <t>Schedule 41C Firm Trans</t>
  </si>
  <si>
    <t>Schedule 41I Firm Trans</t>
  </si>
  <si>
    <t>Schedule 41I Firm Sales</t>
  </si>
  <si>
    <t>Schedule 41I Interr Sales</t>
  </si>
  <si>
    <t>Schedule 42C Firm Sales</t>
  </si>
  <si>
    <t>Schedule 42I Firm Sales</t>
  </si>
  <si>
    <t>Schedule 42C Firm Trans</t>
  </si>
  <si>
    <t>Schedule 42I Firm Trans</t>
  </si>
  <si>
    <t>Schedule 42C Interr Sales</t>
  </si>
  <si>
    <t>Schedule 42I Interr Sales</t>
  </si>
  <si>
    <t>Schedule 42C Inter Trans</t>
  </si>
  <si>
    <t>Schedule 42I Inter Trans</t>
  </si>
  <si>
    <t>Schedule 43 Firm Trans</t>
  </si>
  <si>
    <t>Schedule 43 Interr Trans</t>
  </si>
  <si>
    <t>Winter Credit</t>
  </si>
  <si>
    <t>Non-Winter Credit</t>
  </si>
  <si>
    <t>Average Credit</t>
  </si>
  <si>
    <t>[2] Proposed new CCA rates is equal to Current Billing Rate plus New CCA rates less Current CCA rates.</t>
  </si>
  <si>
    <t>Calculation of Increments Allocated on the EQUAL CENT PER THERM BASIS</t>
  </si>
  <si>
    <t>% Bill Change [3]</t>
  </si>
  <si>
    <t>[3] For Schedules where the average usage would generate a net credit, the non-volumetric credits have been capped at the CCA cost.</t>
  </si>
  <si>
    <t>Volumes [1]</t>
  </si>
  <si>
    <t>[1] Low-income volumes have been removed.</t>
  </si>
  <si>
    <t>Amount</t>
  </si>
  <si>
    <t>Temporary Increments</t>
  </si>
  <si>
    <t>Removal of Current Temporary Increments</t>
  </si>
  <si>
    <t>Addition of Proposed Temporary Increments</t>
  </si>
  <si>
    <t>TOTAL OF ALL COMPONENTS OF RATE CHANGES</t>
  </si>
  <si>
    <t xml:space="preserve">Effect of this filing, as a percentage change </t>
  </si>
  <si>
    <t>2024 CCA Recovery Mechanism Filing - Washington</t>
  </si>
  <si>
    <t>Non-volumetric Credits for CCA Recovery Mechanism</t>
  </si>
  <si>
    <t>Amortization of CCA</t>
  </si>
  <si>
    <t>Tariff Advice 23-14: CCA Recovery Mechanism</t>
  </si>
  <si>
    <t>Sched 308</t>
  </si>
  <si>
    <t>Schedule 41 Commercial</t>
  </si>
  <si>
    <t>Schedule 41 Industrial</t>
  </si>
  <si>
    <t>Schedule 42 Commercial</t>
  </si>
  <si>
    <t>Schedule 42 Industrial</t>
  </si>
  <si>
    <t>2023-2024 CCA Filing - Washington</t>
  </si>
  <si>
    <t>Pending</t>
  </si>
  <si>
    <t xml:space="preserve">2024 Washington: October Filing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</si>
</sst>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0.000%"/>
    <numFmt numFmtId="167" formatCode="&quot;$&quot;#,##0.00000"/>
    <numFmt numFmtId="168" formatCode="#,##0.0_);\(#,##0.0\)"/>
    <numFmt numFmtId="169" formatCode="&quot;$&quot;#,##0.00000_);\(&quot;$&quot;#,##0.00000\)"/>
    <numFmt numFmtId="170" formatCode="0.00_);\(0.00\)"/>
    <numFmt numFmtId="171" formatCode="0.0%"/>
    <numFmt numFmtId="172" formatCode="_(* #,##0_);_(* \(#,##0\);_(* &quot;-&quot;??_);_(@_)"/>
    <numFmt numFmtId="173" formatCode="_(&quot;$&quot;* #,##0.00000_);_(&quot;$&quot;* \(#,##0.00000\);_(&quot;$&quot;* &quot;-&quot;??_);_(@_)"/>
  </numFmts>
  <fonts count="2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color indexed="12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0">
    <xf numFmtId="0" fontId="0" fillId="0" borderId="0" xfId="0"/>
    <xf numFmtId="0" fontId="6" fillId="2" borderId="0" xfId="0" applyFont="1" applyFill="1" applyAlignment="1">
      <alignment horizontal="center"/>
    </xf>
    <xf numFmtId="5" fontId="6" fillId="2" borderId="0" xfId="0" applyNumberFormat="1" applyFont="1" applyFill="1" applyAlignment="1">
      <alignment horizontal="center"/>
    </xf>
    <xf numFmtId="165" fontId="6" fillId="2" borderId="23" xfId="0" applyNumberFormat="1" applyFont="1" applyFill="1" applyBorder="1"/>
    <xf numFmtId="165" fontId="6" fillId="2" borderId="21" xfId="0" applyNumberFormat="1" applyFont="1" applyFill="1" applyBorder="1"/>
    <xf numFmtId="0" fontId="10" fillId="2" borderId="2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70" fontId="11" fillId="2" borderId="0" xfId="0" applyNumberFormat="1" applyFont="1" applyFill="1" applyAlignment="1">
      <alignment horizontal="center"/>
    </xf>
    <xf numFmtId="170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72" fontId="6" fillId="2" borderId="2" xfId="4" applyNumberFormat="1" applyFont="1" applyFill="1" applyBorder="1" applyAlignment="1">
      <alignment horizontal="center"/>
    </xf>
    <xf numFmtId="172" fontId="6" fillId="2" borderId="0" xfId="4" applyNumberFormat="1" applyFont="1" applyFill="1" applyAlignment="1">
      <alignment horizontal="center"/>
    </xf>
    <xf numFmtId="172" fontId="6" fillId="2" borderId="4" xfId="4" applyNumberFormat="1" applyFont="1" applyFill="1" applyBorder="1" applyAlignment="1">
      <alignment horizontal="center"/>
    </xf>
    <xf numFmtId="172" fontId="6" fillId="2" borderId="6" xfId="4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44" fontId="6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165" fontId="6" fillId="2" borderId="0" xfId="0" applyNumberFormat="1" applyFont="1" applyFill="1"/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8" xfId="0" applyFont="1" applyFill="1" applyBorder="1"/>
    <xf numFmtId="0" fontId="6" fillId="2" borderId="13" xfId="0" applyFont="1" applyFill="1" applyBorder="1"/>
    <xf numFmtId="165" fontId="6" fillId="2" borderId="14" xfId="0" applyNumberFormat="1" applyFont="1" applyFill="1" applyBorder="1"/>
    <xf numFmtId="0" fontId="6" fillId="2" borderId="10" xfId="0" applyFont="1" applyFill="1" applyBorder="1" applyAlignment="1">
      <alignment horizontal="left"/>
    </xf>
    <xf numFmtId="165" fontId="6" fillId="2" borderId="11" xfId="0" applyNumberFormat="1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5" xfId="0" applyFont="1" applyFill="1" applyBorder="1"/>
    <xf numFmtId="5" fontId="5" fillId="2" borderId="16" xfId="1" applyNumberFormat="1" applyFont="1" applyFill="1" applyBorder="1"/>
    <xf numFmtId="37" fontId="6" fillId="2" borderId="17" xfId="0" applyNumberFormat="1" applyFont="1" applyFill="1" applyBorder="1"/>
    <xf numFmtId="165" fontId="6" fillId="2" borderId="18" xfId="0" applyNumberFormat="1" applyFont="1" applyFill="1" applyBorder="1"/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65" fontId="5" fillId="2" borderId="23" xfId="0" applyNumberFormat="1" applyFont="1" applyFill="1" applyBorder="1" applyAlignment="1">
      <alignment horizontal="center"/>
    </xf>
    <xf numFmtId="165" fontId="6" fillId="2" borderId="24" xfId="0" applyNumberFormat="1" applyFont="1" applyFill="1" applyBorder="1"/>
    <xf numFmtId="5" fontId="6" fillId="2" borderId="4" xfId="0" applyNumberFormat="1" applyFont="1" applyFill="1" applyBorder="1"/>
    <xf numFmtId="44" fontId="6" fillId="2" borderId="0" xfId="1" applyFont="1" applyFill="1" applyBorder="1"/>
    <xf numFmtId="165" fontId="6" fillId="2" borderId="26" xfId="0" applyNumberFormat="1" applyFont="1" applyFill="1" applyBorder="1"/>
    <xf numFmtId="165" fontId="6" fillId="2" borderId="19" xfId="0" applyNumberFormat="1" applyFont="1" applyFill="1" applyBorder="1"/>
    <xf numFmtId="165" fontId="6" fillId="2" borderId="27" xfId="0" applyNumberFormat="1" applyFont="1" applyFill="1" applyBorder="1"/>
    <xf numFmtId="0" fontId="6" fillId="2" borderId="2" xfId="0" applyFont="1" applyFill="1" applyBorder="1" applyAlignment="1">
      <alignment horizontal="center"/>
    </xf>
    <xf numFmtId="172" fontId="6" fillId="2" borderId="4" xfId="4" applyNumberFormat="1" applyFont="1" applyFill="1" applyBorder="1"/>
    <xf numFmtId="0" fontId="6" fillId="2" borderId="2" xfId="0" applyFont="1" applyFill="1" applyBorder="1" applyAlignment="1">
      <alignment horizontal="left"/>
    </xf>
    <xf numFmtId="44" fontId="6" fillId="2" borderId="22" xfId="0" applyNumberFormat="1" applyFont="1" applyFill="1" applyBorder="1"/>
    <xf numFmtId="37" fontId="6" fillId="2" borderId="0" xfId="0" applyNumberFormat="1" applyFont="1" applyFill="1"/>
    <xf numFmtId="0" fontId="8" fillId="2" borderId="0" xfId="0" applyFont="1" applyFill="1"/>
    <xf numFmtId="0" fontId="5" fillId="2" borderId="28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39" fontId="4" fillId="2" borderId="0" xfId="0" applyNumberFormat="1" applyFont="1" applyFill="1"/>
    <xf numFmtId="169" fontId="4" fillId="2" borderId="0" xfId="0" applyNumberFormat="1" applyFont="1" applyFill="1"/>
    <xf numFmtId="7" fontId="4" fillId="2" borderId="0" xfId="0" applyNumberFormat="1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69" fontId="12" fillId="2" borderId="0" xfId="0" applyNumberFormat="1" applyFont="1" applyFill="1" applyAlignment="1">
      <alignment horizontal="center"/>
    </xf>
    <xf numFmtId="7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2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7" fontId="4" fillId="2" borderId="4" xfId="0" applyNumberFormat="1" applyFont="1" applyFill="1" applyBorder="1"/>
    <xf numFmtId="165" fontId="4" fillId="2" borderId="4" xfId="0" applyNumberFormat="1" applyFont="1" applyFill="1" applyBorder="1" applyAlignment="1">
      <alignment horizontal="center"/>
    </xf>
    <xf numFmtId="44" fontId="4" fillId="2" borderId="4" xfId="0" applyNumberFormat="1" applyFont="1" applyFill="1" applyBorder="1"/>
    <xf numFmtId="169" fontId="4" fillId="2" borderId="4" xfId="0" applyNumberFormat="1" applyFont="1" applyFill="1" applyBorder="1"/>
    <xf numFmtId="7" fontId="12" fillId="2" borderId="4" xfId="0" applyNumberFormat="1" applyFont="1" applyFill="1" applyBorder="1"/>
    <xf numFmtId="171" fontId="12" fillId="2" borderId="32" xfId="2" applyNumberFormat="1" applyFont="1" applyFill="1" applyBorder="1"/>
    <xf numFmtId="0" fontId="4" fillId="2" borderId="4" xfId="0" applyFont="1" applyFill="1" applyBorder="1" applyAlignment="1">
      <alignment horizontal="center"/>
    </xf>
    <xf numFmtId="170" fontId="4" fillId="2" borderId="0" xfId="0" applyNumberFormat="1" applyFont="1" applyFill="1" applyAlignment="1">
      <alignment horizontal="center"/>
    </xf>
    <xf numFmtId="37" fontId="4" fillId="2" borderId="0" xfId="0" applyNumberFormat="1" applyFont="1" applyFill="1"/>
    <xf numFmtId="37" fontId="4" fillId="2" borderId="0" xfId="0" applyNumberFormat="1" applyFont="1" applyFill="1" applyAlignment="1">
      <alignment horizontal="center"/>
    </xf>
    <xf numFmtId="44" fontId="4" fillId="2" borderId="0" xfId="0" applyNumberFormat="1" applyFont="1" applyFill="1"/>
    <xf numFmtId="171" fontId="4" fillId="2" borderId="30" xfId="2" applyNumberFormat="1" applyFont="1" applyFill="1" applyBorder="1"/>
    <xf numFmtId="170" fontId="12" fillId="2" borderId="4" xfId="0" applyNumberFormat="1" applyFont="1" applyFill="1" applyBorder="1" applyAlignment="1">
      <alignment horizontal="center"/>
    </xf>
    <xf numFmtId="37" fontId="12" fillId="2" borderId="4" xfId="0" applyNumberFormat="1" applyFont="1" applyFill="1" applyBorder="1"/>
    <xf numFmtId="37" fontId="12" fillId="2" borderId="4" xfId="0" applyNumberFormat="1" applyFont="1" applyFill="1" applyBorder="1" applyAlignment="1">
      <alignment horizontal="center"/>
    </xf>
    <xf numFmtId="169" fontId="12" fillId="2" borderId="4" xfId="0" applyNumberFormat="1" applyFont="1" applyFill="1" applyBorder="1"/>
    <xf numFmtId="7" fontId="12" fillId="2" borderId="0" xfId="0" applyNumberFormat="1" applyFont="1" applyFill="1"/>
    <xf numFmtId="0" fontId="13" fillId="2" borderId="0" xfId="0" applyFont="1" applyFill="1" applyAlignment="1">
      <alignment horizontal="center"/>
    </xf>
    <xf numFmtId="171" fontId="12" fillId="2" borderId="30" xfId="2" applyNumberFormat="1" applyFont="1" applyFill="1" applyBorder="1"/>
    <xf numFmtId="37" fontId="4" fillId="2" borderId="2" xfId="0" applyNumberFormat="1" applyFont="1" applyFill="1" applyBorder="1"/>
    <xf numFmtId="165" fontId="4" fillId="2" borderId="2" xfId="0" applyNumberFormat="1" applyFont="1" applyFill="1" applyBorder="1" applyAlignment="1">
      <alignment horizontal="center"/>
    </xf>
    <xf numFmtId="7" fontId="4" fillId="2" borderId="2" xfId="0" applyNumberFormat="1" applyFont="1" applyFill="1" applyBorder="1"/>
    <xf numFmtId="169" fontId="4" fillId="2" borderId="2" xfId="0" applyNumberFormat="1" applyFont="1" applyFill="1" applyBorder="1"/>
    <xf numFmtId="171" fontId="12" fillId="2" borderId="33" xfId="2" applyNumberFormat="1" applyFont="1" applyFill="1" applyBorder="1"/>
    <xf numFmtId="39" fontId="4" fillId="2" borderId="4" xfId="0" applyNumberFormat="1" applyFont="1" applyFill="1" applyBorder="1"/>
    <xf numFmtId="39" fontId="4" fillId="2" borderId="2" xfId="0" applyNumberFormat="1" applyFont="1" applyFill="1" applyBorder="1"/>
    <xf numFmtId="39" fontId="4" fillId="2" borderId="31" xfId="0" applyNumberFormat="1" applyFont="1" applyFill="1" applyBorder="1"/>
    <xf numFmtId="0" fontId="14" fillId="2" borderId="0" xfId="0" applyFont="1" applyFill="1"/>
    <xf numFmtId="43" fontId="4" fillId="2" borderId="0" xfId="3" applyFont="1" applyFill="1" applyBorder="1"/>
    <xf numFmtId="0" fontId="4" fillId="2" borderId="28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172" fontId="6" fillId="2" borderId="0" xfId="4" applyNumberFormat="1" applyFont="1" applyFill="1"/>
    <xf numFmtId="172" fontId="6" fillId="2" borderId="0" xfId="4" quotePrefix="1" applyNumberFormat="1" applyFont="1" applyFill="1"/>
    <xf numFmtId="173" fontId="6" fillId="2" borderId="0" xfId="1" applyNumberFormat="1" applyFont="1" applyFill="1"/>
    <xf numFmtId="173" fontId="6" fillId="2" borderId="23" xfId="1" applyNumberFormat="1" applyFont="1" applyFill="1" applyBorder="1"/>
    <xf numFmtId="173" fontId="6" fillId="2" borderId="21" xfId="1" applyNumberFormat="1" applyFont="1" applyFill="1" applyBorder="1"/>
    <xf numFmtId="173" fontId="6" fillId="2" borderId="21" xfId="1" quotePrefix="1" applyNumberFormat="1" applyFont="1" applyFill="1" applyBorder="1"/>
    <xf numFmtId="173" fontId="6" fillId="2" borderId="3" xfId="1" applyNumberFormat="1" applyFont="1" applyFill="1" applyBorder="1"/>
    <xf numFmtId="165" fontId="4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8" fontId="4" fillId="2" borderId="4" xfId="0" applyNumberFormat="1" applyFont="1" applyFill="1" applyBorder="1"/>
    <xf numFmtId="168" fontId="4" fillId="2" borderId="0" xfId="0" applyNumberFormat="1" applyFont="1" applyFill="1"/>
    <xf numFmtId="168" fontId="12" fillId="2" borderId="4" xfId="0" applyNumberFormat="1" applyFont="1" applyFill="1" applyBorder="1"/>
    <xf numFmtId="168" fontId="12" fillId="2" borderId="0" xfId="0" applyNumberFormat="1" applyFont="1" applyFill="1"/>
    <xf numFmtId="168" fontId="4" fillId="2" borderId="2" xfId="0" applyNumberFormat="1" applyFont="1" applyFill="1" applyBorder="1"/>
    <xf numFmtId="172" fontId="6" fillId="0" borderId="2" xfId="4" applyNumberFormat="1" applyFont="1" applyFill="1" applyBorder="1" applyAlignment="1">
      <alignment horizontal="center"/>
    </xf>
    <xf numFmtId="172" fontId="6" fillId="0" borderId="6" xfId="4" applyNumberFormat="1" applyFont="1" applyFill="1" applyBorder="1" applyAlignment="1">
      <alignment horizontal="center"/>
    </xf>
    <xf numFmtId="0" fontId="17" fillId="0" borderId="13" xfId="0" applyFont="1" applyBorder="1"/>
    <xf numFmtId="44" fontId="0" fillId="0" borderId="0" xfId="0" applyNumberFormat="1"/>
    <xf numFmtId="5" fontId="5" fillId="0" borderId="12" xfId="1" applyNumberFormat="1" applyFont="1" applyFill="1" applyBorder="1"/>
    <xf numFmtId="44" fontId="18" fillId="0" borderId="0" xfId="1" applyFont="1" applyFill="1"/>
    <xf numFmtId="14" fontId="12" fillId="2" borderId="0" xfId="0" applyNumberFormat="1" applyFont="1" applyFill="1" applyAlignment="1">
      <alignment horizontal="center"/>
    </xf>
    <xf numFmtId="14" fontId="12" fillId="2" borderId="29" xfId="0" applyNumberFormat="1" applyFont="1" applyFill="1" applyBorder="1" applyAlignment="1">
      <alignment horizontal="center"/>
    </xf>
    <xf numFmtId="14" fontId="12" fillId="2" borderId="30" xfId="0" applyNumberFormat="1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6" fillId="2" borderId="0" xfId="0" applyNumberFormat="1" applyFont="1" applyFill="1"/>
    <xf numFmtId="173" fontId="6" fillId="2" borderId="0" xfId="1" applyNumberFormat="1" applyFont="1" applyFill="1" applyBorder="1" applyAlignment="1">
      <alignment horizontal="center"/>
    </xf>
    <xf numFmtId="166" fontId="6" fillId="2" borderId="9" xfId="2" applyNumberFormat="1" applyFont="1" applyFill="1" applyBorder="1" applyAlignment="1">
      <alignment horizontal="right"/>
    </xf>
    <xf numFmtId="14" fontId="6" fillId="2" borderId="13" xfId="0" applyNumberFormat="1" applyFont="1" applyFill="1" applyBorder="1" applyAlignment="1">
      <alignment horizontal="center"/>
    </xf>
    <xf numFmtId="173" fontId="6" fillId="0" borderId="2" xfId="1" applyNumberFormat="1" applyFont="1" applyFill="1" applyBorder="1" applyAlignment="1">
      <alignment horizontal="center"/>
    </xf>
    <xf numFmtId="44" fontId="6" fillId="2" borderId="2" xfId="1" applyFont="1" applyFill="1" applyBorder="1" applyAlignment="1">
      <alignment horizontal="center"/>
    </xf>
    <xf numFmtId="168" fontId="6" fillId="2" borderId="25" xfId="0" applyNumberFormat="1" applyFont="1" applyFill="1" applyBorder="1" applyAlignment="1">
      <alignment horizontal="center"/>
    </xf>
    <xf numFmtId="173" fontId="6" fillId="0" borderId="0" xfId="1" applyNumberFormat="1" applyFont="1" applyFill="1" applyAlignment="1">
      <alignment horizontal="center"/>
    </xf>
    <xf numFmtId="44" fontId="6" fillId="2" borderId="0" xfId="1" applyFont="1" applyFill="1" applyAlignment="1">
      <alignment horizontal="center"/>
    </xf>
    <xf numFmtId="172" fontId="6" fillId="0" borderId="0" xfId="4" applyNumberFormat="1" applyFont="1" applyFill="1" applyAlignment="1">
      <alignment horizontal="center"/>
    </xf>
    <xf numFmtId="168" fontId="6" fillId="2" borderId="20" xfId="0" applyNumberFormat="1" applyFont="1" applyFill="1" applyBorder="1" applyAlignment="1">
      <alignment horizontal="center"/>
    </xf>
    <xf numFmtId="173" fontId="6" fillId="0" borderId="4" xfId="1" applyNumberFormat="1" applyFont="1" applyFill="1" applyBorder="1" applyAlignment="1">
      <alignment horizontal="center"/>
    </xf>
    <xf numFmtId="44" fontId="6" fillId="2" borderId="4" xfId="1" applyFont="1" applyFill="1" applyBorder="1" applyAlignment="1">
      <alignment horizontal="center"/>
    </xf>
    <xf numFmtId="172" fontId="6" fillId="0" borderId="4" xfId="4" applyNumberFormat="1" applyFont="1" applyFill="1" applyBorder="1" applyAlignment="1">
      <alignment horizontal="center"/>
    </xf>
    <xf numFmtId="44" fontId="6" fillId="2" borderId="0" xfId="1" applyFont="1" applyFill="1" applyBorder="1" applyAlignment="1">
      <alignment horizontal="center"/>
    </xf>
    <xf numFmtId="172" fontId="6" fillId="0" borderId="0" xfId="4" applyNumberFormat="1" applyFont="1" applyFill="1" applyBorder="1" applyAlignment="1">
      <alignment horizontal="center"/>
    </xf>
    <xf numFmtId="44" fontId="6" fillId="2" borderId="22" xfId="1" applyFont="1" applyFill="1" applyBorder="1" applyAlignment="1">
      <alignment horizontal="center"/>
    </xf>
    <xf numFmtId="172" fontId="6" fillId="0" borderId="22" xfId="4" applyNumberFormat="1" applyFont="1" applyFill="1" applyBorder="1" applyAlignment="1">
      <alignment horizontal="center"/>
    </xf>
    <xf numFmtId="0" fontId="6" fillId="0" borderId="0" xfId="0" applyFont="1"/>
    <xf numFmtId="0" fontId="6" fillId="2" borderId="4" xfId="0" applyFont="1" applyFill="1" applyBorder="1"/>
    <xf numFmtId="0" fontId="6" fillId="0" borderId="4" xfId="0" applyFont="1" applyBorder="1"/>
    <xf numFmtId="168" fontId="6" fillId="2" borderId="1" xfId="0" applyNumberFormat="1" applyFont="1" applyFill="1" applyBorder="1" applyAlignment="1">
      <alignment horizontal="center"/>
    </xf>
    <xf numFmtId="168" fontId="6" fillId="2" borderId="0" xfId="0" applyNumberFormat="1" applyFont="1" applyFill="1" applyAlignment="1">
      <alignment horizontal="center"/>
    </xf>
    <xf numFmtId="10" fontId="6" fillId="2" borderId="0" xfId="2" applyNumberFormat="1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7" fontId="22" fillId="0" borderId="0" xfId="0" applyNumberFormat="1" applyFont="1"/>
    <xf numFmtId="0" fontId="24" fillId="0" borderId="0" xfId="0" applyFont="1"/>
    <xf numFmtId="0" fontId="25" fillId="0" borderId="0" xfId="0" applyFont="1"/>
    <xf numFmtId="0" fontId="23" fillId="0" borderId="0" xfId="0" quotePrefix="1" applyFont="1"/>
    <xf numFmtId="5" fontId="23" fillId="0" borderId="0" xfId="1" applyNumberFormat="1" applyFont="1" applyFill="1"/>
    <xf numFmtId="37" fontId="23" fillId="0" borderId="0" xfId="0" applyNumberFormat="1" applyFont="1"/>
    <xf numFmtId="10" fontId="23" fillId="0" borderId="0" xfId="2" applyNumberFormat="1" applyFont="1"/>
    <xf numFmtId="5" fontId="22" fillId="0" borderId="0" xfId="1" applyNumberFormat="1" applyFont="1" applyAlignment="1">
      <alignment horizontal="center"/>
    </xf>
    <xf numFmtId="5" fontId="26" fillId="0" borderId="0" xfId="1" applyNumberFormat="1" applyFont="1" applyAlignment="1">
      <alignment horizontal="center"/>
    </xf>
    <xf numFmtId="5" fontId="22" fillId="0" borderId="4" xfId="1" applyNumberFormat="1" applyFont="1" applyBorder="1" applyAlignment="1">
      <alignment horizontal="center"/>
    </xf>
    <xf numFmtId="37" fontId="26" fillId="0" borderId="0" xfId="0" applyNumberFormat="1" applyFont="1" applyAlignment="1">
      <alignment horizontal="center"/>
    </xf>
    <xf numFmtId="5" fontId="23" fillId="0" borderId="35" xfId="0" applyNumberFormat="1" applyFont="1" applyBorder="1" applyAlignment="1">
      <alignment horizontal="center"/>
    </xf>
    <xf numFmtId="0" fontId="27" fillId="0" borderId="13" xfId="0" applyFont="1" applyBorder="1"/>
    <xf numFmtId="0" fontId="27" fillId="0" borderId="13" xfId="0" applyFont="1" applyBorder="1" applyAlignment="1">
      <alignment horizontal="center" wrapText="1"/>
    </xf>
    <xf numFmtId="0" fontId="28" fillId="0" borderId="0" xfId="0" applyFont="1"/>
    <xf numFmtId="44" fontId="28" fillId="0" borderId="0" xfId="0" applyNumberFormat="1" applyFont="1"/>
    <xf numFmtId="0" fontId="6" fillId="2" borderId="36" xfId="0" applyFont="1" applyFill="1" applyBorder="1"/>
    <xf numFmtId="0" fontId="21" fillId="0" borderId="0" xfId="0" applyFont="1" applyAlignment="1">
      <alignment horizontal="left"/>
    </xf>
    <xf numFmtId="5" fontId="0" fillId="0" borderId="0" xfId="0" applyNumberFormat="1"/>
    <xf numFmtId="172" fontId="6" fillId="0" borderId="21" xfId="4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172" fontId="6" fillId="0" borderId="4" xfId="4" applyNumberFormat="1" applyFont="1" applyFill="1" applyBorder="1"/>
    <xf numFmtId="167" fontId="6" fillId="0" borderId="0" xfId="0" applyNumberFormat="1" applyFont="1"/>
    <xf numFmtId="14" fontId="4" fillId="0" borderId="0" xfId="0" applyNumberFormat="1" applyFont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2" fillId="0" borderId="3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9" fontId="4" fillId="0" borderId="4" xfId="0" applyNumberFormat="1" applyFont="1" applyBorder="1"/>
    <xf numFmtId="7" fontId="4" fillId="0" borderId="4" xfId="0" applyNumberFormat="1" applyFont="1" applyBorder="1"/>
    <xf numFmtId="169" fontId="4" fillId="0" borderId="0" xfId="0" applyNumberFormat="1" applyFont="1"/>
    <xf numFmtId="7" fontId="4" fillId="0" borderId="0" xfId="0" applyNumberFormat="1" applyFont="1"/>
    <xf numFmtId="169" fontId="12" fillId="0" borderId="4" xfId="0" applyNumberFormat="1" applyFont="1" applyBorder="1"/>
    <xf numFmtId="169" fontId="4" fillId="0" borderId="2" xfId="0" applyNumberFormat="1" applyFont="1" applyBorder="1"/>
    <xf numFmtId="165" fontId="4" fillId="0" borderId="4" xfId="0" applyNumberFormat="1" applyFont="1" applyBorder="1"/>
    <xf numFmtId="39" fontId="4" fillId="0" borderId="2" xfId="0" applyNumberFormat="1" applyFont="1" applyBorder="1"/>
    <xf numFmtId="165" fontId="4" fillId="0" borderId="0" xfId="0" applyNumberFormat="1" applyFont="1"/>
    <xf numFmtId="39" fontId="4" fillId="0" borderId="0" xfId="0" applyNumberFormat="1" applyFont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37" fontId="5" fillId="2" borderId="5" xfId="0" applyNumberFormat="1" applyFont="1" applyFill="1" applyBorder="1" applyAlignment="1">
      <alignment horizontal="center"/>
    </xf>
    <xf numFmtId="37" fontId="5" fillId="2" borderId="6" xfId="0" applyNumberFormat="1" applyFont="1" applyFill="1" applyBorder="1" applyAlignment="1">
      <alignment horizontal="center"/>
    </xf>
    <xf numFmtId="37" fontId="5" fillId="2" borderId="7" xfId="0" applyNumberFormat="1" applyFont="1" applyFill="1" applyBorder="1" applyAlignment="1">
      <alignment horizontal="center"/>
    </xf>
    <xf numFmtId="37" fontId="12" fillId="2" borderId="0" xfId="0" applyNumberFormat="1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</cellXfs>
  <cellStyles count="5">
    <cellStyle name="Comma" xfId="4" builtinId="3"/>
    <cellStyle name="Comma 2" xfId="3" xr:uid="{39F6EA37-F18B-4A31-9D2E-0154FD8C9A8C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21/4_Rate%20Development/NWN%202021-22%20PGA%20WA%20Rate%20Development_September%20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groups\Documents%20and%20Settings\jzs\Local%20Settings\Temporary%20Internet%20Files\OLK17C\Income%20Statement%20Budget%20-%20Version%2005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OREGON/2012/October%20filings/Gas%20Cost%20Development%20file%20and%20support/NWN%202012-13%20PGA%20gas%20cost%20development%20file%20October%20fil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Accounting%20-%20Regulatory\Climate%20Committment%20Act%20(CCA)\2024\CCA%20Cost%20Recovery%20Mechanism%20-%20September%202023%20Filing.xlsx" TargetMode="External"/><Relationship Id="rId1" Type="http://schemas.openxmlformats.org/officeDocument/2006/relationships/externalLinkPath" Target="CCA%20Cost%20Recovery%20Mechanism%20-%20September%202023%20Filing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PGA%20-%20WASHINGTON\2023\3_Rate%20Development\NWN%202023-24%20PGA%20Summary%20Effects%20September%20filing_WA.xlsx" TargetMode="External"/><Relationship Id="rId1" Type="http://schemas.openxmlformats.org/officeDocument/2006/relationships/externalLinkPath" Target="/Regulatory_Affairs/PGA%20-%20WASHINGTON/2023/3_Rate%20Development/NWN%202023-24%20PGA%20Summary%20Effects%20September%20filing_W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2020%20Washington%20General%20Rate%20Case/Compliance%20Filing/Compliance%20Filing%20(PGA%20+%20RATE%20CASE)/200994-NWN-Exh-RJW-3-Wyman-WP1-12-18-2020_SETTLEMENT_062421_COMPLIANCE%20FILING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Documentation"/>
      <sheetName val="Sheet1"/>
      <sheetName val="Inputs"/>
      <sheetName val="Washington volumes"/>
      <sheetName val="Allocation equal ¢ per therm"/>
      <sheetName val="Allocation = % of margin"/>
      <sheetName val="Temporaries"/>
      <sheetName val="Avg Bill by RS"/>
      <sheetName val="Rates in summary"/>
      <sheetName val="Rates in detail"/>
      <sheetName val="Margin Model"/>
      <sheetName val="Amortization"/>
      <sheetName val="F Goldenrod"/>
      <sheetName val="Cover"/>
      <sheetName val="WA Index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T BR History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/>
      <sheetData sheetId="2">
        <row r="30">
          <cell r="B30">
            <v>4.1569000000000002E-2</v>
          </cell>
        </row>
        <row r="34">
          <cell r="F34" t="str">
            <v>Allocated to Rate Schedules</v>
          </cell>
        </row>
        <row r="48">
          <cell r="F48" t="str">
            <v>All Customers</v>
          </cell>
        </row>
        <row r="63">
          <cell r="B63">
            <v>44501</v>
          </cell>
        </row>
      </sheetData>
      <sheetData sheetId="3">
        <row r="1">
          <cell r="A1" t="str">
            <v>NW Natural</v>
          </cell>
        </row>
        <row r="2">
          <cell r="A2" t="str">
            <v>Rates &amp; Regulatory Affairs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Total Commodity Summary old"/>
      <sheetName val="Commodity Cost from Vol Pipe"/>
      <sheetName val="download for JV28A"/>
      <sheetName val="Commodity Cost from Supply VERT"/>
      <sheetName val="Hedged Spot Dispatch &amp; Cost"/>
      <sheetName val="Commodity Cost from Supply"/>
      <sheetName val="Commodity Supply Dispatch"/>
      <sheetName val="Commodity Cost from Gas Reserve"/>
      <sheetName val="Gas Reserves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Gas Reserve Data"/>
      <sheetName val="Spot contracts"/>
      <sheetName val="Supply Contracts"/>
      <sheetName val="COG Inputs -FCST MGN file"/>
      <sheetName val="PGA Summary UM1286 Req'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4.3720000000000002E-2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ost and Revenues"/>
      <sheetName val="Customer Impacts"/>
      <sheetName val="Fixed Credits"/>
      <sheetName val="Tables for Filing"/>
      <sheetName val="2023 Volumes"/>
      <sheetName val="2024 Volumes"/>
    </sheetNames>
    <sheetDataSet>
      <sheetData sheetId="0"/>
      <sheetData sheetId="1">
        <row r="53">
          <cell r="D53">
            <v>49677801.700000003</v>
          </cell>
        </row>
      </sheetData>
      <sheetData sheetId="2"/>
      <sheetData sheetId="3">
        <row r="32">
          <cell r="F32">
            <v>34388273.406724066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-03 ECRM"/>
      <sheetName val="23-05 Res. Bill Discount"/>
      <sheetName val="23-06 R&amp;C Eng. Effic."/>
      <sheetName val="23-07 GREAT &amp; WA-LIEE"/>
      <sheetName val="20-8 Interim Tax Deferral"/>
      <sheetName val="23-08 Regulatory Fee"/>
      <sheetName val="23-09 Rate Mitigation"/>
      <sheetName val="23-10 Property Sales"/>
      <sheetName val="23-11 Industrial EE Audit"/>
      <sheetName val="23-12 Depreciation Rate"/>
      <sheetName val="23-13 PGA"/>
      <sheetName val="Revenue Senstive"/>
      <sheetName val="23-XX Comb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6">
          <cell r="B36" t="str">
            <v>2022 Washington CBR Normalized Total Revenues</v>
          </cell>
          <cell r="F36">
            <v>102022644.16345409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WA Volumes &amp; Revenues"/>
      <sheetName val="Rate Spread SETTLEMENT"/>
      <sheetName val="Allocation = ¢ per Therm"/>
      <sheetName val="Allocation = % of Margin"/>
      <sheetName val="Allocation = % of Revenue"/>
      <sheetName val="Rev Req Proof Yr1"/>
      <sheetName val="Rev Req Proof Yr2"/>
      <sheetName val="Temps Proof"/>
      <sheetName val="Combined Items Proof Yr1"/>
      <sheetName val="Combined Items Proof Yr2"/>
      <sheetName val="Rates in Detail"/>
      <sheetName val="Rates in summary"/>
      <sheetName val="Avg Bill by RS"/>
      <sheetName val="Rate Impacts - Rev Req ONLY"/>
      <sheetName val="Rate Impacts - COMBINED"/>
      <sheetName val="Proposed Rates - COMBINED"/>
      <sheetName val="Exh A Pg 1"/>
      <sheetName val="Exh A Pg 2"/>
      <sheetName val="Exh. RJW-3 RR"/>
      <sheetName val="Exh. RJW-3 Combined"/>
      <sheetName val="Exh. RJW-3 Mitigation Only"/>
      <sheetName val="Exh. RJW-4 RR"/>
      <sheetName val="Exh. RJW-4 Combined"/>
    </sheetNames>
    <sheetDataSet>
      <sheetData sheetId="0"/>
      <sheetData sheetId="1">
        <row r="29">
          <cell r="B29" t="str">
            <v>41C Firm Transpt</v>
          </cell>
        </row>
        <row r="31">
          <cell r="B31" t="str">
            <v>41I Firm Transpt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7796-32F1-4035-BBD3-7678D7D2C749}">
  <sheetPr>
    <tabColor theme="3" tint="0.39997558519241921"/>
    <pageSetUpPr fitToPage="1"/>
  </sheetPr>
  <dimension ref="A1:P91"/>
  <sheetViews>
    <sheetView showGridLines="0" zoomScale="115" zoomScaleNormal="115" workbookViewId="0">
      <selection activeCell="D19" sqref="D19"/>
    </sheetView>
  </sheetViews>
  <sheetFormatPr defaultColWidth="9.296875" defaultRowHeight="14.5" x14ac:dyDescent="0.35"/>
  <cols>
    <col min="1" max="1" width="5.69921875" style="19" customWidth="1"/>
    <col min="2" max="2" width="31.796875" style="19" customWidth="1"/>
    <col min="3" max="3" width="13.69921875" style="19" customWidth="1"/>
    <col min="4" max="4" width="16.5" style="19" customWidth="1"/>
    <col min="5" max="5" width="16.19921875" style="19" bestFit="1" customWidth="1"/>
    <col min="6" max="6" width="16.69921875" style="19" customWidth="1"/>
    <col min="7" max="7" width="19.5" style="19" customWidth="1"/>
    <col min="8" max="8" width="26.296875" style="19" customWidth="1"/>
    <col min="9" max="9" width="19.69921875" style="19" customWidth="1"/>
    <col min="10" max="10" width="16.5" style="19" customWidth="1"/>
    <col min="11" max="11" width="12.69921875" style="19" bestFit="1" customWidth="1"/>
    <col min="12" max="12" width="19.796875" style="19" customWidth="1"/>
    <col min="13" max="13" width="29.5" style="19" customWidth="1"/>
    <col min="14" max="14" width="19.296875" style="20" bestFit="1" customWidth="1"/>
    <col min="15" max="16" width="15.796875" style="20" customWidth="1"/>
    <col min="17" max="17" width="11.19921875" style="19" bestFit="1" customWidth="1"/>
    <col min="18" max="18" width="13" style="19" bestFit="1" customWidth="1"/>
    <col min="19" max="19" width="15.69921875" style="19" bestFit="1" customWidth="1"/>
    <col min="20" max="16384" width="9.296875" style="19"/>
  </cols>
  <sheetData>
    <row r="1" spans="1:16" x14ac:dyDescent="0.35">
      <c r="A1" s="159" t="s">
        <v>71</v>
      </c>
      <c r="I1" s="135"/>
    </row>
    <row r="2" spans="1:16" x14ac:dyDescent="0.35">
      <c r="A2" s="159" t="s">
        <v>72</v>
      </c>
      <c r="I2" s="135"/>
    </row>
    <row r="3" spans="1:16" x14ac:dyDescent="0.35">
      <c r="A3" s="159" t="s">
        <v>138</v>
      </c>
      <c r="I3" s="135"/>
      <c r="J3" s="136"/>
    </row>
    <row r="4" spans="1:16" x14ac:dyDescent="0.35">
      <c r="A4" s="159" t="s">
        <v>127</v>
      </c>
      <c r="I4" s="135"/>
    </row>
    <row r="5" spans="1:16" x14ac:dyDescent="0.35">
      <c r="I5" s="135"/>
      <c r="J5" s="17"/>
    </row>
    <row r="6" spans="1:16" x14ac:dyDescent="0.35">
      <c r="A6" s="18"/>
      <c r="B6" s="18"/>
      <c r="C6" s="18"/>
      <c r="D6" s="18"/>
      <c r="H6" s="21"/>
      <c r="I6" s="135"/>
      <c r="J6" s="21"/>
    </row>
    <row r="7" spans="1:16" ht="15" customHeight="1" thickBot="1" x14ac:dyDescent="0.4">
      <c r="A7" s="1">
        <v>1</v>
      </c>
      <c r="E7" s="1" t="s">
        <v>148</v>
      </c>
      <c r="F7" s="22"/>
      <c r="G7" s="1"/>
      <c r="I7" s="205" t="s">
        <v>100</v>
      </c>
      <c r="J7" s="206"/>
      <c r="K7" s="207"/>
      <c r="N7" s="19"/>
      <c r="O7" s="19"/>
      <c r="P7" s="19"/>
    </row>
    <row r="8" spans="1:16" ht="15" customHeight="1" thickBot="1" x14ac:dyDescent="0.4">
      <c r="A8" s="1">
        <f t="shared" ref="A8:A71" si="0">+A7+1</f>
        <v>2</v>
      </c>
      <c r="E8" s="1" t="s">
        <v>0</v>
      </c>
      <c r="F8" s="22"/>
      <c r="G8" s="1"/>
      <c r="H8" s="23" t="s">
        <v>1</v>
      </c>
      <c r="I8" s="126">
        <f>'[4]Cost and Revenues'!$D$53</f>
        <v>49677801.700000003</v>
      </c>
      <c r="J8" s="24" t="str">
        <f>+[1]Inputs!F34</f>
        <v>Allocated to Rate Schedules</v>
      </c>
      <c r="K8" s="25"/>
      <c r="N8" s="19"/>
      <c r="O8" s="19"/>
      <c r="P8" s="19"/>
    </row>
    <row r="9" spans="1:16" ht="15" customHeight="1" thickBot="1" x14ac:dyDescent="0.4">
      <c r="A9" s="1">
        <f t="shared" si="0"/>
        <v>3</v>
      </c>
      <c r="D9" s="1">
        <v>2024</v>
      </c>
      <c r="E9" s="1" t="s">
        <v>6</v>
      </c>
      <c r="F9" s="22" t="s">
        <v>2</v>
      </c>
      <c r="G9" s="1"/>
      <c r="H9" s="23" t="s">
        <v>4</v>
      </c>
      <c r="I9" s="137">
        <v>4.3568704330584226E-2</v>
      </c>
      <c r="J9" s="26" t="s">
        <v>5</v>
      </c>
      <c r="K9" s="27"/>
      <c r="N9" s="19"/>
      <c r="O9" s="19"/>
      <c r="P9" s="19"/>
    </row>
    <row r="10" spans="1:16" s="16" customFormat="1" ht="15" customHeight="1" thickBot="1" x14ac:dyDescent="0.4">
      <c r="A10" s="1">
        <f t="shared" si="0"/>
        <v>4</v>
      </c>
      <c r="B10" s="19"/>
      <c r="C10" s="19"/>
      <c r="D10" s="29" t="s">
        <v>130</v>
      </c>
      <c r="E10" s="138">
        <v>45231</v>
      </c>
      <c r="F10" s="28" t="s">
        <v>7</v>
      </c>
      <c r="G10" s="29" t="s">
        <v>8</v>
      </c>
      <c r="H10" s="30" t="s">
        <v>9</v>
      </c>
      <c r="I10" s="31">
        <f>IF(I9&lt;&gt;"N/A",ROUND(+I8/(1-I9),0),I8)</f>
        <v>51940795</v>
      </c>
      <c r="J10" s="32" t="str">
        <f>+[1]Inputs!F48</f>
        <v>All Customers</v>
      </c>
      <c r="K10" s="33"/>
    </row>
    <row r="11" spans="1:16" s="16" customFormat="1" x14ac:dyDescent="0.35">
      <c r="A11" s="1">
        <f t="shared" si="0"/>
        <v>5</v>
      </c>
      <c r="B11" s="19"/>
      <c r="C11" s="19"/>
      <c r="E11" s="184"/>
      <c r="F11" s="22"/>
      <c r="H11" s="34"/>
      <c r="I11" s="35" t="s">
        <v>10</v>
      </c>
      <c r="J11" s="22" t="s">
        <v>76</v>
      </c>
      <c r="K11" s="106" t="s">
        <v>11</v>
      </c>
    </row>
    <row r="12" spans="1:16" s="16" customFormat="1" x14ac:dyDescent="0.35">
      <c r="A12" s="1">
        <f t="shared" si="0"/>
        <v>6</v>
      </c>
      <c r="B12" s="5" t="s">
        <v>12</v>
      </c>
      <c r="C12" s="5" t="s">
        <v>13</v>
      </c>
      <c r="D12" s="36" t="s">
        <v>14</v>
      </c>
      <c r="E12" s="185" t="s">
        <v>15</v>
      </c>
      <c r="F12" s="36" t="s">
        <v>19</v>
      </c>
      <c r="G12" s="36" t="s">
        <v>20</v>
      </c>
      <c r="H12" s="37"/>
      <c r="I12" s="38" t="s">
        <v>21</v>
      </c>
      <c r="J12" s="36" t="s">
        <v>22</v>
      </c>
      <c r="K12" s="39" t="s">
        <v>23</v>
      </c>
      <c r="N12" s="16" t="s">
        <v>73</v>
      </c>
    </row>
    <row r="13" spans="1:16" x14ac:dyDescent="0.35">
      <c r="A13" s="1">
        <f t="shared" si="0"/>
        <v>7</v>
      </c>
      <c r="B13" s="6" t="s">
        <v>24</v>
      </c>
      <c r="C13" s="6" t="s">
        <v>86</v>
      </c>
      <c r="D13" s="12">
        <v>320121.8</v>
      </c>
      <c r="E13" s="139">
        <v>1.5447600000000006</v>
      </c>
      <c r="F13" s="140">
        <v>5.5</v>
      </c>
      <c r="G13" s="122">
        <v>1679</v>
      </c>
      <c r="H13" s="40"/>
      <c r="I13" s="141">
        <v>1</v>
      </c>
      <c r="J13" s="47">
        <f t="shared" ref="J13:J44" si="1">I13*D13</f>
        <v>320121.8</v>
      </c>
      <c r="K13" s="110">
        <f t="shared" ref="K13:K44" si="2">I13*$K$85</f>
        <v>0.49725999999999998</v>
      </c>
      <c r="N13" s="42">
        <f t="shared" ref="N13:N44" si="3">K13*D13</f>
        <v>159183.76626799998</v>
      </c>
      <c r="O13" s="19"/>
      <c r="P13" s="19"/>
    </row>
    <row r="14" spans="1:16" x14ac:dyDescent="0.35">
      <c r="A14" s="1">
        <f t="shared" si="0"/>
        <v>8</v>
      </c>
      <c r="B14" s="6" t="s">
        <v>25</v>
      </c>
      <c r="C14" s="6" t="s">
        <v>86</v>
      </c>
      <c r="D14" s="12">
        <v>22712</v>
      </c>
      <c r="E14" s="139">
        <v>1.5461599999999995</v>
      </c>
      <c r="F14" s="140">
        <v>7</v>
      </c>
      <c r="G14" s="122">
        <v>37</v>
      </c>
      <c r="H14" s="40"/>
      <c r="I14" s="141">
        <v>1</v>
      </c>
      <c r="J14" s="47">
        <f t="shared" si="1"/>
        <v>22712</v>
      </c>
      <c r="K14" s="110">
        <f t="shared" si="2"/>
        <v>0.49725999999999998</v>
      </c>
      <c r="N14" s="42">
        <f t="shared" si="3"/>
        <v>11293.769119999999</v>
      </c>
      <c r="O14" s="19"/>
      <c r="P14" s="19"/>
    </row>
    <row r="15" spans="1:16" x14ac:dyDescent="0.35">
      <c r="A15" s="1">
        <f t="shared" si="0"/>
        <v>9</v>
      </c>
      <c r="B15" s="6" t="s">
        <v>26</v>
      </c>
      <c r="C15" s="6" t="s">
        <v>86</v>
      </c>
      <c r="D15" s="12">
        <v>57663881.299999997</v>
      </c>
      <c r="E15" s="139">
        <v>1.2079500000000001</v>
      </c>
      <c r="F15" s="140">
        <v>8</v>
      </c>
      <c r="G15" s="122">
        <v>87552</v>
      </c>
      <c r="H15" s="40"/>
      <c r="I15" s="141">
        <v>1</v>
      </c>
      <c r="J15" s="47">
        <f t="shared" si="1"/>
        <v>57663881.299999997</v>
      </c>
      <c r="K15" s="110">
        <f t="shared" si="2"/>
        <v>0.49725999999999998</v>
      </c>
      <c r="N15" s="42">
        <f t="shared" si="3"/>
        <v>28673941.615237996</v>
      </c>
      <c r="O15" s="19"/>
      <c r="P15" s="19"/>
    </row>
    <row r="16" spans="1:16" x14ac:dyDescent="0.35">
      <c r="A16" s="1">
        <f t="shared" si="0"/>
        <v>10</v>
      </c>
      <c r="B16" s="6" t="s">
        <v>27</v>
      </c>
      <c r="C16" s="6" t="s">
        <v>86</v>
      </c>
      <c r="D16" s="12">
        <v>20095708.300000001</v>
      </c>
      <c r="E16" s="139">
        <v>1.1605799999999999</v>
      </c>
      <c r="F16" s="140">
        <v>22</v>
      </c>
      <c r="G16" s="122">
        <v>6684</v>
      </c>
      <c r="H16" s="40"/>
      <c r="I16" s="141">
        <v>1</v>
      </c>
      <c r="J16" s="47">
        <f t="shared" si="1"/>
        <v>20095708.300000001</v>
      </c>
      <c r="K16" s="110">
        <f t="shared" si="2"/>
        <v>0.49725999999999998</v>
      </c>
      <c r="N16" s="42">
        <f t="shared" si="3"/>
        <v>9992791.9092580006</v>
      </c>
      <c r="O16" s="19"/>
      <c r="P16" s="19"/>
    </row>
    <row r="17" spans="1:16" x14ac:dyDescent="0.35">
      <c r="A17" s="1">
        <f t="shared" si="0"/>
        <v>11</v>
      </c>
      <c r="B17" s="6" t="s">
        <v>28</v>
      </c>
      <c r="C17" s="6" t="s">
        <v>86</v>
      </c>
      <c r="D17" s="12">
        <v>277642.16352000006</v>
      </c>
      <c r="E17" s="139">
        <v>1.0975499999999998</v>
      </c>
      <c r="F17" s="140">
        <v>22</v>
      </c>
      <c r="G17" s="122">
        <v>19</v>
      </c>
      <c r="H17" s="40"/>
      <c r="I17" s="141">
        <v>1</v>
      </c>
      <c r="J17" s="47">
        <f t="shared" si="1"/>
        <v>277642.16352000006</v>
      </c>
      <c r="K17" s="110">
        <f t="shared" si="2"/>
        <v>0.49725999999999998</v>
      </c>
      <c r="N17" s="42">
        <f t="shared" si="3"/>
        <v>138060.34223195523</v>
      </c>
      <c r="O17" s="19"/>
      <c r="P17" s="19"/>
    </row>
    <row r="18" spans="1:16" x14ac:dyDescent="0.35">
      <c r="A18" s="1">
        <f t="shared" si="0"/>
        <v>12</v>
      </c>
      <c r="B18" s="6" t="s">
        <v>87</v>
      </c>
      <c r="C18" s="6" t="s">
        <v>86</v>
      </c>
      <c r="D18" s="12">
        <v>81380.7</v>
      </c>
      <c r="E18" s="139">
        <v>0.95164999999999988</v>
      </c>
      <c r="F18" s="140">
        <v>9</v>
      </c>
      <c r="G18" s="122">
        <v>295</v>
      </c>
      <c r="H18" s="40"/>
      <c r="I18" s="141">
        <v>1</v>
      </c>
      <c r="J18" s="47">
        <f t="shared" si="1"/>
        <v>81380.7</v>
      </c>
      <c r="K18" s="110">
        <f t="shared" si="2"/>
        <v>0.49725999999999998</v>
      </c>
      <c r="N18" s="42">
        <f t="shared" si="3"/>
        <v>40467.366881999995</v>
      </c>
      <c r="O18" s="19"/>
      <c r="P18" s="19"/>
    </row>
    <row r="19" spans="1:16" x14ac:dyDescent="0.35">
      <c r="A19" s="1">
        <f t="shared" si="0"/>
        <v>13</v>
      </c>
      <c r="B19" s="7" t="s">
        <v>29</v>
      </c>
      <c r="C19" s="8" t="s">
        <v>30</v>
      </c>
      <c r="D19" s="13">
        <v>1580026.3</v>
      </c>
      <c r="E19" s="142">
        <v>0.92156999999999989</v>
      </c>
      <c r="F19" s="143">
        <v>250</v>
      </c>
      <c r="G19" s="144">
        <v>83</v>
      </c>
      <c r="H19" s="43"/>
      <c r="I19" s="145">
        <v>1</v>
      </c>
      <c r="J19" s="107">
        <f t="shared" si="1"/>
        <v>1580026.3</v>
      </c>
      <c r="K19" s="111">
        <f t="shared" si="2"/>
        <v>0.49725999999999998</v>
      </c>
      <c r="N19" s="42">
        <f t="shared" si="3"/>
        <v>785683.87793800002</v>
      </c>
      <c r="O19" s="19"/>
      <c r="P19" s="19"/>
    </row>
    <row r="20" spans="1:16" x14ac:dyDescent="0.35">
      <c r="A20" s="1">
        <f t="shared" si="0"/>
        <v>14</v>
      </c>
      <c r="B20" s="10"/>
      <c r="C20" s="9" t="s">
        <v>31</v>
      </c>
      <c r="D20" s="14">
        <v>2140268.4</v>
      </c>
      <c r="E20" s="146">
        <v>0.86349999999999982</v>
      </c>
      <c r="F20" s="147"/>
      <c r="G20" s="148"/>
      <c r="H20" s="40"/>
      <c r="I20" s="141">
        <v>1</v>
      </c>
      <c r="J20" s="47">
        <f t="shared" si="1"/>
        <v>2140268.4</v>
      </c>
      <c r="K20" s="110">
        <f t="shared" si="2"/>
        <v>0.49725999999999998</v>
      </c>
      <c r="N20" s="42">
        <f t="shared" si="3"/>
        <v>1064269.8645839998</v>
      </c>
      <c r="O20" s="19"/>
      <c r="P20" s="19"/>
    </row>
    <row r="21" spans="1:16" x14ac:dyDescent="0.35">
      <c r="A21" s="1">
        <f t="shared" si="0"/>
        <v>15</v>
      </c>
      <c r="B21" s="7" t="s">
        <v>33</v>
      </c>
      <c r="C21" s="8" t="s">
        <v>30</v>
      </c>
      <c r="D21" s="13">
        <v>405389.26339126908</v>
      </c>
      <c r="E21" s="142">
        <v>0.81911000000000023</v>
      </c>
      <c r="F21" s="143">
        <v>250</v>
      </c>
      <c r="G21" s="144">
        <v>22</v>
      </c>
      <c r="H21" s="43"/>
      <c r="I21" s="145">
        <v>1</v>
      </c>
      <c r="J21" s="107">
        <f t="shared" si="1"/>
        <v>405389.26339126908</v>
      </c>
      <c r="K21" s="111">
        <f t="shared" si="2"/>
        <v>0.49725999999999998</v>
      </c>
      <c r="N21" s="42">
        <f t="shared" si="3"/>
        <v>201583.86511394245</v>
      </c>
      <c r="O21" s="19"/>
      <c r="P21" s="19"/>
    </row>
    <row r="22" spans="1:16" x14ac:dyDescent="0.35">
      <c r="A22" s="1">
        <f t="shared" si="0"/>
        <v>16</v>
      </c>
      <c r="B22" s="10"/>
      <c r="C22" s="9" t="s">
        <v>31</v>
      </c>
      <c r="D22" s="14">
        <v>803152.63660873089</v>
      </c>
      <c r="E22" s="146">
        <v>0.77333999999999992</v>
      </c>
      <c r="F22" s="147"/>
      <c r="G22" s="148"/>
      <c r="H22" s="40"/>
      <c r="I22" s="141">
        <v>1</v>
      </c>
      <c r="J22" s="47">
        <f t="shared" si="1"/>
        <v>803152.63660873089</v>
      </c>
      <c r="K22" s="110">
        <f t="shared" si="2"/>
        <v>0.49725999999999998</v>
      </c>
      <c r="N22" s="42">
        <f t="shared" si="3"/>
        <v>399375.68008005753</v>
      </c>
      <c r="O22" s="19"/>
      <c r="P22" s="19"/>
    </row>
    <row r="23" spans="1:16" x14ac:dyDescent="0.35">
      <c r="A23" s="1">
        <f t="shared" si="0"/>
        <v>17</v>
      </c>
      <c r="B23" s="7" t="s">
        <v>32</v>
      </c>
      <c r="C23" s="8" t="s">
        <v>30</v>
      </c>
      <c r="D23" s="13">
        <v>0</v>
      </c>
      <c r="E23" s="142">
        <v>0.88825000000000021</v>
      </c>
      <c r="F23" s="143">
        <v>250</v>
      </c>
      <c r="G23" s="144">
        <v>0</v>
      </c>
      <c r="H23" s="43"/>
      <c r="I23" s="145">
        <v>1</v>
      </c>
      <c r="J23" s="107">
        <f t="shared" si="1"/>
        <v>0</v>
      </c>
      <c r="K23" s="111">
        <f t="shared" si="2"/>
        <v>0.49725999999999998</v>
      </c>
      <c r="N23" s="42">
        <f t="shared" si="3"/>
        <v>0</v>
      </c>
      <c r="O23" s="19"/>
      <c r="P23" s="19"/>
    </row>
    <row r="24" spans="1:16" x14ac:dyDescent="0.35">
      <c r="A24" s="1">
        <f t="shared" si="0"/>
        <v>18</v>
      </c>
      <c r="B24" s="10"/>
      <c r="C24" s="9" t="s">
        <v>31</v>
      </c>
      <c r="D24" s="14">
        <v>0</v>
      </c>
      <c r="E24" s="146">
        <v>0.83442999999999989</v>
      </c>
      <c r="F24" s="147"/>
      <c r="G24" s="148"/>
      <c r="H24" s="40"/>
      <c r="I24" s="141">
        <v>1</v>
      </c>
      <c r="J24" s="47">
        <f t="shared" si="1"/>
        <v>0</v>
      </c>
      <c r="K24" s="110">
        <f t="shared" si="2"/>
        <v>0.49725999999999998</v>
      </c>
      <c r="N24" s="42">
        <f t="shared" si="3"/>
        <v>0</v>
      </c>
      <c r="O24" s="19"/>
      <c r="P24" s="19"/>
    </row>
    <row r="25" spans="1:16" x14ac:dyDescent="0.35">
      <c r="A25" s="1">
        <f t="shared" si="0"/>
        <v>19</v>
      </c>
      <c r="B25" s="7" t="s">
        <v>34</v>
      </c>
      <c r="C25" s="8" t="s">
        <v>30</v>
      </c>
      <c r="D25" s="13">
        <v>0</v>
      </c>
      <c r="E25" s="142">
        <v>0.81358000000000008</v>
      </c>
      <c r="F25" s="143">
        <v>250</v>
      </c>
      <c r="G25" s="144">
        <v>0</v>
      </c>
      <c r="H25" s="43"/>
      <c r="I25" s="145">
        <v>1</v>
      </c>
      <c r="J25" s="107">
        <f t="shared" si="1"/>
        <v>0</v>
      </c>
      <c r="K25" s="111">
        <f t="shared" si="2"/>
        <v>0.49725999999999998</v>
      </c>
      <c r="N25" s="42">
        <f t="shared" si="3"/>
        <v>0</v>
      </c>
      <c r="O25" s="19"/>
      <c r="P25" s="19"/>
    </row>
    <row r="26" spans="1:16" x14ac:dyDescent="0.35">
      <c r="A26" s="1">
        <f t="shared" si="0"/>
        <v>20</v>
      </c>
      <c r="B26" s="10"/>
      <c r="C26" s="9" t="s">
        <v>31</v>
      </c>
      <c r="D26" s="14">
        <v>0</v>
      </c>
      <c r="E26" s="146">
        <v>0.76871999999999996</v>
      </c>
      <c r="F26" s="147"/>
      <c r="G26" s="148"/>
      <c r="H26" s="40"/>
      <c r="I26" s="141">
        <v>1</v>
      </c>
      <c r="J26" s="47">
        <f t="shared" si="1"/>
        <v>0</v>
      </c>
      <c r="K26" s="110">
        <f t="shared" si="2"/>
        <v>0.49725999999999998</v>
      </c>
      <c r="N26" s="42">
        <f t="shared" si="3"/>
        <v>0</v>
      </c>
      <c r="O26" s="19"/>
      <c r="P26" s="19"/>
    </row>
    <row r="27" spans="1:16" x14ac:dyDescent="0.35">
      <c r="A27" s="1">
        <f t="shared" si="0"/>
        <v>21</v>
      </c>
      <c r="B27" s="7" t="s">
        <v>88</v>
      </c>
      <c r="C27" s="8" t="s">
        <v>30</v>
      </c>
      <c r="D27" s="13">
        <v>149223.99763209719</v>
      </c>
      <c r="E27" s="142">
        <v>0.39027999999999996</v>
      </c>
      <c r="F27" s="143">
        <v>500</v>
      </c>
      <c r="G27" s="144">
        <v>8</v>
      </c>
      <c r="H27" s="43"/>
      <c r="I27" s="145">
        <v>1</v>
      </c>
      <c r="J27" s="107">
        <f t="shared" si="1"/>
        <v>149223.99763209719</v>
      </c>
      <c r="K27" s="111">
        <f t="shared" si="2"/>
        <v>0.49725999999999998</v>
      </c>
      <c r="N27" s="42">
        <f t="shared" si="3"/>
        <v>74203.125062536652</v>
      </c>
      <c r="O27" s="19"/>
      <c r="P27" s="19"/>
    </row>
    <row r="28" spans="1:16" x14ac:dyDescent="0.35">
      <c r="A28" s="1">
        <f t="shared" si="0"/>
        <v>22</v>
      </c>
      <c r="B28" s="10"/>
      <c r="C28" s="9" t="s">
        <v>31</v>
      </c>
      <c r="D28" s="14">
        <v>299593.9023679028</v>
      </c>
      <c r="E28" s="146">
        <v>0.34396000000000004</v>
      </c>
      <c r="F28" s="147"/>
      <c r="G28" s="148"/>
      <c r="H28" s="40"/>
      <c r="I28" s="141">
        <v>1</v>
      </c>
      <c r="J28" s="47">
        <f t="shared" si="1"/>
        <v>299593.9023679028</v>
      </c>
      <c r="K28" s="110">
        <f t="shared" si="2"/>
        <v>0.49725999999999998</v>
      </c>
      <c r="N28" s="42">
        <f t="shared" si="3"/>
        <v>148976.06389146333</v>
      </c>
      <c r="O28" s="19"/>
      <c r="P28" s="19"/>
    </row>
    <row r="29" spans="1:16" x14ac:dyDescent="0.35">
      <c r="A29" s="1">
        <f t="shared" si="0"/>
        <v>23</v>
      </c>
      <c r="B29" s="7" t="s">
        <v>89</v>
      </c>
      <c r="C29" s="8" t="s">
        <v>30</v>
      </c>
      <c r="D29" s="13">
        <v>0</v>
      </c>
      <c r="E29" s="142">
        <v>0.37845000000000001</v>
      </c>
      <c r="F29" s="143">
        <v>500</v>
      </c>
      <c r="G29" s="144">
        <v>0</v>
      </c>
      <c r="H29" s="44"/>
      <c r="I29" s="145">
        <v>1</v>
      </c>
      <c r="J29" s="107">
        <f t="shared" si="1"/>
        <v>0</v>
      </c>
      <c r="K29" s="111">
        <f t="shared" si="2"/>
        <v>0.49725999999999998</v>
      </c>
      <c r="N29" s="42">
        <f t="shared" si="3"/>
        <v>0</v>
      </c>
      <c r="O29" s="19"/>
      <c r="P29" s="19"/>
    </row>
    <row r="30" spans="1:16" x14ac:dyDescent="0.35">
      <c r="A30" s="1">
        <f t="shared" si="0"/>
        <v>24</v>
      </c>
      <c r="B30" s="10"/>
      <c r="C30" s="9" t="s">
        <v>31</v>
      </c>
      <c r="D30" s="14">
        <v>0</v>
      </c>
      <c r="E30" s="146">
        <v>0.33354000000000011</v>
      </c>
      <c r="F30" s="149"/>
      <c r="G30" s="150"/>
      <c r="H30" s="40"/>
      <c r="I30" s="141">
        <v>1</v>
      </c>
      <c r="J30" s="47">
        <f t="shared" si="1"/>
        <v>0</v>
      </c>
      <c r="K30" s="110">
        <f t="shared" si="2"/>
        <v>0.49725999999999998</v>
      </c>
      <c r="N30" s="42">
        <f t="shared" si="3"/>
        <v>0</v>
      </c>
      <c r="O30" s="19"/>
      <c r="P30" s="19"/>
    </row>
    <row r="31" spans="1:16" x14ac:dyDescent="0.35">
      <c r="A31" s="1">
        <f t="shared" si="0"/>
        <v>25</v>
      </c>
      <c r="B31" s="7" t="s">
        <v>35</v>
      </c>
      <c r="C31" s="8" t="s">
        <v>30</v>
      </c>
      <c r="D31" s="13">
        <v>705606.2</v>
      </c>
      <c r="E31" s="142">
        <v>0.68215999999999977</v>
      </c>
      <c r="F31" s="151">
        <v>1300</v>
      </c>
      <c r="G31" s="152">
        <v>8</v>
      </c>
      <c r="H31" s="43"/>
      <c r="I31" s="145">
        <v>1</v>
      </c>
      <c r="J31" s="108">
        <f t="shared" si="1"/>
        <v>705606.2</v>
      </c>
      <c r="K31" s="112">
        <f t="shared" si="2"/>
        <v>0.49725999999999998</v>
      </c>
      <c r="N31" s="42">
        <f t="shared" si="3"/>
        <v>350869.73901199998</v>
      </c>
      <c r="O31" s="19"/>
      <c r="P31" s="19"/>
    </row>
    <row r="32" spans="1:16" x14ac:dyDescent="0.35">
      <c r="A32" s="1">
        <f t="shared" si="0"/>
        <v>26</v>
      </c>
      <c r="B32" s="7"/>
      <c r="C32" s="8" t="s">
        <v>31</v>
      </c>
      <c r="D32" s="13">
        <v>703300.6</v>
      </c>
      <c r="E32" s="142">
        <v>0.65603999999999951</v>
      </c>
      <c r="F32" s="143"/>
      <c r="G32" s="144"/>
      <c r="H32" s="43"/>
      <c r="I32" s="145">
        <v>1</v>
      </c>
      <c r="J32" s="107">
        <f t="shared" si="1"/>
        <v>703300.6</v>
      </c>
      <c r="K32" s="111">
        <f t="shared" si="2"/>
        <v>0.49725999999999998</v>
      </c>
      <c r="N32" s="42">
        <f t="shared" si="3"/>
        <v>349723.25635599997</v>
      </c>
      <c r="O32" s="19"/>
      <c r="P32" s="19"/>
    </row>
    <row r="33" spans="1:16" x14ac:dyDescent="0.35">
      <c r="A33" s="1">
        <f t="shared" si="0"/>
        <v>27</v>
      </c>
      <c r="B33" s="7"/>
      <c r="C33" s="8" t="s">
        <v>36</v>
      </c>
      <c r="D33" s="13">
        <v>215004.1</v>
      </c>
      <c r="E33" s="142">
        <v>0.60410999999999981</v>
      </c>
      <c r="F33" s="143"/>
      <c r="G33" s="183"/>
      <c r="H33" s="4"/>
      <c r="I33" s="145">
        <v>1</v>
      </c>
      <c r="J33" s="107">
        <f t="shared" si="1"/>
        <v>215004.1</v>
      </c>
      <c r="K33" s="111">
        <f t="shared" si="2"/>
        <v>0.49725999999999998</v>
      </c>
      <c r="N33" s="42">
        <f t="shared" si="3"/>
        <v>106912.93876599999</v>
      </c>
      <c r="O33" s="19"/>
      <c r="P33" s="19"/>
    </row>
    <row r="34" spans="1:16" x14ac:dyDescent="0.35">
      <c r="A34" s="1">
        <f t="shared" si="0"/>
        <v>28</v>
      </c>
      <c r="B34" s="7"/>
      <c r="C34" s="8" t="s">
        <v>37</v>
      </c>
      <c r="D34" s="13">
        <v>43909.3</v>
      </c>
      <c r="E34" s="142">
        <v>0.5699000000000003</v>
      </c>
      <c r="F34" s="149"/>
      <c r="G34" s="150"/>
      <c r="H34" s="43"/>
      <c r="I34" s="145">
        <v>1</v>
      </c>
      <c r="J34" s="107">
        <f t="shared" si="1"/>
        <v>43909.3</v>
      </c>
      <c r="K34" s="111">
        <f t="shared" si="2"/>
        <v>0.49725999999999998</v>
      </c>
      <c r="N34" s="42">
        <f t="shared" si="3"/>
        <v>21834.338518</v>
      </c>
      <c r="O34" s="19"/>
      <c r="P34" s="19"/>
    </row>
    <row r="35" spans="1:16" x14ac:dyDescent="0.35">
      <c r="A35" s="1">
        <f t="shared" si="0"/>
        <v>29</v>
      </c>
      <c r="B35" s="7"/>
      <c r="C35" s="8" t="s">
        <v>38</v>
      </c>
      <c r="D35" s="13">
        <v>0</v>
      </c>
      <c r="E35" s="142">
        <v>0.52432000000000001</v>
      </c>
      <c r="G35" s="153"/>
      <c r="H35" s="43"/>
      <c r="I35" s="145">
        <v>1</v>
      </c>
      <c r="J35" s="107">
        <f t="shared" si="1"/>
        <v>0</v>
      </c>
      <c r="K35" s="111">
        <f t="shared" si="2"/>
        <v>0.49725999999999998</v>
      </c>
      <c r="N35" s="42">
        <f t="shared" si="3"/>
        <v>0</v>
      </c>
      <c r="O35" s="19"/>
      <c r="P35" s="19"/>
    </row>
    <row r="36" spans="1:16" x14ac:dyDescent="0.35">
      <c r="A36" s="1">
        <f t="shared" si="0"/>
        <v>30</v>
      </c>
      <c r="B36" s="10"/>
      <c r="C36" s="9" t="s">
        <v>39</v>
      </c>
      <c r="D36" s="14">
        <v>0</v>
      </c>
      <c r="E36" s="146">
        <v>0.46733000000000013</v>
      </c>
      <c r="F36" s="154"/>
      <c r="G36" s="155"/>
      <c r="H36" s="40"/>
      <c r="I36" s="141">
        <v>1</v>
      </c>
      <c r="J36" s="47">
        <f t="shared" si="1"/>
        <v>0</v>
      </c>
      <c r="K36" s="110">
        <f t="shared" si="2"/>
        <v>0.49725999999999998</v>
      </c>
      <c r="N36" s="42">
        <f t="shared" si="3"/>
        <v>0</v>
      </c>
      <c r="O36" s="19"/>
      <c r="P36" s="19"/>
    </row>
    <row r="37" spans="1:16" x14ac:dyDescent="0.35">
      <c r="A37" s="1">
        <f t="shared" si="0"/>
        <v>31</v>
      </c>
      <c r="B37" s="7" t="s">
        <v>40</v>
      </c>
      <c r="C37" s="8" t="s">
        <v>30</v>
      </c>
      <c r="D37" s="13">
        <v>1154015.06508904</v>
      </c>
      <c r="E37" s="142">
        <v>0.60789999999999988</v>
      </c>
      <c r="F37" s="143">
        <v>1300</v>
      </c>
      <c r="G37" s="144">
        <v>10</v>
      </c>
      <c r="H37" s="43"/>
      <c r="I37" s="145">
        <v>1</v>
      </c>
      <c r="J37" s="108">
        <f t="shared" si="1"/>
        <v>1154015.06508904</v>
      </c>
      <c r="K37" s="112">
        <f t="shared" si="2"/>
        <v>0.49725999999999998</v>
      </c>
      <c r="N37" s="42">
        <f t="shared" si="3"/>
        <v>573845.53126617603</v>
      </c>
      <c r="O37" s="19"/>
      <c r="P37" s="19"/>
    </row>
    <row r="38" spans="1:16" x14ac:dyDescent="0.35">
      <c r="A38" s="1">
        <f t="shared" si="0"/>
        <v>32</v>
      </c>
      <c r="B38" s="7"/>
      <c r="C38" s="8" t="s">
        <v>31</v>
      </c>
      <c r="D38" s="13">
        <v>679892.33897401206</v>
      </c>
      <c r="E38" s="142">
        <v>0.58965000000000012</v>
      </c>
      <c r="F38" s="143"/>
      <c r="G38" s="144"/>
      <c r="H38" s="43"/>
      <c r="I38" s="145">
        <v>1</v>
      </c>
      <c r="J38" s="107">
        <f t="shared" si="1"/>
        <v>679892.33897401206</v>
      </c>
      <c r="K38" s="111">
        <f t="shared" si="2"/>
        <v>0.49725999999999998</v>
      </c>
      <c r="N38" s="42">
        <f t="shared" si="3"/>
        <v>338083.26447821723</v>
      </c>
      <c r="O38" s="19"/>
      <c r="P38" s="19"/>
    </row>
    <row r="39" spans="1:16" x14ac:dyDescent="0.35">
      <c r="A39" s="1">
        <f t="shared" si="0"/>
        <v>33</v>
      </c>
      <c r="B39" s="7"/>
      <c r="C39" s="8" t="s">
        <v>36</v>
      </c>
      <c r="D39" s="13">
        <v>50801.713875621004</v>
      </c>
      <c r="E39" s="142">
        <v>0.5533699999999997</v>
      </c>
      <c r="F39" s="143"/>
      <c r="G39" s="144"/>
      <c r="H39" s="43"/>
      <c r="I39" s="145">
        <v>1</v>
      </c>
      <c r="J39" s="107">
        <f t="shared" si="1"/>
        <v>50801.713875621004</v>
      </c>
      <c r="K39" s="111">
        <f t="shared" si="2"/>
        <v>0.49725999999999998</v>
      </c>
      <c r="N39" s="42">
        <f t="shared" si="3"/>
        <v>25261.660241791298</v>
      </c>
      <c r="O39" s="19"/>
      <c r="P39" s="19"/>
    </row>
    <row r="40" spans="1:16" x14ac:dyDescent="0.35">
      <c r="A40" s="1">
        <f t="shared" si="0"/>
        <v>34</v>
      </c>
      <c r="B40" s="7"/>
      <c r="C40" s="8" t="s">
        <v>37</v>
      </c>
      <c r="D40" s="13">
        <v>3711.8789013314963</v>
      </c>
      <c r="E40" s="142">
        <v>0.52949000000000002</v>
      </c>
      <c r="F40" s="143"/>
      <c r="G40" s="144"/>
      <c r="H40" s="43"/>
      <c r="I40" s="145">
        <v>1</v>
      </c>
      <c r="J40" s="107">
        <f t="shared" si="1"/>
        <v>3711.8789013314963</v>
      </c>
      <c r="K40" s="111">
        <f t="shared" si="2"/>
        <v>0.49725999999999998</v>
      </c>
      <c r="N40" s="42">
        <f t="shared" si="3"/>
        <v>1845.7689024760998</v>
      </c>
      <c r="O40" s="19"/>
      <c r="P40" s="19"/>
    </row>
    <row r="41" spans="1:16" x14ac:dyDescent="0.35">
      <c r="A41" s="1">
        <f t="shared" si="0"/>
        <v>35</v>
      </c>
      <c r="B41" s="7"/>
      <c r="C41" s="8" t="s">
        <v>38</v>
      </c>
      <c r="D41" s="13">
        <v>0</v>
      </c>
      <c r="E41" s="142">
        <v>0.49768000000000018</v>
      </c>
      <c r="G41" s="153"/>
      <c r="H41" s="43"/>
      <c r="I41" s="145">
        <v>1</v>
      </c>
      <c r="J41" s="107">
        <f t="shared" si="1"/>
        <v>0</v>
      </c>
      <c r="K41" s="111">
        <f t="shared" si="2"/>
        <v>0.49725999999999998</v>
      </c>
      <c r="N41" s="42">
        <f t="shared" si="3"/>
        <v>0</v>
      </c>
      <c r="O41" s="19"/>
      <c r="P41" s="19"/>
    </row>
    <row r="42" spans="1:16" x14ac:dyDescent="0.35">
      <c r="A42" s="1">
        <f t="shared" si="0"/>
        <v>36</v>
      </c>
      <c r="B42" s="10"/>
      <c r="C42" s="9" t="s">
        <v>39</v>
      </c>
      <c r="D42" s="14">
        <v>0</v>
      </c>
      <c r="E42" s="146">
        <v>0.45784999999999992</v>
      </c>
      <c r="F42" s="147"/>
      <c r="G42" s="148"/>
      <c r="H42" s="40"/>
      <c r="I42" s="141">
        <v>1</v>
      </c>
      <c r="J42" s="47">
        <f t="shared" si="1"/>
        <v>0</v>
      </c>
      <c r="K42" s="110">
        <f t="shared" si="2"/>
        <v>0.49725999999999998</v>
      </c>
      <c r="N42" s="42">
        <f t="shared" si="3"/>
        <v>0</v>
      </c>
      <c r="O42" s="19"/>
      <c r="P42" s="19"/>
    </row>
    <row r="43" spans="1:16" x14ac:dyDescent="0.35">
      <c r="A43" s="1">
        <f t="shared" si="0"/>
        <v>37</v>
      </c>
      <c r="B43" s="7" t="s">
        <v>90</v>
      </c>
      <c r="C43" s="8" t="s">
        <v>30</v>
      </c>
      <c r="D43" s="13">
        <v>217852.64307951118</v>
      </c>
      <c r="E43" s="142">
        <v>0.15956999999999996</v>
      </c>
      <c r="F43" s="143">
        <v>1550</v>
      </c>
      <c r="G43" s="144">
        <v>2</v>
      </c>
      <c r="H43" s="43"/>
      <c r="I43" s="145">
        <v>1</v>
      </c>
      <c r="J43" s="108">
        <f t="shared" si="1"/>
        <v>217852.64307951118</v>
      </c>
      <c r="K43" s="112">
        <f t="shared" si="2"/>
        <v>0.49725999999999998</v>
      </c>
      <c r="N43" s="42">
        <f t="shared" si="3"/>
        <v>108329.40529771772</v>
      </c>
      <c r="O43" s="19"/>
      <c r="P43" s="19"/>
    </row>
    <row r="44" spans="1:16" x14ac:dyDescent="0.35">
      <c r="A44" s="1">
        <f t="shared" si="0"/>
        <v>38</v>
      </c>
      <c r="B44" s="7"/>
      <c r="C44" s="8" t="s">
        <v>31</v>
      </c>
      <c r="D44" s="13">
        <v>435705.28615902236</v>
      </c>
      <c r="E44" s="142">
        <v>0.14293</v>
      </c>
      <c r="F44" s="143"/>
      <c r="G44" s="144"/>
      <c r="H44" s="43"/>
      <c r="I44" s="145">
        <v>1</v>
      </c>
      <c r="J44" s="107">
        <f t="shared" si="1"/>
        <v>435705.28615902236</v>
      </c>
      <c r="K44" s="111">
        <f t="shared" si="2"/>
        <v>0.49725999999999998</v>
      </c>
      <c r="N44" s="42">
        <f t="shared" si="3"/>
        <v>216658.81059543544</v>
      </c>
      <c r="O44" s="19"/>
      <c r="P44" s="19"/>
    </row>
    <row r="45" spans="1:16" x14ac:dyDescent="0.35">
      <c r="A45" s="1">
        <f t="shared" si="0"/>
        <v>39</v>
      </c>
      <c r="B45" s="7"/>
      <c r="C45" s="8" t="s">
        <v>36</v>
      </c>
      <c r="D45" s="13">
        <v>435705.28615902236</v>
      </c>
      <c r="E45" s="142">
        <v>0.10979999999999999</v>
      </c>
      <c r="F45" s="143"/>
      <c r="G45" s="144"/>
      <c r="H45" s="43"/>
      <c r="I45" s="145">
        <v>1</v>
      </c>
      <c r="J45" s="107">
        <f t="shared" ref="J45:J76" si="4">I45*D45</f>
        <v>435705.28615902236</v>
      </c>
      <c r="K45" s="111">
        <f t="shared" ref="K45:K81" si="5">I45*$K$85</f>
        <v>0.49725999999999998</v>
      </c>
      <c r="N45" s="42">
        <f t="shared" ref="N45:N81" si="6">K45*D45</f>
        <v>216658.81059543544</v>
      </c>
      <c r="O45" s="19"/>
      <c r="P45" s="19"/>
    </row>
    <row r="46" spans="1:16" x14ac:dyDescent="0.35">
      <c r="A46" s="1">
        <f t="shared" si="0"/>
        <v>40</v>
      </c>
      <c r="B46" s="7"/>
      <c r="C46" s="8" t="s">
        <v>37</v>
      </c>
      <c r="D46" s="13">
        <v>665436.34460244386</v>
      </c>
      <c r="E46" s="142">
        <v>8.8010000000000005E-2</v>
      </c>
      <c r="F46" s="143"/>
      <c r="G46" s="144"/>
      <c r="H46" s="43"/>
      <c r="I46" s="145">
        <v>1</v>
      </c>
      <c r="J46" s="107">
        <f t="shared" si="4"/>
        <v>665436.34460244386</v>
      </c>
      <c r="K46" s="111">
        <f t="shared" si="5"/>
        <v>0.49725999999999998</v>
      </c>
      <c r="N46" s="42">
        <f t="shared" si="6"/>
        <v>330894.87671701121</v>
      </c>
      <c r="O46" s="19"/>
      <c r="P46" s="19"/>
    </row>
    <row r="47" spans="1:16" x14ac:dyDescent="0.35">
      <c r="A47" s="1">
        <f t="shared" si="0"/>
        <v>41</v>
      </c>
      <c r="B47" s="7"/>
      <c r="C47" s="8" t="s">
        <v>38</v>
      </c>
      <c r="D47" s="13">
        <v>0</v>
      </c>
      <c r="E47" s="142">
        <v>5.8950000000000002E-2</v>
      </c>
      <c r="G47" s="153"/>
      <c r="H47" s="43"/>
      <c r="I47" s="145">
        <v>1</v>
      </c>
      <c r="J47" s="107">
        <f t="shared" si="4"/>
        <v>0</v>
      </c>
      <c r="K47" s="111">
        <f t="shared" si="5"/>
        <v>0.49725999999999998</v>
      </c>
      <c r="N47" s="42">
        <f t="shared" si="6"/>
        <v>0</v>
      </c>
      <c r="O47" s="19"/>
      <c r="P47" s="19"/>
    </row>
    <row r="48" spans="1:16" x14ac:dyDescent="0.35">
      <c r="A48" s="1">
        <f t="shared" si="0"/>
        <v>42</v>
      </c>
      <c r="B48" s="10"/>
      <c r="C48" s="9" t="s">
        <v>39</v>
      </c>
      <c r="D48" s="14">
        <v>0</v>
      </c>
      <c r="E48" s="146">
        <v>2.2620000000000001E-2</v>
      </c>
      <c r="F48" s="147"/>
      <c r="G48" s="148"/>
      <c r="H48" s="40"/>
      <c r="I48" s="141">
        <v>1</v>
      </c>
      <c r="J48" s="47">
        <f t="shared" si="4"/>
        <v>0</v>
      </c>
      <c r="K48" s="110">
        <f t="shared" si="5"/>
        <v>0.49725999999999998</v>
      </c>
      <c r="N48" s="42">
        <f t="shared" si="6"/>
        <v>0</v>
      </c>
      <c r="O48" s="19"/>
      <c r="P48" s="19"/>
    </row>
    <row r="49" spans="1:16" x14ac:dyDescent="0.35">
      <c r="A49" s="1">
        <f t="shared" si="0"/>
        <v>43</v>
      </c>
      <c r="B49" s="7" t="s">
        <v>91</v>
      </c>
      <c r="C49" s="8" t="s">
        <v>30</v>
      </c>
      <c r="D49" s="13">
        <v>721021.492905778</v>
      </c>
      <c r="E49" s="142">
        <v>0.15682000000000001</v>
      </c>
      <c r="F49" s="143">
        <v>1550</v>
      </c>
      <c r="G49" s="144">
        <v>8</v>
      </c>
      <c r="H49" s="43"/>
      <c r="I49" s="145">
        <v>1</v>
      </c>
      <c r="J49" s="108">
        <f t="shared" si="4"/>
        <v>721021.492905778</v>
      </c>
      <c r="K49" s="112">
        <f t="shared" si="5"/>
        <v>0.49725999999999998</v>
      </c>
      <c r="N49" s="42">
        <f t="shared" si="6"/>
        <v>358535.14756232715</v>
      </c>
      <c r="O49" s="19"/>
      <c r="P49" s="19"/>
    </row>
    <row r="50" spans="1:16" x14ac:dyDescent="0.35">
      <c r="A50" s="1">
        <f t="shared" si="0"/>
        <v>44</v>
      </c>
      <c r="B50" s="7"/>
      <c r="C50" s="8" t="s">
        <v>31</v>
      </c>
      <c r="D50" s="13">
        <v>823306.20833086991</v>
      </c>
      <c r="E50" s="142">
        <v>0.14045999999999995</v>
      </c>
      <c r="F50" s="143"/>
      <c r="G50" s="144"/>
      <c r="H50" s="43"/>
      <c r="I50" s="145">
        <v>1</v>
      </c>
      <c r="J50" s="107">
        <f t="shared" si="4"/>
        <v>823306.20833086991</v>
      </c>
      <c r="K50" s="111">
        <f t="shared" si="5"/>
        <v>0.49725999999999998</v>
      </c>
      <c r="N50" s="42">
        <f t="shared" si="6"/>
        <v>409397.24515460833</v>
      </c>
      <c r="O50" s="19"/>
      <c r="P50" s="19"/>
    </row>
    <row r="51" spans="1:16" x14ac:dyDescent="0.35">
      <c r="A51" s="1">
        <f t="shared" si="0"/>
        <v>45</v>
      </c>
      <c r="B51" s="7"/>
      <c r="C51" s="8" t="s">
        <v>36</v>
      </c>
      <c r="D51" s="13">
        <v>697331.01038390503</v>
      </c>
      <c r="E51" s="142">
        <v>0.10789000000000001</v>
      </c>
      <c r="F51" s="143"/>
      <c r="G51" s="144"/>
      <c r="H51" s="43"/>
      <c r="I51" s="145">
        <v>1</v>
      </c>
      <c r="J51" s="107">
        <f t="shared" si="4"/>
        <v>697331.01038390503</v>
      </c>
      <c r="K51" s="111">
        <f t="shared" si="5"/>
        <v>0.49725999999999998</v>
      </c>
      <c r="N51" s="42">
        <f t="shared" si="6"/>
        <v>346754.81822350062</v>
      </c>
      <c r="O51" s="19"/>
      <c r="P51" s="19"/>
    </row>
    <row r="52" spans="1:16" x14ac:dyDescent="0.35">
      <c r="A52" s="1">
        <f t="shared" si="0"/>
        <v>46</v>
      </c>
      <c r="B52" s="7"/>
      <c r="C52" s="8" t="s">
        <v>37</v>
      </c>
      <c r="D52" s="13">
        <v>2399217.3679780201</v>
      </c>
      <c r="E52" s="142">
        <v>8.6500000000000021E-2</v>
      </c>
      <c r="F52" s="143"/>
      <c r="G52" s="144"/>
      <c r="H52" s="43"/>
      <c r="I52" s="145">
        <v>1</v>
      </c>
      <c r="J52" s="107">
        <f t="shared" si="4"/>
        <v>2399217.3679780201</v>
      </c>
      <c r="K52" s="111">
        <f t="shared" si="5"/>
        <v>0.49725999999999998</v>
      </c>
      <c r="N52" s="42">
        <f t="shared" si="6"/>
        <v>1193034.8284007502</v>
      </c>
      <c r="O52" s="19"/>
      <c r="P52" s="19"/>
    </row>
    <row r="53" spans="1:16" x14ac:dyDescent="0.35">
      <c r="A53" s="1">
        <f t="shared" si="0"/>
        <v>47</v>
      </c>
      <c r="B53" s="7"/>
      <c r="C53" s="8" t="s">
        <v>38</v>
      </c>
      <c r="D53" s="13">
        <v>1240722.9904014217</v>
      </c>
      <c r="E53" s="142">
        <v>5.7930000000000002E-2</v>
      </c>
      <c r="G53" s="153"/>
      <c r="H53" s="43"/>
      <c r="I53" s="145">
        <v>1</v>
      </c>
      <c r="J53" s="107">
        <f t="shared" si="4"/>
        <v>1240722.9904014217</v>
      </c>
      <c r="K53" s="111">
        <f t="shared" si="5"/>
        <v>0.49725999999999998</v>
      </c>
      <c r="N53" s="42">
        <f t="shared" si="6"/>
        <v>616961.91420701088</v>
      </c>
      <c r="O53" s="19"/>
      <c r="P53" s="19"/>
    </row>
    <row r="54" spans="1:16" x14ac:dyDescent="0.35">
      <c r="A54" s="1">
        <f t="shared" si="0"/>
        <v>48</v>
      </c>
      <c r="B54" s="10"/>
      <c r="C54" s="9" t="s">
        <v>39</v>
      </c>
      <c r="D54" s="14">
        <v>0</v>
      </c>
      <c r="E54" s="146">
        <v>2.2240000000000003E-2</v>
      </c>
      <c r="F54" s="147"/>
      <c r="G54" s="148"/>
      <c r="H54" s="40"/>
      <c r="I54" s="141">
        <v>1</v>
      </c>
      <c r="J54" s="47">
        <f t="shared" si="4"/>
        <v>0</v>
      </c>
      <c r="K54" s="110">
        <f t="shared" si="5"/>
        <v>0.49725999999999998</v>
      </c>
      <c r="N54" s="42">
        <f t="shared" si="6"/>
        <v>0</v>
      </c>
      <c r="O54" s="19"/>
      <c r="P54" s="19"/>
    </row>
    <row r="55" spans="1:16" x14ac:dyDescent="0.35">
      <c r="A55" s="1">
        <f t="shared" si="0"/>
        <v>49</v>
      </c>
      <c r="B55" s="7" t="s">
        <v>43</v>
      </c>
      <c r="C55" s="8" t="s">
        <v>30</v>
      </c>
      <c r="D55" s="13">
        <v>226370.10649530875</v>
      </c>
      <c r="E55" s="142">
        <v>0.63624000000000014</v>
      </c>
      <c r="F55" s="143">
        <v>1300</v>
      </c>
      <c r="G55" s="144">
        <v>2</v>
      </c>
      <c r="H55" s="43"/>
      <c r="I55" s="145">
        <v>1</v>
      </c>
      <c r="J55" s="108">
        <f t="shared" si="4"/>
        <v>226370.10649530875</v>
      </c>
      <c r="K55" s="112">
        <f t="shared" si="5"/>
        <v>0.49725999999999998</v>
      </c>
      <c r="N55" s="42">
        <f t="shared" si="6"/>
        <v>112564.79915585722</v>
      </c>
      <c r="O55" s="19"/>
      <c r="P55" s="19"/>
    </row>
    <row r="56" spans="1:16" x14ac:dyDescent="0.35">
      <c r="A56" s="1">
        <f t="shared" si="0"/>
        <v>50</v>
      </c>
      <c r="B56" s="7"/>
      <c r="C56" s="8" t="s">
        <v>31</v>
      </c>
      <c r="D56" s="13">
        <v>424562.79398461391</v>
      </c>
      <c r="E56" s="142">
        <v>0.61532999999999982</v>
      </c>
      <c r="F56" s="143"/>
      <c r="G56" s="144"/>
      <c r="H56" s="43"/>
      <c r="I56" s="145">
        <v>1</v>
      </c>
      <c r="J56" s="107">
        <f t="shared" si="4"/>
        <v>424562.79398461391</v>
      </c>
      <c r="K56" s="111">
        <f t="shared" si="5"/>
        <v>0.49725999999999998</v>
      </c>
      <c r="N56" s="42">
        <f t="shared" si="6"/>
        <v>211118.0949367891</v>
      </c>
      <c r="O56" s="19"/>
      <c r="P56" s="19"/>
    </row>
    <row r="57" spans="1:16" x14ac:dyDescent="0.35">
      <c r="A57" s="1">
        <f t="shared" si="0"/>
        <v>51</v>
      </c>
      <c r="B57" s="7"/>
      <c r="C57" s="8" t="s">
        <v>36</v>
      </c>
      <c r="D57" s="13">
        <v>193568.13485536145</v>
      </c>
      <c r="E57" s="142">
        <v>0.57366000000000006</v>
      </c>
      <c r="F57" s="143"/>
      <c r="G57" s="144"/>
      <c r="H57" s="43"/>
      <c r="I57" s="145">
        <v>1</v>
      </c>
      <c r="J57" s="107">
        <f t="shared" si="4"/>
        <v>193568.13485536145</v>
      </c>
      <c r="K57" s="111">
        <f t="shared" si="5"/>
        <v>0.49725999999999998</v>
      </c>
      <c r="N57" s="42">
        <f t="shared" si="6"/>
        <v>96253.690738177029</v>
      </c>
      <c r="O57" s="19"/>
      <c r="P57" s="19"/>
    </row>
    <row r="58" spans="1:16" x14ac:dyDescent="0.35">
      <c r="A58" s="1">
        <f t="shared" si="0"/>
        <v>52</v>
      </c>
      <c r="B58" s="7"/>
      <c r="C58" s="8" t="s">
        <v>37</v>
      </c>
      <c r="D58" s="13">
        <v>93435.20466471574</v>
      </c>
      <c r="E58" s="142">
        <v>0.5462499999999999</v>
      </c>
      <c r="F58" s="143"/>
      <c r="G58" s="144"/>
      <c r="H58" s="43"/>
      <c r="I58" s="145">
        <v>1</v>
      </c>
      <c r="J58" s="107">
        <f t="shared" si="4"/>
        <v>93435.20466471574</v>
      </c>
      <c r="K58" s="111">
        <f t="shared" si="5"/>
        <v>0.49725999999999998</v>
      </c>
      <c r="N58" s="42">
        <f t="shared" si="6"/>
        <v>46461.589871576551</v>
      </c>
      <c r="O58" s="19"/>
      <c r="P58" s="19"/>
    </row>
    <row r="59" spans="1:16" x14ac:dyDescent="0.35">
      <c r="A59" s="1">
        <f t="shared" si="0"/>
        <v>53</v>
      </c>
      <c r="B59" s="7"/>
      <c r="C59" s="8" t="s">
        <v>38</v>
      </c>
      <c r="D59" s="13">
        <v>0</v>
      </c>
      <c r="E59" s="142">
        <v>0.50975999999999999</v>
      </c>
      <c r="G59" s="153"/>
      <c r="H59" s="43"/>
      <c r="I59" s="145">
        <v>1</v>
      </c>
      <c r="J59" s="107">
        <f t="shared" si="4"/>
        <v>0</v>
      </c>
      <c r="K59" s="111">
        <f t="shared" si="5"/>
        <v>0.49725999999999998</v>
      </c>
      <c r="N59" s="42">
        <f t="shared" si="6"/>
        <v>0</v>
      </c>
      <c r="O59" s="19"/>
      <c r="P59" s="19"/>
    </row>
    <row r="60" spans="1:16" x14ac:dyDescent="0.35">
      <c r="A60" s="1">
        <f t="shared" si="0"/>
        <v>54</v>
      </c>
      <c r="B60" s="10"/>
      <c r="C60" s="9" t="s">
        <v>39</v>
      </c>
      <c r="D60" s="14">
        <v>0</v>
      </c>
      <c r="E60" s="146">
        <v>0.46411999999999992</v>
      </c>
      <c r="G60" s="153"/>
      <c r="H60" s="40"/>
      <c r="I60" s="141">
        <v>1</v>
      </c>
      <c r="J60" s="47">
        <f t="shared" si="4"/>
        <v>0</v>
      </c>
      <c r="K60" s="110">
        <f t="shared" si="5"/>
        <v>0.49725999999999998</v>
      </c>
      <c r="N60" s="42">
        <f t="shared" si="6"/>
        <v>0</v>
      </c>
      <c r="O60" s="19"/>
      <c r="P60" s="19"/>
    </row>
    <row r="61" spans="1:16" x14ac:dyDescent="0.35">
      <c r="A61" s="1">
        <f t="shared" si="0"/>
        <v>55</v>
      </c>
      <c r="B61" s="7" t="s">
        <v>44</v>
      </c>
      <c r="C61" s="8" t="s">
        <v>30</v>
      </c>
      <c r="D61" s="13">
        <v>128853.19376431129</v>
      </c>
      <c r="E61" s="142">
        <v>0.60858999999999996</v>
      </c>
      <c r="F61" s="151">
        <v>1300</v>
      </c>
      <c r="G61" s="152">
        <v>1</v>
      </c>
      <c r="H61" s="43"/>
      <c r="I61" s="145">
        <v>1</v>
      </c>
      <c r="J61" s="108">
        <f t="shared" si="4"/>
        <v>128853.19376431129</v>
      </c>
      <c r="K61" s="112">
        <f t="shared" si="5"/>
        <v>0.49725999999999998</v>
      </c>
      <c r="N61" s="42">
        <f t="shared" si="6"/>
        <v>64073.539131241429</v>
      </c>
      <c r="O61" s="19"/>
      <c r="P61" s="19"/>
    </row>
    <row r="62" spans="1:16" x14ac:dyDescent="0.35">
      <c r="A62" s="1">
        <f t="shared" si="0"/>
        <v>56</v>
      </c>
      <c r="B62" s="7"/>
      <c r="C62" s="8" t="s">
        <v>31</v>
      </c>
      <c r="D62" s="13">
        <v>91078.806235688724</v>
      </c>
      <c r="E62" s="142">
        <v>0.5906499999999999</v>
      </c>
      <c r="F62" s="143"/>
      <c r="G62" s="144"/>
      <c r="H62" s="43"/>
      <c r="I62" s="145">
        <v>1</v>
      </c>
      <c r="J62" s="107">
        <f t="shared" si="4"/>
        <v>91078.806235688724</v>
      </c>
      <c r="K62" s="111">
        <f t="shared" si="5"/>
        <v>0.49725999999999998</v>
      </c>
      <c r="N62" s="42">
        <f t="shared" si="6"/>
        <v>45289.847188758577</v>
      </c>
      <c r="O62" s="19"/>
      <c r="P62" s="19"/>
    </row>
    <row r="63" spans="1:16" x14ac:dyDescent="0.35">
      <c r="A63" s="1">
        <f t="shared" si="0"/>
        <v>57</v>
      </c>
      <c r="B63" s="7"/>
      <c r="C63" s="8" t="s">
        <v>36</v>
      </c>
      <c r="D63" s="13">
        <v>0</v>
      </c>
      <c r="E63" s="142">
        <v>0.55497000000000007</v>
      </c>
      <c r="F63" s="143"/>
      <c r="G63" s="144"/>
      <c r="H63" s="43"/>
      <c r="I63" s="145">
        <v>1</v>
      </c>
      <c r="J63" s="107">
        <f t="shared" si="4"/>
        <v>0</v>
      </c>
      <c r="K63" s="111">
        <f t="shared" si="5"/>
        <v>0.49725999999999998</v>
      </c>
      <c r="N63" s="42">
        <f t="shared" si="6"/>
        <v>0</v>
      </c>
      <c r="O63" s="19"/>
      <c r="P63" s="19"/>
    </row>
    <row r="64" spans="1:16" x14ac:dyDescent="0.35">
      <c r="A64" s="1">
        <f t="shared" si="0"/>
        <v>58</v>
      </c>
      <c r="B64" s="7"/>
      <c r="C64" s="8" t="s">
        <v>37</v>
      </c>
      <c r="D64" s="13">
        <v>0</v>
      </c>
      <c r="E64" s="142">
        <v>0.53149999999999964</v>
      </c>
      <c r="F64" s="143"/>
      <c r="G64" s="144"/>
      <c r="H64" s="43"/>
      <c r="I64" s="145">
        <v>1</v>
      </c>
      <c r="J64" s="107">
        <f t="shared" si="4"/>
        <v>0</v>
      </c>
      <c r="K64" s="111">
        <f t="shared" si="5"/>
        <v>0.49725999999999998</v>
      </c>
      <c r="N64" s="42">
        <f t="shared" si="6"/>
        <v>0</v>
      </c>
      <c r="O64" s="19"/>
      <c r="P64" s="19"/>
    </row>
    <row r="65" spans="1:16" x14ac:dyDescent="0.35">
      <c r="A65" s="1">
        <f t="shared" si="0"/>
        <v>59</v>
      </c>
      <c r="B65" s="7"/>
      <c r="C65" s="8" t="s">
        <v>38</v>
      </c>
      <c r="D65" s="13">
        <v>0</v>
      </c>
      <c r="E65" s="142">
        <v>0.50017</v>
      </c>
      <c r="G65" s="153"/>
      <c r="H65" s="43"/>
      <c r="I65" s="145">
        <v>1</v>
      </c>
      <c r="J65" s="107">
        <f t="shared" si="4"/>
        <v>0</v>
      </c>
      <c r="K65" s="111">
        <f t="shared" si="5"/>
        <v>0.49725999999999998</v>
      </c>
      <c r="N65" s="42">
        <f t="shared" si="6"/>
        <v>0</v>
      </c>
      <c r="O65" s="19"/>
      <c r="P65" s="19"/>
    </row>
    <row r="66" spans="1:16" x14ac:dyDescent="0.35">
      <c r="A66" s="1">
        <f t="shared" si="0"/>
        <v>60</v>
      </c>
      <c r="B66" s="10"/>
      <c r="C66" s="9" t="s">
        <v>39</v>
      </c>
      <c r="D66" s="14">
        <v>0</v>
      </c>
      <c r="E66" s="146">
        <v>0.46105999999999991</v>
      </c>
      <c r="F66" s="154"/>
      <c r="G66" s="155"/>
      <c r="H66" s="40"/>
      <c r="I66" s="141">
        <v>1</v>
      </c>
      <c r="J66" s="47">
        <f t="shared" si="4"/>
        <v>0</v>
      </c>
      <c r="K66" s="110">
        <f t="shared" si="5"/>
        <v>0.49725999999999998</v>
      </c>
      <c r="N66" s="42">
        <f t="shared" si="6"/>
        <v>0</v>
      </c>
      <c r="O66" s="19"/>
      <c r="P66" s="19"/>
    </row>
    <row r="67" spans="1:16" x14ac:dyDescent="0.35">
      <c r="A67" s="1">
        <f t="shared" si="0"/>
        <v>61</v>
      </c>
      <c r="B67" s="7" t="s">
        <v>92</v>
      </c>
      <c r="C67" s="8" t="s">
        <v>30</v>
      </c>
      <c r="D67" s="13">
        <v>0</v>
      </c>
      <c r="E67" s="142">
        <v>0.14629999999999999</v>
      </c>
      <c r="F67" s="143">
        <v>1550</v>
      </c>
      <c r="G67" s="144">
        <v>0</v>
      </c>
      <c r="H67" s="43"/>
      <c r="I67" s="145">
        <v>1</v>
      </c>
      <c r="J67" s="108">
        <f t="shared" si="4"/>
        <v>0</v>
      </c>
      <c r="K67" s="112">
        <f t="shared" si="5"/>
        <v>0.49725999999999998</v>
      </c>
      <c r="N67" s="42">
        <f t="shared" si="6"/>
        <v>0</v>
      </c>
      <c r="O67" s="19"/>
      <c r="P67" s="19"/>
    </row>
    <row r="68" spans="1:16" x14ac:dyDescent="0.35">
      <c r="A68" s="1">
        <f t="shared" si="0"/>
        <v>62</v>
      </c>
      <c r="B68" s="7"/>
      <c r="C68" s="8" t="s">
        <v>31</v>
      </c>
      <c r="D68" s="13">
        <v>0</v>
      </c>
      <c r="E68" s="142">
        <v>0.13105999999999998</v>
      </c>
      <c r="F68" s="143"/>
      <c r="G68" s="144"/>
      <c r="H68" s="43"/>
      <c r="I68" s="145">
        <v>1</v>
      </c>
      <c r="J68" s="107">
        <f t="shared" si="4"/>
        <v>0</v>
      </c>
      <c r="K68" s="111">
        <f t="shared" si="5"/>
        <v>0.49725999999999998</v>
      </c>
      <c r="N68" s="42">
        <f t="shared" si="6"/>
        <v>0</v>
      </c>
      <c r="O68" s="19"/>
      <c r="P68" s="19"/>
    </row>
    <row r="69" spans="1:16" x14ac:dyDescent="0.35">
      <c r="A69" s="1">
        <f t="shared" si="0"/>
        <v>63</v>
      </c>
      <c r="B69" s="7"/>
      <c r="C69" s="8" t="s">
        <v>36</v>
      </c>
      <c r="D69" s="13">
        <v>0</v>
      </c>
      <c r="E69" s="142">
        <v>0.1007</v>
      </c>
      <c r="F69" s="143"/>
      <c r="G69" s="144"/>
      <c r="H69" s="43"/>
      <c r="I69" s="145">
        <v>1</v>
      </c>
      <c r="J69" s="107">
        <f t="shared" si="4"/>
        <v>0</v>
      </c>
      <c r="K69" s="111">
        <f t="shared" si="5"/>
        <v>0.49725999999999998</v>
      </c>
      <c r="N69" s="42">
        <f t="shared" si="6"/>
        <v>0</v>
      </c>
      <c r="O69" s="19"/>
      <c r="P69" s="19"/>
    </row>
    <row r="70" spans="1:16" x14ac:dyDescent="0.35">
      <c r="A70" s="1">
        <f t="shared" si="0"/>
        <v>64</v>
      </c>
      <c r="B70" s="7"/>
      <c r="C70" s="8" t="s">
        <v>37</v>
      </c>
      <c r="D70" s="13">
        <v>0</v>
      </c>
      <c r="E70" s="142">
        <v>8.072E-2</v>
      </c>
      <c r="F70" s="143"/>
      <c r="G70" s="144"/>
      <c r="H70" s="43"/>
      <c r="I70" s="145">
        <v>1</v>
      </c>
      <c r="J70" s="107">
        <f t="shared" si="4"/>
        <v>0</v>
      </c>
      <c r="K70" s="111">
        <f t="shared" si="5"/>
        <v>0.49725999999999998</v>
      </c>
      <c r="N70" s="42">
        <f t="shared" si="6"/>
        <v>0</v>
      </c>
      <c r="O70" s="19"/>
      <c r="P70" s="19"/>
    </row>
    <row r="71" spans="1:16" x14ac:dyDescent="0.35">
      <c r="A71" s="1">
        <f t="shared" si="0"/>
        <v>65</v>
      </c>
      <c r="B71" s="7"/>
      <c r="C71" s="8" t="s">
        <v>38</v>
      </c>
      <c r="D71" s="13">
        <v>0</v>
      </c>
      <c r="E71" s="142">
        <v>5.4099999999999995E-2</v>
      </c>
      <c r="F71" s="143"/>
      <c r="G71" s="144"/>
      <c r="H71" s="43"/>
      <c r="I71" s="145">
        <v>1</v>
      </c>
      <c r="J71" s="107">
        <f t="shared" si="4"/>
        <v>0</v>
      </c>
      <c r="K71" s="111">
        <f t="shared" si="5"/>
        <v>0.49725999999999998</v>
      </c>
      <c r="N71" s="42">
        <f t="shared" si="6"/>
        <v>0</v>
      </c>
      <c r="O71" s="19"/>
      <c r="P71" s="19"/>
    </row>
    <row r="72" spans="1:16" x14ac:dyDescent="0.35">
      <c r="A72" s="1">
        <f t="shared" ref="A72:A90" si="7">+A71+1</f>
        <v>66</v>
      </c>
      <c r="B72" s="10"/>
      <c r="C72" s="9" t="s">
        <v>39</v>
      </c>
      <c r="D72" s="14">
        <v>0</v>
      </c>
      <c r="E72" s="146">
        <v>2.0789999999999999E-2</v>
      </c>
      <c r="F72" s="147"/>
      <c r="G72" s="148"/>
      <c r="H72" s="40"/>
      <c r="I72" s="141">
        <v>1</v>
      </c>
      <c r="J72" s="47">
        <f t="shared" si="4"/>
        <v>0</v>
      </c>
      <c r="K72" s="110">
        <f t="shared" si="5"/>
        <v>0.49725999999999998</v>
      </c>
      <c r="N72" s="42">
        <f t="shared" si="6"/>
        <v>0</v>
      </c>
      <c r="O72" s="19"/>
      <c r="P72" s="19"/>
    </row>
    <row r="73" spans="1:16" x14ac:dyDescent="0.35">
      <c r="A73" s="1">
        <f t="shared" si="7"/>
        <v>67</v>
      </c>
      <c r="B73" s="7" t="s">
        <v>93</v>
      </c>
      <c r="C73" s="8" t="s">
        <v>30</v>
      </c>
      <c r="D73" s="13">
        <v>830412.691773167</v>
      </c>
      <c r="E73" s="142">
        <v>0.14936999999999998</v>
      </c>
      <c r="F73" s="143">
        <v>1550</v>
      </c>
      <c r="G73" s="144">
        <v>10</v>
      </c>
      <c r="H73" s="43"/>
      <c r="I73" s="145">
        <v>1</v>
      </c>
      <c r="J73" s="108">
        <f t="shared" si="4"/>
        <v>830412.691773167</v>
      </c>
      <c r="K73" s="112">
        <f t="shared" si="5"/>
        <v>0.49725999999999998</v>
      </c>
      <c r="N73" s="42">
        <f t="shared" si="6"/>
        <v>412931.01511112502</v>
      </c>
      <c r="O73" s="19"/>
      <c r="P73" s="19"/>
    </row>
    <row r="74" spans="1:16" x14ac:dyDescent="0.35">
      <c r="A74" s="1">
        <f t="shared" si="7"/>
        <v>68</v>
      </c>
      <c r="B74" s="7"/>
      <c r="C74" s="8" t="s">
        <v>31</v>
      </c>
      <c r="D74" s="13">
        <v>1522701.1145343101</v>
      </c>
      <c r="E74" s="142">
        <v>0.13379999999999997</v>
      </c>
      <c r="F74" s="143"/>
      <c r="G74" s="13"/>
      <c r="H74" s="43"/>
      <c r="I74" s="145">
        <v>1</v>
      </c>
      <c r="J74" s="107">
        <f t="shared" si="4"/>
        <v>1522701.1145343101</v>
      </c>
      <c r="K74" s="111">
        <f t="shared" si="5"/>
        <v>0.49725999999999998</v>
      </c>
      <c r="N74" s="42">
        <f t="shared" si="6"/>
        <v>757178.35621333099</v>
      </c>
      <c r="O74" s="19"/>
      <c r="P74" s="19"/>
    </row>
    <row r="75" spans="1:16" x14ac:dyDescent="0.35">
      <c r="A75" s="1">
        <f t="shared" si="7"/>
        <v>69</v>
      </c>
      <c r="B75" s="7"/>
      <c r="C75" s="8" t="s">
        <v>36</v>
      </c>
      <c r="D75" s="13">
        <v>1166628.42580889</v>
      </c>
      <c r="E75" s="142">
        <v>0.10278999999999998</v>
      </c>
      <c r="F75" s="143"/>
      <c r="G75" s="13"/>
      <c r="H75" s="43"/>
      <c r="I75" s="145">
        <v>1</v>
      </c>
      <c r="J75" s="107">
        <f t="shared" si="4"/>
        <v>1166628.42580889</v>
      </c>
      <c r="K75" s="111">
        <f t="shared" si="5"/>
        <v>0.49725999999999998</v>
      </c>
      <c r="N75" s="42">
        <f t="shared" si="6"/>
        <v>580117.65101772861</v>
      </c>
      <c r="O75" s="19"/>
      <c r="P75" s="19"/>
    </row>
    <row r="76" spans="1:16" x14ac:dyDescent="0.35">
      <c r="A76" s="1">
        <f t="shared" si="7"/>
        <v>70</v>
      </c>
      <c r="B76" s="7"/>
      <c r="C76" s="8" t="s">
        <v>37</v>
      </c>
      <c r="D76" s="13">
        <v>1914748.9545244901</v>
      </c>
      <c r="E76" s="142">
        <v>8.2420000000000007E-2</v>
      </c>
      <c r="F76" s="143"/>
      <c r="G76" s="13"/>
      <c r="H76" s="43"/>
      <c r="I76" s="145">
        <v>1</v>
      </c>
      <c r="J76" s="107">
        <f t="shared" si="4"/>
        <v>1914748.9545244901</v>
      </c>
      <c r="K76" s="111">
        <f t="shared" si="5"/>
        <v>0.49725999999999998</v>
      </c>
      <c r="N76" s="42">
        <f t="shared" si="6"/>
        <v>952128.06512684794</v>
      </c>
      <c r="O76" s="19"/>
      <c r="P76" s="19"/>
    </row>
    <row r="77" spans="1:16" x14ac:dyDescent="0.35">
      <c r="A77" s="1">
        <f t="shared" si="7"/>
        <v>71</v>
      </c>
      <c r="B77" s="7"/>
      <c r="C77" s="8" t="s">
        <v>38</v>
      </c>
      <c r="D77" s="13">
        <v>344199.20525914012</v>
      </c>
      <c r="E77" s="142">
        <v>5.5219999999999998E-2</v>
      </c>
      <c r="F77" s="143"/>
      <c r="G77" s="13"/>
      <c r="H77" s="43"/>
      <c r="I77" s="145">
        <v>1</v>
      </c>
      <c r="J77" s="107">
        <f t="shared" ref="J77:J81" si="8">I77*D77</f>
        <v>344199.20525914012</v>
      </c>
      <c r="K77" s="111">
        <f t="shared" si="5"/>
        <v>0.49725999999999998</v>
      </c>
      <c r="N77" s="42">
        <f t="shared" si="6"/>
        <v>171156.49680716</v>
      </c>
      <c r="O77" s="19"/>
      <c r="P77" s="19"/>
    </row>
    <row r="78" spans="1:16" x14ac:dyDescent="0.35">
      <c r="A78" s="1">
        <f t="shared" si="7"/>
        <v>72</v>
      </c>
      <c r="B78" s="10"/>
      <c r="C78" s="9" t="s">
        <v>39</v>
      </c>
      <c r="D78" s="14">
        <v>0</v>
      </c>
      <c r="E78" s="146">
        <v>2.1220000000000003E-2</v>
      </c>
      <c r="F78" s="147"/>
      <c r="G78" s="14"/>
      <c r="H78" s="40"/>
      <c r="I78" s="141">
        <v>1</v>
      </c>
      <c r="J78" s="47">
        <f t="shared" si="8"/>
        <v>0</v>
      </c>
      <c r="K78" s="110">
        <f t="shared" si="5"/>
        <v>0.49725999999999998</v>
      </c>
      <c r="N78" s="42">
        <f t="shared" si="6"/>
        <v>0</v>
      </c>
      <c r="O78" s="19"/>
      <c r="P78" s="19"/>
    </row>
    <row r="79" spans="1:16" x14ac:dyDescent="0.35">
      <c r="A79" s="1">
        <f t="shared" si="7"/>
        <v>73</v>
      </c>
      <c r="B79" s="6" t="s">
        <v>94</v>
      </c>
      <c r="C79" s="6" t="s">
        <v>86</v>
      </c>
      <c r="D79" s="12">
        <v>0</v>
      </c>
      <c r="E79" s="139">
        <v>5.8699999999999994E-3</v>
      </c>
      <c r="F79" s="12">
        <v>38000</v>
      </c>
      <c r="G79" s="12"/>
      <c r="H79" s="45"/>
      <c r="I79" s="156">
        <v>1</v>
      </c>
      <c r="J79" s="47">
        <f t="shared" si="8"/>
        <v>0</v>
      </c>
      <c r="K79" s="113">
        <f t="shared" si="5"/>
        <v>0.49725999999999998</v>
      </c>
      <c r="N79" s="42">
        <f t="shared" si="6"/>
        <v>0</v>
      </c>
      <c r="O79" s="19"/>
      <c r="P79" s="19"/>
    </row>
    <row r="80" spans="1:16" x14ac:dyDescent="0.35">
      <c r="A80" s="1">
        <f t="shared" si="7"/>
        <v>74</v>
      </c>
      <c r="B80" s="6" t="s">
        <v>95</v>
      </c>
      <c r="C80" s="6" t="s">
        <v>86</v>
      </c>
      <c r="D80" s="12">
        <v>0</v>
      </c>
      <c r="E80" s="139">
        <v>5.8699999999999994E-3</v>
      </c>
      <c r="F80" s="12">
        <v>38000</v>
      </c>
      <c r="G80" s="12"/>
      <c r="H80" s="40"/>
      <c r="I80" s="141">
        <v>1</v>
      </c>
      <c r="J80" s="47">
        <f t="shared" si="8"/>
        <v>0</v>
      </c>
      <c r="K80" s="110">
        <f t="shared" si="5"/>
        <v>0.49725999999999998</v>
      </c>
      <c r="N80" s="42">
        <f t="shared" si="6"/>
        <v>0</v>
      </c>
      <c r="O80" s="19"/>
      <c r="P80" s="19"/>
    </row>
    <row r="81" spans="1:16" ht="15" thickBot="1" x14ac:dyDescent="0.4">
      <c r="A81" s="1">
        <f t="shared" si="7"/>
        <v>75</v>
      </c>
      <c r="B81" s="11" t="s">
        <v>96</v>
      </c>
      <c r="C81" s="11" t="s">
        <v>86</v>
      </c>
      <c r="D81" s="15">
        <v>2486542</v>
      </c>
      <c r="E81" s="123">
        <v>0</v>
      </c>
      <c r="F81" s="15">
        <v>0</v>
      </c>
      <c r="G81" s="15">
        <v>1</v>
      </c>
      <c r="H81" s="40"/>
      <c r="I81" s="141">
        <v>1</v>
      </c>
      <c r="J81" s="47">
        <f t="shared" si="8"/>
        <v>2486542</v>
      </c>
      <c r="K81" s="110">
        <f t="shared" si="5"/>
        <v>0.49725999999999998</v>
      </c>
      <c r="N81" s="42">
        <f t="shared" si="6"/>
        <v>1236457.8749199999</v>
      </c>
      <c r="O81" s="19"/>
      <c r="P81" s="19"/>
    </row>
    <row r="82" spans="1:16" x14ac:dyDescent="0.35">
      <c r="A82" s="1">
        <f t="shared" si="7"/>
        <v>76</v>
      </c>
      <c r="B82" s="46"/>
      <c r="C82" s="46"/>
      <c r="D82" s="47">
        <v>0</v>
      </c>
      <c r="E82" s="186"/>
      <c r="F82" s="47"/>
      <c r="G82" s="47"/>
      <c r="H82" s="40"/>
      <c r="I82" s="141"/>
      <c r="J82" s="41"/>
      <c r="K82" s="3"/>
      <c r="N82" s="42"/>
      <c r="O82" s="19"/>
      <c r="P82" s="19"/>
    </row>
    <row r="83" spans="1:16" x14ac:dyDescent="0.35">
      <c r="A83" s="1">
        <f t="shared" si="7"/>
        <v>77</v>
      </c>
      <c r="B83" s="48" t="s">
        <v>47</v>
      </c>
      <c r="C83" s="46"/>
      <c r="D83" s="47">
        <v>0</v>
      </c>
      <c r="E83" s="186"/>
      <c r="F83" s="47"/>
      <c r="G83" s="47"/>
      <c r="H83" s="40"/>
      <c r="I83" s="141"/>
      <c r="J83" s="41"/>
      <c r="K83" s="3"/>
      <c r="N83" s="49">
        <f>SUM(N13:N81)</f>
        <v>51941164.620181002</v>
      </c>
      <c r="O83" s="19"/>
      <c r="P83" s="19"/>
    </row>
    <row r="84" spans="1:16" x14ac:dyDescent="0.35">
      <c r="A84" s="1">
        <f t="shared" si="7"/>
        <v>78</v>
      </c>
      <c r="E84" s="187"/>
      <c r="I84" s="157"/>
      <c r="K84" s="20"/>
      <c r="M84" s="19" t="s">
        <v>74</v>
      </c>
      <c r="N84" s="17">
        <f>N83-I10</f>
        <v>369.62018100172281</v>
      </c>
      <c r="O84" s="19" t="s">
        <v>75</v>
      </c>
      <c r="P84" s="19"/>
    </row>
    <row r="85" spans="1:16" x14ac:dyDescent="0.35">
      <c r="A85" s="1">
        <f t="shared" si="7"/>
        <v>79</v>
      </c>
      <c r="B85" s="19" t="s">
        <v>48</v>
      </c>
      <c r="D85" s="50">
        <f>SUM(D13:D84)</f>
        <v>104454741.22225998</v>
      </c>
      <c r="E85" s="187"/>
      <c r="F85" s="50"/>
      <c r="G85" s="50"/>
      <c r="I85" s="2"/>
      <c r="J85" s="13">
        <f>SUM(J13:J84)</f>
        <v>104454741.22225998</v>
      </c>
      <c r="K85" s="109">
        <f>ROUND(I10/J85,5)</f>
        <v>0.49725999999999998</v>
      </c>
      <c r="N85" s="19"/>
      <c r="O85" s="19"/>
      <c r="P85" s="19"/>
    </row>
    <row r="86" spans="1:16" x14ac:dyDescent="0.35">
      <c r="A86" s="1">
        <f t="shared" si="7"/>
        <v>80</v>
      </c>
      <c r="B86" s="19" t="s">
        <v>131</v>
      </c>
      <c r="I86" s="50"/>
      <c r="J86" s="158"/>
      <c r="L86" s="20"/>
      <c r="N86" s="19"/>
      <c r="O86" s="19"/>
      <c r="P86" s="19"/>
    </row>
    <row r="87" spans="1:16" ht="15" thickBot="1" x14ac:dyDescent="0.4">
      <c r="A87" s="1">
        <f t="shared" si="7"/>
        <v>81</v>
      </c>
      <c r="B87" s="51" t="s">
        <v>49</v>
      </c>
      <c r="L87" s="20"/>
      <c r="N87" s="19"/>
      <c r="O87" s="19"/>
      <c r="P87" s="19"/>
    </row>
    <row r="88" spans="1:16" ht="15" thickBot="1" x14ac:dyDescent="0.4">
      <c r="A88" s="1">
        <f t="shared" si="7"/>
        <v>82</v>
      </c>
      <c r="B88" s="52" t="s">
        <v>50</v>
      </c>
      <c r="C88" s="53"/>
      <c r="D88" s="53"/>
      <c r="E88" s="53"/>
      <c r="F88" s="53"/>
      <c r="G88" s="53"/>
      <c r="H88" s="53"/>
      <c r="I88" s="53"/>
      <c r="J88" s="54" t="s">
        <v>142</v>
      </c>
      <c r="K88" s="180"/>
      <c r="L88" s="20"/>
      <c r="N88" s="19"/>
      <c r="O88" s="19"/>
      <c r="P88" s="19"/>
    </row>
    <row r="89" spans="1:16" x14ac:dyDescent="0.35">
      <c r="A89" s="1">
        <f t="shared" si="7"/>
        <v>83</v>
      </c>
      <c r="J89" s="20"/>
      <c r="K89" s="20"/>
      <c r="L89" s="20"/>
      <c r="N89" s="19"/>
      <c r="O89" s="19"/>
      <c r="P89" s="19"/>
    </row>
    <row r="90" spans="1:16" x14ac:dyDescent="0.35">
      <c r="A90" s="1">
        <f t="shared" si="7"/>
        <v>84</v>
      </c>
      <c r="B90" s="19" t="s">
        <v>51</v>
      </c>
      <c r="J90" s="20"/>
      <c r="K90" s="20"/>
      <c r="L90" s="20"/>
      <c r="N90" s="19"/>
      <c r="O90" s="19"/>
      <c r="P90" s="19"/>
    </row>
    <row r="91" spans="1:16" x14ac:dyDescent="0.35">
      <c r="J91" s="20"/>
      <c r="K91" s="20"/>
      <c r="L91" s="20"/>
      <c r="N91" s="19"/>
      <c r="O91" s="19"/>
      <c r="P91" s="19"/>
    </row>
  </sheetData>
  <mergeCells count="1">
    <mergeCell ref="I7:K7"/>
  </mergeCells>
  <printOptions horizontalCentered="1" verticalCentered="1"/>
  <pageMargins left="0.25" right="0.25" top="0.25" bottom="0.25" header="0.3" footer="0.3"/>
  <pageSetup scale="46" fitToWidth="0" orientation="landscape" r:id="rId1"/>
  <headerFooter alignWithMargins="0">
    <oddHeader>&amp;RNWN WUTC Advice 23-14
Exhibit A WP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30BB-5F35-47D5-B82B-D715DFF6E6A5}">
  <dimension ref="A1:C31"/>
  <sheetViews>
    <sheetView showGridLines="0" view="pageLayout" zoomScaleNormal="160" workbookViewId="0">
      <selection activeCell="A3" sqref="A3"/>
    </sheetView>
  </sheetViews>
  <sheetFormatPr defaultRowHeight="13" x14ac:dyDescent="0.3"/>
  <cols>
    <col min="2" max="2" width="56.296875" bestFit="1" customWidth="1"/>
    <col min="3" max="3" width="18" bestFit="1" customWidth="1"/>
  </cols>
  <sheetData>
    <row r="1" spans="1:3" ht="14" x14ac:dyDescent="0.3">
      <c r="A1" s="159" t="s">
        <v>71</v>
      </c>
      <c r="B1" s="160"/>
      <c r="C1" s="160"/>
    </row>
    <row r="2" spans="1:3" ht="14" x14ac:dyDescent="0.3">
      <c r="A2" s="159" t="s">
        <v>72</v>
      </c>
      <c r="B2" s="160"/>
      <c r="C2" s="160"/>
    </row>
    <row r="3" spans="1:3" ht="14" x14ac:dyDescent="0.3">
      <c r="A3" s="159" t="s">
        <v>149</v>
      </c>
      <c r="B3" s="160"/>
      <c r="C3" s="160"/>
    </row>
    <row r="4" spans="1:3" ht="14" x14ac:dyDescent="0.3">
      <c r="A4" s="159" t="s">
        <v>141</v>
      </c>
      <c r="B4" s="160"/>
      <c r="C4" s="160"/>
    </row>
    <row r="5" spans="1:3" x14ac:dyDescent="0.3">
      <c r="A5" s="161"/>
      <c r="B5" s="160"/>
      <c r="C5" s="160"/>
    </row>
    <row r="6" spans="1:3" x14ac:dyDescent="0.3">
      <c r="A6" s="160"/>
      <c r="B6" s="160"/>
      <c r="C6" s="160"/>
    </row>
    <row r="7" spans="1:3" x14ac:dyDescent="0.3">
      <c r="A7" s="162">
        <v>1</v>
      </c>
      <c r="B7" s="160"/>
      <c r="C7" s="163" t="s">
        <v>132</v>
      </c>
    </row>
    <row r="8" spans="1:3" x14ac:dyDescent="0.3">
      <c r="A8" s="162">
        <f>+A7+1</f>
        <v>2</v>
      </c>
      <c r="B8" s="160"/>
      <c r="C8" s="164"/>
    </row>
    <row r="9" spans="1:3" x14ac:dyDescent="0.3">
      <c r="A9" s="162">
        <f t="shared" ref="A9:A24" si="0">+A8+1</f>
        <v>3</v>
      </c>
      <c r="B9" s="165" t="s">
        <v>133</v>
      </c>
      <c r="C9" s="164"/>
    </row>
    <row r="10" spans="1:3" x14ac:dyDescent="0.3">
      <c r="A10" s="162">
        <f t="shared" si="0"/>
        <v>4</v>
      </c>
      <c r="B10" s="165"/>
      <c r="C10" s="164"/>
    </row>
    <row r="11" spans="1:3" x14ac:dyDescent="0.3">
      <c r="A11" s="162">
        <f t="shared" si="0"/>
        <v>5</v>
      </c>
      <c r="B11" s="166" t="s">
        <v>134</v>
      </c>
      <c r="C11" s="160"/>
    </row>
    <row r="12" spans="1:3" x14ac:dyDescent="0.3">
      <c r="A12" s="162">
        <f t="shared" si="0"/>
        <v>6</v>
      </c>
      <c r="B12" s="160" t="s">
        <v>140</v>
      </c>
      <c r="C12" s="171">
        <v>0</v>
      </c>
    </row>
    <row r="13" spans="1:3" x14ac:dyDescent="0.3">
      <c r="A13" s="162">
        <f t="shared" si="0"/>
        <v>7</v>
      </c>
      <c r="B13" s="160"/>
      <c r="C13" s="172"/>
    </row>
    <row r="14" spans="1:3" x14ac:dyDescent="0.3">
      <c r="A14" s="162">
        <f t="shared" si="0"/>
        <v>8</v>
      </c>
      <c r="B14" s="166" t="s">
        <v>135</v>
      </c>
      <c r="C14" s="171"/>
    </row>
    <row r="15" spans="1:3" x14ac:dyDescent="0.3">
      <c r="A15" s="162">
        <f t="shared" si="0"/>
        <v>9</v>
      </c>
      <c r="B15" s="160" t="s">
        <v>140</v>
      </c>
      <c r="C15" s="173">
        <f>'Cost Allocation = cent per th.'!I10-'[4]Fixed Credits'!$F$32</f>
        <v>17552521.593275934</v>
      </c>
    </row>
    <row r="16" spans="1:3" x14ac:dyDescent="0.3">
      <c r="A16" s="162">
        <f t="shared" si="0"/>
        <v>10</v>
      </c>
      <c r="B16" s="160"/>
      <c r="C16" s="174"/>
    </row>
    <row r="17" spans="1:3" x14ac:dyDescent="0.3">
      <c r="A17" s="162">
        <f t="shared" si="0"/>
        <v>11</v>
      </c>
      <c r="B17" s="161"/>
      <c r="C17" s="174"/>
    </row>
    <row r="18" spans="1:3" ht="13.5" thickBot="1" x14ac:dyDescent="0.35">
      <c r="A18" s="162">
        <f t="shared" si="0"/>
        <v>12</v>
      </c>
      <c r="B18" s="161" t="s">
        <v>136</v>
      </c>
      <c r="C18" s="175">
        <f>SUM(C12:C15)</f>
        <v>17552521.593275934</v>
      </c>
    </row>
    <row r="19" spans="1:3" ht="13.5" thickTop="1" x14ac:dyDescent="0.3">
      <c r="A19" s="162">
        <f t="shared" si="0"/>
        <v>13</v>
      </c>
      <c r="B19" s="160"/>
      <c r="C19" s="164"/>
    </row>
    <row r="20" spans="1:3" x14ac:dyDescent="0.3">
      <c r="A20" s="162">
        <f t="shared" si="0"/>
        <v>14</v>
      </c>
      <c r="B20" s="160"/>
      <c r="C20" s="164"/>
    </row>
    <row r="21" spans="1:3" x14ac:dyDescent="0.3">
      <c r="A21" s="162">
        <f t="shared" si="0"/>
        <v>15</v>
      </c>
      <c r="B21" s="160"/>
      <c r="C21" s="164"/>
    </row>
    <row r="22" spans="1:3" x14ac:dyDescent="0.3">
      <c r="A22" s="162">
        <f t="shared" si="0"/>
        <v>16</v>
      </c>
      <c r="B22" s="167" t="str">
        <f>+'[5]23-XX Combined'!B36</f>
        <v>2022 Washington CBR Normalized Total Revenues</v>
      </c>
      <c r="C22" s="168">
        <f>+'[5]23-XX Combined'!F36</f>
        <v>102022644.16345409</v>
      </c>
    </row>
    <row r="23" spans="1:3" x14ac:dyDescent="0.3">
      <c r="A23" s="162">
        <f t="shared" si="0"/>
        <v>17</v>
      </c>
      <c r="B23" s="161"/>
      <c r="C23" s="169"/>
    </row>
    <row r="24" spans="1:3" x14ac:dyDescent="0.3">
      <c r="A24" s="162">
        <f t="shared" si="0"/>
        <v>18</v>
      </c>
      <c r="B24" s="161" t="s">
        <v>137</v>
      </c>
      <c r="C24" s="170">
        <f>ROUND(C18/C22,4)</f>
        <v>0.17199999999999999</v>
      </c>
    </row>
    <row r="31" spans="1:3" x14ac:dyDescent="0.3">
      <c r="C31" s="182"/>
    </row>
  </sheetData>
  <pageMargins left="0.7" right="0.7" top="0.75" bottom="0.75" header="0.3" footer="0.3"/>
  <pageSetup orientation="portrait" r:id="rId1"/>
  <headerFooter>
    <oddHeader>&amp;RNWN WUTC Advice 23-14
Exhibit A WP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5A94-598F-4C2F-93DD-0F7C16784EED}">
  <dimension ref="A1:E45"/>
  <sheetViews>
    <sheetView showGridLines="0" view="pageLayout" zoomScaleNormal="110" workbookViewId="0">
      <selection activeCell="C58" sqref="C58"/>
    </sheetView>
  </sheetViews>
  <sheetFormatPr defaultRowHeight="13" outlineLevelRow="1" x14ac:dyDescent="0.3"/>
  <cols>
    <col min="2" max="2" width="30.69921875" customWidth="1"/>
    <col min="3" max="5" width="14" customWidth="1"/>
    <col min="6" max="6" width="2.296875" customWidth="1"/>
  </cols>
  <sheetData>
    <row r="1" spans="1:5" ht="14" x14ac:dyDescent="0.3">
      <c r="A1" s="159" t="s">
        <v>71</v>
      </c>
    </row>
    <row r="2" spans="1:5" ht="14" x14ac:dyDescent="0.3">
      <c r="A2" s="159" t="s">
        <v>139</v>
      </c>
    </row>
    <row r="3" spans="1:5" ht="14" x14ac:dyDescent="0.3">
      <c r="A3" s="181">
        <v>2024</v>
      </c>
    </row>
    <row r="4" spans="1:5" ht="13.5" hidden="1" outlineLevel="1" thickBot="1" x14ac:dyDescent="0.35">
      <c r="B4" s="124" t="s">
        <v>12</v>
      </c>
      <c r="C4" s="124" t="s">
        <v>123</v>
      </c>
      <c r="D4" s="124" t="s">
        <v>124</v>
      </c>
      <c r="E4" s="124" t="s">
        <v>125</v>
      </c>
    </row>
    <row r="5" spans="1:5" hidden="1" outlineLevel="1" x14ac:dyDescent="0.3">
      <c r="B5" t="s">
        <v>101</v>
      </c>
      <c r="C5" s="127">
        <v>5.0951619283694205</v>
      </c>
      <c r="D5" s="127">
        <v>5.0951619283694205</v>
      </c>
      <c r="E5" s="125">
        <f>((C5*5)+(D5*7))/12</f>
        <v>5.0951619283694205</v>
      </c>
    </row>
    <row r="6" spans="1:5" hidden="1" outlineLevel="1" x14ac:dyDescent="0.3">
      <c r="B6" t="s">
        <v>102</v>
      </c>
      <c r="C6" s="127">
        <v>16.674889615356225</v>
      </c>
      <c r="D6" s="127">
        <v>16.674889615356225</v>
      </c>
      <c r="E6" s="125">
        <f t="shared" ref="E6:E27" si="0">((C6*5)+(D6*7))/12</f>
        <v>16.674889615356225</v>
      </c>
    </row>
    <row r="7" spans="1:5" hidden="1" outlineLevel="1" x14ac:dyDescent="0.3">
      <c r="B7" t="s">
        <v>103</v>
      </c>
      <c r="C7" s="127">
        <v>32.620663220842459</v>
      </c>
      <c r="D7" s="127">
        <v>9.8796670301611904</v>
      </c>
      <c r="E7" s="125">
        <f t="shared" si="0"/>
        <v>19.355082109611718</v>
      </c>
    </row>
    <row r="8" spans="1:5" hidden="1" outlineLevel="1" x14ac:dyDescent="0.3">
      <c r="B8" t="s">
        <v>104</v>
      </c>
      <c r="C8" s="127">
        <v>127.45663496713455</v>
      </c>
      <c r="D8" s="127">
        <v>48.668776623711246</v>
      </c>
      <c r="E8" s="125">
        <f t="shared" si="0"/>
        <v>81.497050933470959</v>
      </c>
    </row>
    <row r="9" spans="1:5" hidden="1" outlineLevel="1" x14ac:dyDescent="0.3">
      <c r="B9" t="s">
        <v>105</v>
      </c>
      <c r="C9" s="127">
        <v>396.95486708346465</v>
      </c>
      <c r="D9" s="127">
        <v>396.95486708346465</v>
      </c>
      <c r="E9" s="125">
        <f t="shared" si="0"/>
        <v>396.95486708346465</v>
      </c>
    </row>
    <row r="10" spans="1:5" hidden="1" outlineLevel="1" x14ac:dyDescent="0.3">
      <c r="B10" t="s">
        <v>106</v>
      </c>
      <c r="C10" s="127"/>
      <c r="D10" s="127"/>
      <c r="E10" s="125">
        <f t="shared" si="0"/>
        <v>0</v>
      </c>
    </row>
    <row r="11" spans="1:5" hidden="1" outlineLevel="1" x14ac:dyDescent="0.3">
      <c r="B11" t="s">
        <v>107</v>
      </c>
      <c r="C11" s="127">
        <v>1244.5476945733581</v>
      </c>
      <c r="D11" s="127">
        <v>1244.5476945733581</v>
      </c>
      <c r="E11" s="125">
        <f t="shared" si="0"/>
        <v>1244.5476945733581</v>
      </c>
    </row>
    <row r="12" spans="1:5" hidden="1" outlineLevel="1" x14ac:dyDescent="0.3">
      <c r="B12" t="s">
        <v>108</v>
      </c>
      <c r="C12" s="127">
        <v>0</v>
      </c>
      <c r="D12" s="127">
        <v>0</v>
      </c>
      <c r="E12" s="125">
        <f t="shared" si="0"/>
        <v>0</v>
      </c>
    </row>
    <row r="13" spans="1:5" hidden="1" outlineLevel="1" x14ac:dyDescent="0.3">
      <c r="B13" t="s">
        <v>109</v>
      </c>
      <c r="C13" s="127">
        <v>1244.5476945733581</v>
      </c>
      <c r="D13" s="127">
        <v>1244.5476945733581</v>
      </c>
      <c r="E13" s="125">
        <f t="shared" si="0"/>
        <v>1244.5476945733581</v>
      </c>
    </row>
    <row r="14" spans="1:5" hidden="1" outlineLevel="1" x14ac:dyDescent="0.3">
      <c r="B14" t="s">
        <v>110</v>
      </c>
      <c r="C14" s="127">
        <v>0</v>
      </c>
      <c r="D14" s="127">
        <v>0</v>
      </c>
      <c r="E14" s="125">
        <f t="shared" si="0"/>
        <v>0</v>
      </c>
    </row>
    <row r="15" spans="1:5" hidden="1" outlineLevel="1" x14ac:dyDescent="0.3">
      <c r="B15" t="s">
        <v>111</v>
      </c>
      <c r="C15" s="127">
        <v>1492.2594660498942</v>
      </c>
      <c r="D15" s="127">
        <v>1492.2594660498942</v>
      </c>
      <c r="E15" s="125">
        <f t="shared" si="0"/>
        <v>1492.2594660498942</v>
      </c>
    </row>
    <row r="16" spans="1:5" hidden="1" outlineLevel="1" x14ac:dyDescent="0.3">
      <c r="B16" t="s">
        <v>112</v>
      </c>
      <c r="C16" s="127">
        <v>0</v>
      </c>
      <c r="D16" s="127">
        <v>0</v>
      </c>
      <c r="E16" s="125">
        <f t="shared" si="0"/>
        <v>0</v>
      </c>
    </row>
    <row r="17" spans="2:5" hidden="1" outlineLevel="1" x14ac:dyDescent="0.3">
      <c r="B17" t="s">
        <v>113</v>
      </c>
      <c r="C17" s="127">
        <v>10512.742405848554</v>
      </c>
      <c r="D17" s="127">
        <v>10512.742405848554</v>
      </c>
      <c r="E17" s="125">
        <f t="shared" si="0"/>
        <v>10512.742405848554</v>
      </c>
    </row>
    <row r="18" spans="2:5" hidden="1" outlineLevel="1" x14ac:dyDescent="0.3">
      <c r="B18" t="s">
        <v>114</v>
      </c>
      <c r="C18" s="127">
        <v>13852.771695249459</v>
      </c>
      <c r="D18" s="127">
        <v>13852.771695249459</v>
      </c>
      <c r="E18" s="125">
        <f t="shared" si="0"/>
        <v>13852.771695249459</v>
      </c>
    </row>
    <row r="19" spans="2:5" hidden="1" outlineLevel="1" x14ac:dyDescent="0.3">
      <c r="B19" t="s">
        <v>115</v>
      </c>
      <c r="C19" s="127">
        <v>10512.742405848554</v>
      </c>
      <c r="D19" s="127">
        <v>10512.742405848554</v>
      </c>
      <c r="E19" s="125">
        <f t="shared" si="0"/>
        <v>10512.742405848554</v>
      </c>
    </row>
    <row r="20" spans="2:5" hidden="1" outlineLevel="1" x14ac:dyDescent="0.3">
      <c r="B20" t="s">
        <v>116</v>
      </c>
      <c r="C20" s="127">
        <v>13852.771695249459</v>
      </c>
      <c r="D20" s="127">
        <v>13852.771695249459</v>
      </c>
      <c r="E20" s="125">
        <f t="shared" si="0"/>
        <v>13852.771695249459</v>
      </c>
    </row>
    <row r="21" spans="2:5" hidden="1" outlineLevel="1" x14ac:dyDescent="0.3">
      <c r="B21" t="s">
        <v>117</v>
      </c>
      <c r="C21" s="127">
        <v>10512.742405848554</v>
      </c>
      <c r="D21" s="127">
        <v>10512.742405848554</v>
      </c>
      <c r="E21" s="125">
        <f t="shared" si="0"/>
        <v>10512.742405848554</v>
      </c>
    </row>
    <row r="22" spans="2:5" hidden="1" outlineLevel="1" x14ac:dyDescent="0.3">
      <c r="B22" t="s">
        <v>118</v>
      </c>
      <c r="C22" s="127">
        <v>13852.771695249459</v>
      </c>
      <c r="D22" s="127">
        <v>13852.771695249459</v>
      </c>
      <c r="E22" s="125">
        <f t="shared" si="0"/>
        <v>13852.771695249459</v>
      </c>
    </row>
    <row r="23" spans="2:5" hidden="1" outlineLevel="1" x14ac:dyDescent="0.3">
      <c r="B23" t="s">
        <v>119</v>
      </c>
      <c r="C23" s="127">
        <v>0</v>
      </c>
      <c r="D23" s="127">
        <v>0</v>
      </c>
      <c r="E23" s="125">
        <f t="shared" si="0"/>
        <v>0</v>
      </c>
    </row>
    <row r="24" spans="2:5" hidden="1" outlineLevel="1" x14ac:dyDescent="0.3">
      <c r="B24" t="s">
        <v>120</v>
      </c>
      <c r="C24" s="127">
        <v>13852.771695249459</v>
      </c>
      <c r="D24" s="127">
        <v>13852.771695249459</v>
      </c>
      <c r="E24" s="125">
        <f t="shared" si="0"/>
        <v>13852.771695249459</v>
      </c>
    </row>
    <row r="25" spans="2:5" hidden="1" outlineLevel="1" x14ac:dyDescent="0.3">
      <c r="B25" t="s">
        <v>121</v>
      </c>
      <c r="C25" s="127">
        <v>0</v>
      </c>
      <c r="D25" s="127">
        <v>0</v>
      </c>
      <c r="E25" s="125">
        <f t="shared" si="0"/>
        <v>0</v>
      </c>
    </row>
    <row r="26" spans="2:5" hidden="1" outlineLevel="1" x14ac:dyDescent="0.3">
      <c r="B26" t="s">
        <v>122</v>
      </c>
      <c r="C26" s="127">
        <v>0</v>
      </c>
      <c r="D26" s="127">
        <v>0</v>
      </c>
      <c r="E26" s="125">
        <f t="shared" si="0"/>
        <v>0</v>
      </c>
    </row>
    <row r="27" spans="2:5" hidden="1" outlineLevel="1" x14ac:dyDescent="0.3">
      <c r="B27" t="s">
        <v>96</v>
      </c>
      <c r="C27" s="127">
        <v>67546.851657099454</v>
      </c>
      <c r="D27" s="127">
        <v>67546.851657099454</v>
      </c>
      <c r="E27" s="125">
        <f t="shared" si="0"/>
        <v>67546.851657099454</v>
      </c>
    </row>
    <row r="28" spans="2:5" hidden="1" outlineLevel="1" x14ac:dyDescent="0.3">
      <c r="E28" s="125"/>
    </row>
    <row r="29" spans="2:5" hidden="1" outlineLevel="1" x14ac:dyDescent="0.3"/>
    <row r="30" spans="2:5" hidden="1" outlineLevel="1" x14ac:dyDescent="0.3"/>
    <row r="31" spans="2:5" hidden="1" outlineLevel="1" x14ac:dyDescent="0.3"/>
    <row r="32" spans="2:5" hidden="1" outlineLevel="1" x14ac:dyDescent="0.3"/>
    <row r="33" spans="2:5" hidden="1" outlineLevel="1" x14ac:dyDescent="0.3"/>
    <row r="34" spans="2:5" ht="26.5" collapsed="1" thickBot="1" x14ac:dyDescent="0.35">
      <c r="B34" s="176" t="s">
        <v>12</v>
      </c>
      <c r="C34" s="177" t="s">
        <v>123</v>
      </c>
      <c r="D34" s="177" t="s">
        <v>124</v>
      </c>
      <c r="E34" s="177" t="s">
        <v>125</v>
      </c>
    </row>
    <row r="35" spans="2:5" x14ac:dyDescent="0.3">
      <c r="B35" s="178" t="s">
        <v>101</v>
      </c>
      <c r="C35" s="179">
        <f>C5</f>
        <v>5.0951619283694205</v>
      </c>
      <c r="D35" s="179">
        <f>D5</f>
        <v>5.0951619283694205</v>
      </c>
      <c r="E35" s="179">
        <f>E5</f>
        <v>5.0951619283694205</v>
      </c>
    </row>
    <row r="36" spans="2:5" x14ac:dyDescent="0.3">
      <c r="B36" s="178" t="s">
        <v>102</v>
      </c>
      <c r="C36" s="179">
        <f t="shared" ref="C36:E36" si="1">C6</f>
        <v>16.674889615356225</v>
      </c>
      <c r="D36" s="179">
        <f t="shared" si="1"/>
        <v>16.674889615356225</v>
      </c>
      <c r="E36" s="179">
        <f t="shared" si="1"/>
        <v>16.674889615356225</v>
      </c>
    </row>
    <row r="37" spans="2:5" x14ac:dyDescent="0.3">
      <c r="B37" s="178" t="s">
        <v>103</v>
      </c>
      <c r="C37" s="179">
        <f t="shared" ref="C37:E37" si="2">C7</f>
        <v>32.620663220842459</v>
      </c>
      <c r="D37" s="179">
        <f t="shared" si="2"/>
        <v>9.8796670301611904</v>
      </c>
      <c r="E37" s="179">
        <f t="shared" si="2"/>
        <v>19.355082109611718</v>
      </c>
    </row>
    <row r="38" spans="2:5" x14ac:dyDescent="0.3">
      <c r="B38" s="178" t="s">
        <v>104</v>
      </c>
      <c r="C38" s="179">
        <f t="shared" ref="C38:E38" si="3">C8</f>
        <v>127.45663496713455</v>
      </c>
      <c r="D38" s="179">
        <f t="shared" si="3"/>
        <v>48.668776623711246</v>
      </c>
      <c r="E38" s="179">
        <f t="shared" si="3"/>
        <v>81.497050933470959</v>
      </c>
    </row>
    <row r="39" spans="2:5" x14ac:dyDescent="0.3">
      <c r="B39" s="178" t="s">
        <v>105</v>
      </c>
      <c r="C39" s="179">
        <f t="shared" ref="C39:E39" si="4">C9</f>
        <v>396.95486708346465</v>
      </c>
      <c r="D39" s="179">
        <f t="shared" si="4"/>
        <v>396.95486708346465</v>
      </c>
      <c r="E39" s="179">
        <f t="shared" si="4"/>
        <v>396.95486708346465</v>
      </c>
    </row>
    <row r="40" spans="2:5" x14ac:dyDescent="0.3">
      <c r="B40" s="178" t="s">
        <v>106</v>
      </c>
      <c r="C40" s="179">
        <f t="shared" ref="C40:E40" si="5">C10</f>
        <v>0</v>
      </c>
      <c r="D40" s="179">
        <f t="shared" si="5"/>
        <v>0</v>
      </c>
      <c r="E40" s="179">
        <f t="shared" si="5"/>
        <v>0</v>
      </c>
    </row>
    <row r="41" spans="2:5" x14ac:dyDescent="0.3">
      <c r="B41" s="178" t="s">
        <v>143</v>
      </c>
      <c r="C41" s="179">
        <f>C11</f>
        <v>1244.5476945733581</v>
      </c>
      <c r="D41" s="179">
        <f>D11</f>
        <v>1244.5476945733581</v>
      </c>
      <c r="E41" s="179">
        <f t="shared" ref="E41" si="6">E11</f>
        <v>1244.5476945733581</v>
      </c>
    </row>
    <row r="42" spans="2:5" x14ac:dyDescent="0.3">
      <c r="B42" s="178" t="s">
        <v>144</v>
      </c>
      <c r="C42" s="179">
        <f>C15</f>
        <v>1492.2594660498942</v>
      </c>
      <c r="D42" s="179">
        <f>D15</f>
        <v>1492.2594660498942</v>
      </c>
      <c r="E42" s="179">
        <f>E15</f>
        <v>1492.2594660498942</v>
      </c>
    </row>
    <row r="43" spans="2:5" x14ac:dyDescent="0.3">
      <c r="B43" s="178" t="s">
        <v>145</v>
      </c>
      <c r="C43" s="179">
        <f>C17</f>
        <v>10512.742405848554</v>
      </c>
      <c r="D43" s="179">
        <f t="shared" ref="D43:E43" si="7">D17</f>
        <v>10512.742405848554</v>
      </c>
      <c r="E43" s="179">
        <f t="shared" si="7"/>
        <v>10512.742405848554</v>
      </c>
    </row>
    <row r="44" spans="2:5" x14ac:dyDescent="0.3">
      <c r="B44" s="178" t="s">
        <v>146</v>
      </c>
      <c r="C44" s="179">
        <f>C18</f>
        <v>13852.771695249459</v>
      </c>
      <c r="D44" s="179">
        <f t="shared" ref="D44:E44" si="8">D18</f>
        <v>13852.771695249459</v>
      </c>
      <c r="E44" s="179">
        <f t="shared" si="8"/>
        <v>13852.771695249459</v>
      </c>
    </row>
    <row r="45" spans="2:5" x14ac:dyDescent="0.3">
      <c r="B45" s="178" t="s">
        <v>96</v>
      </c>
      <c r="C45" s="179">
        <f>C27</f>
        <v>67546.851657099454</v>
      </c>
      <c r="D45" s="179">
        <f>D27</f>
        <v>67546.851657099454</v>
      </c>
      <c r="E45" s="179">
        <f>E27</f>
        <v>67546.851657099454</v>
      </c>
    </row>
  </sheetData>
  <pageMargins left="0.7" right="0.7" top="0.75" bottom="0.75" header="0.3" footer="0.3"/>
  <pageSetup orientation="portrait" r:id="rId1"/>
  <headerFooter>
    <oddHeader>&amp;RNWN WUTC Advice 23-14
Exhibit A WP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CABB-3853-4F49-B143-F8841A2AB8A2}">
  <sheetPr>
    <tabColor rgb="FF92D050"/>
    <pageSetUpPr fitToPage="1"/>
  </sheetPr>
  <dimension ref="A1:P104"/>
  <sheetViews>
    <sheetView showGridLines="0" tabSelected="1" view="pageLayout" zoomScaleNormal="115" zoomScaleSheetLayoutView="100" workbookViewId="0">
      <selection activeCell="L5" sqref="L5"/>
    </sheetView>
  </sheetViews>
  <sheetFormatPr defaultColWidth="9.296875" defaultRowHeight="14.5" x14ac:dyDescent="0.35"/>
  <cols>
    <col min="1" max="1" width="6.796875" style="56" customWidth="1"/>
    <col min="2" max="2" width="17.796875" style="56" customWidth="1"/>
    <col min="3" max="3" width="9.296875" style="56"/>
    <col min="4" max="4" width="16.5" style="56" bestFit="1" customWidth="1"/>
    <col min="5" max="5" width="15.5" style="56" bestFit="1" customWidth="1"/>
    <col min="6" max="6" width="13.69921875" style="56" customWidth="1"/>
    <col min="7" max="7" width="13.5" style="56" customWidth="1"/>
    <col min="8" max="8" width="13" style="56" customWidth="1"/>
    <col min="9" max="9" width="14.796875" style="56" customWidth="1"/>
    <col min="10" max="12" width="15.5" style="56" customWidth="1"/>
    <col min="13" max="13" width="17.69921875" style="56" customWidth="1"/>
    <col min="14" max="14" width="9.296875" style="56"/>
    <col min="15" max="15" width="12.19921875" style="56" bestFit="1" customWidth="1"/>
    <col min="16" max="16" width="11.69921875" style="56" bestFit="1" customWidth="1"/>
    <col min="17" max="16384" width="9.296875" style="56"/>
  </cols>
  <sheetData>
    <row r="1" spans="1:14" x14ac:dyDescent="0.35">
      <c r="A1" s="55" t="str">
        <f>+'[1]Washington volumes'!A1</f>
        <v>NW Natural</v>
      </c>
    </row>
    <row r="2" spans="1:14" x14ac:dyDescent="0.35">
      <c r="A2" s="55" t="str">
        <f>+'[1]Washington volumes'!A2</f>
        <v>Rates &amp; Regulatory Affairs</v>
      </c>
    </row>
    <row r="3" spans="1:14" x14ac:dyDescent="0.35">
      <c r="A3" s="55" t="s">
        <v>147</v>
      </c>
      <c r="I3" s="57"/>
      <c r="J3" s="58"/>
      <c r="K3" s="58"/>
      <c r="L3" s="59"/>
      <c r="M3" s="59"/>
    </row>
    <row r="4" spans="1:14" x14ac:dyDescent="0.35">
      <c r="A4" s="55" t="s">
        <v>84</v>
      </c>
    </row>
    <row r="5" spans="1:14" x14ac:dyDescent="0.35">
      <c r="A5" s="60" t="s">
        <v>52</v>
      </c>
      <c r="G5" s="61"/>
      <c r="H5" s="61"/>
      <c r="I5" s="61"/>
      <c r="J5" s="62"/>
      <c r="K5" s="62"/>
      <c r="L5" s="63"/>
      <c r="M5" s="63"/>
    </row>
    <row r="6" spans="1:14" ht="15" thickBot="1" x14ac:dyDescent="0.4">
      <c r="H6" s="84"/>
      <c r="J6" s="63"/>
      <c r="K6" s="84"/>
      <c r="L6" s="63"/>
      <c r="M6" s="63"/>
    </row>
    <row r="7" spans="1:14" x14ac:dyDescent="0.35">
      <c r="A7" s="64">
        <v>1</v>
      </c>
      <c r="D7" s="64"/>
      <c r="F7" s="65" t="s">
        <v>53</v>
      </c>
      <c r="H7" s="203" t="s">
        <v>148</v>
      </c>
      <c r="I7" s="204" t="s">
        <v>148</v>
      </c>
      <c r="J7" s="65" t="s">
        <v>54</v>
      </c>
      <c r="K7" s="65" t="s">
        <v>55</v>
      </c>
      <c r="L7" s="128" t="s">
        <v>55</v>
      </c>
      <c r="M7" s="129" t="s">
        <v>55</v>
      </c>
    </row>
    <row r="8" spans="1:14" x14ac:dyDescent="0.35">
      <c r="A8" s="64">
        <f t="shared" ref="A8:A74" si="0">+A7+1</f>
        <v>2</v>
      </c>
      <c r="D8" s="64"/>
      <c r="E8" s="65"/>
      <c r="F8" s="65" t="s">
        <v>56</v>
      </c>
      <c r="G8" s="64" t="s">
        <v>57</v>
      </c>
      <c r="H8" s="188" t="str">
        <f>'Cost Allocation = cent per th.'!E8</f>
        <v>Billing</v>
      </c>
      <c r="I8" s="188" t="s">
        <v>79</v>
      </c>
      <c r="J8" s="65">
        <v>45231</v>
      </c>
      <c r="K8" s="65">
        <v>45292</v>
      </c>
      <c r="L8" s="128">
        <f>K8</f>
        <v>45292</v>
      </c>
      <c r="M8" s="130">
        <f>L8</f>
        <v>45292</v>
      </c>
    </row>
    <row r="9" spans="1:14" x14ac:dyDescent="0.35">
      <c r="A9" s="64">
        <f t="shared" si="0"/>
        <v>3</v>
      </c>
      <c r="D9" s="64" t="s">
        <v>85</v>
      </c>
      <c r="E9" s="64" t="s">
        <v>58</v>
      </c>
      <c r="F9" s="64" t="s">
        <v>59</v>
      </c>
      <c r="G9" s="64" t="s">
        <v>59</v>
      </c>
      <c r="H9" s="66" t="str">
        <f>'Cost Allocation = cent per th.'!E9</f>
        <v>Rate</v>
      </c>
      <c r="I9" s="66" t="s">
        <v>78</v>
      </c>
      <c r="J9" s="116" t="s">
        <v>100</v>
      </c>
      <c r="K9" s="66" t="s">
        <v>3</v>
      </c>
      <c r="L9" s="61" t="s">
        <v>100</v>
      </c>
      <c r="M9" s="131" t="s">
        <v>100</v>
      </c>
    </row>
    <row r="10" spans="1:14" s="68" customFormat="1" ht="15" thickBot="1" x14ac:dyDescent="0.4">
      <c r="A10" s="64">
        <f t="shared" si="0"/>
        <v>4</v>
      </c>
      <c r="B10" s="56"/>
      <c r="C10" s="56"/>
      <c r="D10" s="67" t="s">
        <v>76</v>
      </c>
      <c r="E10" s="67" t="s">
        <v>13</v>
      </c>
      <c r="F10" s="67" t="s">
        <v>77</v>
      </c>
      <c r="G10" s="67" t="s">
        <v>7</v>
      </c>
      <c r="H10" s="189">
        <f>'Cost Allocation = cent per th.'!E10</f>
        <v>45231</v>
      </c>
      <c r="I10" s="189">
        <f>H10</f>
        <v>45231</v>
      </c>
      <c r="J10" s="67" t="s">
        <v>60</v>
      </c>
      <c r="K10" s="67" t="s">
        <v>60</v>
      </c>
      <c r="L10" s="132" t="s">
        <v>61</v>
      </c>
      <c r="M10" s="133" t="s">
        <v>128</v>
      </c>
    </row>
    <row r="11" spans="1:14" s="68" customFormat="1" x14ac:dyDescent="0.35">
      <c r="A11" s="64">
        <f t="shared" si="0"/>
        <v>5</v>
      </c>
      <c r="B11" s="56"/>
      <c r="C11" s="56"/>
      <c r="H11" s="190"/>
      <c r="I11" s="191" t="s">
        <v>62</v>
      </c>
      <c r="J11" s="134"/>
      <c r="K11" s="134" t="s">
        <v>80</v>
      </c>
      <c r="L11" s="61" t="s">
        <v>82</v>
      </c>
      <c r="M11" s="69" t="s">
        <v>83</v>
      </c>
    </row>
    <row r="12" spans="1:14" s="68" customFormat="1" x14ac:dyDescent="0.35">
      <c r="A12" s="64">
        <f t="shared" si="0"/>
        <v>6</v>
      </c>
      <c r="B12" s="70" t="s">
        <v>12</v>
      </c>
      <c r="C12" s="70" t="s">
        <v>13</v>
      </c>
      <c r="D12" s="71" t="s">
        <v>14</v>
      </c>
      <c r="E12" s="71" t="s">
        <v>15</v>
      </c>
      <c r="F12" s="71" t="s">
        <v>16</v>
      </c>
      <c r="G12" s="71" t="s">
        <v>17</v>
      </c>
      <c r="H12" s="192" t="s">
        <v>18</v>
      </c>
      <c r="I12" s="192" t="s">
        <v>63</v>
      </c>
      <c r="J12" s="71" t="s">
        <v>19</v>
      </c>
      <c r="K12" s="71" t="s">
        <v>20</v>
      </c>
      <c r="L12" s="71" t="s">
        <v>81</v>
      </c>
      <c r="M12" s="72" t="s">
        <v>99</v>
      </c>
    </row>
    <row r="13" spans="1:14" x14ac:dyDescent="0.35">
      <c r="A13" s="64">
        <f t="shared" si="0"/>
        <v>7</v>
      </c>
      <c r="B13" s="73" t="s">
        <v>24</v>
      </c>
      <c r="C13" s="73"/>
      <c r="D13" s="74">
        <f>'Cost Allocation = cent per th.'!D13</f>
        <v>320121.8</v>
      </c>
      <c r="E13" s="75" t="s">
        <v>64</v>
      </c>
      <c r="F13" s="117">
        <f>ROUND('Cost Allocation = cent per th.'!D13/'Cost Allocation = cent per th.'!G13/12,0)</f>
        <v>16</v>
      </c>
      <c r="G13" s="76">
        <f>'Cost Allocation = cent per th.'!F13</f>
        <v>5.5</v>
      </c>
      <c r="H13" s="193">
        <f>'Cost Allocation = cent per th.'!E13</f>
        <v>1.5447600000000006</v>
      </c>
      <c r="I13" s="194">
        <f>ROUND(+$G13+(H13*$F13),2)</f>
        <v>30.22</v>
      </c>
      <c r="J13" s="77">
        <v>0</v>
      </c>
      <c r="K13" s="77">
        <f>'Cost Allocation = cent per th.'!K13+H13-J13</f>
        <v>2.0420200000000004</v>
      </c>
      <c r="L13" s="78">
        <f>G13+(F13*K13)-'Revenue Credits'!E35</f>
        <v>33.077158071630585</v>
      </c>
      <c r="M13" s="79">
        <f>(L13-I13)/I13</f>
        <v>9.4545270404718273E-2</v>
      </c>
    </row>
    <row r="14" spans="1:14" x14ac:dyDescent="0.35">
      <c r="A14" s="64">
        <f t="shared" si="0"/>
        <v>8</v>
      </c>
      <c r="B14" s="73" t="s">
        <v>25</v>
      </c>
      <c r="C14" s="73"/>
      <c r="D14" s="74">
        <f>'Cost Allocation = cent per th.'!D14</f>
        <v>22712</v>
      </c>
      <c r="E14" s="75" t="s">
        <v>64</v>
      </c>
      <c r="F14" s="117">
        <f>ROUND('Cost Allocation = cent per th.'!D14/'Cost Allocation = cent per th.'!G14/12,0)</f>
        <v>51</v>
      </c>
      <c r="G14" s="76">
        <f>'Cost Allocation = cent per th.'!F14</f>
        <v>7</v>
      </c>
      <c r="H14" s="193">
        <f>'Cost Allocation = cent per th.'!E14</f>
        <v>1.5461599999999995</v>
      </c>
      <c r="I14" s="194">
        <f>ROUND(+$G14+(H14*$F14),2)</f>
        <v>85.85</v>
      </c>
      <c r="J14" s="77">
        <v>0</v>
      </c>
      <c r="K14" s="77">
        <f>'Cost Allocation = cent per th.'!K14+H14-J14</f>
        <v>2.0434199999999993</v>
      </c>
      <c r="L14" s="78">
        <f>G14+(F14*K14)-'Revenue Credits'!E36</f>
        <v>94.53953038464374</v>
      </c>
      <c r="M14" s="79">
        <f t="shared" ref="M14:M18" si="1">(L14-I14)/I14</f>
        <v>0.10121759329812167</v>
      </c>
    </row>
    <row r="15" spans="1:14" x14ac:dyDescent="0.35">
      <c r="A15" s="64">
        <f t="shared" si="0"/>
        <v>9</v>
      </c>
      <c r="B15" s="73" t="s">
        <v>26</v>
      </c>
      <c r="C15" s="73"/>
      <c r="D15" s="74">
        <f>'Cost Allocation = cent per th.'!D15</f>
        <v>57663881.299999997</v>
      </c>
      <c r="E15" s="75" t="s">
        <v>64</v>
      </c>
      <c r="F15" s="117">
        <f>ROUND('Cost Allocation = cent per th.'!D15/'Cost Allocation = cent per th.'!G15/12,0)</f>
        <v>55</v>
      </c>
      <c r="G15" s="76">
        <f>'Cost Allocation = cent per th.'!F15</f>
        <v>8</v>
      </c>
      <c r="H15" s="193">
        <f>'Cost Allocation = cent per th.'!E15</f>
        <v>1.2079500000000001</v>
      </c>
      <c r="I15" s="194">
        <f t="shared" ref="I15:I18" si="2">ROUND(+$G15+(H15*$F15),2)</f>
        <v>74.44</v>
      </c>
      <c r="J15" s="77">
        <v>0</v>
      </c>
      <c r="K15" s="77">
        <f>'Cost Allocation = cent per th.'!K15+H15-J15</f>
        <v>1.7052100000000001</v>
      </c>
      <c r="L15" s="78">
        <f>G15+(F15*K15)-'Revenue Credits'!E37</f>
        <v>82.431467890388291</v>
      </c>
      <c r="M15" s="79">
        <f t="shared" si="1"/>
        <v>0.10735448536255096</v>
      </c>
      <c r="N15" s="59"/>
    </row>
    <row r="16" spans="1:14" x14ac:dyDescent="0.35">
      <c r="A16" s="64">
        <f t="shared" si="0"/>
        <v>10</v>
      </c>
      <c r="B16" s="73" t="s">
        <v>27</v>
      </c>
      <c r="C16" s="73"/>
      <c r="D16" s="74">
        <f>'Cost Allocation = cent per th.'!D16</f>
        <v>20095708.300000001</v>
      </c>
      <c r="E16" s="75" t="s">
        <v>64</v>
      </c>
      <c r="F16" s="117">
        <f>ROUND('Cost Allocation = cent per th.'!D16/'Cost Allocation = cent per th.'!G16/12,0)</f>
        <v>251</v>
      </c>
      <c r="G16" s="76">
        <f>'Cost Allocation = cent per th.'!F16</f>
        <v>22</v>
      </c>
      <c r="H16" s="193">
        <f>'Cost Allocation = cent per th.'!E16</f>
        <v>1.1605799999999999</v>
      </c>
      <c r="I16" s="194">
        <f t="shared" si="2"/>
        <v>313.31</v>
      </c>
      <c r="J16" s="77">
        <v>0</v>
      </c>
      <c r="K16" s="77">
        <f>'Cost Allocation = cent per th.'!K16+H16-J16</f>
        <v>1.65784</v>
      </c>
      <c r="L16" s="78">
        <f>G16+(F16*K16)</f>
        <v>438.11784</v>
      </c>
      <c r="M16" s="79">
        <f t="shared" si="1"/>
        <v>0.39835255816922538</v>
      </c>
      <c r="N16" s="59"/>
    </row>
    <row r="17" spans="1:16" x14ac:dyDescent="0.35">
      <c r="A17" s="64">
        <f t="shared" si="0"/>
        <v>11</v>
      </c>
      <c r="B17" s="73" t="s">
        <v>28</v>
      </c>
      <c r="C17" s="73"/>
      <c r="D17" s="74">
        <f>'Cost Allocation = cent per th.'!D17</f>
        <v>277642.16352000006</v>
      </c>
      <c r="E17" s="75" t="s">
        <v>64</v>
      </c>
      <c r="F17" s="117">
        <f>ROUND('Cost Allocation = cent per th.'!D17/'Cost Allocation = cent per th.'!G17/12,0)</f>
        <v>1218</v>
      </c>
      <c r="G17" s="76">
        <f>'Cost Allocation = cent per th.'!F17</f>
        <v>22</v>
      </c>
      <c r="H17" s="193">
        <f>'Cost Allocation = cent per th.'!E17</f>
        <v>1.0975499999999998</v>
      </c>
      <c r="I17" s="194">
        <f t="shared" si="2"/>
        <v>1358.82</v>
      </c>
      <c r="J17" s="77">
        <v>0</v>
      </c>
      <c r="K17" s="77">
        <f>'Cost Allocation = cent per th.'!K17+H17-J17</f>
        <v>1.5948099999999998</v>
      </c>
      <c r="L17" s="78">
        <f>G17+(F17*K17)-'Revenue Credits'!E39</f>
        <v>1567.523712916535</v>
      </c>
      <c r="M17" s="79">
        <f t="shared" si="1"/>
        <v>0.15359187597808033</v>
      </c>
    </row>
    <row r="18" spans="1:16" x14ac:dyDescent="0.35">
      <c r="A18" s="64">
        <f t="shared" si="0"/>
        <v>12</v>
      </c>
      <c r="B18" s="80">
        <v>27</v>
      </c>
      <c r="C18" s="80"/>
      <c r="D18" s="74">
        <f>'Cost Allocation = cent per th.'!D18</f>
        <v>81380.7</v>
      </c>
      <c r="E18" s="75" t="s">
        <v>64</v>
      </c>
      <c r="F18" s="117">
        <f>ROUND('Cost Allocation = cent per th.'!D18/'Cost Allocation = cent per th.'!G18/12,0)</f>
        <v>23</v>
      </c>
      <c r="G18" s="76">
        <f>'Cost Allocation = cent per th.'!F18</f>
        <v>9</v>
      </c>
      <c r="H18" s="193">
        <f>'Cost Allocation = cent per th.'!E18</f>
        <v>0.95164999999999988</v>
      </c>
      <c r="I18" s="194">
        <f t="shared" si="2"/>
        <v>30.89</v>
      </c>
      <c r="J18" s="77">
        <v>0</v>
      </c>
      <c r="K18" s="77">
        <f>'Cost Allocation = cent per th.'!K18+H18-J18</f>
        <v>1.4489099999999999</v>
      </c>
      <c r="L18" s="78">
        <f>G18+(F18*K18)-'Revenue Credits'!E30</f>
        <v>42.324929999999995</v>
      </c>
      <c r="M18" s="79">
        <f t="shared" si="1"/>
        <v>0.37018225963094831</v>
      </c>
    </row>
    <row r="19" spans="1:16" x14ac:dyDescent="0.35">
      <c r="A19" s="64">
        <f t="shared" si="0"/>
        <v>13</v>
      </c>
      <c r="B19" s="64" t="s">
        <v>29</v>
      </c>
      <c r="C19" s="81" t="s">
        <v>30</v>
      </c>
      <c r="D19" s="82">
        <f>'Cost Allocation = cent per th.'!D19</f>
        <v>1580026.3</v>
      </c>
      <c r="E19" s="83">
        <v>2000</v>
      </c>
      <c r="F19" s="118">
        <f>ROUND(SUM(D19:D20)/'Cost Allocation = cent per th.'!G19/12,0)</f>
        <v>3735</v>
      </c>
      <c r="G19" s="84">
        <f>'Cost Allocation = cent per th.'!F19</f>
        <v>250</v>
      </c>
      <c r="H19" s="195">
        <f>'Cost Allocation = cent per th.'!E19</f>
        <v>0.92156999999999989</v>
      </c>
      <c r="I19" s="196"/>
      <c r="J19" s="58">
        <v>0</v>
      </c>
      <c r="K19" s="58">
        <f>'Cost Allocation = cent per th.'!K19+H19-J19</f>
        <v>1.4188299999999998</v>
      </c>
      <c r="L19" s="59"/>
      <c r="M19" s="85"/>
    </row>
    <row r="20" spans="1:16" x14ac:dyDescent="0.35">
      <c r="A20" s="64">
        <f t="shared" si="0"/>
        <v>14</v>
      </c>
      <c r="B20" s="64"/>
      <c r="C20" s="81" t="s">
        <v>31</v>
      </c>
      <c r="D20" s="82">
        <f>'Cost Allocation = cent per th.'!D20</f>
        <v>2140268.4</v>
      </c>
      <c r="E20" s="83" t="s">
        <v>65</v>
      </c>
      <c r="F20" s="118"/>
      <c r="G20" s="59"/>
      <c r="H20" s="195">
        <f>'Cost Allocation = cent per th.'!E20</f>
        <v>0.86349999999999982</v>
      </c>
      <c r="I20" s="196"/>
      <c r="J20" s="58">
        <v>0</v>
      </c>
      <c r="K20" s="58">
        <f>'Cost Allocation = cent per th.'!K20+H20-J20</f>
        <v>1.3607599999999997</v>
      </c>
      <c r="L20" s="59"/>
      <c r="M20" s="85"/>
    </row>
    <row r="21" spans="1:16" x14ac:dyDescent="0.35">
      <c r="A21" s="64">
        <f t="shared" si="0"/>
        <v>15</v>
      </c>
      <c r="B21" s="80"/>
      <c r="C21" s="86" t="s">
        <v>66</v>
      </c>
      <c r="D21" s="87"/>
      <c r="E21" s="88"/>
      <c r="F21" s="119"/>
      <c r="G21" s="78"/>
      <c r="H21" s="197"/>
      <c r="I21" s="194">
        <f>$G19+ROUND(IF($F19&lt;$E19,($F19*H19),IF($F19&gt;SUM($E19:$E20),(($E19*H19)+(($F19-$E19)*H20)),0)),2)</f>
        <v>3591.31</v>
      </c>
      <c r="J21" s="89"/>
      <c r="K21" s="89"/>
      <c r="L21" s="78">
        <f>$G19+ROUND(IF($F19&lt;$E19,($F19*K19),IF($F19&gt;SUM($E19:$E20),(($E19*K19)+(($F19-$E19)*K20)),0)),2)-'Revenue Credits'!E41</f>
        <v>4204.0323054266419</v>
      </c>
      <c r="M21" s="79">
        <f>(L21-I21)/I21</f>
        <v>0.17061247996598511</v>
      </c>
    </row>
    <row r="22" spans="1:16" x14ac:dyDescent="0.35">
      <c r="A22" s="64">
        <f t="shared" si="0"/>
        <v>16</v>
      </c>
      <c r="B22" s="64" t="s">
        <v>33</v>
      </c>
      <c r="C22" s="81" t="s">
        <v>30</v>
      </c>
      <c r="D22" s="82">
        <f>'Cost Allocation = cent per th.'!D21</f>
        <v>405389.26339126908</v>
      </c>
      <c r="E22" s="83">
        <v>2000</v>
      </c>
      <c r="F22" s="118">
        <f>ROUND(SUM(D22:D23)/'Cost Allocation = cent per th.'!G21/12,0)</f>
        <v>4578</v>
      </c>
      <c r="G22" s="84">
        <f>'Cost Allocation = cent per th.'!F21</f>
        <v>250</v>
      </c>
      <c r="H22" s="195">
        <f>'Cost Allocation = cent per th.'!E21</f>
        <v>0.81911000000000023</v>
      </c>
      <c r="I22" s="196"/>
      <c r="J22" s="58">
        <v>0</v>
      </c>
      <c r="K22" s="58">
        <f>'Cost Allocation = cent per th.'!K21+H22-J22</f>
        <v>1.3163700000000003</v>
      </c>
      <c r="L22" s="59"/>
      <c r="M22" s="85"/>
      <c r="P22" s="58"/>
    </row>
    <row r="23" spans="1:16" x14ac:dyDescent="0.35">
      <c r="A23" s="64">
        <f t="shared" si="0"/>
        <v>17</v>
      </c>
      <c r="B23" s="64"/>
      <c r="C23" s="81" t="s">
        <v>31</v>
      </c>
      <c r="D23" s="82">
        <f>'Cost Allocation = cent per th.'!D22</f>
        <v>803152.63660873089</v>
      </c>
      <c r="E23" s="83" t="s">
        <v>65</v>
      </c>
      <c r="F23" s="118"/>
      <c r="G23" s="59"/>
      <c r="H23" s="195">
        <f>'Cost Allocation = cent per th.'!E22</f>
        <v>0.77333999999999992</v>
      </c>
      <c r="I23" s="196"/>
      <c r="J23" s="58">
        <v>0</v>
      </c>
      <c r="K23" s="58">
        <f>'Cost Allocation = cent per th.'!K22+H23-J23</f>
        <v>1.2706</v>
      </c>
      <c r="L23" s="59"/>
      <c r="M23" s="85"/>
      <c r="P23" s="58"/>
    </row>
    <row r="24" spans="1:16" x14ac:dyDescent="0.35">
      <c r="A24" s="64">
        <f t="shared" si="0"/>
        <v>18</v>
      </c>
      <c r="B24" s="80"/>
      <c r="C24" s="86" t="s">
        <v>66</v>
      </c>
      <c r="D24" s="87"/>
      <c r="E24" s="88"/>
      <c r="F24" s="119"/>
      <c r="G24" s="78"/>
      <c r="H24" s="197"/>
      <c r="I24" s="194">
        <f>$G22+ROUND(IF($F22&lt;$E22,($F22*H22),IF($F22&gt;SUM($E22:$E23),(($E22*H22)+(($F22-$E22)*H23)),0)),2)</f>
        <v>3881.89</v>
      </c>
      <c r="J24" s="89"/>
      <c r="K24" s="89"/>
      <c r="L24" s="78">
        <f>$G22+ROUND(IF($F22&lt;$E22,($F22*K22),IF($F22&gt;SUM($E22:$E23),(($E22*K22)+(($F22-$E22)*K23)),0)),2)-'Revenue Credits'!E42</f>
        <v>4666.090533950106</v>
      </c>
      <c r="M24" s="79">
        <f>(L24-I24)/I24</f>
        <v>0.20201513539799071</v>
      </c>
      <c r="P24" s="58"/>
    </row>
    <row r="25" spans="1:16" x14ac:dyDescent="0.35">
      <c r="A25" s="64">
        <f>+A21+1</f>
        <v>16</v>
      </c>
      <c r="B25" s="64" t="s">
        <v>32</v>
      </c>
      <c r="C25" s="81" t="s">
        <v>30</v>
      </c>
      <c r="D25" s="82">
        <f>'Cost Allocation = cent per th.'!D23</f>
        <v>0</v>
      </c>
      <c r="E25" s="83">
        <v>2000</v>
      </c>
      <c r="F25" s="118">
        <v>0</v>
      </c>
      <c r="G25" s="84">
        <f>'Cost Allocation = cent per th.'!F23</f>
        <v>250</v>
      </c>
      <c r="H25" s="195">
        <f>'Cost Allocation = cent per th.'!E23</f>
        <v>0.88825000000000021</v>
      </c>
      <c r="I25" s="196"/>
      <c r="J25" s="58">
        <v>0</v>
      </c>
      <c r="K25" s="58">
        <f>'Cost Allocation = cent per th.'!K23+H25-J25</f>
        <v>1.3855100000000002</v>
      </c>
      <c r="L25" s="59"/>
      <c r="M25" s="85"/>
      <c r="P25" s="58"/>
    </row>
    <row r="26" spans="1:16" x14ac:dyDescent="0.35">
      <c r="A26" s="64">
        <f t="shared" si="0"/>
        <v>17</v>
      </c>
      <c r="B26" s="64"/>
      <c r="C26" s="81" t="s">
        <v>31</v>
      </c>
      <c r="D26" s="82">
        <f>'Cost Allocation = cent per th.'!D24</f>
        <v>0</v>
      </c>
      <c r="E26" s="83" t="s">
        <v>65</v>
      </c>
      <c r="F26" s="120"/>
      <c r="G26" s="90"/>
      <c r="H26" s="195">
        <f>'Cost Allocation = cent per th.'!E24</f>
        <v>0.83442999999999989</v>
      </c>
      <c r="I26" s="196"/>
      <c r="J26" s="58">
        <v>0</v>
      </c>
      <c r="K26" s="58">
        <f>'Cost Allocation = cent per th.'!K24+H26-J26</f>
        <v>1.3316899999999998</v>
      </c>
      <c r="L26" s="59"/>
      <c r="M26" s="85"/>
      <c r="P26" s="58"/>
    </row>
    <row r="27" spans="1:16" x14ac:dyDescent="0.35">
      <c r="A27" s="64">
        <f>+A25+1</f>
        <v>17</v>
      </c>
      <c r="B27" s="80"/>
      <c r="C27" s="86" t="s">
        <v>66</v>
      </c>
      <c r="D27" s="87"/>
      <c r="E27" s="88"/>
      <c r="F27" s="119"/>
      <c r="G27" s="78"/>
      <c r="H27" s="197"/>
      <c r="I27" s="194">
        <f>$G25+ROUND(IF($F25&lt;$E25,($F25*H25),IF($F25&gt;SUM($E25:$E25),(($E25*H25)+(($F25-$E25)*H25)),0)),2)</f>
        <v>250</v>
      </c>
      <c r="J27" s="89"/>
      <c r="K27" s="89"/>
      <c r="L27" s="78">
        <f>$G25+ROUND(IF($F25&lt;$E25,($F25*K25),IF($F25&gt;SUM($E25:$E26),(($E25*K25)+(($F25-$E25)*K26)),0)),2)-'Revenue Credits'!E12</f>
        <v>250</v>
      </c>
      <c r="M27" s="79">
        <f>(L27-I27)/I27</f>
        <v>0</v>
      </c>
      <c r="P27" s="58"/>
    </row>
    <row r="28" spans="1:16" x14ac:dyDescent="0.35">
      <c r="A28" s="64">
        <f t="shared" si="0"/>
        <v>18</v>
      </c>
      <c r="B28" s="64" t="s">
        <v>34</v>
      </c>
      <c r="C28" s="81" t="s">
        <v>30</v>
      </c>
      <c r="D28" s="82">
        <f>'Cost Allocation = cent per th.'!D25</f>
        <v>0</v>
      </c>
      <c r="E28" s="83">
        <v>2000</v>
      </c>
      <c r="F28" s="118">
        <v>0</v>
      </c>
      <c r="G28" s="84">
        <f>'Cost Allocation = cent per th.'!F25</f>
        <v>250</v>
      </c>
      <c r="H28" s="195">
        <f>'Cost Allocation = cent per th.'!E25</f>
        <v>0.81358000000000008</v>
      </c>
      <c r="I28" s="196"/>
      <c r="J28" s="58">
        <v>0</v>
      </c>
      <c r="K28" s="58">
        <f>'Cost Allocation = cent per th.'!K25+H28-J28</f>
        <v>1.31084</v>
      </c>
      <c r="L28" s="59"/>
      <c r="M28" s="85"/>
      <c r="P28" s="58"/>
    </row>
    <row r="29" spans="1:16" x14ac:dyDescent="0.35">
      <c r="A29" s="64">
        <f t="shared" si="0"/>
        <v>19</v>
      </c>
      <c r="B29" s="64"/>
      <c r="C29" s="81" t="s">
        <v>31</v>
      </c>
      <c r="D29" s="82">
        <f>'Cost Allocation = cent per th.'!D26</f>
        <v>0</v>
      </c>
      <c r="E29" s="83" t="s">
        <v>65</v>
      </c>
      <c r="F29" s="118"/>
      <c r="G29" s="59"/>
      <c r="H29" s="195">
        <f>'Cost Allocation = cent per th.'!E26</f>
        <v>0.76871999999999996</v>
      </c>
      <c r="I29" s="196"/>
      <c r="J29" s="58">
        <v>0</v>
      </c>
      <c r="K29" s="58">
        <f>'Cost Allocation = cent per th.'!K26+H29-J29</f>
        <v>1.2659799999999999</v>
      </c>
      <c r="L29" s="59"/>
      <c r="M29" s="85"/>
      <c r="P29" s="58"/>
    </row>
    <row r="30" spans="1:16" x14ac:dyDescent="0.35">
      <c r="A30" s="64">
        <f t="shared" si="0"/>
        <v>20</v>
      </c>
      <c r="B30" s="80"/>
      <c r="C30" s="86" t="s">
        <v>66</v>
      </c>
      <c r="D30" s="87"/>
      <c r="E30" s="88"/>
      <c r="F30" s="119"/>
      <c r="G30" s="78"/>
      <c r="H30" s="197"/>
      <c r="I30" s="194">
        <f>$G28+ROUND(IF($F28&lt;$E28,($F28*H28),IF($F28&gt;SUM($E28:$E29),(($E28*H28)+(($F28-$E28)*H29)),0)),2)</f>
        <v>250</v>
      </c>
      <c r="J30" s="89"/>
      <c r="K30" s="89"/>
      <c r="L30" s="78">
        <f>$G28+ROUND(IF($F28&lt;$E28,($F28*K28),IF($F28&gt;SUM($E28:$E29),(($E28*K28)+(($F28-$E28)*K29)),0)),2)-'Revenue Credits'!E16</f>
        <v>250</v>
      </c>
      <c r="M30" s="79">
        <f>(L30-I30)/I30</f>
        <v>0</v>
      </c>
      <c r="P30" s="58"/>
    </row>
    <row r="31" spans="1:16" x14ac:dyDescent="0.35">
      <c r="A31" s="64">
        <f t="shared" si="0"/>
        <v>21</v>
      </c>
      <c r="B31" s="91" t="str">
        <f>'[6]WA Volumes &amp; Revenues'!B29</f>
        <v>41C Firm Transpt</v>
      </c>
      <c r="C31" s="81" t="s">
        <v>30</v>
      </c>
      <c r="D31" s="82">
        <f>'Cost Allocation = cent per th.'!D27</f>
        <v>149223.99763209719</v>
      </c>
      <c r="E31" s="83">
        <v>2000</v>
      </c>
      <c r="F31" s="118">
        <f>ROUND(SUM(D31:D32)/'Cost Allocation = cent per th.'!G27/12,0)</f>
        <v>4675</v>
      </c>
      <c r="G31" s="84">
        <f>'Cost Allocation = cent per th.'!F27</f>
        <v>500</v>
      </c>
      <c r="H31" s="195">
        <f>'Cost Allocation = cent per th.'!E27</f>
        <v>0.39027999999999996</v>
      </c>
      <c r="I31" s="196"/>
      <c r="J31" s="58">
        <v>0</v>
      </c>
      <c r="K31" s="58">
        <f>'Cost Allocation = cent per th.'!K27+H31-J31</f>
        <v>0.88754</v>
      </c>
      <c r="L31" s="59"/>
      <c r="M31" s="85"/>
      <c r="P31" s="58"/>
    </row>
    <row r="32" spans="1:16" x14ac:dyDescent="0.35">
      <c r="A32" s="64">
        <f t="shared" si="0"/>
        <v>22</v>
      </c>
      <c r="B32" s="64"/>
      <c r="C32" s="81" t="s">
        <v>31</v>
      </c>
      <c r="D32" s="82">
        <f>'Cost Allocation = cent per th.'!D28</f>
        <v>299593.9023679028</v>
      </c>
      <c r="E32" s="83" t="s">
        <v>65</v>
      </c>
      <c r="F32" s="120"/>
      <c r="G32" s="90"/>
      <c r="H32" s="195">
        <f>'Cost Allocation = cent per th.'!E28</f>
        <v>0.34396000000000004</v>
      </c>
      <c r="I32" s="196"/>
      <c r="J32" s="58">
        <v>0</v>
      </c>
      <c r="K32" s="58">
        <f>'Cost Allocation = cent per th.'!K28+H32-J32</f>
        <v>0.84122000000000008</v>
      </c>
      <c r="L32" s="59"/>
      <c r="M32" s="85"/>
      <c r="P32" s="58"/>
    </row>
    <row r="33" spans="1:16" x14ac:dyDescent="0.35">
      <c r="A33" s="64">
        <f t="shared" si="0"/>
        <v>23</v>
      </c>
      <c r="B33" s="80"/>
      <c r="C33" s="86" t="s">
        <v>66</v>
      </c>
      <c r="D33" s="87"/>
      <c r="E33" s="88"/>
      <c r="F33" s="119"/>
      <c r="G33" s="78"/>
      <c r="H33" s="197"/>
      <c r="I33" s="194">
        <f>$G31+ROUND(IF($F31&lt;$E31,($F31*H31),IF($F31&gt;SUM($E31:$E32),(($E31*H31)+(($F31-$E31)*H32)),0)),2)</f>
        <v>2200.65</v>
      </c>
      <c r="J33" s="89"/>
      <c r="K33" s="89"/>
      <c r="L33" s="78">
        <f>$G31+ROUND(IF($F31&lt;$E31,($F31*K31),IF($F31&gt;SUM($E31:$E32),(($E31*K31)+(($F31-$E31)*K32)),0)),2)-'Revenue Credits'!E41</f>
        <v>3280.7923054266421</v>
      </c>
      <c r="M33" s="79">
        <f>(L33-I33)/I33</f>
        <v>0.4908287576064535</v>
      </c>
      <c r="P33" s="58"/>
    </row>
    <row r="34" spans="1:16" x14ac:dyDescent="0.35">
      <c r="A34" s="64">
        <f t="shared" si="0"/>
        <v>24</v>
      </c>
      <c r="B34" s="91" t="str">
        <f>'[6]WA Volumes &amp; Revenues'!B31</f>
        <v>41I Firm Transpt</v>
      </c>
      <c r="C34" s="81" t="s">
        <v>30</v>
      </c>
      <c r="D34" s="82">
        <f>'Cost Allocation = cent per th.'!D29</f>
        <v>0</v>
      </c>
      <c r="E34" s="83">
        <v>2000</v>
      </c>
      <c r="F34" s="118">
        <v>0</v>
      </c>
      <c r="G34" s="84">
        <f>'Cost Allocation = cent per th.'!F29</f>
        <v>500</v>
      </c>
      <c r="H34" s="195">
        <f>'Cost Allocation = cent per th.'!E29</f>
        <v>0.37845000000000001</v>
      </c>
      <c r="I34" s="196"/>
      <c r="J34" s="58">
        <v>0</v>
      </c>
      <c r="K34" s="58">
        <f>'Cost Allocation = cent per th.'!K29+H34-J34</f>
        <v>0.87570999999999999</v>
      </c>
      <c r="L34" s="59"/>
      <c r="M34" s="85"/>
      <c r="P34" s="58"/>
    </row>
    <row r="35" spans="1:16" x14ac:dyDescent="0.35">
      <c r="A35" s="64">
        <f t="shared" si="0"/>
        <v>25</v>
      </c>
      <c r="B35" s="64"/>
      <c r="C35" s="81" t="s">
        <v>31</v>
      </c>
      <c r="D35" s="82">
        <f>'Cost Allocation = cent per th.'!D30</f>
        <v>0</v>
      </c>
      <c r="E35" s="83" t="s">
        <v>65</v>
      </c>
      <c r="F35" s="118"/>
      <c r="G35" s="59"/>
      <c r="H35" s="195">
        <f>'Cost Allocation = cent per th.'!E30</f>
        <v>0.33354000000000011</v>
      </c>
      <c r="I35" s="196"/>
      <c r="J35" s="58">
        <v>0</v>
      </c>
      <c r="K35" s="58">
        <f>'Cost Allocation = cent per th.'!K30+H35-J35</f>
        <v>0.83080000000000009</v>
      </c>
      <c r="L35" s="59"/>
      <c r="M35" s="85"/>
      <c r="P35" s="58"/>
    </row>
    <row r="36" spans="1:16" x14ac:dyDescent="0.35">
      <c r="A36" s="64">
        <f t="shared" si="0"/>
        <v>26</v>
      </c>
      <c r="B36" s="80"/>
      <c r="C36" s="86" t="s">
        <v>66</v>
      </c>
      <c r="D36" s="87"/>
      <c r="E36" s="88"/>
      <c r="F36" s="119"/>
      <c r="G36" s="78"/>
      <c r="H36" s="197"/>
      <c r="I36" s="194">
        <f>$G34+ROUND(IF($F34&lt;$E34,($F34*H34),IF($F34&gt;SUM($E34:$E35),(($E34*H34)+(($F34-$E34)*H35)),0)),2)</f>
        <v>500</v>
      </c>
      <c r="J36" s="89"/>
      <c r="K36" s="89"/>
      <c r="L36" s="78">
        <f>$G34+ROUND(IF($F34&lt;$E34,($F34*K34),IF($F34&gt;SUM($E34:$E35),(($E34*K34)+(($F34-$E34)*K35)),0)),2)-'Revenue Credits'!E14</f>
        <v>500</v>
      </c>
      <c r="M36" s="79">
        <f>(L36-I36)/I36</f>
        <v>0</v>
      </c>
      <c r="P36" s="58"/>
    </row>
    <row r="37" spans="1:16" x14ac:dyDescent="0.35">
      <c r="A37" s="64">
        <f t="shared" si="0"/>
        <v>27</v>
      </c>
      <c r="B37" s="64" t="s">
        <v>35</v>
      </c>
      <c r="C37" s="81" t="s">
        <v>30</v>
      </c>
      <c r="D37" s="82">
        <f>'Cost Allocation = cent per th.'!D31</f>
        <v>705606.2</v>
      </c>
      <c r="E37" s="82">
        <v>10000</v>
      </c>
      <c r="F37" s="118">
        <f>ROUND(SUM(D37:D42)/'Cost Allocation = cent per th.'!G31/12,0)</f>
        <v>17373</v>
      </c>
      <c r="G37" s="84">
        <f>'Cost Allocation = cent per th.'!F31</f>
        <v>1300</v>
      </c>
      <c r="H37" s="195">
        <f>'Cost Allocation = cent per th.'!E31</f>
        <v>0.68215999999999977</v>
      </c>
      <c r="I37" s="196"/>
      <c r="J37" s="58">
        <v>0</v>
      </c>
      <c r="K37" s="58">
        <f>'Cost Allocation = cent per th.'!K31+H37-J37</f>
        <v>1.1794199999999997</v>
      </c>
      <c r="L37" s="59"/>
      <c r="M37" s="85"/>
      <c r="P37" s="58"/>
    </row>
    <row r="38" spans="1:16" x14ac:dyDescent="0.35">
      <c r="A38" s="64">
        <f t="shared" si="0"/>
        <v>28</v>
      </c>
      <c r="B38" s="64"/>
      <c r="C38" s="81" t="s">
        <v>31</v>
      </c>
      <c r="D38" s="82">
        <f>'Cost Allocation = cent per th.'!D32</f>
        <v>703300.6</v>
      </c>
      <c r="E38" s="82">
        <v>20000</v>
      </c>
      <c r="F38" s="118"/>
      <c r="G38" s="59"/>
      <c r="H38" s="195">
        <f>'Cost Allocation = cent per th.'!E32</f>
        <v>0.65603999999999951</v>
      </c>
      <c r="I38" s="196"/>
      <c r="J38" s="58">
        <v>0</v>
      </c>
      <c r="K38" s="58">
        <f>'Cost Allocation = cent per th.'!K32+H38-J38</f>
        <v>1.1532999999999995</v>
      </c>
      <c r="L38" s="59"/>
      <c r="M38" s="85"/>
      <c r="P38" s="58"/>
    </row>
    <row r="39" spans="1:16" x14ac:dyDescent="0.35">
      <c r="A39" s="64">
        <f t="shared" si="0"/>
        <v>29</v>
      </c>
      <c r="B39" s="64"/>
      <c r="C39" s="81" t="s">
        <v>36</v>
      </c>
      <c r="D39" s="82">
        <f>'Cost Allocation = cent per th.'!D33</f>
        <v>215004.1</v>
      </c>
      <c r="E39" s="82">
        <v>20000</v>
      </c>
      <c r="F39" s="118"/>
      <c r="G39" s="59"/>
      <c r="H39" s="195">
        <f>'Cost Allocation = cent per th.'!E33</f>
        <v>0.60410999999999981</v>
      </c>
      <c r="I39" s="196"/>
      <c r="J39" s="58">
        <v>0</v>
      </c>
      <c r="K39" s="58">
        <f>'Cost Allocation = cent per th.'!K33+H39-J39</f>
        <v>1.1013699999999997</v>
      </c>
      <c r="L39" s="59"/>
      <c r="M39" s="85"/>
      <c r="P39" s="58"/>
    </row>
    <row r="40" spans="1:16" x14ac:dyDescent="0.35">
      <c r="A40" s="64">
        <f t="shared" si="0"/>
        <v>30</v>
      </c>
      <c r="B40" s="64"/>
      <c r="C40" s="81" t="s">
        <v>37</v>
      </c>
      <c r="D40" s="82">
        <f>'Cost Allocation = cent per th.'!D34</f>
        <v>43909.3</v>
      </c>
      <c r="E40" s="82">
        <v>100000</v>
      </c>
      <c r="F40" s="118"/>
      <c r="G40" s="59"/>
      <c r="H40" s="195">
        <f>'Cost Allocation = cent per th.'!E34</f>
        <v>0.5699000000000003</v>
      </c>
      <c r="I40" s="196"/>
      <c r="J40" s="58">
        <v>0</v>
      </c>
      <c r="K40" s="58">
        <f>'Cost Allocation = cent per th.'!K34+H40-J40</f>
        <v>1.0671600000000003</v>
      </c>
      <c r="L40" s="59"/>
      <c r="M40" s="85"/>
      <c r="P40" s="58"/>
    </row>
    <row r="41" spans="1:16" x14ac:dyDescent="0.35">
      <c r="A41" s="64">
        <f t="shared" si="0"/>
        <v>31</v>
      </c>
      <c r="B41" s="64"/>
      <c r="C41" s="81" t="s">
        <v>38</v>
      </c>
      <c r="D41" s="82">
        <f>'Cost Allocation = cent per th.'!D35</f>
        <v>0</v>
      </c>
      <c r="E41" s="82">
        <v>600000</v>
      </c>
      <c r="F41" s="118"/>
      <c r="G41" s="59"/>
      <c r="H41" s="195">
        <f>'Cost Allocation = cent per th.'!E35</f>
        <v>0.52432000000000001</v>
      </c>
      <c r="I41" s="196"/>
      <c r="J41" s="58">
        <v>0</v>
      </c>
      <c r="K41" s="58">
        <f>'Cost Allocation = cent per th.'!K35+H41-J41</f>
        <v>1.0215799999999999</v>
      </c>
      <c r="L41" s="59"/>
      <c r="M41" s="85"/>
      <c r="P41" s="58"/>
    </row>
    <row r="42" spans="1:16" x14ac:dyDescent="0.35">
      <c r="A42" s="64">
        <f t="shared" si="0"/>
        <v>32</v>
      </c>
      <c r="B42" s="64"/>
      <c r="C42" s="81" t="s">
        <v>39</v>
      </c>
      <c r="D42" s="82">
        <f>'Cost Allocation = cent per th.'!D36</f>
        <v>0</v>
      </c>
      <c r="E42" s="83" t="s">
        <v>65</v>
      </c>
      <c r="F42" s="118"/>
      <c r="G42" s="59"/>
      <c r="H42" s="195">
        <f>'Cost Allocation = cent per th.'!E36</f>
        <v>0.46733000000000013</v>
      </c>
      <c r="I42" s="196"/>
      <c r="J42" s="58">
        <v>0</v>
      </c>
      <c r="K42" s="58">
        <f>'Cost Allocation = cent per th.'!K36+H42-J42</f>
        <v>0.96459000000000006</v>
      </c>
      <c r="L42" s="59"/>
      <c r="M42" s="85"/>
      <c r="P42" s="58"/>
    </row>
    <row r="43" spans="1:16" x14ac:dyDescent="0.35">
      <c r="A43" s="64">
        <f t="shared" si="0"/>
        <v>33</v>
      </c>
      <c r="B43" s="80"/>
      <c r="C43" s="86" t="s">
        <v>66</v>
      </c>
      <c r="D43" s="87"/>
      <c r="E43" s="88"/>
      <c r="F43" s="119"/>
      <c r="G43" s="78"/>
      <c r="H43" s="197"/>
      <c r="I43" s="194">
        <f>$G37+ROUND(IF($F37&lt;$E37,($F37*H37),IF($F37&lt;SUM($E37:$E38),(($E37*H37)+(($F37-$E37)*H38)),IF($F37&lt;SUM($E37:$E39),(($E37*H37)+($E38*H38)+(($F37-$E37-$E38)*H39)),IF($F37&lt;SUM($E37:$E40),(($E37*H37)+($E38*H38)+($E39*H39)+(($F37-SUM($E37:$E39))*H40)),IF($F37&lt;SUM($E37:$E41),(($E37*H37)+($E38*H38)+($E39*H39)+($E40*H40)+(($F37-SUM($E37:$E40))*H41)),(($E37*H37)+($E38*H38)+($E39*H39)+($E40*H39)+($E41*H41)+(($F37-SUM($E37:$E41))*H42))))))),2)</f>
        <v>12958.58</v>
      </c>
      <c r="J43" s="89"/>
      <c r="K43" s="89"/>
      <c r="L43" s="78">
        <f>$G37+ROUND(IF($F37&lt;$E37,($F37*K37),IF($F37&lt;SUM($E37:$E38),(($E37*K37)+(($F37-$E37)*K38)),IF($F37&lt;SUM($E37:$E39),(($E37*K37)+($E38*K38)+(($F37-$E37-$E38)*K39)),IF($F37&lt;SUM($E37:$E40),(($E37*K37)+($E38*K38)+($E39*K39)+(($F37-SUM($E37:$E39))*K40)),IF($F37&lt;SUM($E37:$E41),(($E37*K37)+($E38*K38)+($E39*K39)+($E40*K40)+(($F37-SUM($E37:$E40))*K41)),(($E37*K37)+($E38*K38)+($E39*K39)+($E40*K39)+($E41*K41)+(($F37-SUM($E37:$E41))*K42))))))),2)-('Cost Allocation = cent per th.'!K31*'Avg Bill by RS'!F37)</f>
        <v>12958.58202</v>
      </c>
      <c r="M43" s="79">
        <f>(L43-I43)/I43</f>
        <v>1.5588127710769322E-7</v>
      </c>
      <c r="P43" s="58"/>
    </row>
    <row r="44" spans="1:16" x14ac:dyDescent="0.35">
      <c r="A44" s="64">
        <f t="shared" si="0"/>
        <v>34</v>
      </c>
      <c r="B44" s="64" t="s">
        <v>40</v>
      </c>
      <c r="C44" s="81" t="s">
        <v>30</v>
      </c>
      <c r="D44" s="82">
        <f>'Cost Allocation = cent per th.'!D37</f>
        <v>1154015.06508904</v>
      </c>
      <c r="E44" s="82">
        <v>10000</v>
      </c>
      <c r="F44" s="118">
        <f>ROUND(SUM(D44:D49)/'Cost Allocation = cent per th.'!G37/12,0)</f>
        <v>15737</v>
      </c>
      <c r="G44" s="84">
        <f>'Cost Allocation = cent per th.'!F37</f>
        <v>1300</v>
      </c>
      <c r="H44" s="195">
        <f>'Cost Allocation = cent per th.'!E37</f>
        <v>0.60789999999999988</v>
      </c>
      <c r="I44" s="196"/>
      <c r="J44" s="58">
        <v>0</v>
      </c>
      <c r="K44" s="58">
        <f>'Cost Allocation = cent per th.'!K37+H44-J44</f>
        <v>1.1051599999999999</v>
      </c>
      <c r="L44" s="59"/>
      <c r="M44" s="85"/>
      <c r="P44" s="58"/>
    </row>
    <row r="45" spans="1:16" x14ac:dyDescent="0.35">
      <c r="A45" s="64">
        <f t="shared" si="0"/>
        <v>35</v>
      </c>
      <c r="B45" s="64"/>
      <c r="C45" s="81" t="s">
        <v>31</v>
      </c>
      <c r="D45" s="82">
        <f>'Cost Allocation = cent per th.'!D38</f>
        <v>679892.33897401206</v>
      </c>
      <c r="E45" s="82">
        <v>20000</v>
      </c>
      <c r="F45" s="118"/>
      <c r="G45" s="59"/>
      <c r="H45" s="195">
        <f>'Cost Allocation = cent per th.'!E38</f>
        <v>0.58965000000000012</v>
      </c>
      <c r="I45" s="196"/>
      <c r="J45" s="58">
        <v>0</v>
      </c>
      <c r="K45" s="58">
        <f>'Cost Allocation = cent per th.'!K38+H45-J45</f>
        <v>1.08691</v>
      </c>
      <c r="L45" s="59"/>
      <c r="M45" s="85"/>
      <c r="P45" s="58"/>
    </row>
    <row r="46" spans="1:16" x14ac:dyDescent="0.35">
      <c r="A46" s="64">
        <f t="shared" si="0"/>
        <v>36</v>
      </c>
      <c r="B46" s="64"/>
      <c r="C46" s="81" t="s">
        <v>36</v>
      </c>
      <c r="D46" s="82">
        <f>'Cost Allocation = cent per th.'!D39</f>
        <v>50801.713875621004</v>
      </c>
      <c r="E46" s="82">
        <v>20000</v>
      </c>
      <c r="F46" s="118"/>
      <c r="G46" s="59"/>
      <c r="H46" s="195">
        <f>'Cost Allocation = cent per th.'!E39</f>
        <v>0.5533699999999997</v>
      </c>
      <c r="I46" s="196"/>
      <c r="J46" s="58">
        <v>0</v>
      </c>
      <c r="K46" s="58">
        <f>'Cost Allocation = cent per th.'!K39+H46-J46</f>
        <v>1.0506299999999997</v>
      </c>
      <c r="L46" s="59"/>
      <c r="M46" s="85"/>
      <c r="P46" s="58"/>
    </row>
    <row r="47" spans="1:16" x14ac:dyDescent="0.35">
      <c r="A47" s="64">
        <f t="shared" si="0"/>
        <v>37</v>
      </c>
      <c r="B47" s="64"/>
      <c r="C47" s="81" t="s">
        <v>37</v>
      </c>
      <c r="D47" s="82">
        <f>'Cost Allocation = cent per th.'!D40</f>
        <v>3711.8789013314963</v>
      </c>
      <c r="E47" s="82">
        <v>100000</v>
      </c>
      <c r="F47" s="118"/>
      <c r="G47" s="59"/>
      <c r="H47" s="195">
        <f>'Cost Allocation = cent per th.'!E40</f>
        <v>0.52949000000000002</v>
      </c>
      <c r="I47" s="196"/>
      <c r="J47" s="58">
        <v>0</v>
      </c>
      <c r="K47" s="58">
        <f>'Cost Allocation = cent per th.'!K40+H47-J47</f>
        <v>1.0267500000000001</v>
      </c>
      <c r="L47" s="59"/>
      <c r="M47" s="85"/>
      <c r="P47" s="58"/>
    </row>
    <row r="48" spans="1:16" x14ac:dyDescent="0.35">
      <c r="A48" s="64">
        <f t="shared" si="0"/>
        <v>38</v>
      </c>
      <c r="B48" s="64"/>
      <c r="C48" s="81" t="s">
        <v>38</v>
      </c>
      <c r="D48" s="82">
        <f>'Cost Allocation = cent per th.'!D41</f>
        <v>0</v>
      </c>
      <c r="E48" s="82">
        <v>600000</v>
      </c>
      <c r="F48" s="118"/>
      <c r="G48" s="59"/>
      <c r="H48" s="195">
        <f>'Cost Allocation = cent per th.'!E41</f>
        <v>0.49768000000000018</v>
      </c>
      <c r="I48" s="196"/>
      <c r="J48" s="58">
        <v>0</v>
      </c>
      <c r="K48" s="58">
        <f>'Cost Allocation = cent per th.'!K41+H48-J48</f>
        <v>0.99494000000000016</v>
      </c>
      <c r="L48" s="59"/>
      <c r="M48" s="85"/>
      <c r="P48" s="58"/>
    </row>
    <row r="49" spans="1:16" x14ac:dyDescent="0.35">
      <c r="A49" s="64">
        <f t="shared" si="0"/>
        <v>39</v>
      </c>
      <c r="B49" s="64"/>
      <c r="C49" s="81" t="s">
        <v>39</v>
      </c>
      <c r="D49" s="82">
        <f>'Cost Allocation = cent per th.'!D42</f>
        <v>0</v>
      </c>
      <c r="E49" s="83" t="s">
        <v>65</v>
      </c>
      <c r="F49" s="118"/>
      <c r="G49" s="59"/>
      <c r="H49" s="195">
        <f>'Cost Allocation = cent per th.'!E42</f>
        <v>0.45784999999999992</v>
      </c>
      <c r="I49" s="196"/>
      <c r="J49" s="58">
        <v>0</v>
      </c>
      <c r="K49" s="58">
        <f>'Cost Allocation = cent per th.'!K42+H49-J49</f>
        <v>0.9551099999999999</v>
      </c>
      <c r="L49" s="59"/>
      <c r="M49" s="85"/>
      <c r="P49" s="58"/>
    </row>
    <row r="50" spans="1:16" x14ac:dyDescent="0.35">
      <c r="A50" s="64">
        <f t="shared" si="0"/>
        <v>40</v>
      </c>
      <c r="B50" s="80"/>
      <c r="C50" s="86" t="s">
        <v>66</v>
      </c>
      <c r="D50" s="87"/>
      <c r="E50" s="88"/>
      <c r="F50" s="119"/>
      <c r="G50" s="78"/>
      <c r="H50" s="197"/>
      <c r="I50" s="194">
        <f>$G44+ROUND(IF($F44&lt;$E44,($F44*H44),IF($F44&lt;SUM($E44:$E45),(($E44*H44)+(($F44-$E44)*H45)),IF($F44&lt;SUM($E44:$E46),(($E44*H44)+($E45*H45)+(($F44-$E44-$E45)*H46)),IF($F44&lt;SUM($E44:$E47),(($E44*H44)+($E45*H45)+($E46*H46)+(($F44-SUM($E44:$E46))*H47)),IF($F44&lt;SUM($E44:$E48),(($E44*H44)+($E45*H45)+($E46*H46)+($E47*H47)+(($F44-SUM($E44:$E47))*H48)),(($E44*H44)+($E45*H45)+($E46*H46)+($E47*H46)+($E48*H48)+(($F44-SUM($E44:$E48))*H49))))))),2)</f>
        <v>10761.82</v>
      </c>
      <c r="J50" s="89"/>
      <c r="K50" s="89"/>
      <c r="L50" s="78">
        <f>$G44+ROUND(IF($F44&lt;$E44,($F44*K44),IF($F44&lt;SUM($E44:$E45),(($E44*K44)+(($F44-$E44)*K45)),IF($F44&lt;SUM($E44:$E46),(($E44*K44)+($E45*K45)+(($F44-$E44-$E45)*K46)),IF($F44&lt;SUM($E44:$E47),(($E44*K44)+($E45*K45)+($E46*K46)+(($F44-SUM($E44:$E46))*K47)),IF($F44&lt;SUM($E44:$E48),(($E44*K44)+($E45*K45)+($E46*K46)+($E47*K47)+(($F44-SUM($E44:$E47))*K48)),(($E44*K44)+($E45*K45)+($E46*K46)+($E47*K46)+($E48*K48)+(($F44-SUM($E44:$E48))*K49))))))),2)-('Cost Allocation = cent per th.'!K37*'Avg Bill by RS'!F44)</f>
        <v>10761.819380000001</v>
      </c>
      <c r="M50" s="79">
        <f>(L50-I50)/I50</f>
        <v>-5.7611073116758859E-8</v>
      </c>
      <c r="P50" s="58"/>
    </row>
    <row r="51" spans="1:16" x14ac:dyDescent="0.35">
      <c r="A51" s="64">
        <f t="shared" si="0"/>
        <v>41</v>
      </c>
      <c r="B51" s="64" t="s">
        <v>41</v>
      </c>
      <c r="C51" s="81" t="s">
        <v>30</v>
      </c>
      <c r="D51" s="82">
        <f>'Cost Allocation = cent per th.'!D43</f>
        <v>217852.64307951118</v>
      </c>
      <c r="E51" s="82">
        <v>10000</v>
      </c>
      <c r="F51" s="118">
        <f>ROUND(SUM(D51:D56)/'Cost Allocation = cent per th.'!G43/12,0)</f>
        <v>73112</v>
      </c>
      <c r="G51" s="84">
        <f>'Cost Allocation = cent per th.'!F43</f>
        <v>1550</v>
      </c>
      <c r="H51" s="195">
        <f>'Cost Allocation = cent per th.'!E43</f>
        <v>0.15956999999999996</v>
      </c>
      <c r="I51" s="196"/>
      <c r="J51" s="58">
        <v>0</v>
      </c>
      <c r="K51" s="58">
        <f>'Cost Allocation = cent per th.'!K43+H51-J51</f>
        <v>0.65682999999999991</v>
      </c>
      <c r="L51" s="59"/>
      <c r="M51" s="85"/>
      <c r="P51" s="58"/>
    </row>
    <row r="52" spans="1:16" x14ac:dyDescent="0.35">
      <c r="A52" s="64">
        <f t="shared" si="0"/>
        <v>42</v>
      </c>
      <c r="B52" s="64"/>
      <c r="C52" s="81" t="s">
        <v>31</v>
      </c>
      <c r="D52" s="82">
        <f>'Cost Allocation = cent per th.'!D44</f>
        <v>435705.28615902236</v>
      </c>
      <c r="E52" s="82">
        <v>20000</v>
      </c>
      <c r="F52" s="118"/>
      <c r="G52" s="59"/>
      <c r="H52" s="195">
        <f>'Cost Allocation = cent per th.'!E44</f>
        <v>0.14293</v>
      </c>
      <c r="I52" s="196"/>
      <c r="J52" s="58">
        <v>0</v>
      </c>
      <c r="K52" s="58">
        <f>'Cost Allocation = cent per th.'!K44+H52-J52</f>
        <v>0.64019000000000004</v>
      </c>
      <c r="L52" s="59"/>
      <c r="M52" s="85"/>
      <c r="P52" s="58"/>
    </row>
    <row r="53" spans="1:16" x14ac:dyDescent="0.35">
      <c r="A53" s="64">
        <f t="shared" si="0"/>
        <v>43</v>
      </c>
      <c r="B53" s="64"/>
      <c r="C53" s="81" t="s">
        <v>36</v>
      </c>
      <c r="D53" s="82">
        <f>'Cost Allocation = cent per th.'!D45</f>
        <v>435705.28615902236</v>
      </c>
      <c r="E53" s="82">
        <v>20000</v>
      </c>
      <c r="F53" s="118"/>
      <c r="G53" s="59"/>
      <c r="H53" s="195">
        <f>'Cost Allocation = cent per th.'!E45</f>
        <v>0.10979999999999999</v>
      </c>
      <c r="I53" s="196"/>
      <c r="J53" s="58">
        <v>0</v>
      </c>
      <c r="K53" s="58">
        <f>'Cost Allocation = cent per th.'!K45+H53-J53</f>
        <v>0.60705999999999993</v>
      </c>
      <c r="L53" s="59"/>
      <c r="M53" s="85"/>
      <c r="P53" s="58"/>
    </row>
    <row r="54" spans="1:16" x14ac:dyDescent="0.35">
      <c r="A54" s="64">
        <f t="shared" si="0"/>
        <v>44</v>
      </c>
      <c r="B54" s="64"/>
      <c r="C54" s="81" t="s">
        <v>37</v>
      </c>
      <c r="D54" s="82">
        <f>'Cost Allocation = cent per th.'!D46</f>
        <v>665436.34460244386</v>
      </c>
      <c r="E54" s="82">
        <v>100000</v>
      </c>
      <c r="F54" s="118"/>
      <c r="G54" s="59"/>
      <c r="H54" s="195">
        <f>'Cost Allocation = cent per th.'!E46</f>
        <v>8.8010000000000005E-2</v>
      </c>
      <c r="I54" s="196"/>
      <c r="J54" s="58">
        <v>0</v>
      </c>
      <c r="K54" s="58">
        <f>'Cost Allocation = cent per th.'!K46+H54-J54</f>
        <v>0.58526999999999996</v>
      </c>
      <c r="L54" s="59"/>
      <c r="M54" s="85"/>
      <c r="P54" s="58"/>
    </row>
    <row r="55" spans="1:16" x14ac:dyDescent="0.35">
      <c r="A55" s="64">
        <f t="shared" si="0"/>
        <v>45</v>
      </c>
      <c r="B55" s="64"/>
      <c r="C55" s="81" t="s">
        <v>38</v>
      </c>
      <c r="D55" s="82">
        <f>'Cost Allocation = cent per th.'!D47</f>
        <v>0</v>
      </c>
      <c r="E55" s="82">
        <v>600000</v>
      </c>
      <c r="F55" s="118"/>
      <c r="G55" s="59"/>
      <c r="H55" s="195">
        <f>'Cost Allocation = cent per th.'!E47</f>
        <v>5.8950000000000002E-2</v>
      </c>
      <c r="I55" s="196"/>
      <c r="J55" s="58">
        <v>0</v>
      </c>
      <c r="K55" s="58">
        <f>'Cost Allocation = cent per th.'!K47+H55-J55</f>
        <v>0.55620999999999998</v>
      </c>
      <c r="L55" s="59"/>
      <c r="M55" s="85"/>
      <c r="P55" s="58"/>
    </row>
    <row r="56" spans="1:16" x14ac:dyDescent="0.35">
      <c r="A56" s="64">
        <f t="shared" si="0"/>
        <v>46</v>
      </c>
      <c r="B56" s="64"/>
      <c r="C56" s="81" t="s">
        <v>39</v>
      </c>
      <c r="D56" s="82">
        <f>'Cost Allocation = cent per th.'!D48</f>
        <v>0</v>
      </c>
      <c r="E56" s="83" t="s">
        <v>65</v>
      </c>
      <c r="F56" s="118"/>
      <c r="G56" s="59"/>
      <c r="H56" s="195">
        <f>'Cost Allocation = cent per th.'!E48</f>
        <v>2.2620000000000001E-2</v>
      </c>
      <c r="I56" s="196"/>
      <c r="J56" s="58">
        <v>0</v>
      </c>
      <c r="K56" s="58">
        <f>'Cost Allocation = cent per th.'!K48+H56-J56</f>
        <v>0.51988000000000001</v>
      </c>
      <c r="L56" s="59"/>
      <c r="M56" s="85"/>
      <c r="P56" s="58"/>
    </row>
    <row r="57" spans="1:16" x14ac:dyDescent="0.35">
      <c r="A57" s="64">
        <f t="shared" si="0"/>
        <v>47</v>
      </c>
      <c r="B57" s="80"/>
      <c r="C57" s="86" t="s">
        <v>66</v>
      </c>
      <c r="D57" s="87"/>
      <c r="E57" s="88"/>
      <c r="F57" s="119"/>
      <c r="G57" s="78"/>
      <c r="H57" s="197"/>
      <c r="I57" s="194">
        <f>$G51+ROUND(IF($F51&lt;$E51,($F51*H51),IF($F51&lt;SUM($E51:$E52),(($E51*H51)+(($F51-$E51)*H52)),IF($F51&lt;SUM($E51:$E53),(($E51*H51)+($E52*H52)+(($F51-$E51-$E52)*H53)),IF($F51&lt;SUM($E51:$E54),(($E51*H51)+($E52*H52)+($E53*H53)+(($F51-SUM($E51:$E53))*H54)),IF($F51&lt;SUM($E51:$E55),(($E51*H51)+($E52*H52)+($E53*H53)+($E54*H54)+(($F51-SUM($E51:$E54))*H55)),(($E51*H51)+($E52*H52)+($E53*H53)+($E54*H53)+($E55*H55)+(($F51-SUM($E51:$E55))*H56))))))),2)</f>
        <v>10234.39</v>
      </c>
      <c r="J57" s="89"/>
      <c r="K57" s="89"/>
      <c r="L57" s="78">
        <f>$G51+ROUND(IF($F51&lt;$E51,($F51*K51),IF($F51&lt;SUM($E51:$E52),(($E51*K51)+(($F51-$E51)*K52)),IF($F51&lt;SUM($E51:$E53),(($E51*K51)+($E52*K52)+(($F51-$E51-$E52)*K53)),IF($F51&lt;SUM($E51:$E54),(($E51*K51)+($E52*K52)+($E53*K53)+(($F51-SUM($E51:$E53))*K54)),IF($F51&lt;SUM($E51:$E55),(($E51*K51)+($E52*K52)+($E53*K53)+($E54*K54)+(($F51-SUM($E51:$E54))*K55)),(($E51*K51)+($E52*K52)+($E53*K53)+($E54*K53)+($E55*K55)+(($F51-SUM($E51:$E55))*K56))))))),2)-'Revenue Credits'!E43</f>
        <v>36077.317594151442</v>
      </c>
      <c r="M57" s="79">
        <f>(L57-I57)/I57</f>
        <v>2.5251067815621102</v>
      </c>
      <c r="P57" s="58"/>
    </row>
    <row r="58" spans="1:16" x14ac:dyDescent="0.35">
      <c r="A58" s="64">
        <f t="shared" si="0"/>
        <v>48</v>
      </c>
      <c r="B58" s="64" t="s">
        <v>42</v>
      </c>
      <c r="C58" s="81" t="s">
        <v>30</v>
      </c>
      <c r="D58" s="82">
        <f>'Cost Allocation = cent per th.'!D49</f>
        <v>721021.492905778</v>
      </c>
      <c r="E58" s="82">
        <v>10000</v>
      </c>
      <c r="F58" s="118">
        <f>ROUND(SUM(D58:D63)/'Cost Allocation = cent per th.'!G49/12,0)</f>
        <v>61267</v>
      </c>
      <c r="G58" s="84">
        <f>'Cost Allocation = cent per th.'!F49</f>
        <v>1550</v>
      </c>
      <c r="H58" s="195">
        <f>'Cost Allocation = cent per th.'!E49</f>
        <v>0.15682000000000001</v>
      </c>
      <c r="I58" s="196"/>
      <c r="J58" s="58">
        <v>0</v>
      </c>
      <c r="K58" s="58">
        <f>'Cost Allocation = cent per th.'!K49+H58-J58</f>
        <v>0.65407999999999999</v>
      </c>
      <c r="L58" s="59"/>
      <c r="M58" s="85"/>
      <c r="P58" s="58"/>
    </row>
    <row r="59" spans="1:16" x14ac:dyDescent="0.35">
      <c r="A59" s="64">
        <f t="shared" si="0"/>
        <v>49</v>
      </c>
      <c r="B59" s="64"/>
      <c r="C59" s="81" t="s">
        <v>31</v>
      </c>
      <c r="D59" s="82">
        <f>'Cost Allocation = cent per th.'!D50</f>
        <v>823306.20833086991</v>
      </c>
      <c r="E59" s="82">
        <v>20000</v>
      </c>
      <c r="F59" s="118"/>
      <c r="G59" s="59"/>
      <c r="H59" s="195">
        <f>'Cost Allocation = cent per th.'!E50</f>
        <v>0.14045999999999995</v>
      </c>
      <c r="I59" s="196"/>
      <c r="J59" s="58">
        <v>0</v>
      </c>
      <c r="K59" s="58">
        <f>'Cost Allocation = cent per th.'!K50+H59-J59</f>
        <v>0.63771999999999995</v>
      </c>
      <c r="L59" s="59"/>
      <c r="M59" s="85"/>
      <c r="P59" s="58"/>
    </row>
    <row r="60" spans="1:16" x14ac:dyDescent="0.35">
      <c r="A60" s="64">
        <f t="shared" si="0"/>
        <v>50</v>
      </c>
      <c r="B60" s="64"/>
      <c r="C60" s="81" t="s">
        <v>36</v>
      </c>
      <c r="D60" s="82">
        <f>'Cost Allocation = cent per th.'!D51</f>
        <v>697331.01038390503</v>
      </c>
      <c r="E60" s="82">
        <v>20000</v>
      </c>
      <c r="F60" s="118"/>
      <c r="G60" s="59"/>
      <c r="H60" s="195">
        <f>'Cost Allocation = cent per th.'!E51</f>
        <v>0.10789000000000001</v>
      </c>
      <c r="I60" s="196"/>
      <c r="J60" s="58">
        <v>0</v>
      </c>
      <c r="K60" s="58">
        <f>'Cost Allocation = cent per th.'!K51+H60-J60</f>
        <v>0.60514999999999997</v>
      </c>
      <c r="L60" s="59"/>
      <c r="M60" s="85"/>
      <c r="P60" s="58"/>
    </row>
    <row r="61" spans="1:16" x14ac:dyDescent="0.35">
      <c r="A61" s="64">
        <f t="shared" si="0"/>
        <v>51</v>
      </c>
      <c r="B61" s="64"/>
      <c r="C61" s="81" t="s">
        <v>37</v>
      </c>
      <c r="D61" s="82">
        <f>'Cost Allocation = cent per th.'!D52</f>
        <v>2399217.3679780201</v>
      </c>
      <c r="E61" s="82">
        <v>100000</v>
      </c>
      <c r="F61" s="118"/>
      <c r="G61" s="59"/>
      <c r="H61" s="195">
        <f>'Cost Allocation = cent per th.'!E52</f>
        <v>8.6500000000000021E-2</v>
      </c>
      <c r="I61" s="196"/>
      <c r="J61" s="58">
        <v>0</v>
      </c>
      <c r="K61" s="58">
        <f>'Cost Allocation = cent per th.'!K52+H61-J61</f>
        <v>0.58376000000000006</v>
      </c>
      <c r="L61" s="59"/>
      <c r="M61" s="85"/>
      <c r="P61" s="58"/>
    </row>
    <row r="62" spans="1:16" x14ac:dyDescent="0.35">
      <c r="A62" s="64">
        <f t="shared" si="0"/>
        <v>52</v>
      </c>
      <c r="B62" s="64"/>
      <c r="C62" s="81" t="s">
        <v>38</v>
      </c>
      <c r="D62" s="82">
        <f>'Cost Allocation = cent per th.'!D53</f>
        <v>1240722.9904014217</v>
      </c>
      <c r="E62" s="82">
        <v>600000</v>
      </c>
      <c r="F62" s="118"/>
      <c r="G62" s="59"/>
      <c r="H62" s="195">
        <f>'Cost Allocation = cent per th.'!E53</f>
        <v>5.7930000000000002E-2</v>
      </c>
      <c r="I62" s="196"/>
      <c r="J62" s="58">
        <v>0</v>
      </c>
      <c r="K62" s="58">
        <f>'Cost Allocation = cent per th.'!K53+H62-J62</f>
        <v>0.55518999999999996</v>
      </c>
      <c r="L62" s="59"/>
      <c r="M62" s="85"/>
      <c r="P62" s="58"/>
    </row>
    <row r="63" spans="1:16" x14ac:dyDescent="0.35">
      <c r="A63" s="64">
        <f t="shared" si="0"/>
        <v>53</v>
      </c>
      <c r="B63" s="64"/>
      <c r="C63" s="81" t="s">
        <v>39</v>
      </c>
      <c r="D63" s="82">
        <f>'Cost Allocation = cent per th.'!D54</f>
        <v>0</v>
      </c>
      <c r="E63" s="83" t="s">
        <v>65</v>
      </c>
      <c r="F63" s="118"/>
      <c r="G63" s="59"/>
      <c r="H63" s="195">
        <f>'Cost Allocation = cent per th.'!E54</f>
        <v>2.2240000000000003E-2</v>
      </c>
      <c r="I63" s="196"/>
      <c r="J63" s="58">
        <v>0</v>
      </c>
      <c r="K63" s="58">
        <f>'Cost Allocation = cent per th.'!K54+H63-J63</f>
        <v>0.51949999999999996</v>
      </c>
      <c r="L63" s="59"/>
      <c r="M63" s="85"/>
      <c r="P63" s="58"/>
    </row>
    <row r="64" spans="1:16" x14ac:dyDescent="0.35">
      <c r="A64" s="64">
        <f t="shared" si="0"/>
        <v>54</v>
      </c>
      <c r="B64" s="80"/>
      <c r="C64" s="86" t="s">
        <v>66</v>
      </c>
      <c r="D64" s="87"/>
      <c r="E64" s="88"/>
      <c r="F64" s="119"/>
      <c r="G64" s="78"/>
      <c r="H64" s="197"/>
      <c r="I64" s="194">
        <f>$G58+ROUND(IF($F58&lt;$E58,($F58*H58),IF($F58&lt;SUM($E58:$E59),(($E58*H58)+(($F58-$E58)*H59)),IF($F58&lt;SUM($E58:$E60),(($E58*H58)+($E59*H59)+(($F58-$E58-$E59)*H60)),IF($F58&lt;SUM($E58:$E61),(($E58*H58)+($E59*H59)+($E60*H60)+(($F58-SUM($E58:$E60))*H61)),IF($F58&lt;SUM($E58:$E62),(($E58*H58)+($E59*H59)+($E60*H60)+($E61*H61)+(($F58-SUM($E58:$E61))*H62)),(($E58*H58)+($E59*H59)+($E60*H60)+($E61*H60)+($E62*H62)+(($F58-SUM($E58:$E62))*H63))))))),2)</f>
        <v>9059.7999999999993</v>
      </c>
      <c r="J64" s="89"/>
      <c r="K64" s="89"/>
      <c r="L64" s="78">
        <f>$G58+ROUND(IF($F58&lt;$E58,($F58*K58),IF($F58&lt;SUM($E58:$E59),(($E58*K58)+(($F58-$E58)*K59)),IF($F58&lt;SUM($E58:$E60),(($E58*K58)+($E59*K59)+(($F58-$E58-$E59)*K60)),IF($F58&lt;SUM($E58:$E61),(($E58*K58)+($E59*K59)+($E60*K60)+(($F58-SUM($E58:$E60))*K61)),IF($F58&lt;SUM($E58:$E62),(($E58*K58)+($E59*K59)+($E60*K60)+($E61*K61)+(($F58-SUM($E58:$E61))*K62)),(($E58*K58)+($E59*K59)+($E60*K60)+($E61*K60)+($E62*K62)+(($F58-SUM($E58:$E62))*K63))))))),2)-'Revenue Credits'!E44</f>
        <v>25672.648304750539</v>
      </c>
      <c r="M64" s="79">
        <f>(L64-I64)/I64</f>
        <v>1.8336881945242214</v>
      </c>
      <c r="P64" s="58"/>
    </row>
    <row r="65" spans="1:16" x14ac:dyDescent="0.35">
      <c r="A65" s="64">
        <f t="shared" si="0"/>
        <v>55</v>
      </c>
      <c r="B65" s="64" t="s">
        <v>43</v>
      </c>
      <c r="C65" s="81" t="s">
        <v>30</v>
      </c>
      <c r="D65" s="82">
        <f>'Cost Allocation = cent per th.'!D55</f>
        <v>226370.10649530875</v>
      </c>
      <c r="E65" s="82">
        <v>10000</v>
      </c>
      <c r="F65" s="118">
        <f>ROUND(SUM(D65:D70)/'Cost Allocation = cent per th.'!G55/12,0)</f>
        <v>39081</v>
      </c>
      <c r="G65" s="84">
        <f>'Cost Allocation = cent per th.'!F55</f>
        <v>1300</v>
      </c>
      <c r="H65" s="195">
        <f>'Cost Allocation = cent per th.'!E55</f>
        <v>0.63624000000000014</v>
      </c>
      <c r="I65" s="196"/>
      <c r="J65" s="58">
        <v>0</v>
      </c>
      <c r="K65" s="58">
        <f>'Cost Allocation = cent per th.'!K55+H65-J65</f>
        <v>1.1335000000000002</v>
      </c>
      <c r="L65" s="59"/>
      <c r="M65" s="85"/>
      <c r="P65" s="58"/>
    </row>
    <row r="66" spans="1:16" x14ac:dyDescent="0.35">
      <c r="A66" s="64">
        <f t="shared" si="0"/>
        <v>56</v>
      </c>
      <c r="B66" s="64"/>
      <c r="C66" s="81" t="s">
        <v>31</v>
      </c>
      <c r="D66" s="82">
        <f>'Cost Allocation = cent per th.'!D56</f>
        <v>424562.79398461391</v>
      </c>
      <c r="E66" s="82">
        <v>20000</v>
      </c>
      <c r="F66" s="120"/>
      <c r="G66" s="90"/>
      <c r="H66" s="195">
        <f>'Cost Allocation = cent per th.'!E56</f>
        <v>0.61532999999999982</v>
      </c>
      <c r="I66" s="196"/>
      <c r="J66" s="58">
        <v>0</v>
      </c>
      <c r="K66" s="58">
        <f>'Cost Allocation = cent per th.'!K56+H66-J66</f>
        <v>1.1125899999999997</v>
      </c>
      <c r="L66" s="59"/>
      <c r="M66" s="85"/>
      <c r="P66" s="58"/>
    </row>
    <row r="67" spans="1:16" x14ac:dyDescent="0.35">
      <c r="A67" s="64">
        <f t="shared" si="0"/>
        <v>57</v>
      </c>
      <c r="B67" s="64"/>
      <c r="C67" s="81" t="s">
        <v>36</v>
      </c>
      <c r="D67" s="82">
        <f>'Cost Allocation = cent per th.'!D57</f>
        <v>193568.13485536145</v>
      </c>
      <c r="E67" s="82">
        <v>20000</v>
      </c>
      <c r="F67" s="120"/>
      <c r="G67" s="90"/>
      <c r="H67" s="195">
        <f>'Cost Allocation = cent per th.'!E57</f>
        <v>0.57366000000000006</v>
      </c>
      <c r="I67" s="196"/>
      <c r="J67" s="58">
        <v>0</v>
      </c>
      <c r="K67" s="58">
        <f>'Cost Allocation = cent per th.'!K57+H67-J67</f>
        <v>1.0709200000000001</v>
      </c>
      <c r="L67" s="59"/>
      <c r="M67" s="85"/>
      <c r="P67" s="58"/>
    </row>
    <row r="68" spans="1:16" x14ac:dyDescent="0.35">
      <c r="A68" s="64">
        <f t="shared" si="0"/>
        <v>58</v>
      </c>
      <c r="B68" s="64"/>
      <c r="C68" s="81" t="s">
        <v>37</v>
      </c>
      <c r="D68" s="82">
        <f>'Cost Allocation = cent per th.'!D58</f>
        <v>93435.20466471574</v>
      </c>
      <c r="E68" s="82">
        <v>100000</v>
      </c>
      <c r="F68" s="120"/>
      <c r="G68" s="90"/>
      <c r="H68" s="195">
        <f>'Cost Allocation = cent per th.'!E58</f>
        <v>0.5462499999999999</v>
      </c>
      <c r="I68" s="196"/>
      <c r="J68" s="58">
        <v>0</v>
      </c>
      <c r="K68" s="58">
        <f>'Cost Allocation = cent per th.'!K58+H68-J68</f>
        <v>1.0435099999999999</v>
      </c>
      <c r="L68" s="59"/>
      <c r="M68" s="85"/>
      <c r="P68" s="58"/>
    </row>
    <row r="69" spans="1:16" x14ac:dyDescent="0.35">
      <c r="A69" s="64">
        <f t="shared" si="0"/>
        <v>59</v>
      </c>
      <c r="B69" s="64"/>
      <c r="C69" s="81" t="s">
        <v>38</v>
      </c>
      <c r="D69" s="82">
        <f>'Cost Allocation = cent per th.'!D59</f>
        <v>0</v>
      </c>
      <c r="E69" s="82">
        <v>600000</v>
      </c>
      <c r="F69" s="120"/>
      <c r="G69" s="90"/>
      <c r="H69" s="195">
        <f>'Cost Allocation = cent per th.'!E59</f>
        <v>0.50975999999999999</v>
      </c>
      <c r="I69" s="196"/>
      <c r="J69" s="58">
        <v>0</v>
      </c>
      <c r="K69" s="58">
        <f>'Cost Allocation = cent per th.'!K59+H69-J69</f>
        <v>1.00702</v>
      </c>
      <c r="L69" s="59"/>
      <c r="M69" s="85"/>
      <c r="P69" s="58"/>
    </row>
    <row r="70" spans="1:16" x14ac:dyDescent="0.35">
      <c r="A70" s="64">
        <f t="shared" si="0"/>
        <v>60</v>
      </c>
      <c r="B70" s="64"/>
      <c r="C70" s="81" t="s">
        <v>39</v>
      </c>
      <c r="D70" s="82">
        <f>'Cost Allocation = cent per th.'!D60</f>
        <v>0</v>
      </c>
      <c r="E70" s="83" t="s">
        <v>65</v>
      </c>
      <c r="F70" s="120"/>
      <c r="G70" s="90"/>
      <c r="H70" s="195">
        <f>'Cost Allocation = cent per th.'!E60</f>
        <v>0.46411999999999992</v>
      </c>
      <c r="I70" s="196"/>
      <c r="J70" s="58">
        <v>0</v>
      </c>
      <c r="K70" s="58">
        <f>'Cost Allocation = cent per th.'!K60+H70-J70</f>
        <v>0.9613799999999999</v>
      </c>
      <c r="L70" s="59"/>
      <c r="M70" s="85"/>
      <c r="P70" s="58"/>
    </row>
    <row r="71" spans="1:16" x14ac:dyDescent="0.35">
      <c r="A71" s="64">
        <f t="shared" si="0"/>
        <v>61</v>
      </c>
      <c r="B71" s="80"/>
      <c r="C71" s="86" t="s">
        <v>66</v>
      </c>
      <c r="D71" s="87"/>
      <c r="E71" s="88"/>
      <c r="F71" s="119"/>
      <c r="G71" s="78"/>
      <c r="H71" s="197"/>
      <c r="I71" s="194">
        <f>$G65+ROUND(IF($F65&lt;$E65,($F65*H65),IF($F65&lt;SUM($E65:$E66),(($E65*H65)+(($F65-$E65)*H66)),IF($F65&lt;SUM($E65:$E67),(($E65*H65)+($E66*H66)+(($F65-$E65-$E66)*H67)),IF($F65&lt;SUM($E65:$E68),(($E65*H65)+($E66*H66)+($E67*H67)+(($F65-SUM($E65:$E67))*H68)),IF($F65&lt;SUM($E65:$E69),(($E65*H65)+($E66*H66)+($E67*H67)+($E68*H68)+(($F65-SUM($E65:$E68))*H69)),(($E65*H65)+($E66*H66)+($E67*H67)+($E68*H67)+($E69*H69)+(($F65-SUM($E65:$E69))*H70))))))),2)</f>
        <v>25178.41</v>
      </c>
      <c r="J71" s="89"/>
      <c r="K71" s="89"/>
      <c r="L71" s="78">
        <f>$G65+ROUND(IF($F65&lt;$E65,($F65*K65),IF($F65&lt;SUM($E65:$E66),(($E65*K65)+(($F65-$E65)*K66)),IF($F65&lt;SUM($E65:$E67),(($E65*K65)+($E66*K66)+(($F65-$E65-$E66)*K67)),IF($F65&lt;SUM($E65:$E68),(($E65*K65)+($E66*K66)+($E67*K67)+(($F65-SUM($E65:$E67))*K68)),IF($F65&lt;SUM($E65:$E69),(($E65*K65)+($E66*K66)+($E67*K67)+($E68*K68)+(($F65-SUM($E65:$E68))*K69)),(($E65*K65)+($E66*K66)+($E67*K67)+($E68*K67)+($E69*K69)+(($F65-SUM($E65:$E69))*K70))))))),2)-'Revenue Credits'!E43</f>
        <v>34099.077594151444</v>
      </c>
      <c r="M71" s="79">
        <f>(L71-I71)/I71</f>
        <v>0.35429828945320391</v>
      </c>
      <c r="P71" s="58"/>
    </row>
    <row r="72" spans="1:16" x14ac:dyDescent="0.35">
      <c r="A72" s="64">
        <f t="shared" si="0"/>
        <v>62</v>
      </c>
      <c r="B72" s="64" t="s">
        <v>44</v>
      </c>
      <c r="C72" s="81" t="s">
        <v>30</v>
      </c>
      <c r="D72" s="82">
        <f>'Cost Allocation = cent per th.'!D61</f>
        <v>128853.19376431129</v>
      </c>
      <c r="E72" s="82">
        <v>10000</v>
      </c>
      <c r="F72" s="118">
        <f>ROUND(SUM(D72:D77)/'Cost Allocation = cent per th.'!G61/12,0)</f>
        <v>18328</v>
      </c>
      <c r="G72" s="84">
        <f>'Cost Allocation = cent per th.'!F61</f>
        <v>1300</v>
      </c>
      <c r="H72" s="195">
        <f>'Cost Allocation = cent per th.'!E61</f>
        <v>0.60858999999999996</v>
      </c>
      <c r="I72" s="196"/>
      <c r="J72" s="58">
        <v>0</v>
      </c>
      <c r="K72" s="58">
        <f>'Cost Allocation = cent per th.'!K61+H72-J72</f>
        <v>1.10585</v>
      </c>
      <c r="L72" s="59"/>
      <c r="M72" s="85"/>
      <c r="P72" s="58"/>
    </row>
    <row r="73" spans="1:16" x14ac:dyDescent="0.35">
      <c r="A73" s="64">
        <f t="shared" si="0"/>
        <v>63</v>
      </c>
      <c r="B73" s="64"/>
      <c r="C73" s="81" t="s">
        <v>31</v>
      </c>
      <c r="D73" s="82">
        <f>'Cost Allocation = cent per th.'!D62</f>
        <v>91078.806235688724</v>
      </c>
      <c r="E73" s="82">
        <v>20000</v>
      </c>
      <c r="F73" s="118"/>
      <c r="G73" s="59"/>
      <c r="H73" s="195">
        <f>'Cost Allocation = cent per th.'!E62</f>
        <v>0.5906499999999999</v>
      </c>
      <c r="I73" s="196"/>
      <c r="J73" s="58">
        <v>0</v>
      </c>
      <c r="K73" s="58">
        <f>'Cost Allocation = cent per th.'!K62+H73-J73</f>
        <v>1.0879099999999999</v>
      </c>
      <c r="L73" s="59"/>
      <c r="M73" s="85"/>
      <c r="P73" s="58"/>
    </row>
    <row r="74" spans="1:16" x14ac:dyDescent="0.35">
      <c r="A74" s="64">
        <f t="shared" si="0"/>
        <v>64</v>
      </c>
      <c r="B74" s="64"/>
      <c r="C74" s="81" t="s">
        <v>36</v>
      </c>
      <c r="D74" s="82">
        <f>'Cost Allocation = cent per th.'!D63</f>
        <v>0</v>
      </c>
      <c r="E74" s="82">
        <v>20000</v>
      </c>
      <c r="F74" s="118"/>
      <c r="G74" s="59"/>
      <c r="H74" s="195">
        <f>'Cost Allocation = cent per th.'!E63</f>
        <v>0.55497000000000007</v>
      </c>
      <c r="I74" s="196"/>
      <c r="J74" s="58">
        <v>0</v>
      </c>
      <c r="K74" s="58">
        <f>'Cost Allocation = cent per th.'!K63+H74-J74</f>
        <v>1.05223</v>
      </c>
      <c r="L74" s="59"/>
      <c r="M74" s="85"/>
      <c r="P74" s="58"/>
    </row>
    <row r="75" spans="1:16" x14ac:dyDescent="0.35">
      <c r="A75" s="64">
        <f t="shared" ref="A75:A102" si="3">+A74+1</f>
        <v>65</v>
      </c>
      <c r="B75" s="64"/>
      <c r="C75" s="81" t="s">
        <v>37</v>
      </c>
      <c r="D75" s="82">
        <f>'Cost Allocation = cent per th.'!D64</f>
        <v>0</v>
      </c>
      <c r="E75" s="82">
        <v>100000</v>
      </c>
      <c r="F75" s="118"/>
      <c r="G75" s="59"/>
      <c r="H75" s="195">
        <f>'Cost Allocation = cent per th.'!E64</f>
        <v>0.53149999999999964</v>
      </c>
      <c r="I75" s="196"/>
      <c r="J75" s="58">
        <v>0</v>
      </c>
      <c r="K75" s="58">
        <f>'Cost Allocation = cent per th.'!K64+H75-J75</f>
        <v>1.0287599999999997</v>
      </c>
      <c r="L75" s="59"/>
      <c r="M75" s="85"/>
      <c r="P75" s="58"/>
    </row>
    <row r="76" spans="1:16" x14ac:dyDescent="0.35">
      <c r="A76" s="64">
        <f t="shared" si="3"/>
        <v>66</v>
      </c>
      <c r="B76" s="64"/>
      <c r="C76" s="81" t="s">
        <v>38</v>
      </c>
      <c r="D76" s="82">
        <f>'Cost Allocation = cent per th.'!D65</f>
        <v>0</v>
      </c>
      <c r="E76" s="82">
        <v>600000</v>
      </c>
      <c r="F76" s="118"/>
      <c r="G76" s="59"/>
      <c r="H76" s="195">
        <f>'Cost Allocation = cent per th.'!E65</f>
        <v>0.50017</v>
      </c>
      <c r="I76" s="196"/>
      <c r="J76" s="58">
        <v>0</v>
      </c>
      <c r="K76" s="58">
        <f>'Cost Allocation = cent per th.'!K65+H76-J76</f>
        <v>0.99743000000000004</v>
      </c>
      <c r="L76" s="59"/>
      <c r="M76" s="85"/>
      <c r="P76" s="58"/>
    </row>
    <row r="77" spans="1:16" x14ac:dyDescent="0.35">
      <c r="A77" s="64">
        <f t="shared" si="3"/>
        <v>67</v>
      </c>
      <c r="B77" s="64"/>
      <c r="C77" s="81" t="s">
        <v>39</v>
      </c>
      <c r="D77" s="82">
        <f>'Cost Allocation = cent per th.'!D66</f>
        <v>0</v>
      </c>
      <c r="E77" s="83" t="s">
        <v>65</v>
      </c>
      <c r="F77" s="118"/>
      <c r="G77" s="59"/>
      <c r="H77" s="195">
        <f>'Cost Allocation = cent per th.'!E66</f>
        <v>0.46105999999999991</v>
      </c>
      <c r="I77" s="196"/>
      <c r="J77" s="58">
        <v>0</v>
      </c>
      <c r="K77" s="58">
        <f>'Cost Allocation = cent per th.'!K66+H77-J77</f>
        <v>0.95831999999999984</v>
      </c>
      <c r="L77" s="59"/>
      <c r="M77" s="85"/>
      <c r="P77" s="58"/>
    </row>
    <row r="78" spans="1:16" x14ac:dyDescent="0.35">
      <c r="A78" s="64">
        <f t="shared" si="3"/>
        <v>68</v>
      </c>
      <c r="B78" s="80"/>
      <c r="C78" s="86" t="s">
        <v>66</v>
      </c>
      <c r="D78" s="87"/>
      <c r="E78" s="88"/>
      <c r="F78" s="119"/>
      <c r="G78" s="78"/>
      <c r="H78" s="197"/>
      <c r="I78" s="194">
        <f>$G72+ROUND(IF($F72&lt;$E72,($F72*H72),IF($F72&lt;SUM($E72:$E73),(($E72*H72)+(($F72-$E72)*H73)),IF($F72&lt;SUM($E72:$E74),(($E72*H72)+($E73*H73)+(($F72-$E72-$E73)*H74)),IF($F72&lt;SUM($E72:$E75),(($E72*H72)+($E73*H73)+($E74*H74)+(($F72-SUM($E72:$E74))*H75)),IF($F72&lt;SUM($E72:$E76),(($E72*H72)+($E73*H73)+($E74*H74)+($E75*H75)+(($F72-SUM($E72:$E75))*H76)),(($E72*H72)+($E73*H73)+($E74*H74)+($E75*H74)+($E76*H76)+(($F72-SUM($E72:$E76))*H77))))))),2)</f>
        <v>12304.83</v>
      </c>
      <c r="J78" s="89"/>
      <c r="K78" s="89"/>
      <c r="L78" s="78">
        <f>$G72+ROUND(IF($F72&lt;$E72,($F72*K72),IF($F72&lt;SUM($E72:$E73),(($E72*K72)+(($F72-$E72)*K73)),IF($F72&lt;SUM($E72:$E74),(($E72*K72)+($E73*K73)+(($F72-$E72-$E73)*K74)),IF($F72&lt;SUM($E72:$E75),(($E72*K72)+($E73*K73)+($E74*K74)+(($F72-SUM($E72:$E74))*K75)),IF($F72&lt;SUM($E72:$E76),(($E72*K72)+($E73*K73)+($E74*K74)+($E75*K75)+(($F72-SUM($E72:$E75))*K76)),(($E72*K72)+($E73*K73)+($E74*K74)+($E75*K74)+($E76*K76)+(($F72-SUM($E72:$E76))*K77))))))),2)-('Cost Allocation = cent per th.'!K61*'Avg Bill by RS'!F72)</f>
        <v>12304.828720000001</v>
      </c>
      <c r="M78" s="79">
        <f>(L78-I78)/I78</f>
        <v>-1.0402419201137278E-7</v>
      </c>
      <c r="P78" s="58"/>
    </row>
    <row r="79" spans="1:16" x14ac:dyDescent="0.35">
      <c r="A79" s="64">
        <f t="shared" si="3"/>
        <v>69</v>
      </c>
      <c r="B79" s="64" t="s">
        <v>97</v>
      </c>
      <c r="C79" s="81" t="s">
        <v>30</v>
      </c>
      <c r="D79" s="82">
        <f>'Cost Allocation = cent per th.'!D67</f>
        <v>0</v>
      </c>
      <c r="E79" s="82">
        <v>10000</v>
      </c>
      <c r="F79" s="118">
        <v>0</v>
      </c>
      <c r="G79" s="84">
        <f>'Cost Allocation = cent per th.'!F67</f>
        <v>1550</v>
      </c>
      <c r="H79" s="195">
        <f>'Cost Allocation = cent per th.'!E67</f>
        <v>0.14629999999999999</v>
      </c>
      <c r="I79" s="196"/>
      <c r="J79" s="58">
        <v>0</v>
      </c>
      <c r="K79" s="58">
        <f>'Cost Allocation = cent per th.'!K67+H79-J79</f>
        <v>0.64355999999999991</v>
      </c>
      <c r="L79" s="59"/>
      <c r="M79" s="85"/>
      <c r="P79" s="58"/>
    </row>
    <row r="80" spans="1:16" x14ac:dyDescent="0.35">
      <c r="A80" s="64">
        <f t="shared" si="3"/>
        <v>70</v>
      </c>
      <c r="B80" s="64"/>
      <c r="C80" s="81" t="s">
        <v>31</v>
      </c>
      <c r="D80" s="82">
        <f>'Cost Allocation = cent per th.'!D68</f>
        <v>0</v>
      </c>
      <c r="E80" s="82">
        <v>20000</v>
      </c>
      <c r="F80" s="118"/>
      <c r="G80" s="59"/>
      <c r="H80" s="195">
        <f>'Cost Allocation = cent per th.'!E68</f>
        <v>0.13105999999999998</v>
      </c>
      <c r="I80" s="196"/>
      <c r="J80" s="58">
        <v>0</v>
      </c>
      <c r="K80" s="58">
        <f>'Cost Allocation = cent per th.'!K68+H80-J80</f>
        <v>0.62831999999999999</v>
      </c>
      <c r="L80" s="59"/>
      <c r="M80" s="85"/>
      <c r="P80" s="58"/>
    </row>
    <row r="81" spans="1:16" x14ac:dyDescent="0.35">
      <c r="A81" s="64">
        <f t="shared" si="3"/>
        <v>71</v>
      </c>
      <c r="B81" s="64"/>
      <c r="C81" s="81" t="s">
        <v>36</v>
      </c>
      <c r="D81" s="82">
        <f>'Cost Allocation = cent per th.'!D69</f>
        <v>0</v>
      </c>
      <c r="E81" s="82">
        <v>20000</v>
      </c>
      <c r="F81" s="118"/>
      <c r="G81" s="59"/>
      <c r="H81" s="195">
        <f>'Cost Allocation = cent per th.'!E69</f>
        <v>0.1007</v>
      </c>
      <c r="I81" s="196"/>
      <c r="J81" s="58">
        <v>0</v>
      </c>
      <c r="K81" s="58">
        <f>'Cost Allocation = cent per th.'!K69+H81-J81</f>
        <v>0.59795999999999994</v>
      </c>
      <c r="L81" s="59"/>
      <c r="M81" s="85"/>
      <c r="P81" s="58"/>
    </row>
    <row r="82" spans="1:16" x14ac:dyDescent="0.35">
      <c r="A82" s="64">
        <f t="shared" si="3"/>
        <v>72</v>
      </c>
      <c r="B82" s="64"/>
      <c r="C82" s="81" t="s">
        <v>37</v>
      </c>
      <c r="D82" s="82">
        <f>'Cost Allocation = cent per th.'!D70</f>
        <v>0</v>
      </c>
      <c r="E82" s="82">
        <v>100000</v>
      </c>
      <c r="F82" s="118"/>
      <c r="G82" s="59"/>
      <c r="H82" s="195">
        <f>'Cost Allocation = cent per th.'!E70</f>
        <v>8.072E-2</v>
      </c>
      <c r="I82" s="196"/>
      <c r="J82" s="58">
        <v>0</v>
      </c>
      <c r="K82" s="58">
        <f>'Cost Allocation = cent per th.'!K70+H82-J82</f>
        <v>0.57797999999999994</v>
      </c>
      <c r="L82" s="59"/>
      <c r="M82" s="85"/>
      <c r="P82" s="58"/>
    </row>
    <row r="83" spans="1:16" x14ac:dyDescent="0.35">
      <c r="A83" s="64">
        <f t="shared" si="3"/>
        <v>73</v>
      </c>
      <c r="B83" s="64"/>
      <c r="C83" s="81" t="s">
        <v>38</v>
      </c>
      <c r="D83" s="82">
        <f>'Cost Allocation = cent per th.'!D71</f>
        <v>0</v>
      </c>
      <c r="E83" s="82">
        <v>600000</v>
      </c>
      <c r="F83" s="118"/>
      <c r="G83" s="59"/>
      <c r="H83" s="195">
        <f>'Cost Allocation = cent per th.'!E71</f>
        <v>5.4099999999999995E-2</v>
      </c>
      <c r="I83" s="196"/>
      <c r="J83" s="58">
        <v>0</v>
      </c>
      <c r="K83" s="58">
        <f>'Cost Allocation = cent per th.'!K71+H83-J83</f>
        <v>0.55135999999999996</v>
      </c>
      <c r="L83" s="59"/>
      <c r="M83" s="85"/>
      <c r="P83" s="58"/>
    </row>
    <row r="84" spans="1:16" x14ac:dyDescent="0.35">
      <c r="A84" s="64">
        <f t="shared" si="3"/>
        <v>74</v>
      </c>
      <c r="B84" s="64"/>
      <c r="C84" s="81" t="s">
        <v>39</v>
      </c>
      <c r="D84" s="82">
        <f>'Cost Allocation = cent per th.'!D72</f>
        <v>0</v>
      </c>
      <c r="E84" s="83" t="s">
        <v>65</v>
      </c>
      <c r="F84" s="118"/>
      <c r="G84" s="59"/>
      <c r="H84" s="195">
        <f>'Cost Allocation = cent per th.'!E72</f>
        <v>2.0789999999999999E-2</v>
      </c>
      <c r="I84" s="196"/>
      <c r="J84" s="58">
        <v>0</v>
      </c>
      <c r="K84" s="58">
        <f>'Cost Allocation = cent per th.'!K72+H84-J84</f>
        <v>0.51805000000000001</v>
      </c>
      <c r="L84" s="59"/>
      <c r="M84" s="85"/>
      <c r="P84" s="58"/>
    </row>
    <row r="85" spans="1:16" x14ac:dyDescent="0.35">
      <c r="A85" s="64">
        <f t="shared" si="3"/>
        <v>75</v>
      </c>
      <c r="B85" s="80"/>
      <c r="C85" s="86" t="s">
        <v>66</v>
      </c>
      <c r="D85" s="87"/>
      <c r="E85" s="88"/>
      <c r="F85" s="119"/>
      <c r="G85" s="78"/>
      <c r="H85" s="197"/>
      <c r="I85" s="194">
        <f>$G79+ROUND(IF($F79&lt;$E79,($F79*H79),IF($F79&lt;SUM($E79:$E80),(($E79*H79)+(($F79-$E79)*H80)),IF($F79&lt;SUM($E79:$E81),(($E79*H79)+($E80*H80)+(($F79-$E79-$E80)*H81)),IF($F79&lt;SUM($E79:$E82),(($E79*H79)+($E80*H80)+($E81*H81)+(($F79-SUM($E79:$E81))*H82)),IF($F79&lt;SUM($E79:$E83),(($E79*H79)+($E80*H80)+($E81*H81)+($E82*H82)+(($F79-SUM($E79:$E82))*H83)),(($E79*H79)+($E80*H80)+($E81*H81)+($E82*H81)+($E83*H83)+(($F79-SUM($E79:$E83))*H84))))))),2)</f>
        <v>1550</v>
      </c>
      <c r="J85" s="89"/>
      <c r="K85" s="89"/>
      <c r="L85" s="78">
        <f>$G79+ROUND(IF($F79&lt;$E79,($F79*K79),IF($F79&lt;SUM($E79:$E80),(($E79*K79)+(($F79-$E79)*K80)),IF($F79&lt;SUM($E79:$E81),(($E79*K79)+($E80*K80)+(($F79-$E79-$E80)*K81)),IF($F79&lt;SUM($E79:$E82),(($E79*K79)+($E80*K80)+($E81*K81)+(($F79-SUM($E79:$E81))*K82)),IF($F79&lt;SUM($E79:$E83),(($E79*K79)+($E80*K80)+($E81*K81)+($E82*K82)+(($F79-SUM($E79:$E82))*K83)),(($E79*K79)+($E80*K80)+($E81*K81)+($E82*K81)+($E83*K83)+(($F79-SUM($E79:$E83))*K84))))))),2)-'Revenue Credits'!E23</f>
        <v>1550</v>
      </c>
      <c r="M85" s="79">
        <f>(L85-I85)/I85</f>
        <v>0</v>
      </c>
      <c r="P85" s="58"/>
    </row>
    <row r="86" spans="1:16" x14ac:dyDescent="0.35">
      <c r="A86" s="64">
        <f t="shared" si="3"/>
        <v>76</v>
      </c>
      <c r="B86" s="64" t="s">
        <v>98</v>
      </c>
      <c r="C86" s="81" t="s">
        <v>30</v>
      </c>
      <c r="D86" s="82">
        <f>'Cost Allocation = cent per th.'!D73</f>
        <v>830412.691773167</v>
      </c>
      <c r="E86" s="82">
        <v>10000</v>
      </c>
      <c r="F86" s="118">
        <f>ROUND(SUM(D86:D91)/'Cost Allocation = cent per th.'!G73/12,0)</f>
        <v>48156</v>
      </c>
      <c r="G86" s="84">
        <f>'Cost Allocation = cent per th.'!F73</f>
        <v>1550</v>
      </c>
      <c r="H86" s="195">
        <f>'Cost Allocation = cent per th.'!E73</f>
        <v>0.14936999999999998</v>
      </c>
      <c r="I86" s="196"/>
      <c r="J86" s="58">
        <v>0</v>
      </c>
      <c r="K86" s="58">
        <f>'Cost Allocation = cent per th.'!K73+H86-J86</f>
        <v>0.64662999999999993</v>
      </c>
      <c r="L86" s="59"/>
      <c r="M86" s="85"/>
      <c r="P86" s="58"/>
    </row>
    <row r="87" spans="1:16" x14ac:dyDescent="0.35">
      <c r="A87" s="64">
        <f t="shared" si="3"/>
        <v>77</v>
      </c>
      <c r="B87" s="64"/>
      <c r="C87" s="81" t="s">
        <v>31</v>
      </c>
      <c r="D87" s="82">
        <f>'Cost Allocation = cent per th.'!D74</f>
        <v>1522701.1145343101</v>
      </c>
      <c r="E87" s="82">
        <v>20000</v>
      </c>
      <c r="F87" s="118"/>
      <c r="G87" s="59"/>
      <c r="H87" s="195">
        <f>'Cost Allocation = cent per th.'!E74</f>
        <v>0.13379999999999997</v>
      </c>
      <c r="I87" s="196"/>
      <c r="J87" s="58">
        <v>0</v>
      </c>
      <c r="K87" s="58">
        <f>'Cost Allocation = cent per th.'!K74+H87-J87</f>
        <v>0.63105999999999995</v>
      </c>
      <c r="L87" s="59"/>
      <c r="M87" s="85"/>
      <c r="P87" s="58"/>
    </row>
    <row r="88" spans="1:16" x14ac:dyDescent="0.35">
      <c r="A88" s="64">
        <f t="shared" si="3"/>
        <v>78</v>
      </c>
      <c r="B88" s="64"/>
      <c r="C88" s="81" t="s">
        <v>36</v>
      </c>
      <c r="D88" s="82">
        <f>'Cost Allocation = cent per th.'!D75</f>
        <v>1166628.42580889</v>
      </c>
      <c r="E88" s="82">
        <v>20000</v>
      </c>
      <c r="F88" s="118"/>
      <c r="G88" s="59"/>
      <c r="H88" s="195">
        <f>'Cost Allocation = cent per th.'!E75</f>
        <v>0.10278999999999998</v>
      </c>
      <c r="I88" s="196"/>
      <c r="J88" s="58">
        <v>0</v>
      </c>
      <c r="K88" s="58">
        <f>'Cost Allocation = cent per th.'!K75+H88-J88</f>
        <v>0.60004999999999997</v>
      </c>
      <c r="L88" s="59"/>
      <c r="M88" s="85"/>
      <c r="P88" s="58"/>
    </row>
    <row r="89" spans="1:16" x14ac:dyDescent="0.35">
      <c r="A89" s="64">
        <f t="shared" si="3"/>
        <v>79</v>
      </c>
      <c r="B89" s="64"/>
      <c r="C89" s="81" t="s">
        <v>37</v>
      </c>
      <c r="D89" s="82">
        <f>'Cost Allocation = cent per th.'!D76</f>
        <v>1914748.9545244901</v>
      </c>
      <c r="E89" s="82">
        <v>100000</v>
      </c>
      <c r="F89" s="118"/>
      <c r="G89" s="59"/>
      <c r="H89" s="195">
        <f>'Cost Allocation = cent per th.'!E76</f>
        <v>8.2420000000000007E-2</v>
      </c>
      <c r="I89" s="196"/>
      <c r="J89" s="58">
        <v>0</v>
      </c>
      <c r="K89" s="58">
        <f>'Cost Allocation = cent per th.'!K76+H89-J89</f>
        <v>0.57967999999999997</v>
      </c>
      <c r="L89" s="59"/>
      <c r="M89" s="85"/>
      <c r="P89" s="58"/>
    </row>
    <row r="90" spans="1:16" x14ac:dyDescent="0.35">
      <c r="A90" s="64">
        <f t="shared" si="3"/>
        <v>80</v>
      </c>
      <c r="B90" s="64"/>
      <c r="C90" s="81" t="s">
        <v>38</v>
      </c>
      <c r="D90" s="82">
        <f>'Cost Allocation = cent per th.'!D77</f>
        <v>344199.20525914012</v>
      </c>
      <c r="E90" s="82">
        <v>600000</v>
      </c>
      <c r="F90" s="118"/>
      <c r="G90" s="59"/>
      <c r="H90" s="195">
        <f>'Cost Allocation = cent per th.'!E77</f>
        <v>5.5219999999999998E-2</v>
      </c>
      <c r="I90" s="196"/>
      <c r="J90" s="58">
        <v>0</v>
      </c>
      <c r="K90" s="58">
        <f>'Cost Allocation = cent per th.'!K77+H90-J90</f>
        <v>0.55247999999999997</v>
      </c>
      <c r="L90" s="59"/>
      <c r="M90" s="85"/>
      <c r="P90" s="58"/>
    </row>
    <row r="91" spans="1:16" x14ac:dyDescent="0.35">
      <c r="A91" s="64">
        <f t="shared" si="3"/>
        <v>81</v>
      </c>
      <c r="B91" s="64"/>
      <c r="C91" s="81" t="s">
        <v>39</v>
      </c>
      <c r="D91" s="82">
        <f>'Cost Allocation = cent per th.'!D78</f>
        <v>0</v>
      </c>
      <c r="E91" s="83" t="s">
        <v>65</v>
      </c>
      <c r="F91" s="118"/>
      <c r="G91" s="59"/>
      <c r="H91" s="195">
        <f>'Cost Allocation = cent per th.'!E78</f>
        <v>2.1220000000000003E-2</v>
      </c>
      <c r="I91" s="196"/>
      <c r="J91" s="58">
        <v>0</v>
      </c>
      <c r="K91" s="58">
        <f>'Cost Allocation = cent per th.'!K78+H91-J91</f>
        <v>0.51847999999999994</v>
      </c>
      <c r="L91" s="59"/>
      <c r="M91" s="85"/>
      <c r="P91" s="58"/>
    </row>
    <row r="92" spans="1:16" x14ac:dyDescent="0.35">
      <c r="A92" s="64">
        <f t="shared" si="3"/>
        <v>82</v>
      </c>
      <c r="B92" s="80"/>
      <c r="C92" s="86" t="s">
        <v>66</v>
      </c>
      <c r="D92" s="87"/>
      <c r="E92" s="88"/>
      <c r="F92" s="119"/>
      <c r="G92" s="78"/>
      <c r="H92" s="197"/>
      <c r="I92" s="194">
        <f>$G86+ROUND(IF($F86&lt;$E86,($F86*H86),IF($F86&lt;SUM($E86:$E87),(($E86*H86)+(($F86-$E86)*H87)),IF($F86&lt;SUM($E86:$E88),(($E86*H86)+($E87*H87)+(($F86-$E86-$E87)*H88)),IF($F86&lt;SUM($E86:$E89),(($E86*H86)+($E87*H87)+($E88*H88)+(($F86-SUM($E86:$E88))*H89)),IF($F86&lt;SUM($E86:$E90),(($E86*H86)+($E87*H87)+($E88*H88)+($E89*H89)+(($F86-SUM($E86:$E89))*H90)),(($E86*H86)+($E87*H87)+($E88*H88)+($E89*H88)+($E90*H90)+(($F86-SUM($E86:$E90))*H91))))))),2)</f>
        <v>7585.96</v>
      </c>
      <c r="J92" s="89"/>
      <c r="K92" s="89"/>
      <c r="L92" s="78">
        <f>$G86+ROUND(IF($F86&lt;$E86,($F86*K86),IF($F86&lt;SUM($E86:$E87),(($E86*K86)+(($F86-$E86)*K87)),IF($F86&lt;SUM($E86:$E88),(($E86*K86)+($E87*K87)+(($F86-$E86-$E87)*K88)),IF($F86&lt;SUM($E86:$E89),(($E86*K86)+($E87*K87)+($E88*K88)+(($F86-SUM($E86:$E88))*K89)),IF($F86&lt;SUM($E86:$E90),(($E86*K86)+($E87*K87)+($E88*K88)+($E89*K89)+(($F86-SUM($E86:$E89))*K90)),(($E86*K86)+($E87*K87)+($E88*K88)+($E89*K88)+($E90*K90)+(($F86-SUM($E86:$E90))*K91))))))),2)-'Revenue Credits'!E44</f>
        <v>17679.238304750539</v>
      </c>
      <c r="M92" s="92">
        <f>(L92-I92)/I92</f>
        <v>1.3305208971244957</v>
      </c>
      <c r="P92" s="58"/>
    </row>
    <row r="93" spans="1:16" x14ac:dyDescent="0.35">
      <c r="A93" s="64">
        <f>+A85+1</f>
        <v>76</v>
      </c>
      <c r="B93" s="80" t="s">
        <v>45</v>
      </c>
      <c r="C93" s="80"/>
      <c r="D93" s="93">
        <f>'Cost Allocation = cent per th.'!D79</f>
        <v>0</v>
      </c>
      <c r="E93" s="94" t="s">
        <v>64</v>
      </c>
      <c r="F93" s="121">
        <v>0</v>
      </c>
      <c r="G93" s="95">
        <f>'Cost Allocation = cent per th.'!F79</f>
        <v>38000</v>
      </c>
      <c r="H93" s="198">
        <v>4.919999999999999E-3</v>
      </c>
      <c r="I93" s="194">
        <f>ROUND(+$G93+(H93*$F93),2)</f>
        <v>38000</v>
      </c>
      <c r="J93" s="77">
        <v>0</v>
      </c>
      <c r="K93" s="96">
        <f>'Cost Allocation = cent per th.'!K79+H93-J93</f>
        <v>0.50217999999999996</v>
      </c>
      <c r="L93" s="78">
        <f>ROUND(+$G93+(K93*$F93),2)-'Revenue Credits'!E25</f>
        <v>38000</v>
      </c>
      <c r="M93" s="97">
        <f>(L93-I93)/I93</f>
        <v>0</v>
      </c>
      <c r="P93" s="58"/>
    </row>
    <row r="94" spans="1:16" x14ac:dyDescent="0.35">
      <c r="A94" s="64">
        <f t="shared" si="3"/>
        <v>77</v>
      </c>
      <c r="B94" s="73" t="s">
        <v>46</v>
      </c>
      <c r="C94" s="73"/>
      <c r="D94" s="93">
        <f>'Cost Allocation = cent per th.'!D80</f>
        <v>0</v>
      </c>
      <c r="E94" s="94" t="s">
        <v>64</v>
      </c>
      <c r="F94" s="117">
        <v>0</v>
      </c>
      <c r="G94" s="95">
        <f>'Cost Allocation = cent per th.'!F80</f>
        <v>38000</v>
      </c>
      <c r="H94" s="193">
        <v>4.919999999999999E-3</v>
      </c>
      <c r="I94" s="194">
        <f>ROUND(+$G94+(H94*$F94),2)</f>
        <v>38000</v>
      </c>
      <c r="J94" s="77">
        <v>0</v>
      </c>
      <c r="K94" s="58">
        <f>'Cost Allocation = cent per th.'!K80+H94-J94</f>
        <v>0.50217999999999996</v>
      </c>
      <c r="L94" s="78">
        <f>ROUND(+$G94+(K94*$F94),2)-'Revenue Credits'!E26</f>
        <v>38000</v>
      </c>
      <c r="M94" s="79">
        <f>(L94-I94)/I94</f>
        <v>0</v>
      </c>
      <c r="P94" s="58"/>
    </row>
    <row r="95" spans="1:16" ht="15" thickBot="1" x14ac:dyDescent="0.4">
      <c r="A95" s="64">
        <f t="shared" si="3"/>
        <v>78</v>
      </c>
      <c r="B95" s="115" t="s">
        <v>96</v>
      </c>
      <c r="C95" s="73"/>
      <c r="D95" s="93">
        <f>'Cost Allocation = cent per th.'!D81</f>
        <v>2486542</v>
      </c>
      <c r="E95" s="94" t="s">
        <v>64</v>
      </c>
      <c r="F95" s="117">
        <f>ROUND(D95/'Cost Allocation = cent per th.'!G81/12,0)</f>
        <v>207212</v>
      </c>
      <c r="G95" s="98"/>
      <c r="H95" s="199"/>
      <c r="I95" s="200"/>
      <c r="J95" s="98">
        <v>0</v>
      </c>
      <c r="K95" s="99"/>
      <c r="L95" s="98"/>
      <c r="M95" s="100"/>
    </row>
    <row r="96" spans="1:16" x14ac:dyDescent="0.35">
      <c r="A96" s="64">
        <f t="shared" si="3"/>
        <v>79</v>
      </c>
      <c r="B96" s="64"/>
      <c r="C96" s="64"/>
      <c r="D96" s="82"/>
      <c r="E96" s="114"/>
      <c r="F96" s="118"/>
      <c r="G96" s="57"/>
      <c r="H96" s="201"/>
      <c r="I96" s="202"/>
      <c r="J96" s="57"/>
      <c r="K96" s="57"/>
      <c r="L96" s="57"/>
      <c r="M96" s="57"/>
    </row>
    <row r="97" spans="1:14" ht="15" customHeight="1" x14ac:dyDescent="0.35">
      <c r="A97" s="64">
        <f t="shared" si="3"/>
        <v>80</v>
      </c>
      <c r="B97" s="208" t="s">
        <v>67</v>
      </c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</row>
    <row r="98" spans="1:14" x14ac:dyDescent="0.35">
      <c r="A98" s="64">
        <f t="shared" si="3"/>
        <v>81</v>
      </c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</row>
    <row r="99" spans="1:14" ht="15" customHeight="1" x14ac:dyDescent="0.35">
      <c r="A99" s="64">
        <f t="shared" si="3"/>
        <v>82</v>
      </c>
      <c r="B99" s="209" t="s">
        <v>126</v>
      </c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</row>
    <row r="100" spans="1:14" ht="15" customHeight="1" x14ac:dyDescent="0.35">
      <c r="A100" s="64">
        <f t="shared" si="3"/>
        <v>83</v>
      </c>
      <c r="B100" s="209" t="s">
        <v>129</v>
      </c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</row>
    <row r="101" spans="1:14" s="102" customFormat="1" ht="15" thickBot="1" x14ac:dyDescent="0.4">
      <c r="A101" s="64">
        <f t="shared" si="3"/>
        <v>84</v>
      </c>
      <c r="B101" s="101" t="s">
        <v>68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</row>
    <row r="102" spans="1:14" s="102" customFormat="1" ht="15" thickBot="1" x14ac:dyDescent="0.4">
      <c r="A102" s="64">
        <f t="shared" si="3"/>
        <v>85</v>
      </c>
      <c r="B102" s="103" t="s">
        <v>69</v>
      </c>
      <c r="C102" s="104"/>
      <c r="D102" s="105"/>
      <c r="E102" s="105" t="s">
        <v>70</v>
      </c>
      <c r="F102" s="105"/>
      <c r="G102" s="105" t="s">
        <v>70</v>
      </c>
      <c r="H102" s="105"/>
      <c r="I102" s="105"/>
      <c r="J102" s="105"/>
      <c r="K102" s="105"/>
      <c r="L102" s="105"/>
      <c r="M102" s="105"/>
      <c r="N102" s="56"/>
    </row>
    <row r="103" spans="1:14" s="102" customFormat="1" x14ac:dyDescent="0.35">
      <c r="A103" s="64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</row>
    <row r="104" spans="1:14" s="102" customFormat="1" x14ac:dyDescent="0.35">
      <c r="A104" s="64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</row>
  </sheetData>
  <mergeCells count="3">
    <mergeCell ref="B97:M98"/>
    <mergeCell ref="B99:M99"/>
    <mergeCell ref="B100:M100"/>
  </mergeCells>
  <pageMargins left="0.7" right="0.7" top="0.5" bottom="0.5" header="0.3" footer="0.3"/>
  <pageSetup scale="47" fitToWidth="0" orientation="portrait" r:id="rId1"/>
  <headerFooter alignWithMargins="0">
    <oddHeader>&amp;RNWN WUTC Advice 23-14
Exhibit A WP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2023-10-04T07:00:00+00:00</OpenedDate>
    <SignificantOrder xmlns="dc463f71-b30c-4ab2-9473-d307f9d35888">false</SignificantOrder>
    <Date1 xmlns="dc463f71-b30c-4ab2-9473-d307f9d35888">2023-10-04T07:00:00+00:00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230819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718F00EB4CDA458A25DA505B36ACDE" ma:contentTypeVersion="24" ma:contentTypeDescription="" ma:contentTypeScope="" ma:versionID="af962025208f7964dd5843a995c11c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52E2F0-2B73-4432-A3AE-CBB35CC73A05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95189ed-a59d-41a1-91ce-b22fe42d8f40"/>
  </ds:schemaRefs>
</ds:datastoreItem>
</file>

<file path=customXml/itemProps2.xml><?xml version="1.0" encoding="utf-8"?>
<ds:datastoreItem xmlns:ds="http://schemas.openxmlformats.org/officeDocument/2006/customXml" ds:itemID="{8092F02E-C020-4FA2-9FEF-ECDC4E163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82E611-9839-4E9F-8402-5C7165029905}"/>
</file>

<file path=customXml/itemProps4.xml><?xml version="1.0" encoding="utf-8"?>
<ds:datastoreItem xmlns:ds="http://schemas.openxmlformats.org/officeDocument/2006/customXml" ds:itemID="{E13E9A8F-390E-4B96-A215-2B1BAEFFF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Cost Allocation = cent per th.</vt:lpstr>
      <vt:lpstr>Revenue Effects</vt:lpstr>
      <vt:lpstr>Revenue Credits</vt:lpstr>
      <vt:lpstr>Avg Bill by RS</vt:lpstr>
      <vt:lpstr>'Avg Bill by RS'!Print_Area</vt:lpstr>
      <vt:lpstr>'Cost Allocation = cent per th.'!Print_Area</vt:lpstr>
      <vt:lpstr>'Revenue Credits'!Print_Area</vt:lpstr>
      <vt:lpstr>'Avg Bill by RS'!Print_Titles</vt:lpstr>
      <vt:lpstr>'Cost Allocation = cent per th.'!Print_Titles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Funk, Fay</cp:lastModifiedBy>
  <cp:lastPrinted>2023-10-04T20:32:56Z</cp:lastPrinted>
  <dcterms:created xsi:type="dcterms:W3CDTF">2021-07-08T23:42:43Z</dcterms:created>
  <dcterms:modified xsi:type="dcterms:W3CDTF">2023-10-04T23:07:28Z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0x0101006E56B4D1795A2E4DB2F0B01679ED314A00FD718F00EB4CDA458A25DA505B36ACDE</vt:lpwstr>
  </property>
  <property fmtid="{D5CDD505-2E9C-101B-9397-08002B2CF9AE}" pid="3" name="_dlc_DocIdItemGuid">
    <vt:lpwstr>c2c5ab1d-a0a6-415f-a237-015049fc09ae</vt:lpwstr>
  </property>
  <property fmtid="{D5CDD505-2E9C-101B-9397-08002B2CF9AE}" pid="4" name="_docset_NoMedatataSyncRequired">
    <vt:lpwstr>False</vt:lpwstr>
  </property>
</Properties>
</file>