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3-43 Electric Schedule 141COL - Colstrip Adjustment Rider (UE-23XXXX) (Eff. 01-01-24)\Sent to UTC XX-XX-XX\"/>
    </mc:Choice>
  </mc:AlternateContent>
  <bookViews>
    <workbookView xWindow="0" yWindow="0" windowWidth="23040" windowHeight="9210"/>
  </bookViews>
  <sheets>
    <sheet name="Revenue Requirement" sheetId="1" r:id="rId1"/>
    <sheet name="Estimated D&amp;R Recovery" sheetId="14" r:id="rId2"/>
    <sheet name="Colstrip Plant Balances" sheetId="2" r:id="rId3"/>
    <sheet name="GL Balances" sheetId="3" r:id="rId4"/>
    <sheet name="3&amp;4 Accr Detail - PP" sheetId="4" r:id="rId5"/>
    <sheet name="Production O&amp;M 2024" sheetId="7" r:id="rId6"/>
    <sheet name="2024 Capital Ex" sheetId="21" r:id="rId7"/>
    <sheet name="Prop&amp;Liab Ins" sheetId="20" r:id="rId8"/>
    <sheet name="DFIT Calc" sheetId="18" r:id="rId9"/>
    <sheet name="MT Energy Tax" sheetId="17" r:id="rId10"/>
    <sheet name="Update ConvF" sheetId="23" r:id="rId11"/>
    <sheet name="Def, COC, ConvF" sheetId="6" r:id="rId12"/>
    <sheet name="D&amp;R Defic" sheetId="22" r:id="rId13"/>
    <sheet name="D&amp;R Summary" sheetId="12" r:id="rId14"/>
    <sheet name="Decommissioning" sheetId="13" r:id="rId15"/>
    <sheet name="Plant Site Report" sheetId="9" r:id="rId16"/>
    <sheet name="Units1&amp;2 Int Remedy Eval Alt 10" sheetId="10" r:id="rId17"/>
    <sheet name="Units 3&amp;4 Remedy Eval" sheetId="1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\" hidden="1">#REF!</definedName>
    <definedName name="\\\" hidden="1">#REF!</definedName>
    <definedName name="\\\\" hidden="1">#REF!</definedName>
    <definedName name="___________________www1" hidden="1">{#N/A,#N/A,FALSE,"schA"}</definedName>
    <definedName name="__________________www1" hidden="1">{#N/A,#N/A,FALSE,"schA"}</definedName>
    <definedName name="_________________www1" hidden="1">{#N/A,#N/A,FALSE,"schA"}</definedName>
    <definedName name="________________www1" hidden="1">{#N/A,#N/A,FALSE,"schA"}</definedName>
    <definedName name="_______________www1" hidden="1">{#N/A,#N/A,FALSE,"schA"}</definedName>
    <definedName name="_____________www1" hidden="1">{#N/A,#N/A,FALSE,"schA"}</definedName>
    <definedName name="___________www1" hidden="1">{#N/A,#N/A,FALSE,"schA"}</definedName>
    <definedName name="__________www1" hidden="1">{#N/A,#N/A,FALSE,"schA"}</definedName>
    <definedName name="_________www1" hidden="1">{#N/A,#N/A,FALSE,"schA"}</definedName>
    <definedName name="_______www1" hidden="1">{#N/A,#N/A,FALSE,"schA"}</definedName>
    <definedName name="______www1" hidden="1">{#N/A,#N/A,FALSE,"schA"}</definedName>
    <definedName name="_____www1" hidden="1">{#N/A,#N/A,FALSE,"schA"}</definedName>
    <definedName name="____www1" hidden="1">{#N/A,#N/A,FALSE,"schA"}</definedName>
    <definedName name="___www1" hidden="1">{#N/A,#N/A,FALSE,"schA"}</definedName>
    <definedName name="__123Graph_A" hidden="1">#REF!</definedName>
    <definedName name="__123Graph_ABUDG6_DSCRPR" hidden="1">#REF!</definedName>
    <definedName name="__123Graph_ABUDG6_ESCRPR1" hidden="1">#REF!</definedName>
    <definedName name="__123Graph_B" hidden="1">#REF!</definedName>
    <definedName name="__123Graph_BBUDG6_DSCRPR" hidden="1">#REF!</definedName>
    <definedName name="__123Graph_BBUDG6_ESCRPR1" hidden="1">#REF!</definedName>
    <definedName name="__123Graph_C" hidden="1">#REF!</definedName>
    <definedName name="__123Graph_D" hidden="1">#REF!</definedName>
    <definedName name="__123Graph_E" hidden="1">#REF!</definedName>
    <definedName name="__123Graph_ECURRENT" hidden="1">[1]ConsolidatingPL!#REF!</definedName>
    <definedName name="__123Graph_F" hidden="1">#REF!</definedName>
    <definedName name="__123Graph_X" hidden="1">#REF!</definedName>
    <definedName name="__123Graph_XBUDG6_DSCRPR" hidden="1">#REF!</definedName>
    <definedName name="__123Graph_XBUDG6_ESCRPR1" hidden="1">#REF!</definedName>
    <definedName name="__www1" hidden="1">{#N/A,#N/A,FALSE,"schA"}</definedName>
    <definedName name="_1__123Graph_ABUDG6_D_ESCRPR" hidden="1">#REF!</definedName>
    <definedName name="_1__123Graph_ACHART_1" hidden="1">[2]BalanceSheet!#REF!</definedName>
    <definedName name="_10__123Graph_BCHART_2" hidden="1">[3]RAB!#REF!</definedName>
    <definedName name="_10__123Graph_CCHART_6" hidden="1">#REF!</definedName>
    <definedName name="_10__123Graph_DCHART_2" hidden="1">[3]RAB!#REF!</definedName>
    <definedName name="_10__123Graph_XBUDG6_Dtons_inv" hidden="1">#REF!</definedName>
    <definedName name="_10__123Graph_XCHART_1" hidden="1">[2]BalanceSheet!#REF!</definedName>
    <definedName name="_11__123Graph_CCHART_1" hidden="1">[4]BalanceSheet!#REF!</definedName>
    <definedName name="_11__123Graph_CCHART_7" hidden="1">#REF!</definedName>
    <definedName name="_11__123Graph_XCHART_1" hidden="1">[4]BalanceSheet!#REF!</definedName>
    <definedName name="_11__123Graph_XCHART_2" hidden="1">[5]RAB!#REF!</definedName>
    <definedName name="_12__123Graph_BCHART_1" hidden="1">[2]BalanceSheet!#REF!</definedName>
    <definedName name="_12__123Graph_CCHART_2" hidden="1">[3]RAB!#REF!</definedName>
    <definedName name="_12__123Graph_LBL_ACHART_17" hidden="1">#REF!</definedName>
    <definedName name="_12__123Graph_XCHART_2" hidden="1">[3]RAB!#REF!</definedName>
    <definedName name="_12__123Graph_XCHART_3" hidden="1">[5]RAB!#REF!</definedName>
    <definedName name="_13__123Graph_DCHART_1" hidden="1">[4]BalanceSheet!#REF!</definedName>
    <definedName name="_13__123Graph_LBL_CCHART_17" hidden="1">#REF!</definedName>
    <definedName name="_13__123Graph_XCHART_3" hidden="1">[3]RAB!#REF!</definedName>
    <definedName name="_14__123Graph_DCHART_2" hidden="1">[3]RAB!#REF!</definedName>
    <definedName name="_14__123Graph_XCHART_1" hidden="1">#REF!</definedName>
    <definedName name="_15__123Graph_BCHART_2" hidden="1">[5]RAB!#REF!</definedName>
    <definedName name="_15__123Graph_XCHART_1" hidden="1">[4]BalanceSheet!#REF!</definedName>
    <definedName name="_15__123Graph_XCHART_7" hidden="1">#REF!</definedName>
    <definedName name="_16__123Graph_XCHART_2" hidden="1">[3]RAB!#REF!</definedName>
    <definedName name="_17__123Graph_XCHART_3" hidden="1">[3]RAB!#REF!</definedName>
    <definedName name="_18__123Graph_CCHART_1" hidden="1">[2]BalanceSheet!#REF!</definedName>
    <definedName name="_2__123Graph_ABUDG6_Dtons_inv" hidden="1">[6]Quant!#REF!</definedName>
    <definedName name="_2__123Graph_ACHART_1" hidden="1">[4]BalanceSheet!#REF!</definedName>
    <definedName name="_2__123Graph_ACHART_17" hidden="1">#REF!</definedName>
    <definedName name="_2__123Graph_ACHART_2" hidden="1">[5]RAB!#REF!</definedName>
    <definedName name="_21__123Graph_CCHART_2" hidden="1">[5]RAB!#REF!</definedName>
    <definedName name="_24__123Graph_DCHART_1" hidden="1">[2]BalanceSheet!#REF!</definedName>
    <definedName name="_27__123Graph_DCHART_2" hidden="1">[5]RAB!#REF!</definedName>
    <definedName name="_3__123Graph_ABUDG6_Dtons_inv" hidden="1">#REF!</definedName>
    <definedName name="_3__123Graph_ACHART_1" hidden="1">[2]BalanceSheet!#REF!</definedName>
    <definedName name="_3__123Graph_ACHART_2" hidden="1">[3]RAB!#REF!</definedName>
    <definedName name="_3__123Graph_ACHART_3" hidden="1">[5]RAB!#REF!</definedName>
    <definedName name="_3__123Graph_ACHART_6" hidden="1">#REF!</definedName>
    <definedName name="_3__123Graph_BBUDG6_D_ESCRPR" hidden="1">[7]Quant!$D$72:$O$72</definedName>
    <definedName name="_30__123Graph_XCHART_1" hidden="1">[2]BalanceSheet!#REF!</definedName>
    <definedName name="_33__123Graph_XCHART_2" hidden="1">[5]RAB!#REF!</definedName>
    <definedName name="_36__123Graph_XCHART_3" hidden="1">[5]RAB!#REF!</definedName>
    <definedName name="_4__123Graph_ABUDG6_Dtons_inv" hidden="1">[8]Quant!#REF!</definedName>
    <definedName name="_4__123Graph_ACHART_3" hidden="1">[3]RAB!#REF!</definedName>
    <definedName name="_4__123Graph_ACHART_7" hidden="1">#REF!</definedName>
    <definedName name="_4__123Graph_BBUDG6_D_ESCRPR" hidden="1">#REF!</definedName>
    <definedName name="_4__123Graph_BBUDG6_Dtons_inv" hidden="1">[7]Quant!$D$9:$O$9</definedName>
    <definedName name="_4__123Graph_BCHART_1" hidden="1">[2]BalanceSheet!#REF!</definedName>
    <definedName name="_5__123Graph_BBUDG6_D_ESCRPR" hidden="1">#REF!</definedName>
    <definedName name="_5__123Graph_BBUDG6_Dtons_inv" hidden="1">#REF!</definedName>
    <definedName name="_5__123Graph_BCHART_1" hidden="1">[4]BalanceSheet!#REF!</definedName>
    <definedName name="_5__123Graph_BCHART_2" hidden="1">[5]RAB!#REF!</definedName>
    <definedName name="_5__123Graph_CBUDG6_D_ESCRPR" hidden="1">[7]Quant!$D$100:$O$100</definedName>
    <definedName name="_6__123Graph_ACHART_1" hidden="1">[4]BalanceSheet!#REF!</definedName>
    <definedName name="_6__123Graph_ACHART_2" hidden="1">[5]RAB!#REF!</definedName>
    <definedName name="_6__123Graph_BBUDG6_Dtons_inv" hidden="1">#REF!</definedName>
    <definedName name="_6__123Graph_BCHART_2" hidden="1">[3]RAB!#REF!</definedName>
    <definedName name="_6__123Graph_BCHART_6" hidden="1">#REF!</definedName>
    <definedName name="_6__123Graph_CBUDG6_D_ESCRPR" hidden="1">#REF!</definedName>
    <definedName name="_6__123Graph_CCHART_1" hidden="1">[2]BalanceSheet!#REF!</definedName>
    <definedName name="_6__123Graph_DBUDG6_D_ESCRPR" hidden="1">[7]Quant!$D$88:$O$88</definedName>
    <definedName name="_7__123Graph_ACHART_2" hidden="1">[3]RAB!#REF!</definedName>
    <definedName name="_7__123Graph_BCHART_7" hidden="1">#REF!</definedName>
    <definedName name="_7__123Graph_CBUDG6_D_ESCRPR" hidden="1">#REF!</definedName>
    <definedName name="_7__123Graph_CCHART_1" hidden="1">[4]BalanceSheet!#REF!</definedName>
    <definedName name="_7__123Graph_CCHART_2" hidden="1">[5]RAB!#REF!</definedName>
    <definedName name="_7__123Graph_DBUDG6_D_ESCRPR" hidden="1">#REF!</definedName>
    <definedName name="_7__123Graph_XBUDG6_D_ESCRPR" hidden="1">[7]Quant!$D$5:$O$5</definedName>
    <definedName name="_8__123Graph_ACHART_3" hidden="1">[3]RAB!#REF!</definedName>
    <definedName name="_8__123Graph_CCHART_1" hidden="1">#REF!</definedName>
    <definedName name="_8__123Graph_CCHART_2" hidden="1">[3]RAB!#REF!</definedName>
    <definedName name="_8__123Graph_DBUDG6_D_ESCRPR" hidden="1">#REF!</definedName>
    <definedName name="_8__123Graph_DCHART_1" hidden="1">[2]BalanceSheet!#REF!</definedName>
    <definedName name="_8__123Graph_XBUDG6_D_ESCRPR" hidden="1">#REF!</definedName>
    <definedName name="_8__123Graph_XBUDG6_Dtons_inv" hidden="1">[7]Quant!$D$5:$O$5</definedName>
    <definedName name="_9__123Graph_ACHART_3" hidden="1">[5]RAB!#REF!</definedName>
    <definedName name="_9__123Graph_BCHART_1" hidden="1">[4]BalanceSheet!#REF!</definedName>
    <definedName name="_9__123Graph_CCHART_17" hidden="1">#REF!</definedName>
    <definedName name="_9__123Graph_DCHART_1" hidden="1">[4]BalanceSheet!#REF!</definedName>
    <definedName name="_9__123Graph_DCHART_2" hidden="1">[5]RAB!#REF!</definedName>
    <definedName name="_9__123Graph_XBUDG6_D_ESCRPR" hidden="1">#REF!</definedName>
    <definedName name="_9__123Graph_XBUDG6_Dtons_inv" hidden="1">#REF!</definedName>
    <definedName name="_bdm.4996288830324A2E9C0C14D0B13DFDED.edm" hidden="1">#REF!</definedName>
    <definedName name="_bdm.5FEA241AF452408FA6272F43995710CF.edm" hidden="1">#REF!</definedName>
    <definedName name="_bdm.8FBDAE30198A48AAB0506CDA364ED033.edm" hidden="1">#REF!</definedName>
    <definedName name="_bdm.ACB4AACE936A4187B162314E3CE43694.edm" hidden="1">#REF!</definedName>
    <definedName name="_bdm.BD1318922AA44505A9A68DFCE24A436B.edm" hidden="1">#REF!</definedName>
    <definedName name="_bdm.C698AE0AA4CB482EA8BF369466794727.edm" hidden="1">#REF!</definedName>
    <definedName name="_bdm.FA38BC8B3FC048AEBF6A70EAFF9FCD67.edm" hidden="1">#REF!</definedName>
    <definedName name="_Fill" hidden="1">#REF!</definedName>
    <definedName name="_xlnm._FilterDatabase" localSheetId="3" hidden="1">'GL Balances'!$A$1:$C$14</definedName>
    <definedName name="_Key1" hidden="1">#REF!</definedName>
    <definedName name="_Key2" hidden="1">#REF!</definedName>
    <definedName name="_Order1">255</definedName>
    <definedName name="_Order2">255</definedName>
    <definedName name="_Parse_In" hidden="1">#REF!</definedName>
    <definedName name="_Parse_Out" hidden="1">#REF!</definedName>
    <definedName name="_Sort" hidden="1">#REF!</definedName>
    <definedName name="_www1" hidden="1">{#N/A,#N/A,FALSE,"schA"}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>"I:\COMTREL\FINICLE\TradeSummary.mdb"</definedName>
    <definedName name="agrewgrewtrew" hidden="1">#REF!</definedName>
    <definedName name="anscount">1</definedName>
    <definedName name="AS2DocOpenMode">"AS2DocumentEdit"</definedName>
    <definedName name="AsSoldExcRev" hidden="1">{#N/A,#N/A,FALSE,"Sum6 (1)"}</definedName>
    <definedName name="BL" hidden="1">{#N/A,#N/A,FALSE,"Cover Sheet";"Use of Equipment",#N/A,FALSE,"Area C";"Equipment Hours",#N/A,FALSE,"All";"Summary",#N/A,FALSE,"All"}</definedName>
    <definedName name="BLA" hidden="1">#REF!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>-1894858854</definedName>
    <definedName name="CCC" hidden="1">{#N/A,#N/A,FALSE,"Sum6 (1)"}</definedName>
    <definedName name="CCR_CAPEX">[9]CCR!$A$4:$E$43</definedName>
    <definedName name="CIQWBGuid">"533dd5ee-2992-4878-a6fe-10c93711618f"</definedName>
    <definedName name="CoalStrategyStress">[9]CoalCosts!$G$48:$DV$50</definedName>
    <definedName name="Company">'[11]Named Ranges G'!$B$2</definedName>
    <definedName name="CONSOL">'[12]Colstrip Consol.'!$B$7:$EH$200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lete21" hidden="1">{#N/A,#N/A,FALSE,"Coversheet";#N/A,#N/A,FALSE,"QA"}</definedName>
    <definedName name="DELTA" hidden="1">{#N/A,#N/A,FALSE,"Sum6 (1)"}</definedName>
    <definedName name="dfdddd" hidden="1">{#N/A,#N/A,FALSE,"schA"}</definedName>
    <definedName name="DFIT" hidden="1">{#N/A,#N/A,FALSE,"Coversheet";#N/A,#N/A,FALSE,"QA"}</definedName>
    <definedName name="drh" hidden="1">[5]RAB!#REF!</definedName>
    <definedName name="dsafdascxxxx" hidden="1">[5]RAB!#REF!</definedName>
    <definedName name="dsgewrewqfddf" hidden="1">[3]RAB!#REF!</definedName>
    <definedName name="ery" hidden="1">[2]BalanceSheet!#REF!</definedName>
    <definedName name="ewtrqereqrtewq" hidden="1">#REF!</definedName>
    <definedName name="fdsafs" hidden="1">#REF!</definedName>
    <definedName name="ffff" hidden="1">{#N/A,#N/A,FALSE,"schA"}</definedName>
    <definedName name="FIT">'[11]Named Ranges G'!$B$10</definedName>
    <definedName name="fqgyukytnsfa" hidden="1">[5]RAB!#REF!</definedName>
    <definedName name="fwgewsravcdd" hidden="1">#REF!</definedName>
    <definedName name="gary" hidden="1">{#N/A,#N/A,FALSE,"Cover Sheet";"Use of Equipment",#N/A,FALSE,"Area C";"Equipment Hours",#N/A,FALSE,"All";"Summary",#N/A,FALSE,"All"}</definedName>
    <definedName name="gdsfhgfjyu" hidden="1">[3]RAB!#REF!</definedName>
    <definedName name="gewgrewgq2r" hidden="1">[2]BalanceSheet!#REF!</definedName>
    <definedName name="gfdysdfdsa" hidden="1">[5]RAB!#REF!</definedName>
    <definedName name="gregrewqwqd" hidden="1">[4]BalanceSheet!#REF!</definedName>
    <definedName name="gret4331" hidden="1">[4]BalanceSheet!#REF!</definedName>
    <definedName name="grewgrewt4" hidden="1">#REF!</definedName>
    <definedName name="grewgtrewuykd" hidden="1">[3]RAB!#REF!</definedName>
    <definedName name="grewtetewqtq" hidden="1">#REF!</definedName>
    <definedName name="grewtreqrewq" hidden="1">[2]BalanceSheet!#REF!</definedName>
    <definedName name="grewtrr" hidden="1">[3]RAB!#REF!</definedName>
    <definedName name="grewtrwqqqfew" hidden="1">#REF!</definedName>
    <definedName name="grwtrewtwq" hidden="1">[3]RAB!#REF!</definedName>
    <definedName name="gwtrewtrewvcdxsd" hidden="1">#REF!</definedName>
    <definedName name="gwtrwrete" hidden="1">[2]BalanceSheet!#REF!</definedName>
    <definedName name="h" hidden="1">[5]RAB!#REF!</definedName>
    <definedName name="hdtry" hidden="1">[2]BalanceSheet!#REF!</definedName>
    <definedName name="hgfh" hidden="1">[2]BalanceSheet!#REF!</definedName>
    <definedName name="hrdhtrytrfdd" hidden="1">[3]RAB!#REF!</definedName>
    <definedName name="hrt" hidden="1">[5]RAB!#REF!</definedName>
    <definedName name="HTML_CodePage">1252</definedName>
    <definedName name="HTML_Control" localSheetId="12" hidden="1">{"'JAN99'!$A$1:$M$66"}</definedName>
    <definedName name="HTML_Control" localSheetId="13">{"'JAN99'!$A$1:$M$66"}</definedName>
    <definedName name="HTML_Control" localSheetId="14">{"'JAN99'!$A$1:$M$66"}</definedName>
    <definedName name="HTML_Control" localSheetId="17">{"'JAN99'!$A$1:$M$66"}</definedName>
    <definedName name="HTML_Control">{"'JAN99'!$A$1:$M$66"}</definedName>
    <definedName name="HTML_Description">""</definedName>
    <definedName name="HTML_Email">""</definedName>
    <definedName name="HTML_Header">""</definedName>
    <definedName name="HTML_LastUpdate">"2/24/1999"</definedName>
    <definedName name="HTML_LineAfter">FALSE</definedName>
    <definedName name="HTML_LineBefore">FALSE</definedName>
    <definedName name="HTML_Name">"Ron Grimsrud"</definedName>
    <definedName name="HTML_OBDlg2">TRUE</definedName>
    <definedName name="HTML_OBDlg4">TRUE</definedName>
    <definedName name="HTML_OS">0</definedName>
    <definedName name="HTML_PathFile">"I:\acc\1999actg\Ron\PLANT\CAPBUD\1999\1999_CAPITAL_BUDGET_STATUS_JAN99.HTM"</definedName>
    <definedName name="HTML_Title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hidden="1">[5]RAB!#REF!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41626.981087963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hidden="1">[4]BalanceSheet!#REF!</definedName>
    <definedName name="jhryteyfffg" hidden="1">[2]BalanceSheet!#REF!</definedName>
    <definedName name="jrthytr" hidden="1">[2]BalanceSheet!#REF!</definedName>
    <definedName name="jrytjhgfgfd" hidden="1">[5]RAB!#REF!</definedName>
    <definedName name="jtrtruytjhgmh" hidden="1">[3]RAB!#REF!</definedName>
    <definedName name="jtrytre" hidden="1">[5]RAB!#REF!</definedName>
    <definedName name="junk" hidden="1">#REF!</definedName>
    <definedName name="khjtjytuyjhg" hidden="1">#REF!</definedName>
    <definedName name="kjytugfdsd" hidden="1">#REF!</definedName>
    <definedName name="kytjytfdsfdsfd" hidden="1">[4]BalanceSheet!#REF!</definedName>
    <definedName name="kyturur" hidden="1">[5]RAB!#REF!</definedName>
    <definedName name="mb_inputLocation" hidden="1">#REF!</definedName>
    <definedName name="MIDC_ATC">[9]PowerSimMapping!$L$218:$BO$219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'[13]GAAP Scenario - No Contribs'!$V$1</definedName>
    <definedName name="POWERSIMREF">[9]PowerSimMapping!$B$3:$BO$2000</definedName>
    <definedName name="_xlnm.Print_Area" localSheetId="15">'Plant Site Report'!$A$1:$T$46</definedName>
    <definedName name="_xlnm.Print_Area" localSheetId="17">'Units 3&amp;4 Remedy Eval'!$A$1:$F$64</definedName>
    <definedName name="_xlnm.Print_Area" localSheetId="16">'Units1&amp;2 Int Remedy Eval Alt 10'!$A$1:$F$55</definedName>
    <definedName name="qqq" hidden="1">{#N/A,#N/A,FALSE,"schA"}</definedName>
    <definedName name="qqqqqqq" hidden="1">{#N/A,#N/A,FALSE,"Sum6 (1)"}</definedName>
    <definedName name="re" hidden="1">[2]BalanceSheet!#REF!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hidden="1">#REF!</definedName>
    <definedName name="rewqtrtwqrwq" hidden="1">#REF!</definedName>
    <definedName name="rqtr3qt2rg2" hidden="1">#REF!</definedName>
    <definedName name="rqwetqqw" hidden="1">[4]BalanceSheet!#REF!</definedName>
    <definedName name="rt" hidden="1">[2]BalanceSheet!#REF!</definedName>
    <definedName name="rtt" hidden="1">[5]RAB!#REF!</definedName>
    <definedName name="ruytetrehgfff" hidden="1">[3]RAB!#REF!</definedName>
    <definedName name="SavingsToggle">[9]GM_Control!$F$27</definedName>
    <definedName name="ScenChoice">'[13]Prefunding Allocation'!$K$25</definedName>
    <definedName name="sfds" hidden="1">#REF!</definedName>
    <definedName name="shit" localSheetId="12" hidden="1">{"'O&amp;M 2000'!$A$1:$T$24"}</definedName>
    <definedName name="shit" localSheetId="13">{"'O&amp;M 2000'!$A$1:$T$24"}</definedName>
    <definedName name="shit" localSheetId="14">{"'O&amp;M 2000'!$A$1:$T$24"}</definedName>
    <definedName name="shit" localSheetId="17">{"'O&amp;M 2000'!$A$1:$T$24"}</definedName>
    <definedName name="shit">{"'O&amp;M 2000'!$A$1:$T$24"}</definedName>
    <definedName name="ShortfallSpin">'[10]3.  Spin-Off Active ColStrip'!$A$11</definedName>
    <definedName name="SHUTDOWN">[9]ShutDown!$B$3:$D$123</definedName>
    <definedName name="solver_eval">0</definedName>
    <definedName name="solver_ntri">1000</definedName>
    <definedName name="solver_rsmp">1</definedName>
    <definedName name="solver_seed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hidden="1">[5]RAB!#REF!</definedName>
    <definedName name="TransSplit">[9]Transmission!$H$85:$BJ$88</definedName>
    <definedName name="trehtweqrwq" hidden="1">#REF!</definedName>
    <definedName name="u" hidden="1">{#N/A,#N/A,FALSE,"Coversheet";#N/A,#N/A,FALSE,"QA"}</definedName>
    <definedName name="U12SD">[9]GM_Control!$F$7</definedName>
    <definedName name="uj" hidden="1">[5]RAB!#REF!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NITS12">'[12]U1&amp;2'!$B$7:$EH$200</definedName>
    <definedName name="UNITS34">'[12]U3&amp;4'!$B$7:$EH$200</definedName>
    <definedName name="v" hidden="1">{#N/A,#N/A,FALSE,"Coversheet";#N/A,#N/A,FALSE,"QA"}</definedName>
    <definedName name="w" hidden="1">{#N/A,#N/A,FALSE,"Schedule F";#N/A,#N/A,FALSE,"Schedule G"}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hidden="1">{#N/A,#N/A,FALSE,"98-99 ICA";#N/A,#N/A,FALSE,"AS Capacity";#N/A,#N/A,FALSE,"99-00 ICA"}</definedName>
    <definedName name="wrn.Allowance._.Analysis." hidden="1">{#N/A,#N/A,FALSE,"F. Tax Analysis";#N/A,#N/A,FALSE,"G. Bond Analysis";#N/A,#N/A,FALSE,"H. Insurance Analysis"}</definedName>
    <definedName name="wrn.Amort._.History.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Depreciation." hidden="1">{#N/A,#N/A,TRUE,"Depreciation Summary";#N/A,#N/A,TRUE,"18, 21 &amp; 22 Depreciation";#N/A,#N/A,TRUE,"11 &amp; 12 Depreciation"}</definedName>
    <definedName name="wrn.Detail." hidden="1">{"Detail",#N/A,FALSE,"Detail"}</definedName>
    <definedName name="wrn.ECR." hidden="1">{#N/A,#N/A,FALSE,"schA"}</definedName>
    <definedName name="wrn.Executive._.Review._.Report." hidden="1">{#N/A,#N/A,FALSE,"Executive Review Sheet";#N/A,#N/A,FALSE,"Summary of Estimate Components";#N/A,#N/A,FALSE,"Summary of Allowances"}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Indirects." hidden="1">{"Budget",#N/A,TRUE,"Criteria";"Summary",#N/A,TRUE,"Summary";"Detail",#N/A,TRUE,"Detail";"Staff",#N/A,TRUE,"Staffing";"Equip",#N/A,TRUE,"Equipment"}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hidden="1">{#N/A,#N/A,FALSE,"Project Profile";#N/A,#N/A,FALSE,"Basis of Estimate"}</definedName>
    <definedName name="wrn.Rev._.0." hidden="1">{"Rev 0 Normal",#N/A,FALSE,"FNM Plan-Rev 0";"Rev 0 Pricing",#N/A,FALSE,"FNM Plan-Rev 0"}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hidden="1">{"Summary",#N/A,FALSE,"Summary"}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" hidden="1">'[14]Balance Sheet'!#REF!</definedName>
    <definedName name="xxxxxxx" hidden="1">{#N/A,#N/A,FALSE,"Sum6 (1)"}</definedName>
    <definedName name="yetr" hidden="1">[5]RAB!#REF!</definedName>
    <definedName name="yjthtrfdhds" hidden="1">#REF!</definedName>
    <definedName name="yre" hidden="1">[2]BalanceSheet!#REF!</definedName>
    <definedName name="yret" hidden="1">[3]RAB!#REF!</definedName>
    <definedName name="ytwtr" hidden="1">#REF!</definedName>
    <definedName name="yu" hidden="1">[2]BalanceSheet!#REF!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21" i="23"/>
  <c r="F17" i="23"/>
  <c r="F19" i="23" s="1"/>
  <c r="F21" i="23" s="1"/>
  <c r="F22" i="23" s="1"/>
  <c r="F23" i="23" s="1"/>
  <c r="B15" i="23"/>
  <c r="B16" i="23" s="1"/>
  <c r="B17" i="23" s="1"/>
  <c r="B18" i="23" s="1"/>
  <c r="B19" i="23" s="1"/>
  <c r="B20" i="23" s="1"/>
  <c r="B21" i="23" s="1"/>
  <c r="B22" i="23" l="1"/>
  <c r="B23" i="23" s="1"/>
  <c r="C17" i="23"/>
  <c r="C23" i="23" l="1"/>
  <c r="C15" i="22" l="1"/>
  <c r="D14" i="22"/>
  <c r="C14" i="22"/>
  <c r="D11" i="22"/>
  <c r="C11" i="22"/>
  <c r="D10" i="22"/>
  <c r="C10" i="22"/>
  <c r="D9" i="22"/>
  <c r="C9" i="22"/>
  <c r="C12" i="22" s="1"/>
  <c r="D6" i="22"/>
  <c r="C6" i="22"/>
  <c r="D5" i="22"/>
  <c r="C5" i="22"/>
  <c r="D4" i="22"/>
  <c r="C4" i="22"/>
  <c r="D15" i="22"/>
  <c r="D12" i="22"/>
  <c r="C16" i="22" l="1"/>
  <c r="D16" i="22"/>
  <c r="D7" i="22"/>
  <c r="C7" i="22"/>
  <c r="C52" i="1" l="1"/>
  <c r="A60" i="1" l="1"/>
  <c r="A59" i="1"/>
  <c r="C48" i="1" l="1"/>
  <c r="F15" i="20"/>
  <c r="E13" i="20"/>
  <c r="E15" i="20" s="1"/>
  <c r="D13" i="20"/>
  <c r="D15" i="20"/>
  <c r="C51" i="1"/>
  <c r="A52" i="1"/>
  <c r="P11" i="18"/>
  <c r="M11" i="18"/>
  <c r="N11" i="18" s="1"/>
  <c r="J11" i="18"/>
  <c r="K11" i="18"/>
  <c r="F11" i="18"/>
  <c r="A12" i="17" l="1"/>
  <c r="A13" i="17" s="1"/>
  <c r="A14" i="17" s="1"/>
  <c r="A15" i="17" s="1"/>
  <c r="A16" i="17" s="1"/>
  <c r="A17" i="17" s="1"/>
  <c r="A18" i="17" s="1"/>
  <c r="A19" i="17" s="1"/>
  <c r="A20" i="17" s="1"/>
  <c r="D15" i="17" l="1"/>
  <c r="D18" i="17" l="1"/>
  <c r="D20" i="17" s="1"/>
  <c r="C47" i="1" s="1"/>
  <c r="J7" i="13" l="1"/>
  <c r="A35" i="14" l="1"/>
  <c r="A33" i="14"/>
  <c r="A32" i="14"/>
  <c r="A29" i="14"/>
  <c r="A27" i="14"/>
  <c r="A26" i="14"/>
  <c r="A25" i="14"/>
  <c r="A22" i="14"/>
  <c r="A19" i="14"/>
  <c r="A17" i="14"/>
  <c r="A16" i="14"/>
  <c r="A15" i="14"/>
  <c r="A14" i="14"/>
  <c r="A13" i="14"/>
  <c r="A10" i="14"/>
  <c r="A9" i="14"/>
  <c r="A8" i="14"/>
  <c r="A51" i="1"/>
  <c r="C26" i="14" l="1"/>
  <c r="C25" i="14"/>
  <c r="C27" i="14" l="1"/>
  <c r="C15" i="14" l="1"/>
  <c r="C9" i="14"/>
  <c r="D12" i="12"/>
  <c r="C12" i="12"/>
  <c r="D9" i="12"/>
  <c r="D10" i="12" s="1"/>
  <c r="D8" i="12"/>
  <c r="C8" i="12"/>
  <c r="D6" i="12"/>
  <c r="D5" i="12"/>
  <c r="D7" i="12" s="1"/>
  <c r="J6" i="13"/>
  <c r="K6" i="13" s="1"/>
  <c r="C10" i="12"/>
  <c r="C5" i="12"/>
  <c r="C7" i="12"/>
  <c r="D60" i="11"/>
  <c r="C60" i="11"/>
  <c r="F59" i="11"/>
  <c r="E59" i="11"/>
  <c r="E58" i="11"/>
  <c r="F58" i="11" s="1"/>
  <c r="F57" i="11"/>
  <c r="E57" i="11"/>
  <c r="E56" i="11"/>
  <c r="F56" i="11" s="1"/>
  <c r="F55" i="11"/>
  <c r="E55" i="11"/>
  <c r="E54" i="11"/>
  <c r="F54" i="11" s="1"/>
  <c r="F53" i="11"/>
  <c r="E53" i="11"/>
  <c r="E52" i="11"/>
  <c r="F52" i="11" s="1"/>
  <c r="F51" i="11"/>
  <c r="E51" i="11"/>
  <c r="E50" i="11"/>
  <c r="F50" i="11" s="1"/>
  <c r="F49" i="11"/>
  <c r="E49" i="11"/>
  <c r="E48" i="11"/>
  <c r="F48" i="11" s="1"/>
  <c r="F47" i="11"/>
  <c r="E47" i="11"/>
  <c r="E46" i="11"/>
  <c r="F46" i="11" s="1"/>
  <c r="F45" i="11"/>
  <c r="E45" i="11"/>
  <c r="E44" i="11"/>
  <c r="F44" i="11" s="1"/>
  <c r="F43" i="11"/>
  <c r="E43" i="11"/>
  <c r="E42" i="11"/>
  <c r="F42" i="11" s="1"/>
  <c r="F41" i="11"/>
  <c r="E41" i="11"/>
  <c r="E40" i="11"/>
  <c r="F40" i="11" s="1"/>
  <c r="F39" i="11"/>
  <c r="E39" i="11"/>
  <c r="E38" i="11"/>
  <c r="F38" i="11" s="1"/>
  <c r="F37" i="11"/>
  <c r="E37" i="11"/>
  <c r="E36" i="11"/>
  <c r="F36" i="11" s="1"/>
  <c r="F35" i="11"/>
  <c r="E35" i="11"/>
  <c r="E34" i="11"/>
  <c r="F34" i="11" s="1"/>
  <c r="F33" i="11"/>
  <c r="E33" i="11"/>
  <c r="E32" i="11"/>
  <c r="F32" i="11" s="1"/>
  <c r="F31" i="11"/>
  <c r="E31" i="11"/>
  <c r="E30" i="11"/>
  <c r="F30" i="11" s="1"/>
  <c r="F29" i="11"/>
  <c r="E29" i="11"/>
  <c r="E28" i="11"/>
  <c r="F28" i="11" s="1"/>
  <c r="F27" i="11"/>
  <c r="E27" i="11"/>
  <c r="E26" i="11"/>
  <c r="F26" i="11" s="1"/>
  <c r="F25" i="11"/>
  <c r="E25" i="11"/>
  <c r="E24" i="11"/>
  <c r="F24" i="11" s="1"/>
  <c r="F23" i="11"/>
  <c r="E23" i="11"/>
  <c r="E22" i="11"/>
  <c r="F22" i="11" s="1"/>
  <c r="F21" i="11"/>
  <c r="E21" i="11"/>
  <c r="E20" i="11"/>
  <c r="F20" i="11" s="1"/>
  <c r="F19" i="11"/>
  <c r="E19" i="11"/>
  <c r="E18" i="11"/>
  <c r="F18" i="11" s="1"/>
  <c r="F17" i="11"/>
  <c r="E17" i="11"/>
  <c r="E16" i="11"/>
  <c r="F16" i="11" s="1"/>
  <c r="F15" i="11"/>
  <c r="E15" i="11"/>
  <c r="E14" i="11"/>
  <c r="F14" i="11" s="1"/>
  <c r="F13" i="11"/>
  <c r="E13" i="11"/>
  <c r="E12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F11" i="11"/>
  <c r="E11" i="11"/>
  <c r="E10" i="11"/>
  <c r="E9" i="11"/>
  <c r="A9" i="11"/>
  <c r="A10" i="11" s="1"/>
  <c r="A11" i="11" s="1"/>
  <c r="E8" i="11"/>
  <c r="E7" i="11"/>
  <c r="D50" i="10"/>
  <c r="C50" i="10"/>
  <c r="E49" i="10"/>
  <c r="F49" i="10" s="1"/>
  <c r="F48" i="10"/>
  <c r="E48" i="10"/>
  <c r="E47" i="10"/>
  <c r="F47" i="10" s="1"/>
  <c r="F46" i="10"/>
  <c r="E46" i="10"/>
  <c r="E45" i="10"/>
  <c r="F45" i="10" s="1"/>
  <c r="F44" i="10"/>
  <c r="E44" i="10"/>
  <c r="E43" i="10"/>
  <c r="F43" i="10" s="1"/>
  <c r="F42" i="10"/>
  <c r="E42" i="10"/>
  <c r="E41" i="10"/>
  <c r="F41" i="10" s="1"/>
  <c r="F40" i="10"/>
  <c r="E40" i="10"/>
  <c r="E39" i="10"/>
  <c r="F39" i="10" s="1"/>
  <c r="F38" i="10"/>
  <c r="E38" i="10"/>
  <c r="E37" i="10"/>
  <c r="F37" i="10" s="1"/>
  <c r="F36" i="10"/>
  <c r="E36" i="10"/>
  <c r="E35" i="10"/>
  <c r="F35" i="10" s="1"/>
  <c r="F34" i="10"/>
  <c r="E34" i="10"/>
  <c r="E33" i="10"/>
  <c r="F33" i="10" s="1"/>
  <c r="F32" i="10"/>
  <c r="E32" i="10"/>
  <c r="E31" i="10"/>
  <c r="F31" i="10" s="1"/>
  <c r="F30" i="10"/>
  <c r="E30" i="10"/>
  <c r="E29" i="10"/>
  <c r="F29" i="10" s="1"/>
  <c r="F28" i="10"/>
  <c r="E28" i="10"/>
  <c r="E27" i="10"/>
  <c r="F27" i="10" s="1"/>
  <c r="F26" i="10"/>
  <c r="E26" i="10"/>
  <c r="E25" i="10"/>
  <c r="F25" i="10" s="1"/>
  <c r="F24" i="10"/>
  <c r="E24" i="10"/>
  <c r="E23" i="10"/>
  <c r="F23" i="10" s="1"/>
  <c r="F22" i="10"/>
  <c r="E22" i="10"/>
  <c r="E21" i="10"/>
  <c r="F21" i="10" s="1"/>
  <c r="F20" i="10"/>
  <c r="E20" i="10"/>
  <c r="E19" i="10"/>
  <c r="F19" i="10" s="1"/>
  <c r="F18" i="10"/>
  <c r="E18" i="10"/>
  <c r="E17" i="10"/>
  <c r="F17" i="10" s="1"/>
  <c r="F16" i="10"/>
  <c r="E16" i="10"/>
  <c r="E15" i="10"/>
  <c r="F15" i="10" s="1"/>
  <c r="F14" i="10"/>
  <c r="E14" i="10"/>
  <c r="E13" i="10"/>
  <c r="F13" i="10" s="1"/>
  <c r="F12" i="10"/>
  <c r="E12" i="10"/>
  <c r="E11" i="10"/>
  <c r="F11" i="10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F10" i="10"/>
  <c r="E10" i="10"/>
  <c r="A10" i="10"/>
  <c r="E9" i="10"/>
  <c r="F9" i="10" s="1"/>
  <c r="F50" i="10" s="1"/>
  <c r="F52" i="10" s="1"/>
  <c r="A9" i="10"/>
  <c r="E8" i="10"/>
  <c r="E50" i="10" s="1"/>
  <c r="E52" i="10" s="1"/>
  <c r="A8" i="10"/>
  <c r="E7" i="10"/>
  <c r="R42" i="9"/>
  <c r="Q42" i="9"/>
  <c r="K42" i="9"/>
  <c r="J42" i="9"/>
  <c r="D42" i="9"/>
  <c r="C42" i="9"/>
  <c r="S41" i="9"/>
  <c r="T41" i="9" s="1"/>
  <c r="P41" i="9"/>
  <c r="L41" i="9"/>
  <c r="M41" i="9" s="1"/>
  <c r="I41" i="9"/>
  <c r="E41" i="9"/>
  <c r="F41" i="9" s="1"/>
  <c r="B41" i="9"/>
  <c r="S40" i="9"/>
  <c r="T40" i="9" s="1"/>
  <c r="M40" i="9"/>
  <c r="L40" i="9"/>
  <c r="E40" i="9"/>
  <c r="F40" i="9" s="1"/>
  <c r="T39" i="9"/>
  <c r="S39" i="9"/>
  <c r="L39" i="9"/>
  <c r="M39" i="9" s="1"/>
  <c r="F39" i="9"/>
  <c r="E39" i="9"/>
  <c r="S38" i="9"/>
  <c r="T38" i="9" s="1"/>
  <c r="M38" i="9"/>
  <c r="L38" i="9"/>
  <c r="E38" i="9"/>
  <c r="F38" i="9" s="1"/>
  <c r="T37" i="9"/>
  <c r="S37" i="9"/>
  <c r="L37" i="9"/>
  <c r="M37" i="9" s="1"/>
  <c r="F37" i="9"/>
  <c r="E37" i="9"/>
  <c r="S36" i="9"/>
  <c r="T36" i="9" s="1"/>
  <c r="M36" i="9"/>
  <c r="L36" i="9"/>
  <c r="E36" i="9"/>
  <c r="F36" i="9" s="1"/>
  <c r="T35" i="9"/>
  <c r="S35" i="9"/>
  <c r="L35" i="9"/>
  <c r="M35" i="9" s="1"/>
  <c r="F35" i="9"/>
  <c r="E35" i="9"/>
  <c r="S34" i="9"/>
  <c r="T34" i="9" s="1"/>
  <c r="M34" i="9"/>
  <c r="L34" i="9"/>
  <c r="E34" i="9"/>
  <c r="F34" i="9" s="1"/>
  <c r="T33" i="9"/>
  <c r="S33" i="9"/>
  <c r="L33" i="9"/>
  <c r="M33" i="9" s="1"/>
  <c r="F33" i="9"/>
  <c r="E33" i="9"/>
  <c r="S32" i="9"/>
  <c r="T32" i="9" s="1"/>
  <c r="M32" i="9"/>
  <c r="L32" i="9"/>
  <c r="E32" i="9"/>
  <c r="F32" i="9" s="1"/>
  <c r="T31" i="9"/>
  <c r="S31" i="9"/>
  <c r="L31" i="9"/>
  <c r="M31" i="9" s="1"/>
  <c r="F31" i="9"/>
  <c r="E31" i="9"/>
  <c r="S30" i="9"/>
  <c r="T30" i="9" s="1"/>
  <c r="M30" i="9"/>
  <c r="L30" i="9"/>
  <c r="E30" i="9"/>
  <c r="F30" i="9" s="1"/>
  <c r="T29" i="9"/>
  <c r="S29" i="9"/>
  <c r="L29" i="9"/>
  <c r="M29" i="9" s="1"/>
  <c r="F29" i="9"/>
  <c r="E29" i="9"/>
  <c r="S28" i="9"/>
  <c r="T28" i="9" s="1"/>
  <c r="Q28" i="9"/>
  <c r="L28" i="9"/>
  <c r="M28" i="9" s="1"/>
  <c r="E28" i="9"/>
  <c r="F28" i="9" s="1"/>
  <c r="S27" i="9"/>
  <c r="T27" i="9" s="1"/>
  <c r="M27" i="9"/>
  <c r="L27" i="9"/>
  <c r="E27" i="9"/>
  <c r="F27" i="9" s="1"/>
  <c r="T26" i="9"/>
  <c r="S26" i="9"/>
  <c r="L26" i="9"/>
  <c r="M26" i="9" s="1"/>
  <c r="F26" i="9"/>
  <c r="E26" i="9"/>
  <c r="S25" i="9"/>
  <c r="T25" i="9" s="1"/>
  <c r="L25" i="9"/>
  <c r="M25" i="9" s="1"/>
  <c r="E25" i="9"/>
  <c r="F25" i="9" s="1"/>
  <c r="T24" i="9"/>
  <c r="S24" i="9"/>
  <c r="L24" i="9"/>
  <c r="M24" i="9" s="1"/>
  <c r="E24" i="9"/>
  <c r="F24" i="9" s="1"/>
  <c r="S23" i="9"/>
  <c r="T23" i="9" s="1"/>
  <c r="M23" i="9"/>
  <c r="L23" i="9"/>
  <c r="E23" i="9"/>
  <c r="F23" i="9" s="1"/>
  <c r="S22" i="9"/>
  <c r="T22" i="9" s="1"/>
  <c r="L22" i="9"/>
  <c r="M22" i="9" s="1"/>
  <c r="F22" i="9"/>
  <c r="E22" i="9"/>
  <c r="S21" i="9"/>
  <c r="T21" i="9" s="1"/>
  <c r="M21" i="9"/>
  <c r="L21" i="9"/>
  <c r="E21" i="9"/>
  <c r="F21" i="9" s="1"/>
  <c r="T20" i="9"/>
  <c r="S20" i="9"/>
  <c r="L20" i="9"/>
  <c r="M20" i="9" s="1"/>
  <c r="E20" i="9"/>
  <c r="F20" i="9" s="1"/>
  <c r="S19" i="9"/>
  <c r="T19" i="9" s="1"/>
  <c r="M19" i="9"/>
  <c r="L19" i="9"/>
  <c r="E19" i="9"/>
  <c r="F19" i="9" s="1"/>
  <c r="S18" i="9"/>
  <c r="T18" i="9" s="1"/>
  <c r="L18" i="9"/>
  <c r="M18" i="9" s="1"/>
  <c r="F18" i="9"/>
  <c r="E18" i="9"/>
  <c r="S17" i="9"/>
  <c r="T17" i="9" s="1"/>
  <c r="L17" i="9"/>
  <c r="M17" i="9" s="1"/>
  <c r="E17" i="9"/>
  <c r="F17" i="9" s="1"/>
  <c r="T16" i="9"/>
  <c r="S16" i="9"/>
  <c r="L16" i="9"/>
  <c r="M16" i="9" s="1"/>
  <c r="F16" i="9"/>
  <c r="E16" i="9"/>
  <c r="S15" i="9"/>
  <c r="T15" i="9" s="1"/>
  <c r="M15" i="9"/>
  <c r="L15" i="9"/>
  <c r="E15" i="9"/>
  <c r="F15" i="9" s="1"/>
  <c r="S14" i="9"/>
  <c r="T14" i="9" s="1"/>
  <c r="L14" i="9"/>
  <c r="M14" i="9" s="1"/>
  <c r="F14" i="9"/>
  <c r="E14" i="9"/>
  <c r="S13" i="9"/>
  <c r="T13" i="9" s="1"/>
  <c r="L13" i="9"/>
  <c r="M13" i="9" s="1"/>
  <c r="E13" i="9"/>
  <c r="F13" i="9" s="1"/>
  <c r="T12" i="9"/>
  <c r="S12" i="9"/>
  <c r="L12" i="9"/>
  <c r="M12" i="9" s="1"/>
  <c r="E12" i="9"/>
  <c r="F12" i="9" s="1"/>
  <c r="S11" i="9"/>
  <c r="T11" i="9" s="1"/>
  <c r="M11" i="9"/>
  <c r="L11" i="9"/>
  <c r="H11" i="9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E11" i="9"/>
  <c r="F11" i="9" s="1"/>
  <c r="F42" i="9" s="1"/>
  <c r="S10" i="9"/>
  <c r="L10" i="9"/>
  <c r="E10" i="9"/>
  <c r="S9" i="9"/>
  <c r="L9" i="9"/>
  <c r="E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S8" i="9"/>
  <c r="O8" i="9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L8" i="9"/>
  <c r="H8" i="9"/>
  <c r="H9" i="9" s="1"/>
  <c r="H10" i="9" s="1"/>
  <c r="E8" i="9"/>
  <c r="A8" i="9"/>
  <c r="S7" i="9"/>
  <c r="S42" i="9" s="1"/>
  <c r="S44" i="9" s="1"/>
  <c r="L7" i="9"/>
  <c r="E7" i="9"/>
  <c r="E42" i="9" s="1"/>
  <c r="A50" i="1"/>
  <c r="C46" i="1"/>
  <c r="H9" i="7"/>
  <c r="D13" i="12" l="1"/>
  <c r="C13" i="14" s="1"/>
  <c r="C13" i="12"/>
  <c r="C8" i="14" s="1"/>
  <c r="C10" i="14" s="1"/>
  <c r="A48" i="10"/>
  <c r="A47" i="10"/>
  <c r="A49" i="10" s="1"/>
  <c r="L42" i="9"/>
  <c r="L44" i="9" s="1"/>
  <c r="E44" i="9" s="1"/>
  <c r="M42" i="9"/>
  <c r="M44" i="9" s="1"/>
  <c r="T42" i="9"/>
  <c r="T44" i="9" s="1"/>
  <c r="E60" i="11"/>
  <c r="E62" i="11" s="1"/>
  <c r="F12" i="11"/>
  <c r="F60" i="11" s="1"/>
  <c r="F62" i="11" s="1"/>
  <c r="F44" i="9" l="1"/>
  <c r="C41" i="1" l="1"/>
  <c r="C40" i="1"/>
  <c r="C15" i="1" l="1"/>
  <c r="C13" i="1"/>
  <c r="A17" i="1"/>
  <c r="A16" i="1"/>
  <c r="A15" i="1"/>
  <c r="A14" i="1"/>
  <c r="A13" i="1"/>
  <c r="A36" i="1"/>
  <c r="C33" i="1"/>
  <c r="C32" i="1"/>
  <c r="C31" i="1"/>
  <c r="C30" i="1"/>
  <c r="C29" i="1"/>
  <c r="A35" i="1"/>
  <c r="A34" i="1"/>
  <c r="A33" i="1"/>
  <c r="A32" i="1"/>
  <c r="A31" i="1"/>
  <c r="A30" i="1"/>
  <c r="A29" i="1"/>
  <c r="B14" i="4"/>
  <c r="C25" i="1"/>
  <c r="C24" i="1"/>
  <c r="C22" i="1"/>
  <c r="C21" i="1"/>
  <c r="C20" i="1"/>
  <c r="E17" i="2"/>
  <c r="F11" i="2" l="1"/>
  <c r="F10" i="2"/>
  <c r="C15" i="2"/>
  <c r="D15" i="2"/>
  <c r="E15" i="2"/>
  <c r="E16" i="2"/>
  <c r="C17" i="2"/>
  <c r="F4" i="2"/>
  <c r="D17" i="2"/>
  <c r="C36" i="1"/>
  <c r="D16" i="2"/>
  <c r="E12" i="2"/>
  <c r="C17" i="1"/>
  <c r="C22" i="14"/>
  <c r="C16" i="2"/>
  <c r="F5" i="2"/>
  <c r="D12" i="2"/>
  <c r="F9" i="2"/>
  <c r="F12" i="2" s="1"/>
  <c r="E6" i="2"/>
  <c r="D6" i="2"/>
  <c r="F3" i="2"/>
  <c r="C6" i="2"/>
  <c r="C12" i="2"/>
  <c r="E18" i="2" l="1"/>
  <c r="C14" i="14"/>
  <c r="C8" i="1"/>
  <c r="F17" i="2"/>
  <c r="C9" i="1"/>
  <c r="F16" i="2"/>
  <c r="C7" i="1"/>
  <c r="F15" i="2"/>
  <c r="F18" i="2" s="1"/>
  <c r="D18" i="2"/>
  <c r="C16" i="14"/>
  <c r="F6" i="2"/>
  <c r="C18" i="2"/>
  <c r="C49" i="1" l="1"/>
  <c r="C17" i="14"/>
  <c r="C19" i="14" s="1"/>
  <c r="C30" i="14" s="1"/>
  <c r="C35" i="14" s="1"/>
  <c r="C23" i="1"/>
  <c r="D16" i="14" s="1"/>
  <c r="C10" i="1"/>
  <c r="A49" i="1"/>
  <c r="A57" i="1"/>
  <c r="A56" i="1"/>
  <c r="A54" i="1"/>
  <c r="A53" i="1"/>
  <c r="A48" i="1"/>
  <c r="A47" i="1"/>
  <c r="A46" i="1"/>
  <c r="A43" i="1"/>
  <c r="A42" i="1"/>
  <c r="A41" i="1"/>
  <c r="A40" i="1"/>
  <c r="A38" i="1"/>
  <c r="A26" i="1"/>
  <c r="A25" i="1"/>
  <c r="A24" i="1"/>
  <c r="A23" i="1"/>
  <c r="A22" i="1"/>
  <c r="A21" i="1"/>
  <c r="A20" i="1"/>
  <c r="A10" i="1"/>
  <c r="A9" i="1"/>
  <c r="A8" i="1"/>
  <c r="A7" i="1"/>
  <c r="C26" i="1" l="1"/>
  <c r="C38" i="1" s="1"/>
  <c r="C43" i="1" s="1"/>
  <c r="C54" i="1" s="1"/>
  <c r="C57" i="1" s="1"/>
  <c r="C60" i="1" s="1"/>
  <c r="C50" i="1"/>
  <c r="C53" i="1" s="1"/>
</calcChain>
</file>

<file path=xl/sharedStrings.xml><?xml version="1.0" encoding="utf-8"?>
<sst xmlns="http://schemas.openxmlformats.org/spreadsheetml/2006/main" count="477" uniqueCount="332">
  <si>
    <t>Revenue</t>
  </si>
  <si>
    <t>Ref #</t>
  </si>
  <si>
    <t>Item</t>
  </si>
  <si>
    <t>Requirement</t>
  </si>
  <si>
    <t>Accumulated Depreciation</t>
  </si>
  <si>
    <t>Approved Rate of Return</t>
  </si>
  <si>
    <t>Approved Weighted Average Cost of Debt</t>
  </si>
  <si>
    <t>Statutory Federal Income Tax Rate</t>
  </si>
  <si>
    <t>Return on rate base</t>
  </si>
  <si>
    <t>Net Operating Income for:</t>
  </si>
  <si>
    <t>Total before revenue sensitive fees and taxes</t>
  </si>
  <si>
    <t>Conversion Factor</t>
  </si>
  <si>
    <t>Gross Plant</t>
  </si>
  <si>
    <t>Deferred Income Taxes</t>
  </si>
  <si>
    <t>Depreciation Expense</t>
  </si>
  <si>
    <t>Production O&amp;M Expense</t>
  </si>
  <si>
    <t>Montana Energy Tax</t>
  </si>
  <si>
    <t>Property and Liability Insurance</t>
  </si>
  <si>
    <t>Colstrip 3:</t>
  </si>
  <si>
    <t>Gross Plant in Service</t>
  </si>
  <si>
    <t>Deferred Federal Income Tax</t>
  </si>
  <si>
    <t>Net Plant Balance</t>
  </si>
  <si>
    <t>Plant</t>
  </si>
  <si>
    <t>Decommissioning</t>
  </si>
  <si>
    <t>Remediation</t>
  </si>
  <si>
    <t>Total</t>
  </si>
  <si>
    <t>Colstrip 4:</t>
  </si>
  <si>
    <t>Colstrip 3&amp;4:</t>
  </si>
  <si>
    <t xml:space="preserve">D&amp;R </t>
  </si>
  <si>
    <t>108-TGrant RCW 80.84</t>
  </si>
  <si>
    <t>Colstrip 1&amp;2 D&amp;R Spend</t>
  </si>
  <si>
    <t>Colstrip 1&amp;2 D&amp;R Recovery</t>
  </si>
  <si>
    <t>Pre 2023 3&amp;4 Recovered D&amp;R</t>
  </si>
  <si>
    <t>Colstrip 3&amp;4 D&amp;R Spend</t>
  </si>
  <si>
    <t>Colstrip 3&amp;4 D&amp;R Recovery</t>
  </si>
  <si>
    <t>Total 1-4 D&amp;R</t>
  </si>
  <si>
    <t xml:space="preserve">Total Net Plant </t>
  </si>
  <si>
    <t>GL Account</t>
  </si>
  <si>
    <t>Description</t>
  </si>
  <si>
    <t>Colstrip 1&amp;2 Non-legal RWIP/Salvage</t>
  </si>
  <si>
    <t>Reg Asst Unit 1&amp;2 DR</t>
  </si>
  <si>
    <t>Reg Asst Unit 3&amp;4 DR</t>
  </si>
  <si>
    <t>Colstrip 1&amp;2 Regulatory Asset</t>
  </si>
  <si>
    <t>DFIT on 1&amp;2 Regulatory Asset</t>
  </si>
  <si>
    <t>Monteized PTCs</t>
  </si>
  <si>
    <t>PTC Accrued Interest</t>
  </si>
  <si>
    <t>Montana Transition Fund</t>
  </si>
  <si>
    <t>DFIT Monetized PTCs</t>
  </si>
  <si>
    <t>DFIT Monetized PTC Interest Accrual</t>
  </si>
  <si>
    <t xml:space="preserve">Units 3&amp;4 Accretion </t>
  </si>
  <si>
    <t>Life-to-Date</t>
  </si>
  <si>
    <t>3&amp;4</t>
  </si>
  <si>
    <t>Regulatory Assets</t>
  </si>
  <si>
    <t>DFIT on Units 1&amp;2 PTC Application</t>
  </si>
  <si>
    <t>DFIT on Units 3&amp;4 PTC Application</t>
  </si>
  <si>
    <t>PTC's</t>
  </si>
  <si>
    <t>Colstrip 3&amp;4 Regulatory Asset</t>
  </si>
  <si>
    <t>DFIT on 3&amp;4 Regulatory Asset</t>
  </si>
  <si>
    <t>Total PTC's</t>
  </si>
  <si>
    <t>Total Regulatory Assets</t>
  </si>
  <si>
    <t>Total Rate Base</t>
  </si>
  <si>
    <t>PUGET SOUND ENERGY - ELECTRIC</t>
  </si>
  <si>
    <t>ELECTRIC RESULTS OF OPERATIONS</t>
  </si>
  <si>
    <t>2022 GENERAL RATE CASE</t>
  </si>
  <si>
    <t>12 MONTHS ENDED JUNE 30, 2021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</si>
  <si>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</si>
  <si>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</si>
  <si>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</si>
  <si>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</si>
  <si>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</si>
  <si>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</si>
  <si>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</si>
  <si>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FIT</t>
  </si>
  <si>
    <t>EXH. SEF-3 page 1 of 3</t>
  </si>
  <si>
    <t>EXH. SEF-3 page 2 of 3</t>
  </si>
  <si>
    <t>EXH. SEF-3 page 3 of 3</t>
  </si>
  <si>
    <t>GENERAL RATE INCREASE</t>
  </si>
  <si>
    <t>REQUESTED COST OF CAPITAL</t>
  </si>
  <si>
    <t>CAPITAL</t>
  </si>
  <si>
    <t>WEIGHTED</t>
  </si>
  <si>
    <t>RATE YEAR 1</t>
  </si>
  <si>
    <t>RATE YEAR 2</t>
  </si>
  <si>
    <t>RATE YEAR 3</t>
  </si>
  <si>
    <t>STRUCTURE</t>
  </si>
  <si>
    <t>COST</t>
  </si>
  <si>
    <t>RATE BASE</t>
  </si>
  <si>
    <t>Restating through December 2022</t>
  </si>
  <si>
    <t>RATE OF RETURN</t>
  </si>
  <si>
    <t>SHORT AND LONG TERM DEBT</t>
  </si>
  <si>
    <t>EQUITY</t>
  </si>
  <si>
    <t>OPERATING INCOME REQUIREMENT</t>
  </si>
  <si>
    <t>TOTAL</t>
  </si>
  <si>
    <t>PRO FORMA OPERATING INCOME</t>
  </si>
  <si>
    <t>AFTER TAX SHORT TERM DEBT ( (LINE 1)* 79%)</t>
  </si>
  <si>
    <t>OPERATING INCOME DEFICIENCY</t>
  </si>
  <si>
    <t>TOTAL AFTER TAX COST OF CAPITAL</t>
  </si>
  <si>
    <t>CUMULATIVE REVENUE CHANGE</t>
  </si>
  <si>
    <t>NET REVENUE CHANGE BY RATE YEAR</t>
  </si>
  <si>
    <t>CHANGES TO OTHER PRICE SCHEDULES FROM EXH. BDJ-7</t>
  </si>
  <si>
    <t>`</t>
  </si>
  <si>
    <t>SET TO ZERO:</t>
  </si>
  <si>
    <t>SCHEDULE 95 - 2020 PCORC</t>
  </si>
  <si>
    <t>SCHEDULE 139</t>
  </si>
  <si>
    <t>NEW TARIFF RATES:</t>
  </si>
  <si>
    <t>SCHEDULE 139 - UPDATE RESOURCE COST TO 2023 AND UPDATE CREDIT</t>
  </si>
  <si>
    <t xml:space="preserve"> SCHEDULE 141A ENERGY CHARGE CREDIT IN SCH 139</t>
  </si>
  <si>
    <t>SCHEDULE 141C - COLSTRIP TRACKER</t>
  </si>
  <si>
    <t>IMPACT OF CHANGES IN LOAD</t>
  </si>
  <si>
    <t>SUBTOTAL CHANGES TO OTHER PRICE SCHEDULES</t>
  </si>
  <si>
    <t>NET REVENUE CHANGE AFTER TRACKERS AND RIDERS</t>
  </si>
  <si>
    <t>PERCENTAGE CHANGE</t>
  </si>
  <si>
    <t>REVENUES PER EXH. BDJ-7 BILL IMPACTS</t>
  </si>
  <si>
    <t>Note:  Amounts in bold and italics are different from the October 18, 2022 PSE Response to WUTC Bench Request 002.</t>
  </si>
  <si>
    <t>Check line 21 s/b $0 ===&gt;</t>
  </si>
  <si>
    <t>Check line 23 s/b $0 ===&gt;</t>
  </si>
  <si>
    <t>Check line 35 s/b $0 ===&gt;</t>
  </si>
  <si>
    <t>Check line 37 s/b $0 ===&gt;</t>
  </si>
  <si>
    <t>Check line 38 s/b $0 ===&gt;</t>
  </si>
  <si>
    <t>Double Click to</t>
  </si>
  <si>
    <t>See Explanation Below</t>
  </si>
  <si>
    <r>
      <t>Explanation of changes between BR2 and</t>
    </r>
    <r>
      <rPr>
        <sz val="9.35"/>
        <color rgb="FFFF0000"/>
        <rFont val="Calibri"/>
        <family val="2"/>
      </rPr>
      <t xml:space="preserve"> REVISED</t>
    </r>
    <r>
      <rPr>
        <sz val="11"/>
        <color theme="1"/>
        <rFont val="Calibri"/>
        <family val="2"/>
      </rPr>
      <t xml:space="preserve"> Compliance Filing</t>
    </r>
  </si>
  <si>
    <t>Dollars</t>
  </si>
  <si>
    <t>% increase</t>
  </si>
  <si>
    <t>Net Revenue Change per BR 2 (NEW-PSE-WP-BDJ-7-ELEC-BILL-IMPACTS-22GRC-01-2022; Tabs "Rate Impacts_RY#1"; cell AB23 and "Rate Impacts_RY#2"; cell T23 )</t>
  </si>
  <si>
    <t>Update Power Costs</t>
  </si>
  <si>
    <t>Remove stlmt placeholder from Prod O&amp;M for the load adj. to Pwr Csts</t>
  </si>
  <si>
    <t>Changes to Other Price Schedules from Exh. BDJ-7 and rounding</t>
  </si>
  <si>
    <t>Net Revenue Change per Compliance Filing</t>
  </si>
  <si>
    <t>Check</t>
  </si>
  <si>
    <t>From BR2 - Same location as line 58</t>
  </si>
  <si>
    <t>2023 Change</t>
  </si>
  <si>
    <t>2024 Change</t>
  </si>
  <si>
    <t>IMPACT FOR CHANGES IN LOAD</t>
  </si>
  <si>
    <t>ROUNDING</t>
  </si>
  <si>
    <t>REVENUES PER EXH. BDJ-7 BILL IMPACTS - Bench Request 02</t>
  </si>
  <si>
    <t>REVENUES PER EXH. BDJ-7 BILL IMPACTS - Compliance</t>
  </si>
  <si>
    <t>ROUNDING FROM COS</t>
  </si>
  <si>
    <t>STATE UTILITY TAX ( 3.8455% - ( LINE 1 * 3.8455% )  )</t>
  </si>
  <si>
    <t>CONVERSION FACTOR EXCLUDING FEDERAL INCOME TAX ( 1 - LINE 17 )</t>
  </si>
  <si>
    <t xml:space="preserve">CONVERSION FACTOR INCL FEDERAL INCOME TAX ( LINE 18 - LINE 19 ) </t>
  </si>
  <si>
    <t xml:space="preserve">Colstrip Production O&amp;M </t>
  </si>
  <si>
    <t xml:space="preserve">2022 5YP </t>
  </si>
  <si>
    <t>Category 1</t>
  </si>
  <si>
    <t>Category 2</t>
  </si>
  <si>
    <t>Cost Center</t>
  </si>
  <si>
    <t>WBS Element</t>
  </si>
  <si>
    <t>Cost Element</t>
  </si>
  <si>
    <t>Corporate Items</t>
  </si>
  <si>
    <t>Generation Amortization</t>
  </si>
  <si>
    <t>CC_9801 - Generation Amortization</t>
  </si>
  <si>
    <t>W_C.99999.03.25.10 - COL U1 U2 Major Maint Amortization</t>
  </si>
  <si>
    <t>A_63300191 - Planning - Amortization</t>
  </si>
  <si>
    <t>W_C.99999.03.25.11 - COL U3 U4 Major Maint Amortization</t>
  </si>
  <si>
    <t>VP Direct</t>
  </si>
  <si>
    <t>Energy Supply</t>
  </si>
  <si>
    <t>CC_5012 - Joint Generation</t>
  </si>
  <si>
    <t>W_K.99999.03.24.03 - COL U1 U2 Operations</t>
  </si>
  <si>
    <t>A_63300152 - Planning - Outside Services-Service Prov</t>
  </si>
  <si>
    <t>W_K.99999.03.24.05 - COL U3 U4 Maintenance</t>
  </si>
  <si>
    <t>W_K.99999.03.24.06 - COL U3 U4 Operations</t>
  </si>
  <si>
    <t>Total Plant Site Remediation</t>
  </si>
  <si>
    <t>Colstrip Annual Report (UE-170033)</t>
  </si>
  <si>
    <t>Plant Site Remediation Units 1&amp;2</t>
  </si>
  <si>
    <t>Plant Site Remediation Units 3&amp;4</t>
  </si>
  <si>
    <t>MDEQ CONDITIONALLY APPROVED ALTERNATIVE 4</t>
  </si>
  <si>
    <t>September 30, 2023</t>
  </si>
  <si>
    <t>November 30, 2022</t>
  </si>
  <si>
    <t>BASED ON TABLE 7-6 FROM FINANCIAL ASSURANCE APPROVED 6/1/2023</t>
  </si>
  <si>
    <t>Attachment A</t>
  </si>
  <si>
    <t>BASED ON TABLE 7-6 FROM FINANCIAL ASSURANCE UPDATE 11/21/2022</t>
  </si>
  <si>
    <t>Page 1 of 5</t>
  </si>
  <si>
    <t>Page 2 of 5</t>
  </si>
  <si>
    <t>Page 3 of 5</t>
  </si>
  <si>
    <t>Line</t>
  </si>
  <si>
    <t>Year</t>
  </si>
  <si>
    <t>Total Plant Site Capital</t>
  </si>
  <si>
    <t>Total Plant Site O&amp;M</t>
  </si>
  <si>
    <t>Total 2023 dollars</t>
  </si>
  <si>
    <t>Adjust for inflation @ 2.5%</t>
  </si>
  <si>
    <t>Colstrip 1&amp;2 Capital (100%)</t>
  </si>
  <si>
    <t>Colstrip 1&amp;2 O&amp;M (100%)</t>
  </si>
  <si>
    <t>Colstrip 1&amp;2 Total 2023 dollars</t>
  </si>
  <si>
    <t>Colstrip 1&amp;2 Adjusted for inflation @ 2.5%</t>
  </si>
  <si>
    <t>Colstrip 3&amp;4 Capital (100%)</t>
  </si>
  <si>
    <t>Colstrip 3&amp;4 O&amp;M (100%)</t>
  </si>
  <si>
    <t>Colstrip 3&amp;4 Total 2023 dollars</t>
  </si>
  <si>
    <t>Colstrip 3&amp;4 Adjusted for inflation @ 2.5%</t>
  </si>
  <si>
    <t>PSE's Share</t>
  </si>
  <si>
    <t>PSE's Share@ 50%</t>
  </si>
  <si>
    <t>PSE's Share @ 25%</t>
  </si>
  <si>
    <r>
      <t xml:space="preserve">Units 1&amp;2 Integrated Remediation - </t>
    </r>
    <r>
      <rPr>
        <b/>
        <sz val="10"/>
        <color rgb="FFFF0000"/>
        <rFont val="Times New Roman"/>
        <family val="1"/>
      </rPr>
      <t>Alternative 10</t>
    </r>
  </si>
  <si>
    <t>BASED ON TABLE X FROM FINANCIAL ASSURANCE APPROVED 6/1/2023</t>
  </si>
  <si>
    <t>Page 4 of 5</t>
  </si>
  <si>
    <t>Capital</t>
  </si>
  <si>
    <t>O&amp;M</t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</si>
  <si>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4</t>
    </r>
  </si>
  <si>
    <t>BASED ON TABLE 7-5 FROM FINANCIAL ASSURANCE APPROVED 6/1/2023</t>
  </si>
  <si>
    <t>Assumes Colstrip 3&amp;4 operate until 2040</t>
  </si>
  <si>
    <t>Page 5 of 5</t>
  </si>
  <si>
    <t>1&amp;2</t>
  </si>
  <si>
    <t>Legal Remediation Estimate</t>
  </si>
  <si>
    <t>Non-Legal Estimate*</t>
  </si>
  <si>
    <t xml:space="preserve">Total  </t>
  </si>
  <si>
    <t>Escalated Remediation Estimate</t>
  </si>
  <si>
    <t>Escalated Non-Legal Estimate</t>
  </si>
  <si>
    <t>Total Escalated Value</t>
  </si>
  <si>
    <t>Plus: Paid-to-date</t>
  </si>
  <si>
    <t>Total to Collect</t>
  </si>
  <si>
    <t>*1&amp;2 Non-Legal spend has already occurred and does not need to be estimated</t>
  </si>
  <si>
    <t>Decommissioning and Remediation Costs</t>
  </si>
  <si>
    <t>DISMANTLEMENT COSTS</t>
  </si>
  <si>
    <t>COST PER KW</t>
  </si>
  <si>
    <t>MW</t>
  </si>
  <si>
    <t>PSE SHARE</t>
  </si>
  <si>
    <t>PSE MW</t>
  </si>
  <si>
    <t>ESCALATED COST</t>
  </si>
  <si>
    <t>(4)</t>
  </si>
  <si>
    <t>(5)</t>
  </si>
  <si>
    <t>(6)</t>
  </si>
  <si>
    <t>(7)</t>
  </si>
  <si>
    <t>(8)=(4)*(7)*1000</t>
  </si>
  <si>
    <t>COLSTRIP 3-4</t>
  </si>
  <si>
    <t>COLSTRIP 1-2</t>
  </si>
  <si>
    <t>*</t>
  </si>
  <si>
    <t>* Based on actual spend recorded in GL 10800771</t>
  </si>
  <si>
    <t>Escalation Assumptions</t>
  </si>
  <si>
    <t>Current Year</t>
  </si>
  <si>
    <t>Retirement Year</t>
  </si>
  <si>
    <t>Escalation Rate</t>
  </si>
  <si>
    <t>Balance</t>
  </si>
  <si>
    <t>Estimated Remediation and Cost of Removal</t>
  </si>
  <si>
    <t>Recovered Remediation</t>
  </si>
  <si>
    <t>Recovered Accretion Expense</t>
  </si>
  <si>
    <t>Recovered Decom</t>
  </si>
  <si>
    <t>Estimated Remediation &amp; Cost of Removal</t>
  </si>
  <si>
    <t>Total D&amp;R Costs</t>
  </si>
  <si>
    <t>PTCs:</t>
  </si>
  <si>
    <t>PTCs Reserved for D&amp;R</t>
  </si>
  <si>
    <t>Tracker Recovery:</t>
  </si>
  <si>
    <t>1&amp;2 D&amp;R Collected</t>
  </si>
  <si>
    <t>3&amp;4 D&amp;R Collected</t>
  </si>
  <si>
    <t>Years Remaining D&amp;R</t>
  </si>
  <si>
    <t>Years Remaining Plant</t>
  </si>
  <si>
    <t>Total 1&amp;2 D&amp;R Costs</t>
  </si>
  <si>
    <t>Total 3&amp;4 D&amp;R Costs</t>
  </si>
  <si>
    <t>Total Tracker Recovery</t>
  </si>
  <si>
    <t>Total D&amp;R to Recover</t>
  </si>
  <si>
    <t>FIT on Tracker Items</t>
  </si>
  <si>
    <t>D&amp;R Costs:</t>
  </si>
  <si>
    <t>Colstrip 1&amp;2:</t>
  </si>
  <si>
    <t>PUGET SOUND ENERGY</t>
  </si>
  <si>
    <t>2024 COLSTRIP TRACKER - REVENUE REQUIREMENT</t>
  </si>
  <si>
    <t>AS OF JUNE 30, 2023</t>
  </si>
  <si>
    <t>PUGET SOUND ENERGY-ELECTRIC</t>
  </si>
  <si>
    <t>MONTANA ELECTRIC ENERGY TAX</t>
  </si>
  <si>
    <t>Rate Yr 2</t>
  </si>
  <si>
    <t>Actual KWh / Rate Yr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</si>
  <si>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</si>
  <si>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</si>
  <si>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</si>
  <si>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</si>
  <si>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</si>
  <si>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RESTATED/PRO FORMA ENERGY TAX (LINE 1 X LINE 2)</t>
  </si>
  <si>
    <t>Total Revenue Requirement</t>
  </si>
  <si>
    <t>2024 GRC Colstrip ADIT and EDIT</t>
  </si>
  <si>
    <t>JK OK 9/7/23</t>
  </si>
  <si>
    <t>July 2022- June 2023</t>
  </si>
  <si>
    <t>AR OK 9/7/23</t>
  </si>
  <si>
    <t>timing M1 add/(subtract)</t>
  </si>
  <si>
    <t>DFIT and F/T Reversal</t>
  </si>
  <si>
    <t>provision</t>
  </si>
  <si>
    <t>reversal</t>
  </si>
  <si>
    <t>f/t</t>
  </si>
  <si>
    <t>total</t>
  </si>
  <si>
    <t>Beg ADIT</t>
  </si>
  <si>
    <t>provision @ 21%</t>
  </si>
  <si>
    <t>total reversal @ ARAM rate</t>
  </si>
  <si>
    <t>total dfit</t>
  </si>
  <si>
    <t>End ADIT</t>
  </si>
  <si>
    <t>Beg EDIT</t>
  </si>
  <si>
    <t>EDIT reversal</t>
  </si>
  <si>
    <t>End EDIT</t>
  </si>
  <si>
    <t>F/T reversal</t>
  </si>
  <si>
    <t xml:space="preserve">EDIT + F/T </t>
  </si>
  <si>
    <t>Colstrip 3&amp;4</t>
  </si>
  <si>
    <t>2023</t>
  </si>
  <si>
    <t>DFIT Reversal (EDIT, Flow-Through)</t>
  </si>
  <si>
    <t>Policy premiums</t>
  </si>
  <si>
    <t>2023-24</t>
  </si>
  <si>
    <t xml:space="preserve">Unit 1&amp;2 </t>
  </si>
  <si>
    <t xml:space="preserve"> Unit 3&amp;4 </t>
  </si>
  <si>
    <t>Property Ins</t>
  </si>
  <si>
    <t>Excess Liability</t>
  </si>
  <si>
    <t>General Liability</t>
  </si>
  <si>
    <t>Auto Liability</t>
  </si>
  <si>
    <t>Cyber Insurance</t>
  </si>
  <si>
    <t>Financial Services Ins</t>
  </si>
  <si>
    <t>Jurisdictional Insp. (Boiler)</t>
  </si>
  <si>
    <t>Puget %</t>
  </si>
  <si>
    <t>Puget's share (annual basis)</t>
  </si>
  <si>
    <t xml:space="preserve">Total 100% </t>
  </si>
  <si>
    <t>Net Revenue Change</t>
  </si>
  <si>
    <t>Prior Year (2023 Revenue Requirement)</t>
  </si>
  <si>
    <t>Per Power Plant Report ARO-1110 run for each year</t>
  </si>
  <si>
    <t>Provided by Joint Generation Group 9/6/2023</t>
  </si>
  <si>
    <t>Provided by Insurance Risk, 9/8/2023</t>
  </si>
  <si>
    <t>KWH provided by Power Cost group 9/7/2023</t>
  </si>
  <si>
    <t xml:space="preserve">Estimated Decommissioning and Remediation Costs </t>
  </si>
  <si>
    <t>2024 Colstrip Tracker</t>
  </si>
  <si>
    <t>PB - Capex &amp; Removal</t>
  </si>
  <si>
    <t>2024</t>
  </si>
  <si>
    <t>CO_1000: Puget Sound Energy (OpCo)</t>
  </si>
  <si>
    <t>W_K.10036.01.01.01: COL 1&amp;2 Remediation (Legal)</t>
  </si>
  <si>
    <t>W_K.10036.01.02.01: COL 1&amp;2 Decommissioning (Non-legal)</t>
  </si>
  <si>
    <t>W_K.10036.02.01.01: COL 3&amp;4 Remediation (Legal)</t>
  </si>
  <si>
    <t>Provided by FP&amp;A 9/1/2023</t>
  </si>
  <si>
    <t>Current Dollars</t>
  </si>
  <si>
    <t>Inflation Adjusted @ 2.5%</t>
  </si>
  <si>
    <t>Plant Site</t>
  </si>
  <si>
    <t>1&amp;2 Integrated</t>
  </si>
  <si>
    <t>Total 1&amp;2</t>
  </si>
  <si>
    <t>Total 3&amp;4</t>
  </si>
  <si>
    <t>T Grants</t>
  </si>
  <si>
    <t>Deficiency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</si>
  <si>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</si>
  <si>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Actual 1&amp;2 D&amp;R Spend</t>
  </si>
  <si>
    <t>FIT Treasury Grant Amortization</t>
  </si>
  <si>
    <t>check</t>
  </si>
  <si>
    <t>Electric Conversion Factor from UE-220066 updated for new Annual Filing Fee Rate</t>
  </si>
  <si>
    <t>RATE YEARS CALENDAR 2023 AND 2024</t>
  </si>
  <si>
    <t>Annual D&amp;R To Recover</t>
  </si>
  <si>
    <t>D&amp;R To Recover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</si>
</sst>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0%"/>
    <numFmt numFmtId="168" formatCode="_(* #,##0.000000_);_(* \(#,##0.000000\);_(* &quot;-&quot;??????_);_(@_)"/>
    <numFmt numFmtId="169" formatCode="&quot;$&quot;#,##0"/>
    <numFmt numFmtId="170" formatCode="[$-409]d\-mmm\-yy;@"/>
    <numFmt numFmtId="171" formatCode="_(* #,##0.000_);_(* \(#,##0.000\);_(* &quot;-&quot;??_);_(@_)"/>
    <numFmt numFmtId="172" formatCode="[$-409]mmmm\ d\,\ yyyy;@"/>
    <numFmt numFmtId="173" formatCode="#,##0;\(#,##0\)"/>
    <numFmt numFmtId="174" formatCode="0.0%"/>
    <numFmt numFmtId="175" formatCode="#,##0.0000_);\(#,##0.0000\)"/>
    <numFmt numFmtId="176" formatCode="#,##0_);[Red]\(#,##0\);&quot; &quot;"/>
  </numFmts>
  <fonts count="4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0000FF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0"/>
      <name val="Calibri"/>
      <family val="2"/>
      <scheme val="minor"/>
    </font>
    <font>
      <sz val="9.35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6"/>
      <color rgb="FFFF0000"/>
      <name val="Calibri"/>
      <family val="2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0" fillId="0" borderId="0"/>
    <xf numFmtId="37" fontId="30" fillId="0" borderId="0"/>
    <xf numFmtId="37" fontId="30" fillId="0" borderId="0"/>
    <xf numFmtId="41" fontId="30" fillId="0" borderId="0" applyFont="0" applyFill="0" applyBorder="0" applyAlignment="0" applyProtection="0"/>
    <xf numFmtId="0" fontId="39" fillId="0" borderId="0"/>
    <xf numFmtId="170" fontId="5" fillId="0" borderId="0"/>
    <xf numFmtId="0" fontId="43" fillId="5" borderId="0" applyNumberFormat="0" applyBorder="0" applyAlignment="0" applyProtection="0"/>
    <xf numFmtId="0" fontId="1" fillId="0" borderId="0"/>
  </cellStyleXfs>
  <cellXfs count="32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164" fontId="3" fillId="0" borderId="0" xfId="2" applyNumberFormat="1" applyFont="1" applyFill="1" applyBorder="1"/>
    <xf numFmtId="165" fontId="3" fillId="0" borderId="0" xfId="1" applyNumberFormat="1" applyFont="1" applyFill="1" applyBorder="1"/>
    <xf numFmtId="164" fontId="3" fillId="0" borderId="0" xfId="2" applyNumberFormat="1" applyFont="1" applyFill="1" applyBorder="1" applyAlignment="1">
      <alignment horizontal="center"/>
    </xf>
    <xf numFmtId="41" fontId="3" fillId="0" borderId="0" xfId="2" applyNumberFormat="1" applyFont="1" applyFill="1" applyBorder="1" applyAlignment="1"/>
    <xf numFmtId="164" fontId="3" fillId="0" borderId="2" xfId="2" applyNumberFormat="1" applyFont="1" applyFill="1" applyBorder="1" applyAlignment="1"/>
    <xf numFmtId="10" fontId="3" fillId="0" borderId="0" xfId="3" applyNumberFormat="1" applyFont="1" applyFill="1" applyBorder="1"/>
    <xf numFmtId="9" fontId="3" fillId="0" borderId="0" xfId="3" applyFont="1" applyFill="1" applyBorder="1"/>
    <xf numFmtId="0" fontId="4" fillId="0" borderId="0" xfId="0" applyFont="1" applyFill="1" applyBorder="1"/>
    <xf numFmtId="41" fontId="3" fillId="0" borderId="0" xfId="2" applyNumberFormat="1" applyFont="1" applyFill="1" applyBorder="1"/>
    <xf numFmtId="0" fontId="3" fillId="0" borderId="0" xfId="0" applyFont="1" applyFill="1" applyBorder="1" applyAlignment="1"/>
    <xf numFmtId="166" fontId="3" fillId="0" borderId="0" xfId="2" applyNumberFormat="1" applyFont="1" applyFill="1" applyBorder="1"/>
    <xf numFmtId="0" fontId="5" fillId="0" borderId="0" xfId="4"/>
    <xf numFmtId="0" fontId="5" fillId="0" borderId="0" xfId="4" applyFont="1"/>
    <xf numFmtId="17" fontId="6" fillId="0" borderId="0" xfId="4" applyNumberFormat="1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4" xfId="4" applyFont="1" applyBorder="1"/>
    <xf numFmtId="0" fontId="6" fillId="0" borderId="4" xfId="4" applyFont="1" applyBorder="1" applyAlignment="1">
      <alignment horizontal="center" wrapText="1"/>
    </xf>
    <xf numFmtId="165" fontId="5" fillId="0" borderId="4" xfId="4" applyNumberFormat="1" applyFont="1" applyBorder="1"/>
    <xf numFmtId="0" fontId="6" fillId="0" borderId="4" xfId="4" applyFont="1" applyBorder="1"/>
    <xf numFmtId="165" fontId="5" fillId="0" borderId="0" xfId="4" applyNumberFormat="1" applyFont="1"/>
    <xf numFmtId="165" fontId="6" fillId="0" borderId="4" xfId="4" applyNumberFormat="1" applyFont="1" applyBorder="1" applyAlignment="1">
      <alignment horizontal="center" wrapText="1"/>
    </xf>
    <xf numFmtId="0" fontId="6" fillId="0" borderId="0" xfId="4" applyFont="1" applyBorder="1"/>
    <xf numFmtId="165" fontId="5" fillId="0" borderId="0" xfId="4" applyNumberFormat="1" applyFont="1" applyBorder="1"/>
    <xf numFmtId="0" fontId="8" fillId="0" borderId="0" xfId="4" applyFont="1"/>
    <xf numFmtId="165" fontId="8" fillId="0" borderId="0" xfId="4" applyNumberFormat="1" applyFont="1"/>
    <xf numFmtId="0" fontId="10" fillId="0" borderId="0" xfId="4" applyFont="1"/>
    <xf numFmtId="14" fontId="10" fillId="0" borderId="0" xfId="4" applyNumberFormat="1" applyFont="1"/>
    <xf numFmtId="0" fontId="11" fillId="0" borderId="0" xfId="4" applyFont="1"/>
    <xf numFmtId="0" fontId="12" fillId="0" borderId="0" xfId="4" applyFont="1" applyFill="1" applyBorder="1" applyAlignment="1">
      <alignment horizontal="left"/>
    </xf>
    <xf numFmtId="165" fontId="11" fillId="0" borderId="0" xfId="4" applyNumberFormat="1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43" fontId="11" fillId="0" borderId="0" xfId="1" applyFont="1"/>
    <xf numFmtId="43" fontId="11" fillId="0" borderId="0" xfId="1" applyFont="1" applyFill="1"/>
    <xf numFmtId="43" fontId="8" fillId="0" borderId="0" xfId="4" applyNumberFormat="1" applyFont="1"/>
    <xf numFmtId="43" fontId="11" fillId="0" borderId="0" xfId="4" applyNumberFormat="1" applyFont="1"/>
    <xf numFmtId="0" fontId="14" fillId="0" borderId="0" xfId="4" applyFont="1"/>
    <xf numFmtId="165" fontId="11" fillId="0" borderId="1" xfId="4" applyNumberFormat="1" applyFont="1" applyBorder="1"/>
    <xf numFmtId="165" fontId="10" fillId="0" borderId="0" xfId="4" applyNumberFormat="1" applyFont="1"/>
    <xf numFmtId="164" fontId="3" fillId="0" borderId="0" xfId="2" applyNumberFormat="1" applyFont="1" applyFill="1" applyBorder="1" applyAlignment="1"/>
    <xf numFmtId="164" fontId="3" fillId="0" borderId="5" xfId="2" applyNumberFormat="1" applyFont="1" applyFill="1" applyBorder="1" applyAlignment="1"/>
    <xf numFmtId="164" fontId="4" fillId="0" borderId="3" xfId="2" applyNumberFormat="1" applyFont="1" applyFill="1" applyBorder="1"/>
    <xf numFmtId="0" fontId="8" fillId="0" borderId="0" xfId="4" applyFont="1" applyFill="1"/>
    <xf numFmtId="0" fontId="7" fillId="0" borderId="0" xfId="4" applyFont="1" applyFill="1" applyAlignment="1">
      <alignment horizontal="centerContinuous"/>
    </xf>
    <xf numFmtId="0" fontId="8" fillId="0" borderId="0" xfId="4" applyFont="1" applyFill="1" applyAlignment="1">
      <alignment horizontal="centerContinuous"/>
    </xf>
    <xf numFmtId="0" fontId="15" fillId="0" borderId="0" xfId="4" applyFont="1" applyFill="1" applyAlignment="1">
      <alignment horizontal="centerContinuous"/>
    </xf>
    <xf numFmtId="0" fontId="7" fillId="0" borderId="0" xfId="4" applyNumberFormat="1" applyFont="1" applyFill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0" xfId="4" applyNumberFormat="1" applyFont="1" applyFill="1" applyAlignment="1">
      <alignment horizontal="center"/>
    </xf>
    <xf numFmtId="0" fontId="8" fillId="0" borderId="0" xfId="4" applyNumberFormat="1" applyFont="1" applyFill="1" applyAlignment="1">
      <alignment horizontal="left"/>
    </xf>
    <xf numFmtId="0" fontId="8" fillId="0" borderId="0" xfId="4" applyNumberFormat="1" applyFont="1" applyFill="1" applyAlignment="1"/>
    <xf numFmtId="166" fontId="8" fillId="0" borderId="0" xfId="4" applyNumberFormat="1" applyFont="1" applyFill="1" applyAlignment="1"/>
    <xf numFmtId="167" fontId="8" fillId="0" borderId="0" xfId="4" applyNumberFormat="1" applyFont="1" applyFill="1" applyAlignment="1"/>
    <xf numFmtId="166" fontId="8" fillId="0" borderId="1" xfId="4" applyNumberFormat="1" applyFont="1" applyFill="1" applyBorder="1" applyAlignment="1"/>
    <xf numFmtId="166" fontId="8" fillId="0" borderId="0" xfId="4" applyNumberFormat="1" applyFont="1" applyFill="1" applyBorder="1" applyAlignment="1"/>
    <xf numFmtId="9" fontId="8" fillId="0" borderId="0" xfId="4" applyNumberFormat="1" applyFont="1" applyFill="1" applyAlignment="1"/>
    <xf numFmtId="166" fontId="8" fillId="0" borderId="3" xfId="4" applyNumberFormat="1" applyFont="1" applyFill="1" applyBorder="1" applyAlignment="1" applyProtection="1">
      <protection locked="0"/>
    </xf>
    <xf numFmtId="0" fontId="16" fillId="0" borderId="6" xfId="4" applyFont="1" applyFill="1" applyBorder="1" applyAlignment="1">
      <alignment horizontal="centerContinuous"/>
    </xf>
    <xf numFmtId="0" fontId="8" fillId="0" borderId="7" xfId="4" applyFont="1" applyFill="1" applyBorder="1" applyAlignment="1">
      <alignment horizontal="centerContinuous"/>
    </xf>
    <xf numFmtId="0" fontId="16" fillId="0" borderId="7" xfId="4" applyFont="1" applyFill="1" applyBorder="1" applyAlignment="1">
      <alignment horizontal="centerContinuous"/>
    </xf>
    <xf numFmtId="0" fontId="16" fillId="0" borderId="5" xfId="4" applyFont="1" applyFill="1" applyBorder="1" applyAlignment="1">
      <alignment horizontal="centerContinuous"/>
    </xf>
    <xf numFmtId="0" fontId="15" fillId="0" borderId="0" xfId="4" applyFont="1" applyFill="1"/>
    <xf numFmtId="0" fontId="7" fillId="0" borderId="0" xfId="4" applyFont="1" applyFill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5" fillId="0" borderId="0" xfId="4" applyFont="1" applyFill="1"/>
    <xf numFmtId="0" fontId="5" fillId="0" borderId="0" xfId="4" applyFill="1"/>
    <xf numFmtId="0" fontId="8" fillId="0" borderId="0" xfId="4" applyFont="1" applyFill="1" applyBorder="1"/>
    <xf numFmtId="42" fontId="8" fillId="0" borderId="0" xfId="4" applyNumberFormat="1" applyFont="1" applyFill="1" applyBorder="1"/>
    <xf numFmtId="42" fontId="8" fillId="0" borderId="0" xfId="4" applyNumberFormat="1" applyFont="1" applyFill="1"/>
    <xf numFmtId="0" fontId="7" fillId="0" borderId="8" xfId="4" applyFont="1" applyFill="1" applyBorder="1" applyAlignment="1">
      <alignment horizontal="left"/>
    </xf>
    <xf numFmtId="0" fontId="8" fillId="0" borderId="2" xfId="4" applyFont="1" applyFill="1" applyBorder="1"/>
    <xf numFmtId="0" fontId="8" fillId="0" borderId="9" xfId="4" applyFont="1" applyFill="1" applyBorder="1"/>
    <xf numFmtId="0" fontId="8" fillId="0" borderId="0" xfId="4" applyNumberFormat="1" applyFont="1" applyFill="1" applyBorder="1" applyAlignment="1">
      <alignment horizontal="center"/>
    </xf>
    <xf numFmtId="10" fontId="8" fillId="0" borderId="0" xfId="4" applyNumberFormat="1" applyFont="1" applyFill="1"/>
    <xf numFmtId="0" fontId="8" fillId="0" borderId="10" xfId="4" applyNumberFormat="1" applyFont="1" applyFill="1" applyBorder="1" applyAlignment="1"/>
    <xf numFmtId="10" fontId="8" fillId="0" borderId="0" xfId="4" applyNumberFormat="1" applyFont="1" applyFill="1" applyBorder="1"/>
    <xf numFmtId="10" fontId="8" fillId="0" borderId="11" xfId="4" applyNumberFormat="1" applyFont="1" applyFill="1" applyBorder="1"/>
    <xf numFmtId="165" fontId="8" fillId="0" borderId="0" xfId="4" applyNumberFormat="1" applyFont="1" applyFill="1"/>
    <xf numFmtId="9" fontId="8" fillId="0" borderId="2" xfId="4" applyNumberFormat="1" applyFont="1" applyFill="1" applyBorder="1"/>
    <xf numFmtId="10" fontId="7" fillId="0" borderId="9" xfId="4" applyNumberFormat="1" applyFont="1" applyFill="1" applyBorder="1"/>
    <xf numFmtId="165" fontId="8" fillId="0" borderId="0" xfId="4" applyNumberFormat="1" applyFont="1" applyFill="1" applyBorder="1"/>
    <xf numFmtId="0" fontId="8" fillId="0" borderId="11" xfId="4" applyFont="1" applyFill="1" applyBorder="1"/>
    <xf numFmtId="165" fontId="17" fillId="0" borderId="0" xfId="4" applyNumberFormat="1" applyFont="1" applyFill="1"/>
    <xf numFmtId="165" fontId="17" fillId="0" borderId="2" xfId="4" applyNumberFormat="1" applyFont="1" applyFill="1" applyBorder="1"/>
    <xf numFmtId="165" fontId="8" fillId="0" borderId="2" xfId="4" applyNumberFormat="1" applyFont="1" applyFill="1" applyBorder="1"/>
    <xf numFmtId="41" fontId="8" fillId="0" borderId="0" xfId="4" applyNumberFormat="1" applyFont="1" applyFill="1"/>
    <xf numFmtId="0" fontId="8" fillId="0" borderId="12" xfId="4" applyNumberFormat="1" applyFont="1" applyFill="1" applyBorder="1" applyAlignment="1"/>
    <xf numFmtId="9" fontId="8" fillId="0" borderId="5" xfId="4" applyNumberFormat="1" applyFont="1" applyFill="1" applyBorder="1"/>
    <xf numFmtId="0" fontId="8" fillId="0" borderId="5" xfId="4" applyFont="1" applyFill="1" applyBorder="1"/>
    <xf numFmtId="10" fontId="8" fillId="0" borderId="7" xfId="4" applyNumberFormat="1" applyFont="1" applyFill="1" applyBorder="1"/>
    <xf numFmtId="168" fontId="8" fillId="0" borderId="1" xfId="4" applyNumberFormat="1" applyFont="1" applyFill="1" applyBorder="1"/>
    <xf numFmtId="168" fontId="8" fillId="0" borderId="0" xfId="4" applyNumberFormat="1" applyFont="1" applyFill="1" applyBorder="1"/>
    <xf numFmtId="164" fontId="17" fillId="0" borderId="3" xfId="4" applyNumberFormat="1" applyFont="1" applyFill="1" applyBorder="1" applyAlignment="1"/>
    <xf numFmtId="164" fontId="8" fillId="0" borderId="3" xfId="4" applyNumberFormat="1" applyFont="1" applyFill="1" applyBorder="1" applyAlignment="1"/>
    <xf numFmtId="41" fontId="8" fillId="0" borderId="0" xfId="4" applyNumberFormat="1" applyFont="1" applyFill="1" applyBorder="1" applyAlignment="1"/>
    <xf numFmtId="41" fontId="17" fillId="0" borderId="0" xfId="4" applyNumberFormat="1" applyFont="1" applyFill="1" applyBorder="1" applyAlignment="1"/>
    <xf numFmtId="164" fontId="17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41" fontId="8" fillId="0" borderId="2" xfId="4" applyNumberFormat="1" applyFont="1" applyFill="1" applyBorder="1" applyAlignment="1"/>
    <xf numFmtId="167" fontId="7" fillId="0" borderId="9" xfId="4" applyNumberFormat="1" applyFont="1" applyFill="1" applyBorder="1"/>
    <xf numFmtId="0" fontId="8" fillId="0" borderId="0" xfId="4" applyFont="1" applyFill="1" applyAlignment="1">
      <alignment horizontal="left" indent="1"/>
    </xf>
    <xf numFmtId="0" fontId="8" fillId="0" borderId="0" xfId="4" applyFont="1" applyFill="1" applyAlignment="1">
      <alignment horizontal="left" indent="2"/>
    </xf>
    <xf numFmtId="0" fontId="9" fillId="0" borderId="0" xfId="4" applyFont="1" applyFill="1" applyAlignment="1">
      <alignment horizontal="left" indent="2"/>
    </xf>
    <xf numFmtId="43" fontId="8" fillId="0" borderId="0" xfId="4" applyNumberFormat="1" applyFont="1" applyFill="1"/>
    <xf numFmtId="41" fontId="8" fillId="0" borderId="0" xfId="4" applyNumberFormat="1" applyFont="1" applyFill="1" applyBorder="1"/>
    <xf numFmtId="165" fontId="9" fillId="0" borderId="0" xfId="4" applyNumberFormat="1" applyFont="1" applyFill="1"/>
    <xf numFmtId="0" fontId="9" fillId="0" borderId="0" xfId="4" applyFont="1" applyFill="1"/>
    <xf numFmtId="42" fontId="17" fillId="0" borderId="13" xfId="4" applyNumberFormat="1" applyFont="1" applyFill="1" applyBorder="1"/>
    <xf numFmtId="10" fontId="17" fillId="0" borderId="0" xfId="4" applyNumberFormat="1" applyFont="1" applyFill="1"/>
    <xf numFmtId="0" fontId="17" fillId="0" borderId="0" xfId="4" applyFont="1" applyFill="1"/>
    <xf numFmtId="0" fontId="5" fillId="0" borderId="0" xfId="4" applyFont="1" applyFill="1" applyBorder="1"/>
    <xf numFmtId="42" fontId="17" fillId="0" borderId="0" xfId="4" applyNumberFormat="1" applyFont="1" applyFill="1"/>
    <xf numFmtId="164" fontId="8" fillId="0" borderId="0" xfId="4" applyNumberFormat="1" applyFont="1" applyFill="1"/>
    <xf numFmtId="0" fontId="8" fillId="2" borderId="0" xfId="4" applyFont="1" applyFill="1"/>
    <xf numFmtId="0" fontId="13" fillId="0" borderId="0" xfId="4" applyFont="1" applyFill="1"/>
    <xf numFmtId="0" fontId="18" fillId="0" borderId="0" xfId="4" applyFont="1" applyFill="1" applyAlignment="1">
      <alignment horizontal="right"/>
    </xf>
    <xf numFmtId="3" fontId="18" fillId="0" borderId="0" xfId="4" applyNumberFormat="1" applyFont="1" applyFill="1"/>
    <xf numFmtId="10" fontId="18" fillId="0" borderId="0" xfId="4" applyNumberFormat="1" applyFont="1" applyFill="1"/>
    <xf numFmtId="0" fontId="19" fillId="0" borderId="0" xfId="4" applyFont="1"/>
    <xf numFmtId="0" fontId="5" fillId="0" borderId="8" xfId="4" applyBorder="1" applyAlignment="1">
      <alignment horizontal="centerContinuous"/>
    </xf>
    <xf numFmtId="0" fontId="5" fillId="0" borderId="9" xfId="4" applyBorder="1" applyAlignment="1">
      <alignment horizontal="centerContinuous"/>
    </xf>
    <xf numFmtId="0" fontId="5" fillId="0" borderId="0" xfId="4" applyAlignment="1">
      <alignment horizontal="left"/>
    </xf>
    <xf numFmtId="0" fontId="5" fillId="0" borderId="12" xfId="4" applyBorder="1" applyAlignment="1">
      <alignment horizontal="centerContinuous"/>
    </xf>
    <xf numFmtId="0" fontId="5" fillId="0" borderId="14" xfId="4" applyBorder="1" applyAlignment="1">
      <alignment horizontal="centerContinuous"/>
    </xf>
    <xf numFmtId="0" fontId="5" fillId="0" borderId="0" xfId="4" applyAlignment="1">
      <alignment horizontal="right" wrapText="1"/>
    </xf>
    <xf numFmtId="42" fontId="8" fillId="0" borderId="10" xfId="4" applyNumberFormat="1" applyFont="1" applyFill="1" applyBorder="1"/>
    <xf numFmtId="10" fontId="8" fillId="0" borderId="11" xfId="6" applyNumberFormat="1" applyFont="1" applyFill="1" applyBorder="1"/>
    <xf numFmtId="0" fontId="5" fillId="0" borderId="0" xfId="4" applyAlignment="1">
      <alignment horizontal="right"/>
    </xf>
    <xf numFmtId="164" fontId="8" fillId="0" borderId="10" xfId="4" applyNumberFormat="1" applyFont="1" applyFill="1" applyBorder="1"/>
    <xf numFmtId="42" fontId="8" fillId="0" borderId="15" xfId="4" applyNumberFormat="1" applyFont="1" applyFill="1" applyBorder="1"/>
    <xf numFmtId="10" fontId="8" fillId="0" borderId="16" xfId="6" applyNumberFormat="1" applyFont="1" applyFill="1" applyBorder="1"/>
    <xf numFmtId="0" fontId="21" fillId="0" borderId="0" xfId="4" applyFont="1" applyAlignment="1">
      <alignment horizontal="right"/>
    </xf>
    <xf numFmtId="165" fontId="22" fillId="0" borderId="12" xfId="5" applyNumberFormat="1" applyFont="1" applyFill="1" applyBorder="1" applyAlignment="1">
      <alignment horizontal="center"/>
    </xf>
    <xf numFmtId="10" fontId="22" fillId="0" borderId="12" xfId="6" applyNumberFormat="1" applyFont="1" applyFill="1" applyBorder="1" applyAlignment="1">
      <alignment horizontal="center"/>
    </xf>
    <xf numFmtId="10" fontId="22" fillId="0" borderId="17" xfId="6" applyNumberFormat="1" applyFont="1" applyFill="1" applyBorder="1" applyAlignment="1">
      <alignment horizontal="center"/>
    </xf>
    <xf numFmtId="0" fontId="23" fillId="0" borderId="0" xfId="4" applyFont="1" applyFill="1"/>
    <xf numFmtId="42" fontId="8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42" fontId="8" fillId="0" borderId="2" xfId="4" applyNumberFormat="1" applyFont="1" applyFill="1" applyBorder="1"/>
    <xf numFmtId="42" fontId="5" fillId="0" borderId="0" xfId="4" applyNumberFormat="1" applyFill="1"/>
    <xf numFmtId="165" fontId="8" fillId="0" borderId="0" xfId="5" applyNumberFormat="1" applyFont="1"/>
    <xf numFmtId="0" fontId="7" fillId="0" borderId="0" xfId="4" applyFont="1" applyAlignment="1"/>
    <xf numFmtId="0" fontId="8" fillId="0" borderId="0" xfId="4" applyFont="1" applyAlignment="1">
      <alignment horizontal="right"/>
    </xf>
    <xf numFmtId="170" fontId="8" fillId="0" borderId="0" xfId="4" applyNumberFormat="1" applyFont="1" applyFill="1"/>
    <xf numFmtId="0" fontId="24" fillId="0" borderId="0" xfId="4" applyFont="1" applyAlignment="1"/>
    <xf numFmtId="0" fontId="8" fillId="0" borderId="0" xfId="4" quotePrefix="1" applyFont="1" applyFill="1" applyAlignment="1">
      <alignment horizontal="right"/>
    </xf>
    <xf numFmtId="0" fontId="8" fillId="0" borderId="0" xfId="4" applyFont="1" applyBorder="1"/>
    <xf numFmtId="0" fontId="8" fillId="0" borderId="0" xfId="4" applyFont="1" applyFill="1" applyAlignment="1">
      <alignment horizontal="right"/>
    </xf>
    <xf numFmtId="170" fontId="8" fillId="0" borderId="0" xfId="4" applyNumberFormat="1" applyFont="1" applyBorder="1"/>
    <xf numFmtId="0" fontId="25" fillId="0" borderId="0" xfId="4" applyFont="1" applyBorder="1" applyAlignment="1"/>
    <xf numFmtId="171" fontId="8" fillId="0" borderId="0" xfId="4" applyNumberFormat="1" applyFont="1" applyBorder="1"/>
    <xf numFmtId="0" fontId="7" fillId="0" borderId="4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wrapText="1"/>
    </xf>
    <xf numFmtId="0" fontId="7" fillId="0" borderId="6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 wrapText="1"/>
    </xf>
    <xf numFmtId="170" fontId="8" fillId="0" borderId="0" xfId="4" applyNumberFormat="1" applyFont="1"/>
    <xf numFmtId="0" fontId="8" fillId="0" borderId="4" xfId="4" applyNumberFormat="1" applyFont="1" applyBorder="1" applyAlignment="1">
      <alignment horizontal="center"/>
    </xf>
    <xf numFmtId="169" fontId="8" fillId="0" borderId="4" xfId="5" applyNumberFormat="1" applyFont="1" applyFill="1" applyBorder="1"/>
    <xf numFmtId="169" fontId="8" fillId="0" borderId="4" xfId="5" applyNumberFormat="1" applyFont="1" applyBorder="1"/>
    <xf numFmtId="169" fontId="8" fillId="0" borderId="6" xfId="5" applyNumberFormat="1" applyFont="1" applyFill="1" applyBorder="1"/>
    <xf numFmtId="5" fontId="8" fillId="0" borderId="4" xfId="7" applyNumberFormat="1" applyFont="1" applyFill="1" applyBorder="1"/>
    <xf numFmtId="5" fontId="8" fillId="0" borderId="0" xfId="7" applyNumberFormat="1" applyFont="1" applyFill="1" applyBorder="1"/>
    <xf numFmtId="0" fontId="7" fillId="0" borderId="4" xfId="4" applyNumberFormat="1" applyFont="1" applyBorder="1" applyAlignment="1">
      <alignment horizontal="center"/>
    </xf>
    <xf numFmtId="5" fontId="7" fillId="0" borderId="4" xfId="7" applyNumberFormat="1" applyFont="1" applyFill="1" applyBorder="1"/>
    <xf numFmtId="5" fontId="7" fillId="0" borderId="4" xfId="7" applyNumberFormat="1" applyFont="1" applyBorder="1"/>
    <xf numFmtId="5" fontId="7" fillId="0" borderId="18" xfId="7" applyNumberFormat="1" applyFont="1" applyFill="1" applyBorder="1"/>
    <xf numFmtId="5" fontId="7" fillId="0" borderId="0" xfId="7" applyNumberFormat="1" applyFont="1" applyFill="1" applyBorder="1"/>
    <xf numFmtId="0" fontId="8" fillId="0" borderId="0" xfId="4" applyFont="1" applyAlignment="1">
      <alignment horizontal="center"/>
    </xf>
    <xf numFmtId="0" fontId="8" fillId="0" borderId="0" xfId="4" applyNumberFormat="1" applyFont="1"/>
    <xf numFmtId="165" fontId="8" fillId="0" borderId="0" xfId="5" applyNumberFormat="1" applyFont="1" applyFill="1"/>
    <xf numFmtId="9" fontId="8" fillId="0" borderId="0" xfId="6" applyFont="1"/>
    <xf numFmtId="170" fontId="8" fillId="0" borderId="0" xfId="4" applyNumberFormat="1" applyFont="1" applyAlignment="1">
      <alignment horizontal="center"/>
    </xf>
    <xf numFmtId="5" fontId="7" fillId="0" borderId="0" xfId="4" applyNumberFormat="1" applyFont="1" applyFill="1" applyBorder="1"/>
    <xf numFmtId="170" fontId="13" fillId="0" borderId="0" xfId="4" applyNumberFormat="1" applyFont="1" applyAlignment="1"/>
    <xf numFmtId="0" fontId="25" fillId="0" borderId="0" xfId="4" applyFont="1" applyAlignment="1"/>
    <xf numFmtId="0" fontId="8" fillId="0" borderId="0" xfId="4" applyFont="1" applyFill="1" applyAlignment="1">
      <alignment horizontal="center"/>
    </xf>
    <xf numFmtId="0" fontId="7" fillId="0" borderId="0" xfId="4" applyFont="1" applyBorder="1" applyAlignment="1">
      <alignment horizontal="left"/>
    </xf>
    <xf numFmtId="0" fontId="8" fillId="0" borderId="4" xfId="5" applyNumberFormat="1" applyFont="1" applyBorder="1" applyAlignment="1">
      <alignment horizontal="center"/>
    </xf>
    <xf numFmtId="0" fontId="26" fillId="3" borderId="0" xfId="4" applyFont="1" applyFill="1"/>
    <xf numFmtId="0" fontId="26" fillId="0" borderId="0" xfId="4" applyFont="1"/>
    <xf numFmtId="0" fontId="8" fillId="3" borderId="0" xfId="4" applyFont="1" applyFill="1"/>
    <xf numFmtId="0" fontId="27" fillId="3" borderId="0" xfId="4" applyFont="1" applyFill="1"/>
    <xf numFmtId="0" fontId="27" fillId="3" borderId="4" xfId="4" applyFont="1" applyFill="1" applyBorder="1"/>
    <xf numFmtId="0" fontId="25" fillId="3" borderId="4" xfId="4" applyFont="1" applyFill="1" applyBorder="1" applyAlignment="1">
      <alignment horizontal="center"/>
    </xf>
    <xf numFmtId="165" fontId="27" fillId="3" borderId="4" xfId="4" applyNumberFormat="1" applyFont="1" applyFill="1" applyBorder="1"/>
    <xf numFmtId="0" fontId="25" fillId="3" borderId="4" xfId="4" applyFont="1" applyFill="1" applyBorder="1"/>
    <xf numFmtId="165" fontId="25" fillId="3" borderId="4" xfId="4" applyNumberFormat="1" applyFont="1" applyFill="1" applyBorder="1"/>
    <xf numFmtId="165" fontId="26" fillId="0" borderId="0" xfId="4" applyNumberFormat="1" applyFont="1"/>
    <xf numFmtId="0" fontId="27" fillId="3" borderId="0" xfId="4" applyFont="1" applyFill="1" applyBorder="1"/>
    <xf numFmtId="165" fontId="25" fillId="3" borderId="0" xfId="4" applyNumberFormat="1" applyFont="1" applyFill="1" applyBorder="1"/>
    <xf numFmtId="0" fontId="27" fillId="0" borderId="0" xfId="4" applyFont="1"/>
    <xf numFmtId="0" fontId="28" fillId="0" borderId="0" xfId="0" applyFont="1"/>
    <xf numFmtId="0" fontId="29" fillId="0" borderId="0" xfId="0" applyFont="1"/>
    <xf numFmtId="164" fontId="28" fillId="0" borderId="0" xfId="0" applyNumberFormat="1" applyFont="1"/>
    <xf numFmtId="164" fontId="29" fillId="0" borderId="3" xfId="0" applyNumberFormat="1" applyFont="1" applyBorder="1"/>
    <xf numFmtId="165" fontId="0" fillId="0" borderId="0" xfId="1" applyNumberFormat="1" applyFont="1"/>
    <xf numFmtId="0" fontId="28" fillId="0" borderId="0" xfId="0" applyFont="1" applyAlignment="1">
      <alignment horizontal="center"/>
    </xf>
    <xf numFmtId="164" fontId="4" fillId="0" borderId="5" xfId="2" applyNumberFormat="1" applyFont="1" applyFill="1" applyBorder="1" applyAlignment="1"/>
    <xf numFmtId="14" fontId="29" fillId="0" borderId="0" xfId="0" applyNumberFormat="1" applyFont="1" applyAlignment="1">
      <alignment horizontal="center"/>
    </xf>
    <xf numFmtId="172" fontId="4" fillId="0" borderId="1" xfId="0" applyNumberFormat="1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" xfId="4" applyFont="1" applyBorder="1" applyAlignment="1">
      <alignment horizontal="centerContinuous"/>
    </xf>
    <xf numFmtId="0" fontId="10" fillId="0" borderId="5" xfId="4" applyFont="1" applyBorder="1"/>
    <xf numFmtId="0" fontId="10" fillId="0" borderId="5" xfId="4" applyFont="1" applyBorder="1" applyAlignment="1">
      <alignment horizontal="center"/>
    </xf>
    <xf numFmtId="0" fontId="10" fillId="0" borderId="0" xfId="4" quotePrefix="1" applyFont="1" applyBorder="1" applyAlignment="1">
      <alignment horizontal="center"/>
    </xf>
    <xf numFmtId="0" fontId="10" fillId="0" borderId="0" xfId="4" applyFont="1" applyBorder="1"/>
    <xf numFmtId="9" fontId="11" fillId="0" borderId="0" xfId="4" applyNumberFormat="1" applyFont="1"/>
    <xf numFmtId="0" fontId="10" fillId="0" borderId="0" xfId="4" applyFont="1" applyAlignment="1">
      <alignment horizontal="right"/>
    </xf>
    <xf numFmtId="0" fontId="31" fillId="0" borderId="0" xfId="4" applyFont="1"/>
    <xf numFmtId="0" fontId="11" fillId="0" borderId="0" xfId="4" applyFont="1" applyFill="1"/>
    <xf numFmtId="10" fontId="11" fillId="0" borderId="0" xfId="4" applyNumberFormat="1" applyFont="1"/>
    <xf numFmtId="0" fontId="26" fillId="0" borderId="0" xfId="8" applyFont="1" applyFill="1"/>
    <xf numFmtId="0" fontId="26" fillId="0" borderId="0" xfId="8" applyFont="1" applyFill="1" applyAlignment="1">
      <alignment horizontal="centerContinuous"/>
    </xf>
    <xf numFmtId="0" fontId="4" fillId="0" borderId="0" xfId="0" applyFont="1" applyFill="1" applyBorder="1" applyAlignment="1"/>
    <xf numFmtId="164" fontId="4" fillId="0" borderId="5" xfId="2" applyNumberFormat="1" applyFont="1" applyFill="1" applyBorder="1"/>
    <xf numFmtId="164" fontId="4" fillId="0" borderId="2" xfId="2" applyNumberFormat="1" applyFont="1" applyFill="1" applyBorder="1" applyAlignment="1"/>
    <xf numFmtId="0" fontId="11" fillId="0" borderId="0" xfId="8" applyFont="1" applyFill="1"/>
    <xf numFmtId="0" fontId="10" fillId="0" borderId="0" xfId="8" applyFont="1" applyFill="1"/>
    <xf numFmtId="0" fontId="10" fillId="0" borderId="0" xfId="8" applyFont="1" applyFill="1" applyAlignment="1" applyProtection="1">
      <alignment horizontal="centerContinuous"/>
      <protection locked="0"/>
    </xf>
    <xf numFmtId="0" fontId="10" fillId="0" borderId="0" xfId="8" applyFont="1" applyFill="1" applyAlignment="1">
      <alignment horizontal="centerContinuous"/>
    </xf>
    <xf numFmtId="15" fontId="10" fillId="0" borderId="0" xfId="8" applyNumberFormat="1" applyFont="1" applyFill="1" applyAlignment="1">
      <alignment horizontal="centerContinuous"/>
    </xf>
    <xf numFmtId="18" fontId="10" fillId="0" borderId="0" xfId="8" applyNumberFormat="1" applyFont="1" applyFill="1" applyAlignment="1">
      <alignment horizontal="centerContinuous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center"/>
      <protection locked="0"/>
    </xf>
    <xf numFmtId="0" fontId="10" fillId="0" borderId="0" xfId="8" applyFont="1" applyFill="1" applyBorder="1" applyAlignment="1">
      <alignment horizontal="center"/>
    </xf>
    <xf numFmtId="0" fontId="10" fillId="0" borderId="1" xfId="8" applyFont="1" applyFill="1" applyBorder="1" applyAlignment="1" applyProtection="1">
      <alignment horizontal="center"/>
      <protection locked="0"/>
    </xf>
    <xf numFmtId="0" fontId="10" fillId="0" borderId="1" xfId="8" applyFont="1" applyFill="1" applyBorder="1" applyProtection="1">
      <protection locked="0"/>
    </xf>
    <xf numFmtId="0" fontId="10" fillId="0" borderId="1" xfId="8" applyFont="1" applyFill="1" applyBorder="1" applyAlignment="1">
      <alignment horizontal="center"/>
    </xf>
    <xf numFmtId="0" fontId="11" fillId="0" borderId="0" xfId="8" applyFont="1" applyFill="1" applyAlignment="1">
      <alignment horizontal="center"/>
    </xf>
    <xf numFmtId="0" fontId="11" fillId="0" borderId="0" xfId="8" applyFont="1" applyFill="1" applyBorder="1"/>
    <xf numFmtId="0" fontId="11" fillId="0" borderId="0" xfId="8" applyFont="1" applyFill="1" applyBorder="1" applyAlignment="1">
      <alignment horizontal="right"/>
    </xf>
    <xf numFmtId="0" fontId="11" fillId="0" borderId="0" xfId="8" applyFont="1" applyFill="1" applyBorder="1" applyAlignment="1">
      <alignment horizontal="left"/>
    </xf>
    <xf numFmtId="173" fontId="11" fillId="0" borderId="0" xfId="8" applyNumberFormat="1" applyFont="1" applyFill="1" applyProtection="1">
      <protection locked="0"/>
    </xf>
    <xf numFmtId="3" fontId="11" fillId="0" borderId="0" xfId="8" applyNumberFormat="1" applyFont="1" applyFill="1" applyAlignment="1" applyProtection="1">
      <alignment wrapText="1"/>
      <protection locked="0"/>
    </xf>
    <xf numFmtId="174" fontId="11" fillId="0" borderId="0" xfId="8" applyNumberFormat="1" applyFont="1" applyFill="1"/>
    <xf numFmtId="42" fontId="11" fillId="0" borderId="2" xfId="8" applyNumberFormat="1" applyFont="1" applyFill="1" applyBorder="1" applyAlignment="1" applyProtection="1">
      <protection locked="0"/>
    </xf>
    <xf numFmtId="0" fontId="11" fillId="0" borderId="0" xfId="8" applyFont="1" applyFill="1" applyAlignment="1">
      <alignment horizontal="left"/>
    </xf>
    <xf numFmtId="173" fontId="11" fillId="0" borderId="0" xfId="8" applyNumberFormat="1" applyFont="1" applyFill="1" applyBorder="1" applyProtection="1">
      <protection locked="0"/>
    </xf>
    <xf numFmtId="41" fontId="11" fillId="0" borderId="5" xfId="8" applyNumberFormat="1" applyFont="1" applyFill="1" applyBorder="1" applyAlignment="1" applyProtection="1">
      <protection locked="0"/>
    </xf>
    <xf numFmtId="0" fontId="5" fillId="0" borderId="0" xfId="0" applyFont="1"/>
    <xf numFmtId="37" fontId="33" fillId="0" borderId="0" xfId="9" applyFont="1" applyFill="1"/>
    <xf numFmtId="37" fontId="30" fillId="0" borderId="0" xfId="9" applyFill="1"/>
    <xf numFmtId="37" fontId="30" fillId="0" borderId="0" xfId="10" applyFill="1"/>
    <xf numFmtId="37" fontId="34" fillId="0" borderId="0" xfId="10" applyFont="1" applyFill="1"/>
    <xf numFmtId="37" fontId="35" fillId="0" borderId="0" xfId="10" applyFont="1" applyFill="1"/>
    <xf numFmtId="175" fontId="30" fillId="0" borderId="0" xfId="10" applyNumberFormat="1" applyFill="1"/>
    <xf numFmtId="37" fontId="36" fillId="0" borderId="0" xfId="10" applyFont="1" applyFill="1"/>
    <xf numFmtId="37" fontId="36" fillId="0" borderId="19" xfId="10" applyFont="1" applyFill="1" applyBorder="1" applyAlignment="1"/>
    <xf numFmtId="37" fontId="30" fillId="0" borderId="1" xfId="10" applyFill="1" applyBorder="1" applyAlignment="1">
      <alignment horizontal="center" vertical="center" wrapText="1"/>
    </xf>
    <xf numFmtId="37" fontId="30" fillId="0" borderId="1" xfId="10" applyFont="1" applyFill="1" applyBorder="1" applyAlignment="1">
      <alignment horizontal="center" vertical="center" wrapText="1"/>
    </xf>
    <xf numFmtId="37" fontId="30" fillId="0" borderId="12" xfId="10" applyFont="1" applyFill="1" applyBorder="1" applyAlignment="1">
      <alignment horizontal="center" vertical="center" wrapText="1"/>
    </xf>
    <xf numFmtId="37" fontId="30" fillId="0" borderId="12" xfId="10" applyFill="1" applyBorder="1" applyAlignment="1">
      <alignment horizontal="center" vertical="center" wrapText="1"/>
    </xf>
    <xf numFmtId="37" fontId="30" fillId="0" borderId="0" xfId="10" applyFill="1" applyBorder="1" applyAlignment="1">
      <alignment horizontal="center" vertical="center" wrapText="1"/>
    </xf>
    <xf numFmtId="37" fontId="30" fillId="0" borderId="0" xfId="10" applyFont="1" applyFill="1" applyBorder="1" applyAlignment="1">
      <alignment horizontal="center" vertical="center" wrapText="1"/>
    </xf>
    <xf numFmtId="37" fontId="30" fillId="0" borderId="10" xfId="10" applyFont="1" applyFill="1" applyBorder="1" applyAlignment="1">
      <alignment horizontal="center" vertical="center" wrapText="1"/>
    </xf>
    <xf numFmtId="37" fontId="30" fillId="0" borderId="8" xfId="10" applyFill="1" applyBorder="1" applyAlignment="1">
      <alignment horizontal="center" vertical="center" wrapText="1"/>
    </xf>
    <xf numFmtId="37" fontId="30" fillId="0" borderId="10" xfId="10" applyFill="1" applyBorder="1" applyAlignment="1">
      <alignment horizontal="center" vertical="center" wrapText="1"/>
    </xf>
    <xf numFmtId="37" fontId="37" fillId="0" borderId="0" xfId="10" applyFont="1" applyFill="1" applyBorder="1" applyAlignment="1">
      <alignment horizontal="center" vertical="center" wrapText="1"/>
    </xf>
    <xf numFmtId="49" fontId="30" fillId="0" borderId="0" xfId="10" applyNumberFormat="1" applyFont="1" applyFill="1" applyBorder="1" applyAlignment="1">
      <alignment horizontal="center"/>
    </xf>
    <xf numFmtId="37" fontId="30" fillId="4" borderId="0" xfId="10" applyFill="1"/>
    <xf numFmtId="41" fontId="26" fillId="4" borderId="0" xfId="11" applyFont="1" applyFill="1" applyBorder="1" applyAlignment="1">
      <alignment horizontal="right"/>
    </xf>
    <xf numFmtId="165" fontId="26" fillId="4" borderId="10" xfId="5" applyNumberFormat="1" applyFont="1" applyFill="1" applyBorder="1" applyAlignment="1">
      <alignment horizontal="right"/>
    </xf>
    <xf numFmtId="165" fontId="30" fillId="4" borderId="0" xfId="5" applyNumberFormat="1" applyFont="1" applyFill="1" applyBorder="1"/>
    <xf numFmtId="37" fontId="30" fillId="4" borderId="10" xfId="10" applyFill="1" applyBorder="1"/>
    <xf numFmtId="37" fontId="30" fillId="4" borderId="0" xfId="10" applyFill="1" applyBorder="1"/>
    <xf numFmtId="9" fontId="0" fillId="0" borderId="0" xfId="0" applyNumberFormat="1"/>
    <xf numFmtId="0" fontId="32" fillId="0" borderId="0" xfId="0" applyFont="1"/>
    <xf numFmtId="165" fontId="0" fillId="0" borderId="1" xfId="1" applyNumberFormat="1" applyFont="1" applyBorder="1"/>
    <xf numFmtId="165" fontId="0" fillId="0" borderId="5" xfId="1" applyNumberFormat="1" applyFont="1" applyBorder="1"/>
    <xf numFmtId="165" fontId="32" fillId="0" borderId="3" xfId="1" applyNumberFormat="1" applyFont="1" applyBorder="1"/>
    <xf numFmtId="0" fontId="0" fillId="0" borderId="5" xfId="0" applyBorder="1"/>
    <xf numFmtId="0" fontId="38" fillId="0" borderId="0" xfId="4" applyFont="1"/>
    <xf numFmtId="0" fontId="10" fillId="0" borderId="1" xfId="4" applyFont="1" applyBorder="1" applyAlignment="1">
      <alignment horizontal="center"/>
    </xf>
    <xf numFmtId="0" fontId="10" fillId="0" borderId="1" xfId="4" applyFont="1" applyBorder="1"/>
    <xf numFmtId="14" fontId="10" fillId="0" borderId="1" xfId="4" applyNumberFormat="1" applyFont="1" applyBorder="1"/>
    <xf numFmtId="165" fontId="11" fillId="0" borderId="0" xfId="4" applyNumberFormat="1" applyFont="1" applyFill="1"/>
    <xf numFmtId="165" fontId="11" fillId="0" borderId="0" xfId="5" applyNumberFormat="1" applyFont="1"/>
    <xf numFmtId="165" fontId="10" fillId="0" borderId="2" xfId="4" applyNumberFormat="1" applyFont="1" applyBorder="1"/>
    <xf numFmtId="165" fontId="10" fillId="0" borderId="2" xfId="4" applyNumberFormat="1" applyFont="1" applyFill="1" applyBorder="1"/>
    <xf numFmtId="0" fontId="40" fillId="0" borderId="23" xfId="12" applyFont="1" applyBorder="1" applyAlignment="1">
      <alignment horizontal="center" vertical="center" wrapText="1"/>
    </xf>
    <xf numFmtId="0" fontId="39" fillId="0" borderId="0" xfId="12"/>
    <xf numFmtId="0" fontId="41" fillId="0" borderId="0" xfId="12" applyFont="1" applyAlignment="1">
      <alignment horizontal="left"/>
    </xf>
    <xf numFmtId="176" fontId="40" fillId="0" borderId="0" xfId="12" applyNumberFormat="1" applyFont="1" applyAlignment="1">
      <alignment horizontal="right"/>
    </xf>
    <xf numFmtId="0" fontId="40" fillId="0" borderId="0" xfId="12" applyFont="1" applyAlignment="1">
      <alignment horizontal="left" indent="1"/>
    </xf>
    <xf numFmtId="170" fontId="8" fillId="0" borderId="0" xfId="13" applyFont="1"/>
    <xf numFmtId="165" fontId="7" fillId="0" borderId="0" xfId="5" applyNumberFormat="1" applyFont="1" applyAlignment="1">
      <alignment horizontal="center" wrapText="1"/>
    </xf>
    <xf numFmtId="42" fontId="8" fillId="0" borderId="0" xfId="5" applyNumberFormat="1" applyFont="1"/>
    <xf numFmtId="165" fontId="8" fillId="0" borderId="1" xfId="5" applyNumberFormat="1" applyFont="1" applyBorder="1"/>
    <xf numFmtId="43" fontId="8" fillId="0" borderId="0" xfId="5" applyFont="1"/>
    <xf numFmtId="165" fontId="8" fillId="0" borderId="1" xfId="5" applyNumberFormat="1" applyFont="1" applyFill="1" applyBorder="1"/>
    <xf numFmtId="1" fontId="42" fillId="0" borderId="0" xfId="0" applyNumberFormat="1" applyFont="1"/>
    <xf numFmtId="0" fontId="42" fillId="0" borderId="0" xfId="0" applyFont="1"/>
    <xf numFmtId="0" fontId="43" fillId="5" borderId="0" xfId="14" applyAlignment="1">
      <alignment horizontal="centerContinuous"/>
    </xf>
    <xf numFmtId="0" fontId="1" fillId="0" borderId="0" xfId="15"/>
    <xf numFmtId="0" fontId="8" fillId="0" borderId="0" xfId="15" applyFont="1" applyFill="1"/>
    <xf numFmtId="0" fontId="7" fillId="0" borderId="0" xfId="15" applyFont="1" applyFill="1" applyAlignment="1">
      <alignment horizontal="centerContinuous"/>
    </xf>
    <xf numFmtId="0" fontId="8" fillId="0" borderId="0" xfId="15" applyFont="1" applyFill="1" applyAlignment="1">
      <alignment horizontal="centerContinuous"/>
    </xf>
    <xf numFmtId="0" fontId="15" fillId="0" borderId="0" xfId="15" applyFont="1" applyFill="1" applyAlignment="1">
      <alignment horizontal="centerContinuous"/>
    </xf>
    <xf numFmtId="0" fontId="7" fillId="0" borderId="0" xfId="15" applyNumberFormat="1" applyFont="1" applyFill="1" applyAlignment="1">
      <alignment horizontal="center"/>
    </xf>
    <xf numFmtId="0" fontId="7" fillId="0" borderId="1" xfId="15" applyNumberFormat="1" applyFont="1" applyFill="1" applyBorder="1" applyAlignment="1">
      <alignment horizontal="center"/>
    </xf>
    <xf numFmtId="0" fontId="8" fillId="0" borderId="1" xfId="15" applyFont="1" applyFill="1" applyBorder="1"/>
    <xf numFmtId="0" fontId="8" fillId="0" borderId="0" xfId="15" applyNumberFormat="1" applyFont="1" applyFill="1" applyAlignment="1">
      <alignment horizontal="center"/>
    </xf>
    <xf numFmtId="0" fontId="8" fillId="0" borderId="0" xfId="15" applyNumberFormat="1" applyFont="1" applyFill="1" applyAlignment="1">
      <alignment horizontal="left"/>
    </xf>
    <xf numFmtId="0" fontId="8" fillId="0" borderId="0" xfId="15" applyNumberFormat="1" applyFont="1" applyFill="1" applyAlignment="1"/>
    <xf numFmtId="166" fontId="8" fillId="0" borderId="0" xfId="15" applyNumberFormat="1" applyFont="1" applyFill="1" applyAlignment="1"/>
    <xf numFmtId="0" fontId="44" fillId="5" borderId="0" xfId="14" applyNumberFormat="1" applyFont="1" applyAlignment="1">
      <alignment horizontal="center"/>
    </xf>
    <xf numFmtId="0" fontId="44" fillId="5" borderId="0" xfId="14" applyNumberFormat="1" applyFont="1" applyAlignment="1">
      <alignment horizontal="left"/>
    </xf>
    <xf numFmtId="0" fontId="44" fillId="5" borderId="0" xfId="14" applyNumberFormat="1" applyFont="1" applyAlignment="1"/>
    <xf numFmtId="166" fontId="44" fillId="5" borderId="0" xfId="14" applyNumberFormat="1" applyFont="1" applyAlignment="1"/>
    <xf numFmtId="167" fontId="8" fillId="0" borderId="0" xfId="15" applyNumberFormat="1" applyFont="1" applyFill="1" applyAlignment="1"/>
    <xf numFmtId="166" fontId="8" fillId="0" borderId="1" xfId="15" applyNumberFormat="1" applyFont="1" applyFill="1" applyBorder="1" applyAlignment="1"/>
    <xf numFmtId="166" fontId="8" fillId="0" borderId="0" xfId="15" applyNumberFormat="1" applyFont="1" applyFill="1" applyBorder="1" applyAlignment="1"/>
    <xf numFmtId="9" fontId="8" fillId="0" borderId="0" xfId="15" applyNumberFormat="1" applyFont="1" applyFill="1" applyAlignment="1"/>
    <xf numFmtId="166" fontId="8" fillId="0" borderId="3" xfId="15" applyNumberFormat="1" applyFont="1" applyFill="1" applyBorder="1" applyAlignment="1" applyProtection="1">
      <protection locked="0"/>
    </xf>
    <xf numFmtId="37" fontId="36" fillId="0" borderId="20" xfId="10" applyFont="1" applyFill="1" applyBorder="1" applyAlignment="1">
      <alignment horizontal="center"/>
    </xf>
    <xf numFmtId="37" fontId="36" fillId="0" borderId="21" xfId="10" applyFont="1" applyFill="1" applyBorder="1" applyAlignment="1">
      <alignment horizontal="center"/>
    </xf>
    <xf numFmtId="37" fontId="36" fillId="0" borderId="22" xfId="10" applyFont="1" applyFill="1" applyBorder="1" applyAlignment="1">
      <alignment horizontal="center"/>
    </xf>
    <xf numFmtId="0" fontId="25" fillId="3" borderId="0" xfId="4" applyFont="1" applyFill="1" applyAlignment="1">
      <alignment horizontal="center"/>
    </xf>
  </cellXfs>
  <cellStyles count="16">
    <cellStyle name="Comma" xfId="1" builtinId="3"/>
    <cellStyle name="Comma [0] 3 2 2" xfId="11"/>
    <cellStyle name="Comma 2" xfId="5"/>
    <cellStyle name="Currency" xfId="2" builtinId="4"/>
    <cellStyle name="Currency 2" xfId="7"/>
    <cellStyle name="Good" xfId="14" builtinId="26"/>
    <cellStyle name="Normal" xfId="0" builtinId="0"/>
    <cellStyle name="Normal 2" xfId="4"/>
    <cellStyle name="Normal 2 2" xfId="9"/>
    <cellStyle name="Normal 2 3" xfId="12"/>
    <cellStyle name="Normal 3" xfId="8"/>
    <cellStyle name="Normal 4" xfId="13"/>
    <cellStyle name="Normal 5" xfId="15"/>
    <cellStyle name="Normal 6" xfId="10"/>
    <cellStyle name="Percent" xfId="3" builtinId="5"/>
    <cellStyle name="Percent 2" xfId="6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Compliance%20Filing%20for%20New%20Rates/220066-67-PSE-WP-REVREC-COS-22GRC-Compliance%20Revised-1-9-2023%20(C)/NEW-PSE-WP-SEF-9G-GAS-REV-REQ-MODEL-22GRC-01-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7%20-%20170033-34%20GRC%202017-01-13/02%20Testimony-Exh+Updates/Roberts%20(RJR)/Budget/2012%20Bgt/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Detailed Summary"/>
      <sheetName val="Common Adj"/>
      <sheetName val="Gas Adj"/>
      <sheetName val="Rev Exp change"/>
      <sheetName val="Gas O&amp;M Reduction"/>
      <sheetName val="Dec13"/>
      <sheetName val="Final Rate Years"/>
      <sheetName val="SEF-13 p1 Gas wp"/>
      <sheetName val="SEF-13 p 2 Gas wp"/>
      <sheetName val="Adj List"/>
      <sheetName val="JDT Rev Detail Exh"/>
      <sheetName val="Check Totals"/>
      <sheetName val="Named Ranges G"/>
      <sheetName val="TEMP ORIG"/>
      <sheetName val="TEMP DIFF"/>
    </sheetNames>
    <sheetDataSet>
      <sheetData sheetId="0">
        <row r="18">
          <cell r="K18">
            <v>-8733881.770520743</v>
          </cell>
        </row>
      </sheetData>
      <sheetData sheetId="1"/>
      <sheetData sheetId="2">
        <row r="31">
          <cell r="C31">
            <v>70797612.240712136</v>
          </cell>
        </row>
      </sheetData>
      <sheetData sheetId="3"/>
      <sheetData sheetId="4"/>
      <sheetData sheetId="5">
        <row r="30">
          <cell r="K30">
            <v>12043570.406415544</v>
          </cell>
        </row>
      </sheetData>
      <sheetData sheetId="6">
        <row r="28">
          <cell r="DK28">
            <v>6894946.7805953389</v>
          </cell>
        </row>
      </sheetData>
      <sheetData sheetId="7">
        <row r="16">
          <cell r="GV16">
            <v>3870.6276671299306</v>
          </cell>
        </row>
      </sheetData>
      <sheetData sheetId="8"/>
      <sheetData sheetId="9">
        <row r="65">
          <cell r="E65">
            <v>8543.8956401567903</v>
          </cell>
        </row>
      </sheetData>
      <sheetData sheetId="10">
        <row r="29">
          <cell r="K29">
            <v>-7236443</v>
          </cell>
        </row>
      </sheetData>
      <sheetData sheetId="11">
        <row r="30">
          <cell r="G30">
            <v>-18786319.376339614</v>
          </cell>
        </row>
      </sheetData>
      <sheetData sheetId="12"/>
      <sheetData sheetId="13">
        <row r="4">
          <cell r="G4">
            <v>148876035.75999987</v>
          </cell>
        </row>
      </sheetData>
      <sheetData sheetId="14">
        <row r="4">
          <cell r="G4">
            <v>37092182.872925773</v>
          </cell>
        </row>
      </sheetData>
      <sheetData sheetId="15"/>
      <sheetData sheetId="16"/>
      <sheetData sheetId="17"/>
      <sheetData sheetId="18">
        <row r="2">
          <cell r="B2" t="str">
            <v>PUGET SOUND ENERGY - GAS</v>
          </cell>
        </row>
        <row r="10">
          <cell r="B10">
            <v>0.21</v>
          </cell>
        </row>
      </sheetData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  <sheetName val="Talen GM"/>
      <sheetName val="Retail 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pane ySplit="5" topLeftCell="A6" activePane="bottomLeft" state="frozen"/>
      <selection pane="bottomLeft" activeCell="C46" sqref="C46:C48"/>
    </sheetView>
  </sheetViews>
  <sheetFormatPr defaultRowHeight="15" x14ac:dyDescent="0.25"/>
  <cols>
    <col min="1" max="1" width="5.7109375" bestFit="1" customWidth="1"/>
    <col min="2" max="2" width="59.28515625" bestFit="1" customWidth="1"/>
    <col min="3" max="3" width="15.85546875" bestFit="1" customWidth="1"/>
    <col min="4" max="4" width="15.28515625" bestFit="1" customWidth="1"/>
    <col min="5" max="7" width="14.7109375" bestFit="1" customWidth="1"/>
    <col min="8" max="8" width="12.28515625" bestFit="1" customWidth="1"/>
  </cols>
  <sheetData>
    <row r="1" spans="1:3" ht="15.75" x14ac:dyDescent="0.25">
      <c r="A1" s="201" t="s">
        <v>250</v>
      </c>
    </row>
    <row r="2" spans="1:3" ht="15.75" x14ac:dyDescent="0.25">
      <c r="A2" s="201" t="s">
        <v>251</v>
      </c>
    </row>
    <row r="3" spans="1:3" ht="15.75" x14ac:dyDescent="0.25">
      <c r="A3" s="201" t="s">
        <v>252</v>
      </c>
    </row>
    <row r="4" spans="1:3" ht="15.75" x14ac:dyDescent="0.25">
      <c r="A4" s="1"/>
      <c r="B4" s="1"/>
      <c r="C4" s="2" t="s">
        <v>0</v>
      </c>
    </row>
    <row r="5" spans="1:3" ht="15.75" x14ac:dyDescent="0.25">
      <c r="A5" s="3" t="s">
        <v>1</v>
      </c>
      <c r="B5" s="3" t="s">
        <v>2</v>
      </c>
      <c r="C5" s="3" t="s">
        <v>3</v>
      </c>
    </row>
    <row r="6" spans="1:3" ht="15.75" x14ac:dyDescent="0.25">
      <c r="A6" s="1"/>
      <c r="B6" s="4" t="s">
        <v>22</v>
      </c>
      <c r="C6" s="1"/>
    </row>
    <row r="7" spans="1:3" ht="15.75" x14ac:dyDescent="0.25">
      <c r="A7" s="5">
        <f>ROW()</f>
        <v>7</v>
      </c>
      <c r="B7" s="6" t="s">
        <v>12</v>
      </c>
      <c r="C7" s="7">
        <f>'Colstrip Plant Balances'!C15</f>
        <v>531269628.93000007</v>
      </c>
    </row>
    <row r="8" spans="1:3" ht="15.75" x14ac:dyDescent="0.25">
      <c r="A8" s="5">
        <f>ROW()</f>
        <v>8</v>
      </c>
      <c r="B8" s="6" t="s">
        <v>4</v>
      </c>
      <c r="C8" s="8">
        <f>'Colstrip Plant Balances'!D15</f>
        <v>-449376609.27875507</v>
      </c>
    </row>
    <row r="9" spans="1:3" ht="15.75" x14ac:dyDescent="0.25">
      <c r="A9" s="5">
        <f>ROW()</f>
        <v>9</v>
      </c>
      <c r="B9" s="6" t="s">
        <v>13</v>
      </c>
      <c r="C9" s="8">
        <f>'Colstrip Plant Balances'!E15</f>
        <v>-21534310.368832793</v>
      </c>
    </row>
    <row r="10" spans="1:3" ht="15.75" x14ac:dyDescent="0.25">
      <c r="A10" s="5">
        <f>ROW()</f>
        <v>10</v>
      </c>
      <c r="B10" s="14" t="s">
        <v>36</v>
      </c>
      <c r="C10" s="224">
        <f>SUM(C7:C9)</f>
        <v>60358709.282412201</v>
      </c>
    </row>
    <row r="11" spans="1:3" ht="15.75" x14ac:dyDescent="0.25">
      <c r="A11" s="5"/>
      <c r="B11" s="6"/>
      <c r="C11" s="11"/>
    </row>
    <row r="12" spans="1:3" ht="15.75" x14ac:dyDescent="0.25">
      <c r="A12" s="5"/>
      <c r="B12" s="4" t="s">
        <v>52</v>
      </c>
      <c r="C12" s="47"/>
    </row>
    <row r="13" spans="1:3" ht="15.75" x14ac:dyDescent="0.25">
      <c r="A13" s="5">
        <f>ROW()</f>
        <v>13</v>
      </c>
      <c r="B13" s="6" t="s">
        <v>42</v>
      </c>
      <c r="C13" s="47">
        <f>'GL Balances'!C9</f>
        <v>110972218.59999999</v>
      </c>
    </row>
    <row r="14" spans="1:3" ht="15.75" x14ac:dyDescent="0.25">
      <c r="A14" s="5">
        <f>ROW()</f>
        <v>14</v>
      </c>
      <c r="B14" s="6" t="s">
        <v>56</v>
      </c>
      <c r="C14" s="8">
        <v>0</v>
      </c>
    </row>
    <row r="15" spans="1:3" ht="15.75" x14ac:dyDescent="0.25">
      <c r="A15" s="5">
        <f>ROW()</f>
        <v>15</v>
      </c>
      <c r="B15" s="6" t="s">
        <v>43</v>
      </c>
      <c r="C15" s="8">
        <f>'GL Balances'!C14</f>
        <v>-23304165.899999999</v>
      </c>
    </row>
    <row r="16" spans="1:3" ht="15.75" x14ac:dyDescent="0.25">
      <c r="A16" s="5">
        <f>ROW()</f>
        <v>16</v>
      </c>
      <c r="B16" s="6" t="s">
        <v>57</v>
      </c>
      <c r="C16" s="8">
        <v>0</v>
      </c>
    </row>
    <row r="17" spans="1:5" ht="15.75" x14ac:dyDescent="0.25">
      <c r="A17" s="5">
        <f>ROW()</f>
        <v>17</v>
      </c>
      <c r="B17" s="14" t="s">
        <v>59</v>
      </c>
      <c r="C17" s="206">
        <f>SUM(C13:C16)</f>
        <v>87668052.699999988</v>
      </c>
    </row>
    <row r="18" spans="1:5" ht="15.75" x14ac:dyDescent="0.25">
      <c r="A18" s="5"/>
      <c r="B18" s="1"/>
      <c r="C18" s="8"/>
    </row>
    <row r="19" spans="1:5" ht="15.75" x14ac:dyDescent="0.25">
      <c r="A19" s="5"/>
      <c r="B19" s="4" t="s">
        <v>28</v>
      </c>
      <c r="C19" s="8"/>
    </row>
    <row r="20" spans="1:5" ht="15.75" x14ac:dyDescent="0.25">
      <c r="A20" s="5">
        <f>ROW()</f>
        <v>20</v>
      </c>
      <c r="B20" s="6" t="s">
        <v>29</v>
      </c>
      <c r="C20" s="9">
        <f>'GL Balances'!C4</f>
        <v>-95934500</v>
      </c>
    </row>
    <row r="21" spans="1:5" ht="15.75" x14ac:dyDescent="0.25">
      <c r="A21" s="5">
        <f>ROW()</f>
        <v>21</v>
      </c>
      <c r="B21" s="6" t="s">
        <v>30</v>
      </c>
      <c r="C21" s="10">
        <f>'GL Balances'!C10</f>
        <v>47226280.32</v>
      </c>
    </row>
    <row r="22" spans="1:5" ht="15.75" x14ac:dyDescent="0.25">
      <c r="A22" s="5">
        <f>ROW()</f>
        <v>22</v>
      </c>
      <c r="B22" s="6" t="s">
        <v>31</v>
      </c>
      <c r="C22" s="10">
        <f>'GL Balances'!C3</f>
        <v>-102557.17</v>
      </c>
    </row>
    <row r="23" spans="1:5" ht="15.75" x14ac:dyDescent="0.25">
      <c r="A23" s="5">
        <f>ROW()</f>
        <v>23</v>
      </c>
      <c r="B23" s="6" t="s">
        <v>32</v>
      </c>
      <c r="C23" s="10">
        <f>'Colstrip Plant Balances'!D17+'3&amp;4 Accr Detail - PP'!B14+'Colstrip Plant Balances'!F16</f>
        <v>-29828416.211151935</v>
      </c>
    </row>
    <row r="24" spans="1:5" ht="15.75" x14ac:dyDescent="0.25">
      <c r="A24" s="5">
        <f>ROW()</f>
        <v>24</v>
      </c>
      <c r="B24" s="6" t="s">
        <v>33</v>
      </c>
      <c r="C24" s="10">
        <f>'GL Balances'!C11</f>
        <v>27831597.100000001</v>
      </c>
    </row>
    <row r="25" spans="1:5" ht="15.75" x14ac:dyDescent="0.25">
      <c r="A25" s="5">
        <f>ROW()</f>
        <v>25</v>
      </c>
      <c r="B25" s="6" t="s">
        <v>34</v>
      </c>
      <c r="C25" s="10">
        <f>'GL Balances'!C2</f>
        <v>-117565.55</v>
      </c>
    </row>
    <row r="26" spans="1:5" ht="15.75" x14ac:dyDescent="0.25">
      <c r="A26" s="5">
        <f>ROW()</f>
        <v>26</v>
      </c>
      <c r="B26" s="14" t="s">
        <v>35</v>
      </c>
      <c r="C26" s="224">
        <f>SUM(C20:C25)</f>
        <v>-50925161.511151932</v>
      </c>
    </row>
    <row r="27" spans="1:5" ht="15.75" x14ac:dyDescent="0.25">
      <c r="A27" s="5"/>
      <c r="B27" s="6"/>
      <c r="C27" s="11"/>
      <c r="E27" s="10"/>
    </row>
    <row r="28" spans="1:5" ht="15.75" x14ac:dyDescent="0.25">
      <c r="A28" s="5"/>
      <c r="B28" s="4" t="s">
        <v>55</v>
      </c>
      <c r="C28" s="47"/>
    </row>
    <row r="29" spans="1:5" ht="15.75" x14ac:dyDescent="0.25">
      <c r="A29" s="5">
        <f>ROW()</f>
        <v>29</v>
      </c>
      <c r="B29" s="6" t="s">
        <v>44</v>
      </c>
      <c r="C29" s="47">
        <f>'GL Balances'!C5</f>
        <v>-240042970.06</v>
      </c>
    </row>
    <row r="30" spans="1:5" ht="15.75" x14ac:dyDescent="0.25">
      <c r="A30" s="5">
        <f>ROW()</f>
        <v>30</v>
      </c>
      <c r="B30" s="6" t="s">
        <v>45</v>
      </c>
      <c r="C30" s="10">
        <f>'GL Balances'!C8</f>
        <v>-17551177.859999999</v>
      </c>
    </row>
    <row r="31" spans="1:5" ht="15.75" x14ac:dyDescent="0.25">
      <c r="A31" s="5">
        <f>ROW()</f>
        <v>31</v>
      </c>
      <c r="B31" s="6" t="s">
        <v>46</v>
      </c>
      <c r="C31" s="10">
        <f>'GL Balances'!C7</f>
        <v>5000000</v>
      </c>
    </row>
    <row r="32" spans="1:5" ht="15.75" x14ac:dyDescent="0.25">
      <c r="A32" s="5">
        <f>ROW()</f>
        <v>32</v>
      </c>
      <c r="B32" s="6" t="s">
        <v>47</v>
      </c>
      <c r="C32" s="10">
        <f>'GL Balances'!C12</f>
        <v>50409023.710000001</v>
      </c>
    </row>
    <row r="33" spans="1:3" ht="15.75" x14ac:dyDescent="0.25">
      <c r="A33" s="5">
        <f>ROW()</f>
        <v>33</v>
      </c>
      <c r="B33" s="6" t="s">
        <v>48</v>
      </c>
      <c r="C33" s="10">
        <f>'GL Balances'!C13</f>
        <v>3685747.35</v>
      </c>
    </row>
    <row r="34" spans="1:3" ht="15.75" x14ac:dyDescent="0.25">
      <c r="A34" s="5">
        <f>ROW()</f>
        <v>34</v>
      </c>
      <c r="B34" s="6" t="s">
        <v>53</v>
      </c>
      <c r="C34" s="10">
        <v>0</v>
      </c>
    </row>
    <row r="35" spans="1:3" ht="15.75" x14ac:dyDescent="0.25">
      <c r="A35" s="5">
        <f>ROW()</f>
        <v>35</v>
      </c>
      <c r="B35" s="6" t="s">
        <v>54</v>
      </c>
      <c r="C35" s="10">
        <v>0</v>
      </c>
    </row>
    <row r="36" spans="1:3" ht="15.75" x14ac:dyDescent="0.25">
      <c r="A36" s="5">
        <f>ROW()</f>
        <v>36</v>
      </c>
      <c r="B36" s="14" t="s">
        <v>58</v>
      </c>
      <c r="C36" s="206">
        <f>SUM(C29:C35)</f>
        <v>-198499376.86000001</v>
      </c>
    </row>
    <row r="37" spans="1:3" ht="15.75" x14ac:dyDescent="0.25">
      <c r="A37" s="5"/>
      <c r="B37" s="1"/>
      <c r="C37" s="8"/>
    </row>
    <row r="38" spans="1:3" ht="16.5" thickBot="1" x14ac:dyDescent="0.3">
      <c r="A38" s="5">
        <f>ROW()</f>
        <v>38</v>
      </c>
      <c r="B38" s="4" t="s">
        <v>60</v>
      </c>
      <c r="C38" s="49">
        <f>C10+C17+C26+C36</f>
        <v>-101397776.38873976</v>
      </c>
    </row>
    <row r="39" spans="1:3" ht="16.5" thickTop="1" x14ac:dyDescent="0.25">
      <c r="A39" s="5"/>
      <c r="B39" s="1"/>
      <c r="C39" s="7"/>
    </row>
    <row r="40" spans="1:3" ht="15.75" x14ac:dyDescent="0.25">
      <c r="A40" s="5">
        <f>ROW()</f>
        <v>40</v>
      </c>
      <c r="B40" s="6" t="s">
        <v>5</v>
      </c>
      <c r="C40" s="12">
        <f>'Def, COC, ConvF'!D13</f>
        <v>7.1599999999999997E-2</v>
      </c>
    </row>
    <row r="41" spans="1:3" ht="15.75" x14ac:dyDescent="0.25">
      <c r="A41" s="5">
        <f>ROW()</f>
        <v>41</v>
      </c>
      <c r="B41" s="6" t="s">
        <v>6</v>
      </c>
      <c r="C41" s="12">
        <f>'Def, COC, ConvF'!J31</f>
        <v>2.5499999999999998E-2</v>
      </c>
    </row>
    <row r="42" spans="1:3" ht="15.75" x14ac:dyDescent="0.25">
      <c r="A42" s="5">
        <f>ROW()</f>
        <v>42</v>
      </c>
      <c r="B42" s="6" t="s">
        <v>7</v>
      </c>
      <c r="C42" s="13">
        <v>0.21</v>
      </c>
    </row>
    <row r="43" spans="1:3" ht="15.75" x14ac:dyDescent="0.25">
      <c r="A43" s="5">
        <f>ROW()</f>
        <v>43</v>
      </c>
      <c r="B43" s="14" t="s">
        <v>8</v>
      </c>
      <c r="C43" s="223">
        <f>C38*C40</f>
        <v>-7260080.7894337671</v>
      </c>
    </row>
    <row r="44" spans="1:3" ht="15.75" x14ac:dyDescent="0.25">
      <c r="A44" s="5"/>
      <c r="B44" s="1"/>
      <c r="C44" s="7"/>
    </row>
    <row r="45" spans="1:3" ht="15.75" x14ac:dyDescent="0.25">
      <c r="A45" s="5"/>
      <c r="B45" s="14" t="s">
        <v>9</v>
      </c>
      <c r="C45" s="7"/>
    </row>
    <row r="46" spans="1:3" ht="15.75" x14ac:dyDescent="0.25">
      <c r="A46" s="5">
        <f>ROW()</f>
        <v>46</v>
      </c>
      <c r="B46" s="6" t="s">
        <v>15</v>
      </c>
      <c r="C46" s="7">
        <f>-'Production O&amp;M 2024'!H9</f>
        <v>-27787152.27333333</v>
      </c>
    </row>
    <row r="47" spans="1:3" ht="15.75" x14ac:dyDescent="0.25">
      <c r="A47" s="5">
        <f>ROW()</f>
        <v>47</v>
      </c>
      <c r="B47" s="6" t="s">
        <v>16</v>
      </c>
      <c r="C47" s="15">
        <f>-'MT Energy Tax'!D20</f>
        <v>-882698.53499999992</v>
      </c>
    </row>
    <row r="48" spans="1:3" ht="15.75" x14ac:dyDescent="0.25">
      <c r="A48" s="5">
        <f>ROW()</f>
        <v>48</v>
      </c>
      <c r="B48" s="6" t="s">
        <v>17</v>
      </c>
      <c r="C48" s="15">
        <f>-'Prop&amp;Liab Ins'!F15</f>
        <v>-1308230.145</v>
      </c>
    </row>
    <row r="49" spans="1:4" ht="15.75" x14ac:dyDescent="0.25">
      <c r="A49" s="5">
        <f>ROW()</f>
        <v>49</v>
      </c>
      <c r="B49" s="6" t="s">
        <v>14</v>
      </c>
      <c r="C49" s="15">
        <f>-SUM(C7:C8)/2.5</f>
        <v>-32757207.860498</v>
      </c>
      <c r="D49" s="15"/>
    </row>
    <row r="50" spans="1:4" ht="15.75" x14ac:dyDescent="0.25">
      <c r="A50" s="5">
        <f>ROW()</f>
        <v>50</v>
      </c>
      <c r="B50" s="6" t="s">
        <v>331</v>
      </c>
      <c r="C50" s="15">
        <f>-'Estimated D&amp;R Recovery'!C35</f>
        <v>-890151.00149815506</v>
      </c>
    </row>
    <row r="51" spans="1:4" ht="15.75" x14ac:dyDescent="0.25">
      <c r="A51" s="5">
        <f>ROW()</f>
        <v>51</v>
      </c>
      <c r="B51" s="6" t="s">
        <v>286</v>
      </c>
      <c r="C51" s="15">
        <f>-'DFIT Calc'!P11</f>
        <v>2877583.3600000003</v>
      </c>
    </row>
    <row r="52" spans="1:4" ht="15.75" x14ac:dyDescent="0.25">
      <c r="A52" s="5">
        <f>ROW()</f>
        <v>52</v>
      </c>
      <c r="B52" s="6" t="s">
        <v>326</v>
      </c>
      <c r="C52" s="15">
        <f>0.21*'2024 Capital Ex'!C3</f>
        <v>650068.53912000044</v>
      </c>
    </row>
    <row r="53" spans="1:4" ht="15.75" x14ac:dyDescent="0.25">
      <c r="A53" s="5">
        <f>ROW()</f>
        <v>53</v>
      </c>
      <c r="B53" s="6" t="s">
        <v>247</v>
      </c>
      <c r="C53" s="15">
        <f>SUM(C46:C50)*-C42</f>
        <v>13361342.361219192</v>
      </c>
    </row>
    <row r="54" spans="1:4" ht="15.75" x14ac:dyDescent="0.25">
      <c r="A54" s="5">
        <f>ROW()</f>
        <v>54</v>
      </c>
      <c r="B54" s="222" t="s">
        <v>10</v>
      </c>
      <c r="C54" s="223">
        <f>C43-SUM(C46:C53)</f>
        <v>39476364.765556522</v>
      </c>
    </row>
    <row r="55" spans="1:4" ht="15.75" x14ac:dyDescent="0.25">
      <c r="A55" s="5"/>
      <c r="B55" s="16"/>
      <c r="C55" s="7"/>
    </row>
    <row r="56" spans="1:4" ht="15.75" x14ac:dyDescent="0.25">
      <c r="A56" s="5">
        <f>ROW()</f>
        <v>56</v>
      </c>
      <c r="B56" s="6" t="s">
        <v>11</v>
      </c>
      <c r="C56" s="17">
        <f>'Update ConvF'!F23</f>
        <v>0.75077499999999997</v>
      </c>
    </row>
    <row r="57" spans="1:4" ht="16.5" thickBot="1" x14ac:dyDescent="0.3">
      <c r="A57" s="5">
        <f>ROW()</f>
        <v>57</v>
      </c>
      <c r="B57" s="222" t="s">
        <v>263</v>
      </c>
      <c r="C57" s="49">
        <f>C54/C56</f>
        <v>52580819.507251203</v>
      </c>
    </row>
    <row r="58" spans="1:4" ht="15.75" thickTop="1" x14ac:dyDescent="0.25"/>
    <row r="59" spans="1:4" ht="15.75" x14ac:dyDescent="0.25">
      <c r="A59" s="5">
        <f>ROW()</f>
        <v>59</v>
      </c>
      <c r="B59" s="6" t="s">
        <v>302</v>
      </c>
      <c r="C59" s="15">
        <v>50260000.129733883</v>
      </c>
    </row>
    <row r="60" spans="1:4" ht="15.75" x14ac:dyDescent="0.25">
      <c r="A60" s="5">
        <f>ROW()</f>
        <v>60</v>
      </c>
      <c r="B60" s="222" t="s">
        <v>301</v>
      </c>
      <c r="C60" s="223">
        <f>C57-C59</f>
        <v>2320819.3775173202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0" sqref="D20"/>
    </sheetView>
  </sheetViews>
  <sheetFormatPr defaultColWidth="9.140625" defaultRowHeight="12.75" x14ac:dyDescent="0.2"/>
  <cols>
    <col min="1" max="1" width="9.140625" style="220"/>
    <col min="2" max="2" width="49.140625" style="220" customWidth="1"/>
    <col min="3" max="3" width="4.28515625" style="220" bestFit="1" customWidth="1"/>
    <col min="4" max="4" width="14.140625" style="220" customWidth="1"/>
    <col min="5" max="5" width="12.28515625" style="220" bestFit="1" customWidth="1"/>
    <col min="6" max="16384" width="9.140625" style="220"/>
  </cols>
  <sheetData>
    <row r="1" spans="1:5" x14ac:dyDescent="0.2">
      <c r="A1" s="225" t="s">
        <v>306</v>
      </c>
      <c r="B1" s="225"/>
      <c r="C1" s="225"/>
      <c r="D1" s="225"/>
    </row>
    <row r="2" spans="1:5" x14ac:dyDescent="0.2">
      <c r="A2" s="226"/>
      <c r="B2" s="226"/>
      <c r="C2" s="226"/>
      <c r="D2" s="225"/>
    </row>
    <row r="3" spans="1:5" x14ac:dyDescent="0.2">
      <c r="A3" s="226"/>
      <c r="B3" s="226"/>
      <c r="C3" s="226"/>
      <c r="D3" s="226"/>
    </row>
    <row r="4" spans="1:5" x14ac:dyDescent="0.2">
      <c r="A4" s="227" t="s">
        <v>253</v>
      </c>
      <c r="B4" s="228"/>
      <c r="C4" s="228"/>
      <c r="D4" s="228"/>
      <c r="E4" s="221"/>
    </row>
    <row r="5" spans="1:5" x14ac:dyDescent="0.2">
      <c r="A5" s="228" t="s">
        <v>254</v>
      </c>
      <c r="B5" s="228"/>
      <c r="C5" s="228"/>
      <c r="D5" s="229"/>
      <c r="E5" s="221"/>
    </row>
    <row r="6" spans="1:5" x14ac:dyDescent="0.2">
      <c r="A6" s="228"/>
      <c r="B6" s="228"/>
      <c r="C6" s="228"/>
      <c r="D6" s="230"/>
      <c r="E6" s="221"/>
    </row>
    <row r="7" spans="1:5" x14ac:dyDescent="0.2">
      <c r="A7" s="228"/>
      <c r="B7" s="228"/>
      <c r="C7" s="228"/>
      <c r="D7" s="228"/>
      <c r="E7" s="221"/>
    </row>
    <row r="8" spans="1:5" x14ac:dyDescent="0.2">
      <c r="A8" s="226"/>
      <c r="B8" s="231"/>
      <c r="C8" s="231"/>
      <c r="D8" s="226"/>
    </row>
    <row r="9" spans="1:5" ht="15" x14ac:dyDescent="0.25">
      <c r="A9" s="232" t="s">
        <v>66</v>
      </c>
      <c r="B9" s="226"/>
      <c r="C9" s="226"/>
      <c r="D9" s="233">
        <v>2024</v>
      </c>
      <c r="E9"/>
    </row>
    <row r="10" spans="1:5" ht="15" x14ac:dyDescent="0.25">
      <c r="A10" s="234" t="s">
        <v>67</v>
      </c>
      <c r="B10" s="235" t="s">
        <v>68</v>
      </c>
      <c r="C10" s="236"/>
      <c r="D10" s="236" t="s">
        <v>255</v>
      </c>
      <c r="E10"/>
    </row>
    <row r="11" spans="1:5" ht="15" x14ac:dyDescent="0.25">
      <c r="A11" s="237"/>
      <c r="B11" s="238"/>
      <c r="C11" s="239"/>
      <c r="D11" s="225"/>
      <c r="E11"/>
    </row>
    <row r="12" spans="1:5" ht="15" x14ac:dyDescent="0.25">
      <c r="A12" s="237">
        <f t="shared" ref="A12:A20" si="0">A11+1</f>
        <v>1</v>
      </c>
      <c r="B12" s="240" t="s">
        <v>256</v>
      </c>
      <c r="C12" s="241"/>
      <c r="D12" s="242">
        <v>2577222000</v>
      </c>
      <c r="E12"/>
    </row>
    <row r="13" spans="1:5" ht="15" x14ac:dyDescent="0.25">
      <c r="A13" s="237">
        <f t="shared" si="0"/>
        <v>2</v>
      </c>
      <c r="B13" s="225" t="s">
        <v>257</v>
      </c>
      <c r="C13" s="225"/>
      <c r="D13" s="243">
        <v>0.05</v>
      </c>
      <c r="E13"/>
    </row>
    <row r="14" spans="1:5" ht="15" x14ac:dyDescent="0.25">
      <c r="A14" s="237">
        <f t="shared" si="0"/>
        <v>3</v>
      </c>
      <c r="B14" s="225" t="s">
        <v>258</v>
      </c>
      <c r="C14" s="225"/>
      <c r="D14" s="225">
        <v>1.4999999999999999E-4</v>
      </c>
      <c r="E14"/>
    </row>
    <row r="15" spans="1:5" ht="15" x14ac:dyDescent="0.25">
      <c r="A15" s="237">
        <f t="shared" si="0"/>
        <v>4</v>
      </c>
      <c r="B15" s="225" t="s">
        <v>259</v>
      </c>
      <c r="C15" s="225"/>
      <c r="D15" s="244">
        <f>+D12*(1-D13)*D14</f>
        <v>367254.13499999995</v>
      </c>
      <c r="E15"/>
    </row>
    <row r="16" spans="1:5" ht="15" x14ac:dyDescent="0.25">
      <c r="A16" s="237">
        <f t="shared" si="0"/>
        <v>5</v>
      </c>
      <c r="B16" s="225"/>
      <c r="C16" s="225"/>
      <c r="D16" s="225"/>
      <c r="E16"/>
    </row>
    <row r="17" spans="1:5" ht="15" x14ac:dyDescent="0.25">
      <c r="A17" s="237">
        <f t="shared" si="0"/>
        <v>6</v>
      </c>
      <c r="B17" s="225" t="s">
        <v>260</v>
      </c>
      <c r="C17" s="225"/>
      <c r="D17" s="225">
        <v>2.0000000000000001E-4</v>
      </c>
      <c r="E17"/>
    </row>
    <row r="18" spans="1:5" ht="15" x14ac:dyDescent="0.25">
      <c r="A18" s="237">
        <f t="shared" si="0"/>
        <v>7</v>
      </c>
      <c r="B18" s="225" t="s">
        <v>261</v>
      </c>
      <c r="C18" s="225"/>
      <c r="D18" s="244">
        <f>+D17*D12</f>
        <v>515444.4</v>
      </c>
      <c r="E18"/>
    </row>
    <row r="19" spans="1:5" ht="15" x14ac:dyDescent="0.25">
      <c r="A19" s="237">
        <f t="shared" si="0"/>
        <v>8</v>
      </c>
      <c r="B19" s="225"/>
      <c r="C19" s="225"/>
      <c r="D19" s="225"/>
      <c r="E19"/>
    </row>
    <row r="20" spans="1:5" ht="15" x14ac:dyDescent="0.25">
      <c r="A20" s="237">
        <f t="shared" si="0"/>
        <v>9</v>
      </c>
      <c r="B20" s="245" t="s">
        <v>262</v>
      </c>
      <c r="C20" s="246"/>
      <c r="D20" s="247">
        <f>+D15+D18</f>
        <v>882698.53499999992</v>
      </c>
      <c r="E20"/>
    </row>
    <row r="21" spans="1:5" customFormat="1" ht="15" x14ac:dyDescent="0.25">
      <c r="A21" s="248"/>
      <c r="B21" s="248"/>
      <c r="C21" s="248"/>
      <c r="D21" s="248"/>
    </row>
    <row r="22" spans="1:5" customFormat="1" ht="15" x14ac:dyDescent="0.25"/>
    <row r="23" spans="1:5" customFormat="1" ht="15" x14ac:dyDescent="0.25"/>
    <row r="24" spans="1:5" customFormat="1" ht="15" x14ac:dyDescent="0.25"/>
    <row r="25" spans="1:5" customFormat="1" ht="15" x14ac:dyDescent="0.25"/>
    <row r="26" spans="1:5" customFormat="1" ht="15" x14ac:dyDescent="0.25"/>
    <row r="27" spans="1:5" customFormat="1" ht="15" x14ac:dyDescent="0.25"/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opLeftCell="A10" workbookViewId="0">
      <selection activeCell="E17" sqref="E17"/>
    </sheetView>
  </sheetViews>
  <sheetFormatPr defaultColWidth="8.7109375" defaultRowHeight="15" x14ac:dyDescent="0.25"/>
  <cols>
    <col min="1" max="2" width="8.7109375" style="302"/>
    <col min="3" max="3" width="62.140625" style="302" bestFit="1" customWidth="1"/>
    <col min="4" max="16384" width="8.7109375" style="302"/>
  </cols>
  <sheetData>
    <row r="2" spans="2:6" x14ac:dyDescent="0.25">
      <c r="B2" s="301" t="s">
        <v>328</v>
      </c>
      <c r="C2" s="301"/>
      <c r="D2" s="301"/>
      <c r="E2" s="301"/>
      <c r="F2" s="301"/>
    </row>
    <row r="3" spans="2:6" x14ac:dyDescent="0.25">
      <c r="B3" s="303"/>
      <c r="C3" s="303"/>
    </row>
    <row r="4" spans="2:6" x14ac:dyDescent="0.25">
      <c r="B4" s="304" t="s">
        <v>61</v>
      </c>
      <c r="C4" s="304"/>
      <c r="D4" s="305"/>
      <c r="E4" s="305"/>
      <c r="F4" s="305"/>
    </row>
    <row r="5" spans="2:6" x14ac:dyDescent="0.25">
      <c r="B5" s="304" t="s">
        <v>62</v>
      </c>
      <c r="C5" s="304"/>
      <c r="D5" s="305"/>
      <c r="E5" s="305"/>
      <c r="F5" s="305"/>
    </row>
    <row r="6" spans="2:6" x14ac:dyDescent="0.25">
      <c r="B6" s="304" t="s">
        <v>63</v>
      </c>
      <c r="C6" s="304"/>
      <c r="D6" s="305"/>
      <c r="E6" s="305"/>
      <c r="F6" s="305"/>
    </row>
    <row r="7" spans="2:6" x14ac:dyDescent="0.25">
      <c r="B7" s="304" t="s">
        <v>64</v>
      </c>
      <c r="C7" s="304"/>
      <c r="D7" s="305"/>
      <c r="E7" s="305"/>
      <c r="F7" s="305"/>
    </row>
    <row r="8" spans="2:6" x14ac:dyDescent="0.25">
      <c r="B8" s="304" t="s">
        <v>329</v>
      </c>
      <c r="C8" s="304"/>
      <c r="D8" s="305"/>
      <c r="E8" s="305"/>
      <c r="F8" s="305"/>
    </row>
    <row r="9" spans="2:6" x14ac:dyDescent="0.25">
      <c r="B9" s="306" t="s">
        <v>65</v>
      </c>
      <c r="C9" s="306"/>
      <c r="D9" s="306"/>
      <c r="E9" s="306"/>
      <c r="F9" s="306"/>
    </row>
    <row r="10" spans="2:6" x14ac:dyDescent="0.25">
      <c r="B10" s="305"/>
      <c r="C10" s="305"/>
      <c r="D10" s="305"/>
      <c r="E10" s="305"/>
      <c r="F10" s="305"/>
    </row>
    <row r="11" spans="2:6" x14ac:dyDescent="0.25">
      <c r="B11" s="305"/>
      <c r="C11" s="305"/>
      <c r="D11" s="305"/>
      <c r="E11" s="305"/>
      <c r="F11" s="303"/>
    </row>
    <row r="12" spans="2:6" x14ac:dyDescent="0.25">
      <c r="B12" s="307" t="s">
        <v>66</v>
      </c>
      <c r="C12" s="307"/>
      <c r="D12" s="307"/>
      <c r="E12" s="303"/>
      <c r="F12" s="303"/>
    </row>
    <row r="13" spans="2:6" x14ac:dyDescent="0.25">
      <c r="B13" s="308" t="s">
        <v>67</v>
      </c>
      <c r="C13" s="308" t="s">
        <v>68</v>
      </c>
      <c r="D13" s="308"/>
      <c r="E13" s="309"/>
      <c r="F13" s="309"/>
    </row>
    <row r="14" spans="2:6" x14ac:dyDescent="0.25">
      <c r="B14" s="303"/>
      <c r="C14" s="303"/>
      <c r="D14" s="303"/>
      <c r="E14" s="303"/>
      <c r="F14" s="303"/>
    </row>
    <row r="15" spans="2:6" x14ac:dyDescent="0.25">
      <c r="B15" s="310">
        <f>ROW()</f>
        <v>15</v>
      </c>
      <c r="C15" s="311" t="s">
        <v>69</v>
      </c>
      <c r="D15" s="312"/>
      <c r="E15" s="312"/>
      <c r="F15" s="313">
        <v>7.1970000000000003E-3</v>
      </c>
    </row>
    <row r="16" spans="2:6" x14ac:dyDescent="0.25">
      <c r="B16" s="314">
        <f t="shared" ref="B16:B23" si="0">B15+1</f>
        <v>16</v>
      </c>
      <c r="C16" s="315" t="s">
        <v>70</v>
      </c>
      <c r="D16" s="316"/>
      <c r="E16" s="316"/>
      <c r="F16" s="317">
        <v>4.0000000000000001E-3</v>
      </c>
    </row>
    <row r="17" spans="2:6" x14ac:dyDescent="0.25">
      <c r="B17" s="310">
        <f t="shared" si="0"/>
        <v>17</v>
      </c>
      <c r="C17" s="311" t="str">
        <f>"STATE UTILITY TAX ( "&amp;F17*100&amp;"% - ( LINE 1 * "&amp;F17*100&amp;"% )  )"</f>
        <v>STATE UTILITY TAX ( 3.8455% - ( LINE 1 * 3.8455% )  )</v>
      </c>
      <c r="D17" s="303"/>
      <c r="E17" s="318">
        <v>3.8733999999999998E-2</v>
      </c>
      <c r="F17" s="319">
        <f>ROUND(E17-(E17*F15),6)</f>
        <v>3.8455000000000003E-2</v>
      </c>
    </row>
    <row r="18" spans="2:6" x14ac:dyDescent="0.25">
      <c r="B18" s="310">
        <f t="shared" si="0"/>
        <v>18</v>
      </c>
      <c r="C18" s="311"/>
      <c r="D18" s="312"/>
      <c r="E18" s="312"/>
      <c r="F18" s="320"/>
    </row>
    <row r="19" spans="2:6" x14ac:dyDescent="0.25">
      <c r="B19" s="310">
        <f t="shared" si="0"/>
        <v>19</v>
      </c>
      <c r="C19" s="311" t="s">
        <v>71</v>
      </c>
      <c r="D19" s="312"/>
      <c r="E19" s="312"/>
      <c r="F19" s="313">
        <f>ROUND(SUM(F15:F17),6)</f>
        <v>4.9652000000000002E-2</v>
      </c>
    </row>
    <row r="20" spans="2:6" x14ac:dyDescent="0.25">
      <c r="B20" s="310">
        <f t="shared" si="0"/>
        <v>20</v>
      </c>
      <c r="C20" s="312"/>
      <c r="D20" s="312"/>
      <c r="E20" s="312"/>
      <c r="F20" s="313"/>
    </row>
    <row r="21" spans="2:6" x14ac:dyDescent="0.25">
      <c r="B21" s="310">
        <f t="shared" si="0"/>
        <v>21</v>
      </c>
      <c r="C21" s="312" t="str">
        <f>"CONVERSION FACTOR EXCLUDING FEDERAL INCOME TAX ( 1 - LINE "&amp;$K$18&amp;" )"</f>
        <v>CONVERSION FACTOR EXCLUDING FEDERAL INCOME TAX ( 1 - LINE  )</v>
      </c>
      <c r="D21" s="312"/>
      <c r="E21" s="312"/>
      <c r="F21" s="313">
        <f>ROUND(1-F19,6)</f>
        <v>0.95034799999999997</v>
      </c>
    </row>
    <row r="22" spans="2:6" x14ac:dyDescent="0.25">
      <c r="B22" s="310">
        <f t="shared" si="0"/>
        <v>22</v>
      </c>
      <c r="C22" s="311" t="s">
        <v>72</v>
      </c>
      <c r="D22" s="312"/>
      <c r="E22" s="321">
        <v>0.21</v>
      </c>
      <c r="F22" s="313">
        <f>ROUND((F21)*E22,6)</f>
        <v>0.199573</v>
      </c>
    </row>
    <row r="23" spans="2:6" ht="15.75" thickBot="1" x14ac:dyDescent="0.3">
      <c r="B23" s="310">
        <f t="shared" si="0"/>
        <v>23</v>
      </c>
      <c r="C23" s="311" t="str">
        <f>"CONVERSION FACTOR INCL FEDERAL INCOME TAX ( LINE "&amp;B21&amp;" - LINE "&amp;B22&amp;" ) "</f>
        <v xml:space="preserve">CONVERSION FACTOR INCL FEDERAL INCOME TAX ( LINE 21 - LINE 22 ) </v>
      </c>
      <c r="D23" s="312"/>
      <c r="E23" s="312"/>
      <c r="F23" s="322">
        <f>ROUND(1-F22-F19,6)</f>
        <v>0.75077499999999997</v>
      </c>
    </row>
    <row r="24" spans="2:6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4"/>
  <sheetViews>
    <sheetView zoomScale="85" zoomScaleNormal="85" workbookViewId="0">
      <pane ySplit="10" topLeftCell="A11" activePane="bottomLeft" state="frozen"/>
      <selection activeCell="S23" sqref="S23"/>
      <selection pane="bottomLeft" activeCell="O20" sqref="O20"/>
    </sheetView>
  </sheetViews>
  <sheetFormatPr defaultColWidth="9.28515625" defaultRowHeight="12.75" outlineLevelRow="1" x14ac:dyDescent="0.2"/>
  <cols>
    <col min="1" max="1" width="5" style="50" bestFit="1" customWidth="1"/>
    <col min="2" max="2" width="68.7109375" style="50" customWidth="1"/>
    <col min="3" max="3" width="17.28515625" style="50" customWidth="1"/>
    <col min="4" max="4" width="16" style="50" bestFit="1" customWidth="1"/>
    <col min="5" max="5" width="18.28515625" style="50" customWidth="1"/>
    <col min="6" max="6" width="12.42578125" style="50" bestFit="1" customWidth="1"/>
    <col min="7" max="7" width="41.7109375" style="50" customWidth="1"/>
    <col min="8" max="10" width="12.28515625" style="50" customWidth="1"/>
    <col min="11" max="11" width="5" style="50" customWidth="1"/>
    <col min="12" max="12" width="61.7109375" style="50" customWidth="1"/>
    <col min="13" max="13" width="11.5703125" style="50" customWidth="1"/>
    <col min="14" max="14" width="9.28515625" style="50" customWidth="1"/>
    <col min="15" max="15" width="11.7109375" style="50" customWidth="1"/>
    <col min="16" max="16" width="9.28515625" style="50" customWidth="1"/>
    <col min="17" max="18" width="9.28515625" style="50"/>
    <col min="19" max="19" width="15.28515625" style="50" bestFit="1" customWidth="1"/>
    <col min="20" max="20" width="19.42578125" style="50" customWidth="1"/>
    <col min="21" max="21" width="12.28515625" style="50" bestFit="1" customWidth="1"/>
    <col min="22" max="22" width="15.28515625" style="50" bestFit="1" customWidth="1"/>
    <col min="23" max="25" width="9.28515625" style="50"/>
    <col min="26" max="26" width="16.7109375" style="50" customWidth="1"/>
    <col min="27" max="16384" width="9.28515625" style="50"/>
  </cols>
  <sheetData>
    <row r="1" spans="1:27" ht="14.25" x14ac:dyDescent="0.2">
      <c r="D1" s="66" t="s">
        <v>73</v>
      </c>
      <c r="E1" s="67"/>
      <c r="I1" s="66" t="s">
        <v>74</v>
      </c>
      <c r="J1" s="68"/>
      <c r="M1" s="66" t="s">
        <v>75</v>
      </c>
      <c r="N1" s="69"/>
      <c r="O1" s="68"/>
    </row>
    <row r="2" spans="1:27" x14ac:dyDescent="0.2">
      <c r="A2" s="51" t="s">
        <v>61</v>
      </c>
      <c r="B2" s="51"/>
      <c r="C2" s="51"/>
      <c r="D2" s="51"/>
      <c r="E2" s="51"/>
      <c r="F2" s="51" t="s">
        <v>61</v>
      </c>
      <c r="G2" s="51"/>
      <c r="H2" s="51"/>
      <c r="I2" s="51"/>
      <c r="J2" s="51"/>
      <c r="K2" s="51" t="s">
        <v>61</v>
      </c>
      <c r="L2" s="51"/>
      <c r="M2" s="52"/>
      <c r="N2" s="52"/>
      <c r="O2" s="52"/>
    </row>
    <row r="3" spans="1:27" x14ac:dyDescent="0.2">
      <c r="A3" s="51" t="s">
        <v>62</v>
      </c>
      <c r="B3" s="51"/>
      <c r="C3" s="51"/>
      <c r="D3" s="51"/>
      <c r="E3" s="51"/>
      <c r="F3" s="51" t="s">
        <v>62</v>
      </c>
      <c r="G3" s="51"/>
      <c r="H3" s="51"/>
      <c r="I3" s="51"/>
      <c r="J3" s="51"/>
      <c r="K3" s="51" t="s">
        <v>62</v>
      </c>
      <c r="L3" s="51"/>
      <c r="M3" s="52"/>
      <c r="N3" s="52"/>
      <c r="O3" s="52"/>
    </row>
    <row r="4" spans="1:27" x14ac:dyDescent="0.2">
      <c r="A4" s="51" t="s">
        <v>63</v>
      </c>
      <c r="B4" s="51"/>
      <c r="C4" s="51"/>
      <c r="D4" s="51"/>
      <c r="E4" s="51"/>
      <c r="F4" s="51" t="s">
        <v>63</v>
      </c>
      <c r="G4" s="51"/>
      <c r="H4" s="51"/>
      <c r="I4" s="51"/>
      <c r="J4" s="51"/>
      <c r="K4" s="51" t="s">
        <v>63</v>
      </c>
      <c r="L4" s="51"/>
      <c r="M4" s="52"/>
      <c r="N4" s="52"/>
      <c r="O4" s="52"/>
    </row>
    <row r="5" spans="1:27" x14ac:dyDescent="0.2">
      <c r="A5" s="51" t="s">
        <v>64</v>
      </c>
      <c r="B5" s="51"/>
      <c r="C5" s="51"/>
      <c r="D5" s="51"/>
      <c r="E5" s="51"/>
      <c r="F5" s="51" t="s">
        <v>64</v>
      </c>
      <c r="G5" s="51"/>
      <c r="H5" s="51"/>
      <c r="I5" s="51"/>
      <c r="J5" s="51"/>
      <c r="K5" s="51" t="s">
        <v>64</v>
      </c>
      <c r="L5" s="51"/>
      <c r="M5" s="52"/>
      <c r="N5" s="52"/>
      <c r="O5" s="52"/>
    </row>
    <row r="6" spans="1:27" s="70" customFormat="1" x14ac:dyDescent="0.2">
      <c r="A6" s="53" t="s">
        <v>76</v>
      </c>
      <c r="B6" s="53"/>
      <c r="C6" s="53"/>
      <c r="D6" s="53"/>
      <c r="E6" s="53"/>
      <c r="F6" s="53" t="s">
        <v>77</v>
      </c>
      <c r="G6" s="53"/>
      <c r="H6" s="53"/>
      <c r="I6" s="53"/>
      <c r="J6" s="53"/>
      <c r="K6" s="53" t="s">
        <v>65</v>
      </c>
      <c r="L6" s="53"/>
      <c r="M6" s="53"/>
      <c r="N6" s="53"/>
      <c r="O6" s="53"/>
    </row>
    <row r="7" spans="1:27" x14ac:dyDescent="0.2">
      <c r="B7" s="52"/>
      <c r="C7" s="52"/>
      <c r="D7" s="52"/>
      <c r="E7" s="52"/>
      <c r="G7" s="52"/>
      <c r="H7" s="52"/>
      <c r="I7" s="52"/>
      <c r="J7" s="52"/>
      <c r="K7" s="52"/>
      <c r="L7" s="52"/>
      <c r="M7" s="52"/>
      <c r="N7" s="52"/>
      <c r="O7" s="52"/>
    </row>
    <row r="8" spans="1:27" x14ac:dyDescent="0.2">
      <c r="K8" s="52"/>
      <c r="L8" s="52"/>
      <c r="M8" s="52"/>
      <c r="N8" s="52"/>
    </row>
    <row r="9" spans="1:27" x14ac:dyDescent="0.2">
      <c r="A9" s="54" t="s">
        <v>66</v>
      </c>
      <c r="B9" s="54"/>
      <c r="C9" s="71">
        <v>2023</v>
      </c>
      <c r="D9" s="71">
        <v>2024</v>
      </c>
      <c r="E9" s="71">
        <v>2025</v>
      </c>
      <c r="F9" s="54" t="s">
        <v>66</v>
      </c>
      <c r="G9" s="54"/>
      <c r="H9" s="71" t="s">
        <v>78</v>
      </c>
      <c r="J9" s="71" t="s">
        <v>79</v>
      </c>
      <c r="K9" s="54" t="s">
        <v>66</v>
      </c>
      <c r="L9" s="54"/>
      <c r="M9" s="54"/>
    </row>
    <row r="10" spans="1:27" ht="15" x14ac:dyDescent="0.25">
      <c r="A10" s="55" t="s">
        <v>67</v>
      </c>
      <c r="B10" s="55" t="s">
        <v>68</v>
      </c>
      <c r="C10" s="72" t="s">
        <v>80</v>
      </c>
      <c r="D10" s="72" t="s">
        <v>81</v>
      </c>
      <c r="E10" s="72" t="s">
        <v>82</v>
      </c>
      <c r="F10" s="55" t="s">
        <v>67</v>
      </c>
      <c r="G10" s="55" t="s">
        <v>68</v>
      </c>
      <c r="H10" s="72" t="s">
        <v>83</v>
      </c>
      <c r="I10" s="72" t="s">
        <v>84</v>
      </c>
      <c r="J10" s="72" t="s">
        <v>84</v>
      </c>
      <c r="K10" s="55" t="s">
        <v>67</v>
      </c>
      <c r="L10" s="55" t="s">
        <v>68</v>
      </c>
      <c r="M10" s="55"/>
      <c r="N10" s="56"/>
      <c r="O10" s="56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15" x14ac:dyDescent="0.25">
      <c r="F11" s="18"/>
      <c r="G11" s="74"/>
      <c r="H11" s="74"/>
      <c r="I11" s="74"/>
      <c r="J11" s="74"/>
      <c r="R11" s="75"/>
      <c r="S11" s="76"/>
      <c r="T11" s="75"/>
      <c r="U11" s="73"/>
      <c r="V11" s="73"/>
      <c r="W11" s="73"/>
      <c r="X11" s="73"/>
      <c r="Y11" s="73"/>
      <c r="Z11" s="73"/>
      <c r="AA11" s="73"/>
    </row>
    <row r="12" spans="1:27" ht="15" x14ac:dyDescent="0.25">
      <c r="A12" s="57">
        <v>12</v>
      </c>
      <c r="B12" s="59" t="s">
        <v>85</v>
      </c>
      <c r="C12" s="77">
        <v>5440416160.4043016</v>
      </c>
      <c r="D12" s="77">
        <v>5673064260.9270506</v>
      </c>
      <c r="E12" s="77"/>
      <c r="F12" s="57">
        <v>12</v>
      </c>
      <c r="G12" s="78" t="s">
        <v>86</v>
      </c>
      <c r="H12" s="79"/>
      <c r="I12" s="79"/>
      <c r="J12" s="80"/>
      <c r="K12" s="57">
        <v>12</v>
      </c>
      <c r="L12" s="58" t="s">
        <v>69</v>
      </c>
      <c r="M12" s="59"/>
      <c r="N12" s="59"/>
      <c r="O12" s="60">
        <v>7.1970000000000003E-3</v>
      </c>
      <c r="R12" s="81"/>
      <c r="S12" s="76"/>
      <c r="T12" s="76"/>
      <c r="U12" s="73"/>
      <c r="V12" s="73"/>
      <c r="W12" s="73"/>
      <c r="X12" s="73"/>
      <c r="Y12" s="73"/>
      <c r="Z12" s="73"/>
      <c r="AA12" s="73"/>
    </row>
    <row r="13" spans="1:27" ht="15" x14ac:dyDescent="0.25">
      <c r="A13" s="57">
        <v>13</v>
      </c>
      <c r="B13" s="58" t="s">
        <v>87</v>
      </c>
      <c r="C13" s="82">
        <v>7.1599999999999997E-2</v>
      </c>
      <c r="D13" s="82">
        <v>7.1599999999999997E-2</v>
      </c>
      <c r="E13" s="82"/>
      <c r="F13" s="81">
        <v>13</v>
      </c>
      <c r="G13" s="83" t="s">
        <v>88</v>
      </c>
      <c r="H13" s="84">
        <v>0.51039999999999996</v>
      </c>
      <c r="I13" s="84">
        <v>5.1332288401253916E-2</v>
      </c>
      <c r="J13" s="85">
        <v>2.6200000000000001E-2</v>
      </c>
      <c r="K13" s="57">
        <v>13</v>
      </c>
      <c r="L13" s="58" t="s">
        <v>70</v>
      </c>
      <c r="M13" s="59"/>
      <c r="N13" s="59"/>
      <c r="O13" s="60">
        <v>2E-3</v>
      </c>
      <c r="R13" s="81"/>
      <c r="S13" s="84"/>
      <c r="T13" s="76"/>
      <c r="U13" s="73"/>
      <c r="V13" s="73"/>
      <c r="W13" s="73"/>
      <c r="X13" s="73"/>
      <c r="Y13" s="73"/>
      <c r="Z13" s="73"/>
      <c r="AA13" s="73"/>
    </row>
    <row r="14" spans="1:27" ht="15" x14ac:dyDescent="0.25">
      <c r="A14" s="57">
        <v>14</v>
      </c>
      <c r="B14" s="58"/>
      <c r="C14" s="79"/>
      <c r="D14" s="79"/>
      <c r="E14" s="79"/>
      <c r="F14" s="81">
        <v>14</v>
      </c>
      <c r="G14" s="83" t="s">
        <v>89</v>
      </c>
      <c r="H14" s="84">
        <v>0.48959999999999998</v>
      </c>
      <c r="I14" s="84">
        <v>9.4252054794520562E-2</v>
      </c>
      <c r="J14" s="85">
        <v>4.6100000000000002E-2</v>
      </c>
      <c r="K14" s="57">
        <v>14</v>
      </c>
      <c r="L14" s="58" t="s">
        <v>137</v>
      </c>
      <c r="N14" s="61">
        <v>3.8733999999999998E-2</v>
      </c>
      <c r="O14" s="62">
        <v>3.8455000000000003E-2</v>
      </c>
      <c r="R14" s="81"/>
      <c r="S14" s="75"/>
      <c r="T14" s="76"/>
      <c r="U14" s="73"/>
      <c r="V14" s="73"/>
      <c r="W14" s="73"/>
      <c r="X14" s="73"/>
      <c r="Y14" s="73"/>
      <c r="Z14" s="73"/>
      <c r="AA14" s="73"/>
    </row>
    <row r="15" spans="1:27" ht="15" x14ac:dyDescent="0.25">
      <c r="A15" s="57">
        <v>15</v>
      </c>
      <c r="B15" s="59" t="s">
        <v>90</v>
      </c>
      <c r="C15" s="86">
        <v>389533797.084948</v>
      </c>
      <c r="D15" s="86">
        <v>406191401.08237678</v>
      </c>
      <c r="E15" s="86"/>
      <c r="F15" s="81">
        <v>15</v>
      </c>
      <c r="G15" s="83" t="s">
        <v>91</v>
      </c>
      <c r="H15" s="87">
        <v>1</v>
      </c>
      <c r="I15" s="79"/>
      <c r="J15" s="88">
        <v>7.2300000000000003E-2</v>
      </c>
      <c r="K15" s="57">
        <v>15</v>
      </c>
      <c r="L15" s="58"/>
      <c r="M15" s="59"/>
      <c r="N15" s="59"/>
      <c r="O15" s="63"/>
      <c r="R15" s="81"/>
      <c r="S15" s="89"/>
      <c r="T15" s="76"/>
      <c r="U15" s="73"/>
      <c r="V15" s="73"/>
      <c r="W15" s="73"/>
      <c r="X15" s="73"/>
      <c r="Y15" s="73"/>
      <c r="Z15" s="73"/>
      <c r="AA15" s="73"/>
    </row>
    <row r="16" spans="1:27" ht="15" x14ac:dyDescent="0.25">
      <c r="A16" s="57">
        <v>16</v>
      </c>
      <c r="B16" s="59"/>
      <c r="F16" s="81">
        <v>16</v>
      </c>
      <c r="G16" s="83"/>
      <c r="H16" s="75"/>
      <c r="I16" s="75"/>
      <c r="J16" s="90"/>
      <c r="K16" s="57">
        <v>16</v>
      </c>
      <c r="L16" s="58" t="s">
        <v>71</v>
      </c>
      <c r="M16" s="59"/>
      <c r="N16" s="59"/>
      <c r="O16" s="60">
        <v>4.7652E-2</v>
      </c>
      <c r="R16" s="81"/>
      <c r="S16" s="75"/>
      <c r="T16" s="76"/>
      <c r="U16" s="73"/>
      <c r="V16" s="73"/>
      <c r="W16" s="73"/>
      <c r="X16" s="73"/>
      <c r="Y16" s="73"/>
      <c r="Z16" s="73"/>
      <c r="AA16" s="73"/>
    </row>
    <row r="17" spans="1:27" ht="15" x14ac:dyDescent="0.25">
      <c r="A17" s="57">
        <v>17</v>
      </c>
      <c r="B17" s="58" t="s">
        <v>92</v>
      </c>
      <c r="C17" s="91">
        <v>214119138.66156673</v>
      </c>
      <c r="D17" s="91">
        <v>207033142.59221268</v>
      </c>
      <c r="E17" s="86"/>
      <c r="F17" s="81">
        <v>17</v>
      </c>
      <c r="G17" s="83" t="s">
        <v>93</v>
      </c>
      <c r="H17" s="84">
        <v>0.51039999999999996</v>
      </c>
      <c r="I17" s="84">
        <v>4.0552507836990596E-2</v>
      </c>
      <c r="J17" s="85">
        <v>2.07E-2</v>
      </c>
      <c r="K17" s="57">
        <v>17</v>
      </c>
      <c r="L17" s="59"/>
      <c r="M17" s="59"/>
      <c r="N17" s="59"/>
      <c r="O17" s="60"/>
      <c r="R17" s="81"/>
      <c r="S17" s="89"/>
      <c r="T17" s="76"/>
      <c r="U17" s="73"/>
      <c r="V17" s="73"/>
      <c r="W17" s="73"/>
      <c r="X17" s="73"/>
      <c r="Y17" s="73"/>
      <c r="Z17" s="73"/>
      <c r="AA17" s="73"/>
    </row>
    <row r="18" spans="1:27" ht="15" x14ac:dyDescent="0.25">
      <c r="A18" s="57">
        <v>18</v>
      </c>
      <c r="B18" s="58" t="s">
        <v>94</v>
      </c>
      <c r="C18" s="92">
        <v>175414658.42338127</v>
      </c>
      <c r="D18" s="92">
        <v>199158258.4901641</v>
      </c>
      <c r="E18" s="93"/>
      <c r="F18" s="81">
        <v>18</v>
      </c>
      <c r="G18" s="83" t="s">
        <v>89</v>
      </c>
      <c r="H18" s="84">
        <v>0.48959999999999998</v>
      </c>
      <c r="I18" s="84">
        <v>9.4252054794520562E-2</v>
      </c>
      <c r="J18" s="85">
        <v>4.6100000000000002E-2</v>
      </c>
      <c r="K18" s="57">
        <v>18</v>
      </c>
      <c r="L18" s="59" t="s">
        <v>138</v>
      </c>
      <c r="M18" s="59"/>
      <c r="N18" s="59"/>
      <c r="O18" s="60">
        <v>0.95234799999999997</v>
      </c>
      <c r="R18" s="81"/>
      <c r="S18" s="89"/>
      <c r="T18" s="76"/>
      <c r="U18" s="73"/>
      <c r="V18" s="73"/>
      <c r="W18" s="73"/>
      <c r="X18" s="73"/>
      <c r="Y18" s="73"/>
      <c r="Z18" s="73"/>
      <c r="AA18" s="73"/>
    </row>
    <row r="19" spans="1:27" ht="15" x14ac:dyDescent="0.25">
      <c r="A19" s="57">
        <v>19</v>
      </c>
      <c r="B19" s="59"/>
      <c r="C19" s="94"/>
      <c r="D19" s="94"/>
      <c r="E19" s="77"/>
      <c r="F19" s="81">
        <v>19</v>
      </c>
      <c r="G19" s="95" t="s">
        <v>95</v>
      </c>
      <c r="H19" s="96">
        <v>1</v>
      </c>
      <c r="I19" s="97"/>
      <c r="J19" s="98">
        <v>6.6799999999999998E-2</v>
      </c>
      <c r="K19" s="57">
        <v>19</v>
      </c>
      <c r="L19" s="58" t="s">
        <v>72</v>
      </c>
      <c r="M19" s="59"/>
      <c r="N19" s="64">
        <v>0.21</v>
      </c>
      <c r="O19" s="60">
        <v>0.199993</v>
      </c>
      <c r="R19" s="81"/>
      <c r="S19" s="75"/>
      <c r="T19" s="76"/>
      <c r="U19" s="73"/>
      <c r="V19" s="73"/>
      <c r="W19" s="73"/>
      <c r="X19" s="73"/>
      <c r="Y19" s="73"/>
      <c r="Z19" s="73"/>
      <c r="AA19" s="73"/>
    </row>
    <row r="20" spans="1:27" ht="15.75" thickBot="1" x14ac:dyDescent="0.3">
      <c r="A20" s="57">
        <v>20</v>
      </c>
      <c r="B20" s="59" t="s">
        <v>65</v>
      </c>
      <c r="C20" s="99">
        <v>0.752355</v>
      </c>
      <c r="D20" s="99">
        <v>0.752355</v>
      </c>
      <c r="E20" s="99"/>
      <c r="F20" s="81">
        <v>20</v>
      </c>
      <c r="G20" s="75"/>
      <c r="H20" s="75"/>
      <c r="I20" s="75"/>
      <c r="J20" s="75"/>
      <c r="K20" s="57">
        <v>20</v>
      </c>
      <c r="L20" s="58" t="s">
        <v>139</v>
      </c>
      <c r="M20" s="59"/>
      <c r="N20" s="59"/>
      <c r="O20" s="65">
        <v>0.752355</v>
      </c>
      <c r="R20" s="81"/>
      <c r="S20" s="100"/>
      <c r="T20" s="76"/>
      <c r="U20" s="73"/>
      <c r="V20" s="73"/>
      <c r="W20" s="73"/>
      <c r="X20" s="73"/>
      <c r="Y20" s="73"/>
      <c r="Z20" s="73"/>
      <c r="AA20" s="73"/>
    </row>
    <row r="21" spans="1:27" ht="16.5" thickTop="1" thickBot="1" x14ac:dyDescent="0.3">
      <c r="A21" s="57">
        <v>21</v>
      </c>
      <c r="B21" s="50" t="s">
        <v>96</v>
      </c>
      <c r="C21" s="101">
        <v>233154107</v>
      </c>
      <c r="D21" s="101">
        <v>264713145</v>
      </c>
      <c r="E21" s="102"/>
      <c r="F21" s="81">
        <v>21</v>
      </c>
      <c r="G21" s="78">
        <v>2023</v>
      </c>
      <c r="H21" s="79"/>
      <c r="I21" s="79"/>
      <c r="J21" s="80"/>
      <c r="K21" s="57"/>
      <c r="M21" s="59"/>
      <c r="N21" s="59"/>
      <c r="O21" s="59"/>
      <c r="R21" s="81"/>
      <c r="S21" s="103"/>
      <c r="T21" s="76"/>
      <c r="U21" s="73"/>
      <c r="V21" s="73"/>
      <c r="W21" s="73"/>
      <c r="X21" s="73"/>
      <c r="Y21" s="73"/>
      <c r="Z21" s="73"/>
      <c r="AA21" s="73"/>
    </row>
    <row r="22" spans="1:27" ht="15.75" thickTop="1" x14ac:dyDescent="0.25">
      <c r="A22" s="57">
        <v>22</v>
      </c>
      <c r="C22" s="104"/>
      <c r="D22" s="104"/>
      <c r="E22" s="103"/>
      <c r="F22" s="81">
        <v>22</v>
      </c>
      <c r="G22" s="83" t="s">
        <v>88</v>
      </c>
      <c r="H22" s="84">
        <v>0.51</v>
      </c>
      <c r="I22" s="84">
        <v>0.05</v>
      </c>
      <c r="J22" s="85">
        <v>2.5499999999999998E-2</v>
      </c>
      <c r="K22" s="57"/>
      <c r="M22" s="59"/>
      <c r="N22" s="59"/>
      <c r="O22" s="60"/>
      <c r="R22" s="81"/>
      <c r="S22" s="75"/>
      <c r="T22" s="76"/>
      <c r="U22" s="73"/>
      <c r="V22" s="73"/>
      <c r="W22" s="73"/>
      <c r="X22" s="73"/>
      <c r="Y22" s="73"/>
      <c r="Z22" s="73"/>
      <c r="AA22" s="73"/>
    </row>
    <row r="23" spans="1:27" ht="15" x14ac:dyDescent="0.25">
      <c r="A23" s="57">
        <v>23</v>
      </c>
      <c r="B23" s="50" t="s">
        <v>97</v>
      </c>
      <c r="C23" s="105">
        <v>233154107</v>
      </c>
      <c r="D23" s="105">
        <v>31559038</v>
      </c>
      <c r="E23" s="106"/>
      <c r="F23" s="81">
        <v>23</v>
      </c>
      <c r="G23" s="83" t="s">
        <v>89</v>
      </c>
      <c r="H23" s="84">
        <v>0.49</v>
      </c>
      <c r="I23" s="84">
        <v>9.4E-2</v>
      </c>
      <c r="J23" s="85">
        <v>4.6100000000000002E-2</v>
      </c>
      <c r="R23" s="81"/>
      <c r="S23" s="89"/>
      <c r="T23" s="76"/>
      <c r="U23" s="73"/>
      <c r="V23" s="73"/>
      <c r="W23" s="73"/>
      <c r="X23" s="73"/>
      <c r="Y23" s="73"/>
      <c r="Z23" s="73"/>
      <c r="AA23" s="73"/>
    </row>
    <row r="24" spans="1:27" ht="15" x14ac:dyDescent="0.25">
      <c r="A24" s="57">
        <v>24</v>
      </c>
      <c r="C24" s="107"/>
      <c r="D24" s="107"/>
      <c r="E24" s="107"/>
      <c r="F24" s="81">
        <v>24</v>
      </c>
      <c r="G24" s="83" t="s">
        <v>91</v>
      </c>
      <c r="H24" s="87">
        <v>1</v>
      </c>
      <c r="I24" s="79"/>
      <c r="J24" s="108">
        <v>7.1599999999999997E-2</v>
      </c>
      <c r="R24" s="81"/>
      <c r="S24" s="89"/>
      <c r="T24" s="76"/>
      <c r="U24" s="73"/>
      <c r="V24" s="73"/>
      <c r="W24" s="73"/>
      <c r="X24" s="73"/>
      <c r="Y24" s="73"/>
      <c r="Z24" s="73"/>
      <c r="AA24" s="73"/>
    </row>
    <row r="25" spans="1:27" ht="15" x14ac:dyDescent="0.25">
      <c r="A25" s="57">
        <v>25</v>
      </c>
      <c r="B25" s="50" t="s">
        <v>98</v>
      </c>
      <c r="C25" s="75"/>
      <c r="D25" s="75"/>
      <c r="E25" s="75"/>
      <c r="F25" s="81">
        <v>25</v>
      </c>
      <c r="G25" s="83"/>
      <c r="H25" s="75"/>
      <c r="I25" s="75"/>
      <c r="J25" s="90"/>
      <c r="L25" s="50" t="s">
        <v>99</v>
      </c>
      <c r="R25" s="81"/>
      <c r="S25" s="89"/>
      <c r="T25" s="76"/>
      <c r="U25" s="73"/>
      <c r="V25" s="73"/>
      <c r="W25" s="73"/>
      <c r="X25" s="73"/>
      <c r="Y25" s="73"/>
      <c r="Z25" s="73"/>
      <c r="AA25" s="73"/>
    </row>
    <row r="26" spans="1:27" ht="15" x14ac:dyDescent="0.25">
      <c r="A26" s="57">
        <v>26</v>
      </c>
      <c r="B26" s="109" t="s">
        <v>100</v>
      </c>
      <c r="C26" s="86"/>
      <c r="D26" s="86"/>
      <c r="E26" s="86"/>
      <c r="F26" s="81">
        <v>26</v>
      </c>
      <c r="G26" s="83" t="s">
        <v>93</v>
      </c>
      <c r="H26" s="84">
        <v>0.51</v>
      </c>
      <c r="I26" s="84">
        <v>3.9500000000000007E-2</v>
      </c>
      <c r="J26" s="85">
        <v>2.01E-2</v>
      </c>
      <c r="R26" s="81"/>
      <c r="S26" s="89"/>
      <c r="T26" s="76"/>
      <c r="U26" s="73"/>
      <c r="V26" s="73"/>
      <c r="W26" s="73"/>
      <c r="X26" s="73"/>
      <c r="Y26" s="73"/>
      <c r="Z26" s="73"/>
      <c r="AA26" s="73"/>
    </row>
    <row r="27" spans="1:27" ht="15" x14ac:dyDescent="0.25">
      <c r="A27" s="57">
        <v>27</v>
      </c>
      <c r="B27" s="110" t="s">
        <v>101</v>
      </c>
      <c r="C27" s="91">
        <v>-67923000</v>
      </c>
      <c r="D27" s="86"/>
      <c r="E27" s="86"/>
      <c r="F27" s="81">
        <v>27</v>
      </c>
      <c r="G27" s="83" t="s">
        <v>89</v>
      </c>
      <c r="H27" s="84">
        <v>0.49</v>
      </c>
      <c r="I27" s="84">
        <v>9.4E-2</v>
      </c>
      <c r="J27" s="85">
        <v>4.6100000000000002E-2</v>
      </c>
      <c r="K27" s="18"/>
      <c r="R27" s="81"/>
      <c r="S27" s="89"/>
      <c r="T27" s="76"/>
      <c r="U27" s="73"/>
      <c r="V27" s="73"/>
      <c r="W27" s="73"/>
      <c r="X27" s="73"/>
      <c r="Y27" s="73"/>
      <c r="Z27" s="73"/>
      <c r="AA27" s="73"/>
    </row>
    <row r="28" spans="1:27" ht="15" x14ac:dyDescent="0.25">
      <c r="A28" s="57">
        <v>28</v>
      </c>
      <c r="B28" s="110" t="s">
        <v>102</v>
      </c>
      <c r="C28" s="91">
        <v>-3624000</v>
      </c>
      <c r="D28" s="86"/>
      <c r="E28" s="86"/>
      <c r="F28" s="81">
        <v>28</v>
      </c>
      <c r="G28" s="95" t="s">
        <v>95</v>
      </c>
      <c r="H28" s="96">
        <v>1</v>
      </c>
      <c r="I28" s="97"/>
      <c r="J28" s="98">
        <v>6.6200000000000009E-2</v>
      </c>
      <c r="R28" s="81"/>
      <c r="S28" s="89"/>
      <c r="T28" s="76"/>
      <c r="U28" s="73"/>
      <c r="V28" s="73"/>
      <c r="W28" s="73"/>
      <c r="X28" s="73"/>
      <c r="Y28" s="73"/>
      <c r="Z28" s="73"/>
      <c r="AA28" s="73"/>
    </row>
    <row r="29" spans="1:27" ht="15" x14ac:dyDescent="0.25">
      <c r="A29" s="57">
        <v>29</v>
      </c>
      <c r="B29" s="109" t="s">
        <v>103</v>
      </c>
      <c r="C29" s="86"/>
      <c r="D29" s="86"/>
      <c r="E29" s="86"/>
      <c r="F29" s="81">
        <v>29</v>
      </c>
      <c r="G29" s="75"/>
      <c r="H29" s="75"/>
      <c r="I29" s="75"/>
      <c r="J29" s="75"/>
      <c r="R29" s="81"/>
      <c r="S29" s="89"/>
      <c r="T29" s="76"/>
      <c r="U29" s="73"/>
      <c r="V29" s="73"/>
      <c r="W29" s="73"/>
      <c r="X29" s="73"/>
      <c r="Y29" s="73"/>
      <c r="Z29" s="73"/>
      <c r="AA29" s="73"/>
    </row>
    <row r="30" spans="1:27" ht="15" x14ac:dyDescent="0.25">
      <c r="A30" s="57">
        <v>30</v>
      </c>
      <c r="B30" s="110" t="s">
        <v>104</v>
      </c>
      <c r="C30" s="91">
        <v>-1117000</v>
      </c>
      <c r="D30" s="91">
        <v>-20000</v>
      </c>
      <c r="E30" s="86"/>
      <c r="F30" s="81">
        <v>30</v>
      </c>
      <c r="G30" s="78">
        <v>2024</v>
      </c>
      <c r="H30" s="79"/>
      <c r="I30" s="79"/>
      <c r="J30" s="80"/>
      <c r="R30" s="81"/>
      <c r="S30" s="89"/>
      <c r="T30" s="76"/>
      <c r="U30" s="73"/>
      <c r="V30" s="73"/>
      <c r="W30" s="73"/>
      <c r="X30" s="73"/>
      <c r="Y30" s="73"/>
      <c r="Z30" s="73"/>
      <c r="AA30" s="73"/>
    </row>
    <row r="31" spans="1:27" ht="15" x14ac:dyDescent="0.25">
      <c r="A31" s="57">
        <v>31</v>
      </c>
      <c r="B31" s="111" t="s">
        <v>105</v>
      </c>
      <c r="C31" s="91">
        <v>35309000</v>
      </c>
      <c r="D31" s="91">
        <v>373000</v>
      </c>
      <c r="E31" s="86"/>
      <c r="F31" s="81">
        <v>31</v>
      </c>
      <c r="G31" s="83" t="s">
        <v>88</v>
      </c>
      <c r="H31" s="84">
        <v>0.51</v>
      </c>
      <c r="I31" s="84">
        <v>0.05</v>
      </c>
      <c r="J31" s="85">
        <v>2.5499999999999998E-2</v>
      </c>
      <c r="L31" s="112"/>
      <c r="R31" s="81"/>
      <c r="S31" s="75"/>
      <c r="T31" s="76"/>
      <c r="U31" s="73"/>
      <c r="V31" s="73"/>
      <c r="W31" s="73"/>
      <c r="X31" s="73"/>
      <c r="Y31" s="73"/>
      <c r="Z31" s="73"/>
      <c r="AA31" s="73"/>
    </row>
    <row r="32" spans="1:27" ht="15" x14ac:dyDescent="0.25">
      <c r="A32" s="57">
        <v>32</v>
      </c>
      <c r="B32" s="111" t="s">
        <v>106</v>
      </c>
      <c r="C32" s="91">
        <v>50253000</v>
      </c>
      <c r="D32" s="91">
        <v>3352000</v>
      </c>
      <c r="E32" s="86"/>
      <c r="F32" s="81">
        <v>32</v>
      </c>
      <c r="G32" s="83" t="s">
        <v>89</v>
      </c>
      <c r="H32" s="84">
        <v>0.49</v>
      </c>
      <c r="I32" s="84">
        <v>9.4E-2</v>
      </c>
      <c r="J32" s="85">
        <v>4.6100000000000002E-2</v>
      </c>
      <c r="L32" s="112"/>
      <c r="M32" s="94"/>
      <c r="R32" s="81"/>
      <c r="S32" s="113"/>
      <c r="T32" s="76"/>
      <c r="U32" s="73"/>
      <c r="V32" s="73"/>
      <c r="W32" s="73"/>
      <c r="X32" s="73"/>
      <c r="Y32" s="73"/>
      <c r="Z32" s="73"/>
      <c r="AA32" s="73"/>
    </row>
    <row r="33" spans="1:27" ht="15" x14ac:dyDescent="0.25">
      <c r="A33" s="57">
        <v>33</v>
      </c>
      <c r="B33" s="111" t="s">
        <v>107</v>
      </c>
      <c r="C33" s="91">
        <v>933144.62432184815</v>
      </c>
      <c r="D33" s="91">
        <v>-2128398</v>
      </c>
      <c r="E33" s="114"/>
      <c r="F33" s="81">
        <v>33</v>
      </c>
      <c r="G33" s="83" t="s">
        <v>91</v>
      </c>
      <c r="H33" s="87">
        <v>1</v>
      </c>
      <c r="I33" s="79"/>
      <c r="J33" s="108">
        <v>7.1599999999999997E-2</v>
      </c>
      <c r="L33" s="112"/>
      <c r="R33" s="81"/>
      <c r="S33" s="113"/>
      <c r="T33" s="76"/>
      <c r="U33" s="73"/>
      <c r="V33" s="73"/>
      <c r="W33" s="73"/>
      <c r="X33" s="73"/>
      <c r="Y33" s="73"/>
      <c r="Z33" s="73"/>
      <c r="AA33" s="73"/>
    </row>
    <row r="34" spans="1:27" ht="15" x14ac:dyDescent="0.25">
      <c r="A34" s="57">
        <v>34</v>
      </c>
      <c r="B34" s="115" t="s">
        <v>108</v>
      </c>
      <c r="C34" s="92">
        <v>13831144.624321848</v>
      </c>
      <c r="D34" s="92">
        <v>1576602</v>
      </c>
      <c r="E34" s="92"/>
      <c r="F34" s="81">
        <v>34</v>
      </c>
      <c r="G34" s="83"/>
      <c r="H34" s="75"/>
      <c r="I34" s="75"/>
      <c r="J34" s="90"/>
      <c r="L34" s="86"/>
      <c r="R34" s="81"/>
      <c r="S34" s="113"/>
      <c r="T34" s="76"/>
      <c r="U34" s="73"/>
      <c r="V34" s="73"/>
      <c r="W34" s="73"/>
      <c r="X34" s="73"/>
      <c r="Y34" s="73"/>
      <c r="Z34" s="73"/>
      <c r="AA34" s="73"/>
    </row>
    <row r="35" spans="1:27" ht="15" x14ac:dyDescent="0.25">
      <c r="A35" s="57">
        <v>35</v>
      </c>
      <c r="B35" s="115"/>
      <c r="C35" s="92"/>
      <c r="D35" s="92"/>
      <c r="E35" s="93"/>
      <c r="F35" s="81">
        <v>35</v>
      </c>
      <c r="G35" s="83" t="s">
        <v>93</v>
      </c>
      <c r="H35" s="84">
        <v>0.51</v>
      </c>
      <c r="I35" s="84">
        <v>3.9500000000000007E-2</v>
      </c>
      <c r="J35" s="85">
        <v>2.01E-2</v>
      </c>
      <c r="R35" s="81"/>
      <c r="S35" s="113"/>
      <c r="T35" s="76"/>
      <c r="U35" s="73"/>
      <c r="V35" s="73"/>
      <c r="W35" s="73"/>
      <c r="X35" s="73"/>
      <c r="Y35" s="73"/>
      <c r="Z35" s="73"/>
      <c r="AA35" s="73"/>
    </row>
    <row r="36" spans="1:27" ht="15.75" thickBot="1" x14ac:dyDescent="0.3">
      <c r="A36" s="57">
        <v>36</v>
      </c>
      <c r="B36" s="115" t="s">
        <v>109</v>
      </c>
      <c r="C36" s="116">
        <v>246985251.62432185</v>
      </c>
      <c r="D36" s="116">
        <v>33135640</v>
      </c>
      <c r="E36" s="116"/>
      <c r="F36" s="81">
        <v>36</v>
      </c>
      <c r="G36" s="83" t="s">
        <v>89</v>
      </c>
      <c r="H36" s="84">
        <v>0.49</v>
      </c>
      <c r="I36" s="84">
        <v>9.4E-2</v>
      </c>
      <c r="J36" s="85">
        <v>4.6100000000000002E-2</v>
      </c>
      <c r="R36" s="81"/>
      <c r="S36" s="113"/>
      <c r="T36" s="76"/>
      <c r="U36" s="73"/>
      <c r="V36" s="73"/>
      <c r="W36" s="73"/>
      <c r="X36" s="73"/>
      <c r="Y36" s="73"/>
      <c r="Z36" s="73"/>
      <c r="AA36" s="73"/>
    </row>
    <row r="37" spans="1:27" ht="15.75" thickTop="1" x14ac:dyDescent="0.25">
      <c r="A37" s="57">
        <v>37</v>
      </c>
      <c r="F37" s="81">
        <v>37</v>
      </c>
      <c r="G37" s="95" t="s">
        <v>95</v>
      </c>
      <c r="H37" s="96">
        <v>1</v>
      </c>
      <c r="I37" s="97"/>
      <c r="J37" s="98">
        <v>6.6200000000000009E-2</v>
      </c>
      <c r="R37" s="81"/>
      <c r="S37" s="76"/>
      <c r="T37" s="76"/>
      <c r="U37" s="73"/>
      <c r="V37" s="73"/>
      <c r="W37" s="73"/>
      <c r="X37" s="73"/>
      <c r="Y37" s="73"/>
      <c r="Z37" s="73"/>
      <c r="AA37" s="73"/>
    </row>
    <row r="38" spans="1:27" ht="15" x14ac:dyDescent="0.25">
      <c r="A38" s="57">
        <v>38</v>
      </c>
      <c r="B38" s="50" t="s">
        <v>110</v>
      </c>
      <c r="C38" s="117">
        <v>0.10749707732756311</v>
      </c>
      <c r="D38" s="117">
        <v>1.3269900471173624E-2</v>
      </c>
      <c r="E38" s="117"/>
      <c r="F38" s="81">
        <v>38</v>
      </c>
      <c r="G38" s="118"/>
      <c r="H38" s="119"/>
      <c r="I38" s="119"/>
      <c r="J38" s="119"/>
      <c r="R38" s="119"/>
      <c r="S38" s="119"/>
      <c r="T38" s="119"/>
      <c r="U38" s="73"/>
      <c r="V38" s="73"/>
      <c r="W38" s="73"/>
      <c r="X38" s="73"/>
      <c r="Y38" s="73"/>
      <c r="Z38" s="73"/>
      <c r="AA38" s="73"/>
    </row>
    <row r="39" spans="1:27" ht="15" x14ac:dyDescent="0.25">
      <c r="A39" s="57">
        <v>39</v>
      </c>
      <c r="B39" s="50" t="s">
        <v>111</v>
      </c>
      <c r="C39" s="120">
        <v>2297599690.7498512</v>
      </c>
      <c r="D39" s="120">
        <v>2497052639.6924362</v>
      </c>
      <c r="E39" s="120"/>
      <c r="F39" s="18"/>
      <c r="G39" s="18"/>
      <c r="H39" s="18"/>
      <c r="I39" s="18"/>
      <c r="J39" s="18"/>
      <c r="K39" s="18"/>
      <c r="R39" s="119"/>
      <c r="S39" s="119"/>
      <c r="T39" s="119"/>
      <c r="U39" s="73"/>
      <c r="V39" s="73"/>
      <c r="W39" s="73"/>
      <c r="X39" s="73"/>
      <c r="Y39" s="73"/>
      <c r="Z39" s="73"/>
      <c r="AA39" s="73"/>
    </row>
    <row r="40" spans="1:27" ht="15" x14ac:dyDescent="0.25">
      <c r="A40" s="57">
        <v>40</v>
      </c>
      <c r="D40" s="121"/>
      <c r="F40" s="18"/>
      <c r="G40" s="18"/>
      <c r="H40" s="18"/>
      <c r="I40" s="18"/>
      <c r="J40" s="18"/>
      <c r="K40" s="18"/>
      <c r="L40" s="73"/>
      <c r="R40" s="119"/>
      <c r="S40" s="119"/>
      <c r="T40" s="119"/>
      <c r="U40" s="73"/>
      <c r="V40" s="73"/>
      <c r="W40" s="73"/>
      <c r="X40" s="73"/>
      <c r="Y40" s="73"/>
      <c r="Z40" s="73"/>
      <c r="AA40" s="73"/>
    </row>
    <row r="41" spans="1:27" ht="15" x14ac:dyDescent="0.25">
      <c r="A41" s="57">
        <v>41</v>
      </c>
      <c r="B41" s="118" t="s">
        <v>112</v>
      </c>
      <c r="E41" s="122" t="s">
        <v>118</v>
      </c>
      <c r="F41" s="18"/>
      <c r="G41" s="18"/>
      <c r="H41" s="18"/>
      <c r="I41" s="18"/>
      <c r="J41" s="18"/>
      <c r="K41" s="18"/>
      <c r="L41" s="73"/>
      <c r="R41" s="119"/>
      <c r="S41" s="119"/>
      <c r="T41" s="119"/>
      <c r="U41" s="73"/>
      <c r="V41" s="73"/>
      <c r="W41" s="73"/>
      <c r="X41" s="73"/>
      <c r="Y41" s="73"/>
      <c r="Z41" s="73"/>
      <c r="AA41" s="73"/>
    </row>
    <row r="42" spans="1:27" ht="15" x14ac:dyDescent="0.25">
      <c r="A42" s="57">
        <v>42</v>
      </c>
      <c r="B42" s="123"/>
      <c r="E42" s="122" t="s">
        <v>119</v>
      </c>
      <c r="F42" s="18"/>
      <c r="G42" s="18"/>
      <c r="H42" s="18"/>
      <c r="I42" s="18"/>
      <c r="J42" s="18"/>
      <c r="K42" s="18"/>
      <c r="L42" s="73"/>
      <c r="R42" s="119"/>
      <c r="S42" s="119"/>
      <c r="T42" s="119"/>
      <c r="U42" s="73"/>
      <c r="V42" s="73"/>
      <c r="W42" s="73"/>
      <c r="X42" s="73"/>
      <c r="Y42" s="73"/>
      <c r="Z42" s="73"/>
      <c r="AA42" s="73"/>
    </row>
    <row r="43" spans="1:27" ht="15" x14ac:dyDescent="0.25">
      <c r="A43" s="57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73"/>
      <c r="R43" s="119"/>
      <c r="S43" s="119"/>
      <c r="T43" s="119"/>
      <c r="U43" s="73"/>
      <c r="V43" s="73"/>
      <c r="W43" s="73"/>
      <c r="X43" s="73"/>
      <c r="Y43" s="73"/>
      <c r="Z43" s="73"/>
      <c r="AA43" s="73"/>
    </row>
    <row r="44" spans="1:27" ht="15" x14ac:dyDescent="0.25">
      <c r="A44" s="57">
        <v>44</v>
      </c>
      <c r="B44" s="124" t="s">
        <v>113</v>
      </c>
      <c r="C44" s="125">
        <v>0</v>
      </c>
      <c r="D44" s="125">
        <v>0</v>
      </c>
      <c r="E44" s="18"/>
      <c r="F44" s="18"/>
      <c r="G44" s="18"/>
      <c r="H44" s="18"/>
      <c r="I44" s="18"/>
      <c r="J44" s="18"/>
      <c r="K44" s="18"/>
      <c r="L44" s="73"/>
      <c r="R44" s="119"/>
      <c r="S44" s="119"/>
      <c r="T44" s="119"/>
      <c r="U44" s="73"/>
      <c r="V44" s="73"/>
      <c r="W44" s="73"/>
      <c r="X44" s="73"/>
      <c r="Y44" s="73"/>
      <c r="Z44" s="73"/>
      <c r="AA44" s="73"/>
    </row>
    <row r="45" spans="1:27" ht="15" x14ac:dyDescent="0.25">
      <c r="A45" s="57">
        <v>45</v>
      </c>
      <c r="B45" s="124" t="s">
        <v>114</v>
      </c>
      <c r="C45" s="125">
        <v>0</v>
      </c>
      <c r="D45" s="125">
        <v>0</v>
      </c>
      <c r="E45" s="18"/>
      <c r="F45" s="18"/>
      <c r="G45" s="18"/>
      <c r="H45" s="18"/>
      <c r="I45" s="18"/>
      <c r="J45" s="18"/>
      <c r="K45" s="18"/>
      <c r="L45" s="73"/>
      <c r="R45" s="119"/>
      <c r="S45" s="119"/>
      <c r="T45" s="119"/>
      <c r="U45" s="73"/>
      <c r="V45" s="73"/>
      <c r="W45" s="73"/>
      <c r="X45" s="73"/>
      <c r="Y45" s="73"/>
      <c r="Z45" s="73"/>
      <c r="AA45" s="73"/>
    </row>
    <row r="46" spans="1:27" ht="15" x14ac:dyDescent="0.25">
      <c r="A46" s="57">
        <v>46</v>
      </c>
      <c r="B46" s="124" t="s">
        <v>115</v>
      </c>
      <c r="C46" s="125">
        <v>0</v>
      </c>
      <c r="D46" s="125">
        <v>0</v>
      </c>
      <c r="E46" s="18"/>
      <c r="F46" s="18"/>
      <c r="G46" s="18"/>
      <c r="H46" s="18"/>
      <c r="I46" s="18"/>
      <c r="J46" s="18"/>
      <c r="K46" s="18"/>
      <c r="L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 s="18" customFormat="1" ht="15" x14ac:dyDescent="0.25">
      <c r="A47" s="57">
        <v>47</v>
      </c>
    </row>
    <row r="48" spans="1:27" ht="15" x14ac:dyDescent="0.25">
      <c r="A48" s="57">
        <v>48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spans="1:27" ht="15" x14ac:dyDescent="0.25">
      <c r="A49" s="57">
        <v>49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spans="1:27" ht="15" x14ac:dyDescent="0.25">
      <c r="A50" s="57">
        <v>50</v>
      </c>
      <c r="B50" s="124" t="s">
        <v>115</v>
      </c>
      <c r="C50" s="125">
        <v>0</v>
      </c>
      <c r="D50" s="125">
        <v>0</v>
      </c>
      <c r="E50" s="18"/>
      <c r="F50" s="18"/>
      <c r="G50" s="18"/>
      <c r="H50" s="18"/>
      <c r="I50" s="18"/>
      <c r="J50" s="18"/>
      <c r="K50" s="18"/>
      <c r="L50" s="18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spans="1:27" ht="15" x14ac:dyDescent="0.25">
      <c r="A51" s="57">
        <v>51</v>
      </c>
      <c r="B51" s="124" t="s">
        <v>116</v>
      </c>
      <c r="C51" s="126">
        <v>0</v>
      </c>
      <c r="D51" s="126">
        <v>0</v>
      </c>
      <c r="E51" s="18"/>
      <c r="F51" s="18"/>
      <c r="G51" s="18"/>
      <c r="H51" s="18"/>
      <c r="I51" s="18"/>
      <c r="J51" s="18"/>
      <c r="K51" s="18"/>
      <c r="L51" s="18"/>
      <c r="R51" s="73"/>
      <c r="S51" s="73"/>
      <c r="T51" s="73"/>
      <c r="U51" s="73"/>
      <c r="V51" s="73"/>
      <c r="W51" s="73"/>
      <c r="X51" s="73"/>
      <c r="Y51" s="73"/>
      <c r="Z51" s="73"/>
      <c r="AA51" s="73"/>
    </row>
    <row r="52" spans="1:27" ht="15" x14ac:dyDescent="0.25">
      <c r="A52" s="57">
        <v>52</v>
      </c>
      <c r="B52" s="124" t="s">
        <v>117</v>
      </c>
      <c r="C52" s="125">
        <v>0</v>
      </c>
      <c r="D52" s="125">
        <v>0</v>
      </c>
      <c r="E52" s="18"/>
      <c r="F52" s="18"/>
      <c r="G52" s="18"/>
      <c r="H52" s="18"/>
      <c r="I52" s="18"/>
      <c r="J52" s="18"/>
      <c r="K52" s="18"/>
      <c r="L52" s="18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spans="1:27" ht="15" x14ac:dyDescent="0.25">
      <c r="A53" s="57">
        <v>53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spans="1:27" ht="15" x14ac:dyDescent="0.25">
      <c r="A54" s="57">
        <v>54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spans="1:27" ht="15" x14ac:dyDescent="0.25">
      <c r="A55" s="57">
        <v>55</v>
      </c>
      <c r="B55" s="127" t="s">
        <v>118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27" ht="15" x14ac:dyDescent="0.25">
      <c r="A56" s="57">
        <v>56</v>
      </c>
      <c r="B56" s="127" t="s">
        <v>119</v>
      </c>
      <c r="C56" s="128">
        <v>2023</v>
      </c>
      <c r="D56" s="129"/>
      <c r="E56" s="128">
        <v>2024</v>
      </c>
      <c r="F56" s="129"/>
      <c r="G56" s="18"/>
      <c r="H56" s="18"/>
      <c r="I56" s="18"/>
      <c r="J56" s="18"/>
      <c r="K56" s="18"/>
      <c r="L56" s="18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spans="1:27" ht="15" x14ac:dyDescent="0.25">
      <c r="A57" s="57">
        <v>57</v>
      </c>
      <c r="B57" s="130" t="s">
        <v>120</v>
      </c>
      <c r="C57" s="131" t="s">
        <v>121</v>
      </c>
      <c r="D57" s="132" t="s">
        <v>122</v>
      </c>
      <c r="E57" s="131" t="s">
        <v>121</v>
      </c>
      <c r="F57" s="132" t="s">
        <v>122</v>
      </c>
      <c r="G57" s="18"/>
      <c r="H57" s="18"/>
      <c r="I57" s="18"/>
      <c r="J57" s="18"/>
      <c r="K57" s="18"/>
      <c r="L57" s="18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spans="1:27" ht="45" x14ac:dyDescent="0.25">
      <c r="A58" s="57">
        <v>58</v>
      </c>
      <c r="B58" s="133" t="s">
        <v>123</v>
      </c>
      <c r="C58" s="134">
        <v>223524371.624322</v>
      </c>
      <c r="D58" s="135">
        <v>9.7286038348730841E-2</v>
      </c>
      <c r="E58" s="134">
        <v>38470240</v>
      </c>
      <c r="F58" s="135">
        <v>1.4567384918634749E-2</v>
      </c>
      <c r="G58" s="18"/>
      <c r="H58" s="18"/>
      <c r="I58" s="18"/>
      <c r="J58" s="18"/>
      <c r="K58" s="73"/>
      <c r="L58" s="73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spans="1:27" ht="15" x14ac:dyDescent="0.25">
      <c r="A59" s="57">
        <v>59</v>
      </c>
      <c r="B59" s="136" t="s">
        <v>124</v>
      </c>
      <c r="C59" s="134">
        <v>36779372.478389472</v>
      </c>
      <c r="D59" s="135">
        <v>1.6007737390661841E-2</v>
      </c>
      <c r="E59" s="134">
        <v>-6381063.0050052106</v>
      </c>
      <c r="F59" s="135">
        <v>-2.555437920520238E-3</v>
      </c>
      <c r="G59" s="18"/>
      <c r="H59" s="18"/>
      <c r="I59" s="18"/>
      <c r="J59" s="18"/>
      <c r="K59" s="73"/>
      <c r="L59" s="73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spans="1:27" ht="15" x14ac:dyDescent="0.25">
      <c r="A60" s="57">
        <v>60</v>
      </c>
      <c r="B60" s="136" t="s">
        <v>125</v>
      </c>
      <c r="C60" s="134">
        <v>-13244486.255899029</v>
      </c>
      <c r="D60" s="135">
        <v>-5.7644881783460375E-3</v>
      </c>
      <c r="E60" s="134">
        <v>514762.63831971958</v>
      </c>
      <c r="F60" s="135">
        <v>2.0614809240990741E-4</v>
      </c>
      <c r="G60" s="18"/>
      <c r="H60" s="18"/>
      <c r="I60" s="18"/>
      <c r="J60" s="18"/>
      <c r="K60" s="73"/>
      <c r="L60" s="73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spans="1:27" ht="15" x14ac:dyDescent="0.25">
      <c r="A61" s="57">
        <v>61</v>
      </c>
      <c r="B61" s="136" t="s">
        <v>126</v>
      </c>
      <c r="C61" s="137">
        <v>-74005.375678151846</v>
      </c>
      <c r="D61" s="135">
        <v>-3.2209864919506163E-5</v>
      </c>
      <c r="E61" s="137">
        <v>531700</v>
      </c>
      <c r="F61" s="135">
        <v>2.1293103379089751E-4</v>
      </c>
      <c r="G61" s="18"/>
      <c r="H61" s="18"/>
      <c r="I61" s="18"/>
      <c r="J61" s="18"/>
      <c r="K61" s="73"/>
      <c r="L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ht="15.75" thickBot="1" x14ac:dyDescent="0.3">
      <c r="A62" s="57">
        <v>62</v>
      </c>
      <c r="B62" s="136" t="s">
        <v>127</v>
      </c>
      <c r="C62" s="138">
        <v>246985252.47113428</v>
      </c>
      <c r="D62" s="139">
        <v>0.10749707769612715</v>
      </c>
      <c r="E62" s="138">
        <v>33135639.633314509</v>
      </c>
      <c r="F62" s="139">
        <v>1.2431026124315315E-2</v>
      </c>
      <c r="G62" s="18"/>
      <c r="H62" s="18"/>
      <c r="I62" s="18"/>
      <c r="J62" s="18"/>
      <c r="K62" s="73"/>
      <c r="L62" s="73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spans="1:27" ht="15.75" thickTop="1" x14ac:dyDescent="0.25">
      <c r="A63" s="57">
        <v>63</v>
      </c>
      <c r="B63" s="140" t="s">
        <v>128</v>
      </c>
      <c r="C63" s="141">
        <v>0.84681242704391479</v>
      </c>
      <c r="D63" s="142">
        <v>3.6856404039831148E-10</v>
      </c>
      <c r="E63" s="141">
        <v>-0.36668549105525017</v>
      </c>
      <c r="F63" s="143">
        <v>-8.3887434685830931E-4</v>
      </c>
      <c r="G63" s="18"/>
      <c r="H63" s="18"/>
      <c r="I63" s="18"/>
      <c r="J63" s="18"/>
      <c r="K63" s="73"/>
      <c r="L63" s="73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spans="1:27" ht="15" x14ac:dyDescent="0.25">
      <c r="A64" s="57">
        <v>64</v>
      </c>
      <c r="B64" s="18"/>
      <c r="C64" s="144" t="s">
        <v>118</v>
      </c>
      <c r="D64" s="77"/>
      <c r="E64" s="77"/>
      <c r="F64" s="74"/>
      <c r="G64" s="18"/>
      <c r="H64" s="18"/>
      <c r="I64" s="18"/>
      <c r="J64" s="18"/>
      <c r="K64" s="73"/>
      <c r="L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spans="1:27" ht="15" hidden="1" outlineLevel="1" x14ac:dyDescent="0.25">
      <c r="A65" s="57">
        <v>65</v>
      </c>
      <c r="B65" s="136" t="s">
        <v>129</v>
      </c>
      <c r="C65" s="57">
        <v>2023</v>
      </c>
      <c r="D65" s="57">
        <v>2024</v>
      </c>
      <c r="E65" s="145" t="s">
        <v>130</v>
      </c>
      <c r="F65" s="146" t="s">
        <v>131</v>
      </c>
      <c r="G65" s="18"/>
      <c r="H65" s="18"/>
      <c r="I65" s="18"/>
      <c r="J65" s="18"/>
      <c r="K65" s="73"/>
      <c r="L65" s="73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spans="1:27" ht="15" hidden="1" outlineLevel="1" x14ac:dyDescent="0.25">
      <c r="A66" s="57">
        <v>66</v>
      </c>
      <c r="B66" s="136" t="s">
        <v>101</v>
      </c>
      <c r="C66" s="77">
        <v>-67923000</v>
      </c>
      <c r="D66" s="77"/>
      <c r="E66" s="77">
        <v>0</v>
      </c>
      <c r="F66" s="77">
        <v>0</v>
      </c>
      <c r="G66" s="18"/>
      <c r="H66" s="18"/>
      <c r="I66" s="18"/>
      <c r="J66" s="18"/>
      <c r="K66" s="73"/>
      <c r="L66" s="73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spans="1:27" ht="15" hidden="1" outlineLevel="1" x14ac:dyDescent="0.25">
      <c r="A67" s="57">
        <v>67</v>
      </c>
      <c r="B67" s="136" t="s">
        <v>102</v>
      </c>
      <c r="C67" s="77">
        <v>-3624000</v>
      </c>
      <c r="D67" s="77"/>
      <c r="E67" s="77">
        <v>0</v>
      </c>
      <c r="F67" s="77">
        <v>0</v>
      </c>
      <c r="G67" s="18"/>
      <c r="H67" s="18"/>
      <c r="I67" s="18"/>
      <c r="J67" s="18"/>
      <c r="K67" s="73"/>
      <c r="L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spans="1:27" ht="15" hidden="1" outlineLevel="1" x14ac:dyDescent="0.25">
      <c r="A68" s="57">
        <v>68</v>
      </c>
      <c r="B68" s="136" t="s">
        <v>103</v>
      </c>
      <c r="C68" s="77"/>
      <c r="D68" s="77"/>
      <c r="E68" s="77">
        <v>0</v>
      </c>
      <c r="F68" s="77">
        <v>0</v>
      </c>
      <c r="G68" s="18"/>
      <c r="H68" s="18"/>
      <c r="I68" s="18"/>
      <c r="J68" s="18"/>
      <c r="K68" s="73"/>
      <c r="L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ht="15" hidden="1" outlineLevel="1" x14ac:dyDescent="0.25">
      <c r="A69" s="57">
        <v>69</v>
      </c>
      <c r="B69" s="136" t="s">
        <v>104</v>
      </c>
      <c r="C69" s="77">
        <v>-2415000</v>
      </c>
      <c r="D69" s="77"/>
      <c r="E69" s="77">
        <v>1298000</v>
      </c>
      <c r="F69" s="77">
        <v>-20000</v>
      </c>
      <c r="G69" s="18"/>
      <c r="H69" s="18"/>
      <c r="I69" s="18"/>
      <c r="J69" s="18"/>
      <c r="K69" s="73"/>
      <c r="L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spans="1:27" ht="15" hidden="1" outlineLevel="1" x14ac:dyDescent="0.25">
      <c r="A70" s="57">
        <v>70</v>
      </c>
      <c r="B70" s="136" t="s">
        <v>105</v>
      </c>
      <c r="C70" s="77">
        <v>36737000</v>
      </c>
      <c r="D70" s="77">
        <v>-34000</v>
      </c>
      <c r="E70" s="77">
        <v>-1428000</v>
      </c>
      <c r="F70" s="77">
        <v>407000</v>
      </c>
      <c r="G70" s="18"/>
      <c r="H70" s="18"/>
      <c r="I70" s="18"/>
      <c r="J70" s="18"/>
      <c r="K70" s="73"/>
      <c r="L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27" ht="15" hidden="1" outlineLevel="1" x14ac:dyDescent="0.25">
      <c r="A71" s="57">
        <v>71</v>
      </c>
      <c r="B71" s="136" t="s">
        <v>106</v>
      </c>
      <c r="C71" s="77">
        <v>50253000</v>
      </c>
      <c r="D71" s="77">
        <v>3352000</v>
      </c>
      <c r="E71" s="77">
        <v>0</v>
      </c>
      <c r="F71" s="77">
        <v>0</v>
      </c>
      <c r="G71" s="18"/>
      <c r="H71" s="18"/>
      <c r="I71" s="18"/>
      <c r="J71" s="18"/>
      <c r="K71" s="73"/>
      <c r="L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27" ht="15" hidden="1" outlineLevel="1" x14ac:dyDescent="0.25">
      <c r="A72" s="57">
        <v>72</v>
      </c>
      <c r="B72" s="136" t="s">
        <v>132</v>
      </c>
      <c r="C72" s="77">
        <v>6598</v>
      </c>
      <c r="D72" s="77">
        <v>-3227718</v>
      </c>
      <c r="E72" s="77">
        <v>926546.62432184815</v>
      </c>
      <c r="F72" s="77">
        <v>1099320</v>
      </c>
      <c r="G72" s="18"/>
      <c r="H72" s="18"/>
      <c r="I72" s="18"/>
      <c r="J72" s="18"/>
      <c r="K72" s="73"/>
      <c r="L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ht="15" hidden="1" outlineLevel="1" x14ac:dyDescent="0.25">
      <c r="A73" s="57"/>
      <c r="B73" s="136" t="s">
        <v>133</v>
      </c>
      <c r="C73" s="77">
        <v>-870553</v>
      </c>
      <c r="D73" s="77">
        <v>-954619</v>
      </c>
      <c r="E73" s="77">
        <v>1</v>
      </c>
      <c r="F73" s="77">
        <v>-1</v>
      </c>
      <c r="G73" s="18"/>
      <c r="H73" s="18"/>
      <c r="I73" s="18"/>
      <c r="J73" s="18"/>
      <c r="K73" s="73"/>
      <c r="L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15" hidden="1" outlineLevel="1" x14ac:dyDescent="0.25">
      <c r="A74" s="57">
        <v>73</v>
      </c>
      <c r="B74" s="18"/>
      <c r="C74" s="147">
        <v>13034598</v>
      </c>
      <c r="D74" s="147">
        <v>90282</v>
      </c>
      <c r="E74" s="147">
        <v>796547.62432184815</v>
      </c>
      <c r="F74" s="147">
        <v>1486319</v>
      </c>
      <c r="G74" s="18"/>
      <c r="H74" s="18"/>
      <c r="I74" s="18"/>
      <c r="J74" s="18"/>
      <c r="K74" s="73"/>
      <c r="L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15" hidden="1" outlineLevel="1" x14ac:dyDescent="0.25">
      <c r="A75" s="57">
        <v>74</v>
      </c>
      <c r="B75" s="18"/>
      <c r="C75" s="77"/>
      <c r="D75" s="77"/>
      <c r="E75" s="77"/>
      <c r="F75" s="73"/>
      <c r="G75" s="73"/>
      <c r="H75" s="73"/>
      <c r="I75" s="73"/>
      <c r="J75" s="73"/>
      <c r="K75" s="73"/>
      <c r="L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ht="15" hidden="1" outlineLevel="1" x14ac:dyDescent="0.25">
      <c r="A76" s="57">
        <v>75</v>
      </c>
      <c r="B76" s="50" t="s">
        <v>110</v>
      </c>
      <c r="C76" s="82">
        <v>6.4059442137902323E-2</v>
      </c>
      <c r="D76" s="82">
        <v>1.5085669434690561E-2</v>
      </c>
      <c r="E76" s="77"/>
      <c r="F76" s="73"/>
      <c r="G76" s="73"/>
      <c r="H76" s="73"/>
      <c r="I76" s="73"/>
      <c r="J76" s="73"/>
      <c r="K76" s="73"/>
      <c r="L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ht="15" hidden="1" outlineLevel="1" x14ac:dyDescent="0.25">
      <c r="A77" s="57">
        <v>76</v>
      </c>
      <c r="B77" s="50" t="s">
        <v>134</v>
      </c>
      <c r="C77" s="106">
        <v>2297599690.7498498</v>
      </c>
      <c r="D77" s="121">
        <v>2640847359.6924367</v>
      </c>
      <c r="E77" s="74"/>
      <c r="F77" s="73"/>
      <c r="G77" s="73"/>
      <c r="H77" s="73"/>
      <c r="I77" s="73"/>
      <c r="J77" s="73"/>
      <c r="K77" s="73"/>
      <c r="L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27" ht="15" hidden="1" outlineLevel="1" x14ac:dyDescent="0.25">
      <c r="A78" s="57">
        <v>77</v>
      </c>
      <c r="B78" s="18"/>
      <c r="C78" s="144" t="s">
        <v>119</v>
      </c>
      <c r="D78" s="74"/>
      <c r="E78" s="74"/>
      <c r="F78" s="73"/>
      <c r="G78" s="73"/>
      <c r="H78" s="73"/>
      <c r="I78" s="73"/>
      <c r="J78" s="73"/>
      <c r="K78" s="73"/>
      <c r="L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27" ht="15" hidden="1" outlineLevel="1" x14ac:dyDescent="0.25">
      <c r="A79" s="57">
        <v>78</v>
      </c>
      <c r="B79" s="50" t="s">
        <v>135</v>
      </c>
      <c r="C79" s="148">
        <v>2297599690.7498512</v>
      </c>
      <c r="D79" s="148">
        <v>2497052639.6924362</v>
      </c>
      <c r="E79" s="74"/>
      <c r="F79" s="73"/>
      <c r="G79" s="73"/>
      <c r="H79" s="73"/>
      <c r="I79" s="73"/>
      <c r="J79" s="73"/>
      <c r="K79" s="73"/>
      <c r="L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27" ht="15" hidden="1" outlineLevel="1" x14ac:dyDescent="0.25">
      <c r="A80" s="57">
        <v>79</v>
      </c>
      <c r="C80" s="148"/>
      <c r="D80" s="148"/>
      <c r="E80" s="74"/>
      <c r="F80" s="73"/>
      <c r="G80" s="73"/>
      <c r="H80" s="73"/>
      <c r="I80" s="73"/>
      <c r="J80" s="73"/>
      <c r="K80" s="73"/>
      <c r="L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ht="15" hidden="1" outlineLevel="1" x14ac:dyDescent="0.25">
      <c r="A81" s="57">
        <v>80</v>
      </c>
      <c r="B81" s="50" t="s">
        <v>136</v>
      </c>
      <c r="C81" s="148"/>
      <c r="D81" s="148"/>
      <c r="E81" s="74"/>
      <c r="F81" s="73"/>
      <c r="G81" s="73"/>
      <c r="H81" s="73"/>
      <c r="I81" s="73"/>
      <c r="J81" s="73"/>
      <c r="K81" s="73"/>
      <c r="L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1:27" ht="15" collapsed="1" x14ac:dyDescent="0.25">
      <c r="A82" s="57"/>
      <c r="B82" s="18"/>
      <c r="C82" s="18"/>
      <c r="D82" s="18"/>
      <c r="E82" s="18"/>
      <c r="F82" s="73"/>
      <c r="G82" s="73"/>
      <c r="H82" s="73"/>
      <c r="I82" s="73"/>
      <c r="J82" s="73"/>
      <c r="K82" s="73"/>
      <c r="L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1:27" ht="15" x14ac:dyDescent="0.25">
      <c r="A83" s="57"/>
      <c r="B83" s="18"/>
      <c r="C83" s="18"/>
      <c r="D83" s="18"/>
      <c r="E83" s="18"/>
      <c r="F83" s="73"/>
      <c r="G83" s="73"/>
      <c r="H83" s="73"/>
      <c r="I83" s="73"/>
      <c r="J83" s="73"/>
      <c r="K83" s="73"/>
      <c r="L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1:27" ht="15" x14ac:dyDescent="0.25">
      <c r="A84" s="57"/>
      <c r="B84" s="18"/>
      <c r="C84" s="18"/>
      <c r="D84" s="18"/>
      <c r="E84" s="18"/>
      <c r="F84" s="73"/>
      <c r="G84" s="73"/>
      <c r="H84" s="73"/>
      <c r="I84" s="73"/>
      <c r="J84" s="73"/>
      <c r="K84" s="73"/>
      <c r="L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1:27" ht="15" x14ac:dyDescent="0.25">
      <c r="A85" s="57"/>
      <c r="B85" s="18"/>
      <c r="C85" s="18"/>
      <c r="D85" s="18"/>
      <c r="E85" s="18"/>
      <c r="F85" s="73"/>
      <c r="G85" s="73"/>
      <c r="H85" s="73"/>
      <c r="I85" s="73"/>
      <c r="J85" s="73"/>
      <c r="K85" s="73"/>
      <c r="L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1:27" ht="15" x14ac:dyDescent="0.25">
      <c r="A86" s="57"/>
      <c r="B86" s="18"/>
      <c r="C86" s="18"/>
      <c r="D86" s="18"/>
      <c r="E86" s="18"/>
      <c r="F86" s="73"/>
      <c r="G86" s="73"/>
      <c r="H86" s="73"/>
      <c r="I86" s="73"/>
      <c r="J86" s="73"/>
      <c r="K86" s="73"/>
      <c r="L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1:27" ht="15" x14ac:dyDescent="0.25">
      <c r="A87" s="57"/>
      <c r="B87" s="18"/>
      <c r="C87" s="18"/>
      <c r="D87" s="18"/>
      <c r="E87" s="18"/>
      <c r="F87" s="73"/>
      <c r="G87" s="73"/>
      <c r="H87" s="73"/>
      <c r="I87" s="73"/>
      <c r="J87" s="73"/>
      <c r="K87" s="73"/>
      <c r="L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1:27" ht="15" x14ac:dyDescent="0.25">
      <c r="A88" s="57"/>
      <c r="B88" s="18"/>
      <c r="C88" s="18"/>
      <c r="D88" s="18"/>
      <c r="E88" s="18"/>
      <c r="F88" s="73"/>
      <c r="G88" s="73"/>
      <c r="H88" s="73"/>
      <c r="I88" s="73"/>
      <c r="J88" s="73"/>
      <c r="K88" s="73"/>
      <c r="L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ht="15" x14ac:dyDescent="0.25">
      <c r="A89" s="57"/>
      <c r="B89" s="18"/>
      <c r="C89" s="18"/>
      <c r="D89" s="18"/>
      <c r="E89" s="18"/>
      <c r="F89" s="73"/>
      <c r="G89" s="73"/>
      <c r="H89" s="73"/>
      <c r="I89" s="73"/>
      <c r="J89" s="73"/>
      <c r="K89" s="73"/>
      <c r="L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1:27" ht="15" x14ac:dyDescent="0.25">
      <c r="A90" s="57"/>
      <c r="B90" s="18"/>
      <c r="C90" s="18"/>
      <c r="D90" s="18"/>
      <c r="E90" s="18"/>
      <c r="F90" s="73"/>
      <c r="G90" s="73"/>
      <c r="H90" s="73"/>
      <c r="I90" s="73"/>
      <c r="J90" s="73"/>
      <c r="K90" s="73"/>
      <c r="L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15" x14ac:dyDescent="0.25">
      <c r="A91" s="57"/>
      <c r="B91" s="18"/>
      <c r="C91" s="18"/>
      <c r="D91" s="18"/>
      <c r="E91" s="18"/>
      <c r="F91" s="73"/>
      <c r="G91" s="73"/>
      <c r="H91" s="73"/>
      <c r="I91" s="73"/>
      <c r="J91" s="73"/>
      <c r="K91" s="73"/>
      <c r="L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ht="15" x14ac:dyDescent="0.25">
      <c r="A92" s="57"/>
      <c r="B92" s="18"/>
      <c r="C92" s="18"/>
      <c r="D92" s="18"/>
      <c r="E92" s="18"/>
      <c r="F92" s="73"/>
      <c r="G92" s="73"/>
      <c r="H92" s="73"/>
      <c r="I92" s="73"/>
      <c r="J92" s="73"/>
      <c r="K92" s="73"/>
      <c r="L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15" x14ac:dyDescent="0.25">
      <c r="A93" s="57"/>
      <c r="B93" s="18"/>
      <c r="C93" s="18"/>
      <c r="D93" s="18"/>
      <c r="E93" s="18"/>
      <c r="F93" s="73"/>
      <c r="G93" s="73"/>
      <c r="H93" s="73"/>
      <c r="I93" s="73"/>
      <c r="J93" s="73"/>
      <c r="K93" s="73"/>
      <c r="L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15" x14ac:dyDescent="0.25">
      <c r="A94" s="57"/>
      <c r="B94" s="18"/>
      <c r="C94" s="18"/>
      <c r="D94" s="18"/>
      <c r="E94" s="18"/>
      <c r="F94" s="73"/>
      <c r="G94" s="73"/>
      <c r="H94" s="73"/>
      <c r="I94" s="73"/>
      <c r="J94" s="73"/>
      <c r="K94" s="73"/>
      <c r="L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1:27" ht="15" x14ac:dyDescent="0.25">
      <c r="A95" s="57"/>
      <c r="B95" s="18"/>
      <c r="C95" s="18"/>
      <c r="D95" s="18"/>
      <c r="E95" s="18"/>
      <c r="F95" s="73"/>
      <c r="G95" s="73"/>
      <c r="H95" s="73"/>
      <c r="I95" s="73"/>
      <c r="J95" s="73"/>
      <c r="K95" s="73"/>
      <c r="L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1:27" ht="15" x14ac:dyDescent="0.25">
      <c r="A96" s="57"/>
      <c r="B96" s="18"/>
      <c r="C96" s="18"/>
      <c r="D96" s="18"/>
      <c r="E96" s="18"/>
      <c r="F96" s="73"/>
      <c r="G96" s="73"/>
      <c r="H96" s="73"/>
      <c r="I96" s="73"/>
      <c r="J96" s="73"/>
      <c r="K96" s="73"/>
      <c r="L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spans="1:27" ht="15" x14ac:dyDescent="0.25">
      <c r="A97" s="57"/>
      <c r="B97" s="18"/>
      <c r="C97" s="18"/>
      <c r="D97" s="18"/>
      <c r="E97" s="18"/>
      <c r="F97" s="73"/>
      <c r="G97" s="73"/>
      <c r="H97" s="73"/>
      <c r="I97" s="73"/>
      <c r="J97" s="73"/>
      <c r="K97" s="73"/>
      <c r="L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27" ht="15" x14ac:dyDescent="0.25">
      <c r="A98" s="57"/>
      <c r="B98" s="18"/>
      <c r="C98" s="18"/>
      <c r="D98" s="18"/>
      <c r="E98" s="18"/>
      <c r="F98" s="73"/>
      <c r="G98" s="73"/>
      <c r="H98" s="73"/>
      <c r="I98" s="73"/>
      <c r="J98" s="73"/>
      <c r="K98" s="73"/>
      <c r="L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27" ht="15" x14ac:dyDescent="0.25">
      <c r="A99" s="57"/>
      <c r="B99" s="18"/>
      <c r="C99" s="18"/>
      <c r="D99" s="18"/>
      <c r="E99" s="18"/>
      <c r="F99" s="73"/>
      <c r="G99" s="73"/>
      <c r="H99" s="73"/>
      <c r="I99" s="73"/>
      <c r="J99" s="73"/>
      <c r="K99" s="73"/>
      <c r="L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27" ht="15" x14ac:dyDescent="0.25">
      <c r="A100" s="57"/>
      <c r="B100" s="18"/>
      <c r="C100" s="18"/>
      <c r="D100" s="18"/>
      <c r="E100" s="18"/>
      <c r="F100" s="73"/>
      <c r="G100" s="73"/>
      <c r="H100" s="73"/>
      <c r="I100" s="73"/>
      <c r="J100" s="73"/>
      <c r="K100" s="73"/>
      <c r="L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ht="15" x14ac:dyDescent="0.25">
      <c r="A101" s="57"/>
      <c r="B101" s="18"/>
      <c r="C101" s="18"/>
      <c r="D101" s="18"/>
      <c r="E101" s="18"/>
      <c r="F101" s="73"/>
      <c r="G101" s="73"/>
      <c r="H101" s="73"/>
      <c r="I101" s="73"/>
      <c r="J101" s="73"/>
      <c r="K101" s="73"/>
      <c r="L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spans="1:27" ht="15" x14ac:dyDescent="0.25">
      <c r="A102" s="57"/>
      <c r="B102" s="18"/>
      <c r="C102" s="18"/>
      <c r="D102" s="18"/>
      <c r="E102" s="18"/>
      <c r="F102" s="73"/>
      <c r="G102" s="73"/>
      <c r="H102" s="73"/>
      <c r="I102" s="73"/>
      <c r="J102" s="73"/>
      <c r="K102" s="73"/>
      <c r="L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1:27" ht="15" x14ac:dyDescent="0.25">
      <c r="A103" s="57"/>
      <c r="B103" s="18"/>
      <c r="C103" s="18"/>
      <c r="D103" s="18"/>
      <c r="E103" s="18"/>
      <c r="F103" s="73"/>
      <c r="G103" s="73"/>
      <c r="H103" s="73"/>
      <c r="I103" s="73"/>
      <c r="J103" s="73"/>
      <c r="K103" s="73"/>
      <c r="L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ht="15" x14ac:dyDescent="0.25">
      <c r="A104" s="57"/>
      <c r="B104" s="18"/>
      <c r="C104" s="18"/>
      <c r="D104" s="18"/>
      <c r="E104" s="18"/>
      <c r="F104" s="73"/>
      <c r="G104" s="73"/>
      <c r="H104" s="73"/>
      <c r="I104" s="73"/>
      <c r="J104" s="73"/>
      <c r="K104" s="73"/>
      <c r="L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1:27" ht="15" x14ac:dyDescent="0.25">
      <c r="A105" s="57"/>
      <c r="B105" s="18"/>
      <c r="C105" s="18"/>
      <c r="D105" s="18"/>
      <c r="E105" s="18"/>
      <c r="F105" s="73"/>
      <c r="G105" s="73"/>
      <c r="H105" s="73"/>
      <c r="I105" s="73"/>
      <c r="J105" s="73"/>
      <c r="K105" s="73"/>
      <c r="L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1:27" ht="15" x14ac:dyDescent="0.25">
      <c r="A106" s="57"/>
      <c r="B106" s="18"/>
      <c r="C106" s="18"/>
      <c r="D106" s="18"/>
      <c r="E106" s="18"/>
      <c r="F106" s="73"/>
      <c r="G106" s="73"/>
      <c r="H106" s="73"/>
      <c r="I106" s="73"/>
      <c r="J106" s="73"/>
      <c r="K106" s="73"/>
      <c r="L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ht="15" x14ac:dyDescent="0.25">
      <c r="A107" s="73"/>
      <c r="B107" s="18"/>
      <c r="C107" s="18"/>
      <c r="D107" s="18"/>
      <c r="E107" s="18"/>
      <c r="F107" s="73"/>
      <c r="G107" s="73"/>
      <c r="H107" s="73"/>
      <c r="I107" s="73"/>
      <c r="J107" s="73"/>
      <c r="K107" s="73"/>
      <c r="L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ht="15" x14ac:dyDescent="0.25">
      <c r="A108" s="73"/>
      <c r="B108" s="18"/>
      <c r="C108" s="18"/>
      <c r="D108" s="18"/>
      <c r="E108" s="18"/>
      <c r="F108" s="73"/>
      <c r="G108" s="73"/>
      <c r="H108" s="73"/>
      <c r="I108" s="73"/>
      <c r="J108" s="73"/>
      <c r="K108" s="73"/>
      <c r="L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1:27" ht="15" x14ac:dyDescent="0.25">
      <c r="A109" s="73"/>
      <c r="B109" s="18"/>
      <c r="C109" s="18"/>
      <c r="D109" s="18"/>
      <c r="E109" s="18"/>
      <c r="F109" s="73"/>
      <c r="G109" s="73"/>
      <c r="H109" s="73"/>
      <c r="I109" s="73"/>
      <c r="J109" s="73"/>
      <c r="K109" s="73"/>
      <c r="L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1:27" ht="15" x14ac:dyDescent="0.25">
      <c r="A110" s="73"/>
      <c r="B110" s="18"/>
      <c r="C110" s="18"/>
      <c r="D110" s="18"/>
      <c r="E110" s="18"/>
      <c r="F110" s="73"/>
      <c r="G110" s="73"/>
      <c r="H110" s="73"/>
      <c r="I110" s="73"/>
      <c r="J110" s="73"/>
      <c r="K110" s="73"/>
      <c r="L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ht="15" x14ac:dyDescent="0.25">
      <c r="A111" s="73"/>
      <c r="B111" s="18"/>
      <c r="C111" s="18"/>
      <c r="D111" s="18"/>
      <c r="E111" s="18"/>
      <c r="F111" s="73"/>
      <c r="G111" s="73"/>
      <c r="H111" s="73"/>
      <c r="I111" s="73"/>
      <c r="J111" s="73"/>
      <c r="K111" s="73"/>
      <c r="L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ht="15" x14ac:dyDescent="0.25">
      <c r="A112" s="73"/>
      <c r="B112" s="18"/>
      <c r="C112" s="18"/>
      <c r="D112" s="18"/>
      <c r="E112" s="18"/>
      <c r="F112" s="73"/>
      <c r="G112" s="73"/>
      <c r="H112" s="73"/>
      <c r="I112" s="73"/>
      <c r="J112" s="73"/>
      <c r="K112" s="73"/>
      <c r="L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spans="1:27" ht="15" x14ac:dyDescent="0.25">
      <c r="A113" s="73"/>
      <c r="B113" s="18"/>
      <c r="C113" s="18"/>
      <c r="D113" s="18"/>
      <c r="E113" s="18"/>
      <c r="F113" s="73"/>
      <c r="G113" s="73"/>
      <c r="H113" s="73"/>
      <c r="I113" s="73"/>
      <c r="J113" s="73"/>
      <c r="K113" s="73"/>
      <c r="L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ht="15" x14ac:dyDescent="0.25">
      <c r="A114" s="73"/>
      <c r="B114" s="18"/>
      <c r="C114" s="18"/>
      <c r="D114" s="18"/>
      <c r="E114" s="18"/>
      <c r="F114" s="73"/>
      <c r="G114" s="73"/>
      <c r="H114" s="73"/>
      <c r="I114" s="73"/>
      <c r="J114" s="73"/>
      <c r="K114" s="73"/>
      <c r="L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1:27" ht="15" x14ac:dyDescent="0.25">
      <c r="A115" s="73"/>
      <c r="B115" s="18"/>
      <c r="C115" s="18"/>
      <c r="D115" s="18"/>
      <c r="E115" s="18"/>
      <c r="F115" s="73"/>
      <c r="G115" s="73"/>
      <c r="H115" s="73"/>
      <c r="I115" s="73"/>
      <c r="J115" s="73"/>
      <c r="K115" s="73"/>
      <c r="L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ht="15" x14ac:dyDescent="0.25">
      <c r="A116" s="73"/>
      <c r="B116" s="18"/>
      <c r="C116" s="18"/>
      <c r="D116" s="18"/>
      <c r="E116" s="18"/>
      <c r="F116" s="73"/>
      <c r="G116" s="73"/>
      <c r="H116" s="73"/>
      <c r="I116" s="73"/>
      <c r="J116" s="73"/>
      <c r="K116" s="73"/>
      <c r="L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1:27" ht="15" x14ac:dyDescent="0.25">
      <c r="A117" s="73"/>
      <c r="B117" s="18"/>
      <c r="C117" s="18"/>
      <c r="D117" s="18"/>
      <c r="E117" s="18"/>
      <c r="F117" s="73"/>
      <c r="G117" s="73"/>
      <c r="H117" s="73"/>
      <c r="I117" s="73"/>
      <c r="J117" s="73"/>
      <c r="K117" s="73"/>
      <c r="L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ht="15" x14ac:dyDescent="0.25">
      <c r="A118" s="73"/>
      <c r="B118" s="18"/>
      <c r="C118" s="18"/>
      <c r="D118" s="18"/>
      <c r="E118" s="18"/>
      <c r="F118" s="73"/>
      <c r="G118" s="73"/>
      <c r="H118" s="73"/>
      <c r="I118" s="73"/>
      <c r="J118" s="73"/>
      <c r="K118" s="73"/>
      <c r="L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1:27" ht="15" x14ac:dyDescent="0.25">
      <c r="A119" s="73"/>
      <c r="B119" s="18"/>
      <c r="C119" s="18"/>
      <c r="D119" s="18"/>
      <c r="E119" s="18"/>
      <c r="F119" s="73"/>
      <c r="G119" s="73"/>
      <c r="H119" s="73"/>
      <c r="I119" s="73"/>
      <c r="J119" s="73"/>
      <c r="K119" s="73"/>
      <c r="L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1:27" ht="15" x14ac:dyDescent="0.25">
      <c r="A120" s="73"/>
      <c r="B120" s="18"/>
      <c r="C120" s="18"/>
      <c r="D120" s="18"/>
      <c r="E120" s="18"/>
      <c r="F120" s="73"/>
      <c r="G120" s="73"/>
      <c r="H120" s="73"/>
      <c r="I120" s="73"/>
      <c r="J120" s="73"/>
      <c r="K120" s="73"/>
      <c r="L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spans="1:27" ht="15" x14ac:dyDescent="0.25">
      <c r="A121" s="73"/>
      <c r="B121" s="18"/>
      <c r="C121" s="18"/>
      <c r="D121" s="18"/>
      <c r="E121" s="18"/>
      <c r="F121" s="73"/>
      <c r="G121" s="73"/>
      <c r="H121" s="73"/>
      <c r="I121" s="73"/>
      <c r="J121" s="73"/>
      <c r="K121" s="73"/>
      <c r="L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15" x14ac:dyDescent="0.25">
      <c r="A122" s="73"/>
      <c r="B122" s="18"/>
      <c r="C122" s="18"/>
      <c r="D122" s="18"/>
      <c r="E122" s="18"/>
      <c r="F122" s="73"/>
      <c r="G122" s="73"/>
      <c r="H122" s="73"/>
      <c r="I122" s="73"/>
      <c r="J122" s="73"/>
      <c r="K122" s="73"/>
      <c r="L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15" x14ac:dyDescent="0.25">
      <c r="A123" s="73"/>
      <c r="B123" s="18"/>
      <c r="C123" s="18"/>
      <c r="D123" s="18"/>
      <c r="E123" s="18"/>
      <c r="F123" s="73"/>
      <c r="G123" s="73"/>
      <c r="H123" s="73"/>
      <c r="I123" s="73"/>
      <c r="J123" s="73"/>
      <c r="K123" s="73"/>
      <c r="L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15" x14ac:dyDescent="0.25">
      <c r="A124" s="73"/>
      <c r="B124" s="18"/>
      <c r="C124" s="18"/>
      <c r="D124" s="18"/>
      <c r="E124" s="18"/>
      <c r="F124" s="73"/>
      <c r="G124" s="73"/>
      <c r="H124" s="73"/>
      <c r="I124" s="73"/>
      <c r="J124" s="73"/>
      <c r="K124" s="73"/>
      <c r="L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1:27" ht="15" x14ac:dyDescent="0.25">
      <c r="A125" s="73"/>
      <c r="B125" s="18"/>
      <c r="C125" s="18"/>
      <c r="D125" s="18"/>
      <c r="E125" s="18"/>
      <c r="F125" s="73"/>
      <c r="G125" s="73"/>
      <c r="H125" s="73"/>
      <c r="I125" s="73"/>
      <c r="J125" s="73"/>
      <c r="K125" s="73"/>
      <c r="L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1:27" ht="15" x14ac:dyDescent="0.25">
      <c r="A126" s="73"/>
      <c r="B126" s="18"/>
      <c r="C126" s="18"/>
      <c r="D126" s="18"/>
      <c r="E126" s="18"/>
      <c r="F126" s="73"/>
      <c r="G126" s="73"/>
      <c r="H126" s="73"/>
      <c r="I126" s="73"/>
      <c r="J126" s="73"/>
      <c r="K126" s="73"/>
      <c r="L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1:27" ht="15" x14ac:dyDescent="0.25">
      <c r="A127" s="73"/>
      <c r="B127" s="18"/>
      <c r="C127" s="18"/>
      <c r="D127" s="18"/>
      <c r="E127" s="18"/>
      <c r="F127" s="73"/>
      <c r="G127" s="73"/>
      <c r="H127" s="73"/>
      <c r="I127" s="73"/>
      <c r="J127" s="73"/>
      <c r="K127" s="73"/>
      <c r="L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spans="1:27" ht="15" x14ac:dyDescent="0.25">
      <c r="A128" s="73"/>
      <c r="B128" s="18"/>
      <c r="C128" s="18"/>
      <c r="D128" s="18"/>
      <c r="E128" s="18"/>
      <c r="F128" s="73"/>
      <c r="G128" s="73"/>
      <c r="H128" s="73"/>
      <c r="I128" s="73"/>
      <c r="J128" s="73"/>
      <c r="K128" s="73"/>
      <c r="L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spans="1:27" ht="15" x14ac:dyDescent="0.25">
      <c r="A129" s="73"/>
      <c r="B129" s="18"/>
      <c r="C129" s="18"/>
      <c r="D129" s="18"/>
      <c r="E129" s="18"/>
      <c r="F129" s="73"/>
      <c r="G129" s="73"/>
      <c r="H129" s="73"/>
      <c r="I129" s="73"/>
      <c r="J129" s="73"/>
      <c r="K129" s="73"/>
      <c r="L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spans="1:27" ht="15" x14ac:dyDescent="0.25">
      <c r="A130" s="73"/>
      <c r="B130" s="18"/>
      <c r="C130" s="18"/>
      <c r="D130" s="18"/>
      <c r="E130" s="18"/>
      <c r="F130" s="73"/>
      <c r="G130" s="73"/>
      <c r="H130" s="73"/>
      <c r="I130" s="73"/>
      <c r="J130" s="73"/>
      <c r="K130" s="73"/>
      <c r="L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1:27" ht="15" x14ac:dyDescent="0.25">
      <c r="A131" s="73"/>
      <c r="B131" s="18"/>
      <c r="C131" s="18"/>
      <c r="D131" s="18"/>
      <c r="E131" s="18"/>
      <c r="F131" s="73"/>
      <c r="G131" s="73"/>
      <c r="H131" s="73"/>
      <c r="I131" s="73"/>
      <c r="J131" s="73"/>
      <c r="K131" s="73"/>
      <c r="L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1:27" ht="15" x14ac:dyDescent="0.25">
      <c r="A132" s="73"/>
      <c r="B132" s="18"/>
      <c r="C132" s="18"/>
      <c r="D132" s="18"/>
      <c r="E132" s="18"/>
      <c r="F132" s="73"/>
      <c r="G132" s="73"/>
      <c r="H132" s="73"/>
      <c r="I132" s="73"/>
      <c r="J132" s="73"/>
      <c r="K132" s="73"/>
      <c r="L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1:27" ht="15" x14ac:dyDescent="0.25">
      <c r="A133" s="73"/>
      <c r="B133" s="18"/>
      <c r="C133" s="18"/>
      <c r="D133" s="18"/>
      <c r="E133" s="18"/>
      <c r="K133" s="73"/>
      <c r="L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1:27" ht="15" x14ac:dyDescent="0.25">
      <c r="A134" s="73"/>
      <c r="B134" s="18"/>
      <c r="C134" s="18"/>
      <c r="D134" s="18"/>
      <c r="E134" s="18"/>
      <c r="F134" s="73"/>
      <c r="G134" s="73"/>
      <c r="H134" s="73"/>
      <c r="I134" s="73"/>
      <c r="J134" s="73"/>
      <c r="K134" s="73"/>
      <c r="L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15" x14ac:dyDescent="0.25">
      <c r="A135" s="73"/>
      <c r="B135" s="18"/>
      <c r="C135" s="18"/>
      <c r="D135" s="18"/>
      <c r="E135" s="18"/>
      <c r="F135" s="73"/>
      <c r="G135" s="73"/>
      <c r="H135" s="73"/>
      <c r="I135" s="73"/>
      <c r="J135" s="73"/>
      <c r="K135" s="73"/>
      <c r="L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15" x14ac:dyDescent="0.25">
      <c r="A136" s="73"/>
      <c r="B136" s="18"/>
      <c r="C136" s="18"/>
      <c r="D136" s="18"/>
      <c r="E136" s="18"/>
      <c r="F136" s="73"/>
      <c r="G136" s="73"/>
      <c r="H136" s="73"/>
      <c r="I136" s="73"/>
      <c r="J136" s="73"/>
      <c r="K136" s="73"/>
      <c r="L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15" x14ac:dyDescent="0.25">
      <c r="A137" s="73"/>
      <c r="B137" s="18"/>
      <c r="C137" s="18"/>
      <c r="D137" s="18"/>
      <c r="E137" s="18"/>
      <c r="F137" s="73"/>
      <c r="G137" s="73"/>
      <c r="H137" s="73"/>
      <c r="I137" s="73"/>
      <c r="J137" s="73"/>
      <c r="K137" s="73"/>
      <c r="L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ht="15" x14ac:dyDescent="0.25">
      <c r="A138" s="73"/>
      <c r="B138" s="18"/>
      <c r="C138" s="18"/>
      <c r="D138" s="18"/>
      <c r="E138" s="18"/>
      <c r="F138" s="73"/>
      <c r="G138" s="73"/>
      <c r="H138" s="73"/>
      <c r="I138" s="73"/>
      <c r="J138" s="73"/>
      <c r="K138" s="73"/>
      <c r="L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27" ht="15" x14ac:dyDescent="0.25">
      <c r="A139" s="73"/>
      <c r="B139" s="18"/>
      <c r="C139" s="18"/>
      <c r="D139" s="18"/>
      <c r="E139" s="18"/>
      <c r="F139" s="73"/>
      <c r="G139" s="73"/>
      <c r="H139" s="73"/>
      <c r="I139" s="73"/>
      <c r="J139" s="73"/>
      <c r="K139" s="73"/>
      <c r="L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1:27" ht="15" x14ac:dyDescent="0.25">
      <c r="A140" s="73"/>
      <c r="B140" s="18"/>
      <c r="C140" s="18"/>
      <c r="D140" s="18"/>
      <c r="E140" s="18"/>
      <c r="F140" s="73"/>
      <c r="G140" s="73"/>
      <c r="H140" s="73"/>
      <c r="I140" s="73"/>
      <c r="J140" s="73"/>
      <c r="K140" s="73"/>
      <c r="L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15" x14ac:dyDescent="0.25">
      <c r="A141" s="73"/>
      <c r="B141" s="18"/>
      <c r="C141" s="18"/>
      <c r="D141" s="18"/>
      <c r="E141" s="18"/>
      <c r="F141" s="73"/>
      <c r="G141" s="73"/>
      <c r="H141" s="73"/>
      <c r="I141" s="73"/>
      <c r="J141" s="73"/>
      <c r="K141" s="73"/>
      <c r="L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15" x14ac:dyDescent="0.25">
      <c r="A142" s="73"/>
      <c r="B142" s="18"/>
      <c r="C142" s="18"/>
      <c r="D142" s="18"/>
      <c r="E142" s="18"/>
      <c r="F142" s="73"/>
      <c r="G142" s="73"/>
      <c r="H142" s="73"/>
      <c r="I142" s="73"/>
      <c r="J142" s="73"/>
      <c r="K142" s="73"/>
      <c r="L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15" x14ac:dyDescent="0.25">
      <c r="A143" s="73"/>
      <c r="B143" s="18"/>
      <c r="C143" s="18"/>
      <c r="D143" s="18"/>
      <c r="E143" s="18"/>
      <c r="F143" s="73"/>
      <c r="G143" s="73"/>
      <c r="H143" s="73"/>
      <c r="I143" s="73"/>
      <c r="J143" s="73"/>
      <c r="K143" s="73"/>
      <c r="L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1:27" ht="15" x14ac:dyDescent="0.25">
      <c r="A144" s="73"/>
      <c r="B144" s="18"/>
      <c r="C144" s="18"/>
      <c r="D144" s="18"/>
      <c r="E144" s="18"/>
      <c r="F144" s="73"/>
      <c r="G144" s="73"/>
      <c r="H144" s="73"/>
      <c r="I144" s="73"/>
      <c r="J144" s="73"/>
      <c r="K144" s="73"/>
      <c r="L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1:27" ht="15" x14ac:dyDescent="0.25">
      <c r="A145" s="73"/>
      <c r="B145" s="18"/>
      <c r="C145" s="18"/>
      <c r="D145" s="18"/>
      <c r="E145" s="18"/>
      <c r="F145" s="73"/>
      <c r="G145" s="73"/>
      <c r="H145" s="73"/>
      <c r="I145" s="73"/>
      <c r="J145" s="73"/>
      <c r="K145" s="73"/>
      <c r="L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15" x14ac:dyDescent="0.25">
      <c r="A146" s="73"/>
      <c r="B146" s="18"/>
      <c r="C146" s="18"/>
      <c r="D146" s="18"/>
      <c r="E146" s="18"/>
      <c r="F146" s="73"/>
      <c r="G146" s="73"/>
      <c r="H146" s="73"/>
      <c r="I146" s="73"/>
      <c r="J146" s="73"/>
      <c r="K146" s="73"/>
      <c r="L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spans="1:27" ht="15" x14ac:dyDescent="0.25">
      <c r="A147" s="73"/>
      <c r="B147" s="18"/>
      <c r="C147" s="18"/>
      <c r="D147" s="18"/>
      <c r="E147" s="18"/>
      <c r="F147" s="73"/>
      <c r="G147" s="73"/>
      <c r="H147" s="73"/>
      <c r="I147" s="73"/>
      <c r="J147" s="73"/>
      <c r="K147" s="73"/>
      <c r="L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1:27" ht="15" x14ac:dyDescent="0.25">
      <c r="A148" s="73"/>
      <c r="B148" s="18"/>
      <c r="C148" s="18"/>
      <c r="D148" s="18"/>
      <c r="E148" s="18"/>
      <c r="F148" s="73"/>
      <c r="G148" s="73"/>
      <c r="H148" s="73"/>
      <c r="I148" s="73"/>
      <c r="J148" s="73"/>
      <c r="K148" s="73"/>
      <c r="L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1:27" ht="15" x14ac:dyDescent="0.25">
      <c r="A149" s="73"/>
      <c r="B149" s="18"/>
      <c r="C149" s="18"/>
      <c r="D149" s="18"/>
      <c r="E149" s="18"/>
      <c r="F149" s="73"/>
      <c r="G149" s="73"/>
      <c r="H149" s="73"/>
      <c r="I149" s="73"/>
      <c r="J149" s="73"/>
      <c r="K149" s="73"/>
      <c r="L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1:27" ht="15" x14ac:dyDescent="0.25">
      <c r="A150" s="73"/>
      <c r="B150" s="18"/>
      <c r="C150" s="18"/>
      <c r="D150" s="18"/>
      <c r="E150" s="18"/>
      <c r="F150" s="73"/>
      <c r="G150" s="73"/>
      <c r="H150" s="73"/>
      <c r="I150" s="73"/>
      <c r="J150" s="73"/>
      <c r="K150" s="73"/>
      <c r="L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spans="1:27" ht="15" x14ac:dyDescent="0.25">
      <c r="A151" s="73"/>
      <c r="B151" s="18"/>
      <c r="C151" s="18"/>
      <c r="D151" s="18"/>
      <c r="E151" s="18"/>
      <c r="F151" s="73"/>
      <c r="G151" s="73"/>
      <c r="H151" s="73"/>
      <c r="I151" s="73"/>
      <c r="J151" s="73"/>
      <c r="K151" s="73"/>
      <c r="L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15" x14ac:dyDescent="0.25">
      <c r="A152" s="73"/>
      <c r="B152" s="18"/>
      <c r="C152" s="18"/>
      <c r="D152" s="18"/>
      <c r="E152" s="18"/>
      <c r="F152" s="73"/>
      <c r="G152" s="73"/>
      <c r="H152" s="73"/>
      <c r="I152" s="73"/>
      <c r="J152" s="73"/>
      <c r="K152" s="73"/>
      <c r="L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15" x14ac:dyDescent="0.25">
      <c r="A153" s="73"/>
      <c r="B153" s="18"/>
      <c r="C153" s="18"/>
      <c r="D153" s="18"/>
      <c r="E153" s="18"/>
      <c r="F153" s="73"/>
      <c r="G153" s="73"/>
      <c r="H153" s="73"/>
      <c r="I153" s="73"/>
      <c r="J153" s="73"/>
      <c r="K153" s="73"/>
      <c r="L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spans="1:27" ht="15" x14ac:dyDescent="0.25">
      <c r="A154" s="73"/>
      <c r="B154" s="18"/>
      <c r="C154" s="18"/>
      <c r="D154" s="18"/>
      <c r="E154" s="18"/>
      <c r="F154" s="73"/>
      <c r="G154" s="73"/>
      <c r="H154" s="73"/>
      <c r="I154" s="73"/>
      <c r="J154" s="73"/>
      <c r="K154" s="73"/>
      <c r="L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1:27" ht="15" x14ac:dyDescent="0.25">
      <c r="A155" s="73"/>
      <c r="B155" s="18"/>
      <c r="C155" s="18"/>
      <c r="D155" s="18"/>
      <c r="E155" s="18"/>
      <c r="F155" s="73"/>
      <c r="G155" s="73"/>
      <c r="H155" s="73"/>
      <c r="I155" s="73"/>
      <c r="J155" s="73"/>
      <c r="K155" s="73"/>
      <c r="L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1:27" ht="15" x14ac:dyDescent="0.25">
      <c r="A156" s="73"/>
      <c r="B156" s="18"/>
      <c r="C156" s="18"/>
      <c r="D156" s="18"/>
      <c r="E156" s="18"/>
      <c r="F156" s="73"/>
      <c r="G156" s="73"/>
      <c r="H156" s="73"/>
      <c r="I156" s="73"/>
      <c r="J156" s="73"/>
      <c r="K156" s="73"/>
      <c r="L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spans="1:27" ht="15" x14ac:dyDescent="0.25">
      <c r="A157" s="73"/>
      <c r="B157" s="18"/>
      <c r="C157" s="18"/>
      <c r="D157" s="18"/>
      <c r="E157" s="18"/>
      <c r="F157" s="73"/>
      <c r="G157" s="73"/>
      <c r="H157" s="73"/>
      <c r="I157" s="73"/>
      <c r="J157" s="73"/>
      <c r="K157" s="73"/>
      <c r="L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15" x14ac:dyDescent="0.25">
      <c r="A158" s="73"/>
      <c r="B158" s="18"/>
      <c r="C158" s="18"/>
      <c r="D158" s="18"/>
      <c r="E158" s="18"/>
      <c r="F158" s="73"/>
      <c r="G158" s="73"/>
      <c r="H158" s="73"/>
      <c r="I158" s="73"/>
      <c r="J158" s="73"/>
      <c r="K158" s="73"/>
      <c r="L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15" x14ac:dyDescent="0.25">
      <c r="A159" s="73"/>
      <c r="B159" s="18"/>
      <c r="C159" s="18"/>
      <c r="D159" s="18"/>
      <c r="E159" s="18"/>
      <c r="F159" s="73"/>
      <c r="G159" s="73"/>
      <c r="H159" s="73"/>
      <c r="I159" s="73"/>
      <c r="J159" s="73"/>
      <c r="K159" s="73"/>
      <c r="L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15" x14ac:dyDescent="0.25">
      <c r="A160" s="73"/>
      <c r="B160" s="18"/>
      <c r="C160" s="18"/>
      <c r="D160" s="18"/>
      <c r="E160" s="18"/>
      <c r="F160" s="73"/>
      <c r="G160" s="73"/>
      <c r="H160" s="73"/>
      <c r="I160" s="73"/>
      <c r="J160" s="73"/>
      <c r="K160" s="73"/>
      <c r="L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1:27" ht="15" x14ac:dyDescent="0.25">
      <c r="A161" s="73"/>
      <c r="B161" s="18"/>
      <c r="C161" s="18"/>
      <c r="D161" s="18"/>
      <c r="E161" s="18"/>
      <c r="F161" s="73"/>
      <c r="G161" s="73"/>
      <c r="H161" s="73"/>
      <c r="I161" s="73"/>
      <c r="J161" s="73"/>
      <c r="K161" s="73"/>
      <c r="L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15" x14ac:dyDescent="0.25">
      <c r="A162" s="73"/>
      <c r="B162" s="18"/>
      <c r="C162" s="18"/>
      <c r="D162" s="18"/>
      <c r="E162" s="18"/>
      <c r="F162" s="73"/>
      <c r="G162" s="73"/>
      <c r="H162" s="73"/>
      <c r="I162" s="73"/>
      <c r="J162" s="73"/>
      <c r="K162" s="73"/>
      <c r="L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1:27" ht="15" x14ac:dyDescent="0.25">
      <c r="A163" s="73"/>
      <c r="B163" s="18"/>
      <c r="C163" s="18"/>
      <c r="D163" s="18"/>
      <c r="E163" s="18"/>
      <c r="F163" s="73"/>
      <c r="G163" s="73"/>
      <c r="H163" s="73"/>
      <c r="I163" s="73"/>
      <c r="J163" s="73"/>
      <c r="K163" s="73"/>
      <c r="L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1:27" ht="15" x14ac:dyDescent="0.25">
      <c r="A164" s="73"/>
      <c r="B164" s="18"/>
      <c r="C164" s="18"/>
      <c r="D164" s="18"/>
      <c r="E164" s="18"/>
      <c r="F164" s="73"/>
      <c r="G164" s="73"/>
      <c r="H164" s="73"/>
      <c r="I164" s="73"/>
      <c r="J164" s="73"/>
      <c r="K164" s="73"/>
      <c r="L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15" x14ac:dyDescent="0.25">
      <c r="A165" s="73"/>
      <c r="B165" s="18"/>
      <c r="C165" s="18"/>
      <c r="D165" s="18"/>
      <c r="E165" s="18"/>
      <c r="F165" s="73"/>
      <c r="G165" s="73"/>
      <c r="H165" s="73"/>
      <c r="I165" s="73"/>
      <c r="J165" s="73"/>
      <c r="K165" s="73"/>
      <c r="L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15" x14ac:dyDescent="0.25">
      <c r="A166" s="73"/>
      <c r="B166" s="18"/>
      <c r="C166" s="18"/>
      <c r="D166" s="18"/>
      <c r="E166" s="18"/>
      <c r="F166" s="73"/>
      <c r="G166" s="73"/>
      <c r="H166" s="73"/>
      <c r="I166" s="73"/>
      <c r="J166" s="73"/>
      <c r="K166" s="73"/>
      <c r="L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spans="1:27" ht="15" x14ac:dyDescent="0.25">
      <c r="A167" s="73"/>
      <c r="B167" s="18"/>
      <c r="C167" s="18"/>
      <c r="D167" s="18"/>
      <c r="E167" s="18"/>
      <c r="F167" s="73"/>
      <c r="G167" s="73"/>
      <c r="H167" s="73"/>
      <c r="I167" s="73"/>
      <c r="J167" s="73"/>
      <c r="K167" s="73"/>
      <c r="L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1:27" ht="15" x14ac:dyDescent="0.25">
      <c r="A168" s="73"/>
      <c r="B168" s="18"/>
      <c r="C168" s="18"/>
      <c r="D168" s="18"/>
      <c r="E168" s="18"/>
      <c r="F168" s="73"/>
      <c r="G168" s="73"/>
      <c r="H168" s="73"/>
      <c r="I168" s="73"/>
      <c r="J168" s="73"/>
      <c r="K168" s="73"/>
      <c r="L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1:27" ht="15" x14ac:dyDescent="0.25">
      <c r="A169" s="73"/>
      <c r="B169" s="18"/>
      <c r="C169" s="18"/>
      <c r="D169" s="18"/>
      <c r="E169" s="18"/>
      <c r="F169" s="73"/>
      <c r="G169" s="73"/>
      <c r="H169" s="73"/>
      <c r="I169" s="73"/>
      <c r="J169" s="73"/>
      <c r="K169" s="73"/>
      <c r="L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1:27" ht="15" x14ac:dyDescent="0.25">
      <c r="A170" s="73"/>
      <c r="B170" s="18"/>
      <c r="C170" s="18"/>
      <c r="D170" s="18"/>
      <c r="E170" s="18"/>
      <c r="F170" s="73"/>
      <c r="G170" s="73"/>
      <c r="H170" s="73"/>
      <c r="I170" s="73"/>
      <c r="J170" s="73"/>
      <c r="K170" s="73"/>
      <c r="L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spans="1:27" ht="15" x14ac:dyDescent="0.25">
      <c r="A171" s="73"/>
      <c r="B171" s="18"/>
      <c r="C171" s="18"/>
      <c r="D171" s="18"/>
      <c r="E171" s="18"/>
      <c r="F171" s="73"/>
      <c r="G171" s="73"/>
      <c r="H171" s="73"/>
      <c r="I171" s="73"/>
      <c r="J171" s="73"/>
      <c r="K171" s="73"/>
      <c r="L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1:27" ht="15" x14ac:dyDescent="0.25">
      <c r="A172" s="73"/>
      <c r="B172" s="18"/>
      <c r="C172" s="18"/>
      <c r="D172" s="18"/>
      <c r="E172" s="18"/>
      <c r="F172" s="73"/>
      <c r="G172" s="73"/>
      <c r="H172" s="73"/>
      <c r="I172" s="73"/>
      <c r="J172" s="73"/>
      <c r="K172" s="73"/>
      <c r="L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15" x14ac:dyDescent="0.25">
      <c r="A173" s="73"/>
      <c r="B173" s="18"/>
      <c r="C173" s="18"/>
      <c r="D173" s="18"/>
      <c r="E173" s="18"/>
      <c r="F173" s="73"/>
      <c r="G173" s="73"/>
      <c r="H173" s="73"/>
      <c r="I173" s="73"/>
      <c r="J173" s="73"/>
      <c r="K173" s="73"/>
      <c r="L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spans="1:27" ht="15" x14ac:dyDescent="0.25">
      <c r="A174" s="73"/>
      <c r="B174" s="18"/>
      <c r="C174" s="18"/>
      <c r="D174" s="18"/>
      <c r="E174" s="18"/>
      <c r="F174" s="73"/>
      <c r="G174" s="73"/>
      <c r="H174" s="73"/>
      <c r="I174" s="73"/>
      <c r="J174" s="73"/>
      <c r="K174" s="73"/>
      <c r="L174" s="73"/>
    </row>
    <row r="175" spans="1:27" ht="15" x14ac:dyDescent="0.25">
      <c r="A175" s="73"/>
      <c r="B175" s="18"/>
      <c r="C175" s="18"/>
      <c r="D175" s="18"/>
      <c r="E175" s="18"/>
      <c r="F175" s="73"/>
      <c r="G175" s="73"/>
      <c r="H175" s="73"/>
      <c r="I175" s="73"/>
      <c r="J175" s="73"/>
      <c r="K175" s="73"/>
      <c r="L175" s="73"/>
    </row>
    <row r="176" spans="1:27" ht="15" x14ac:dyDescent="0.25">
      <c r="A176" s="73"/>
      <c r="B176" s="18"/>
      <c r="C176" s="18"/>
      <c r="D176" s="18"/>
      <c r="E176" s="18"/>
      <c r="F176" s="73"/>
      <c r="G176" s="73"/>
      <c r="H176" s="73"/>
      <c r="I176" s="73"/>
      <c r="J176" s="73"/>
      <c r="K176" s="73"/>
      <c r="L176" s="73"/>
    </row>
    <row r="177" spans="1:12" ht="15" x14ac:dyDescent="0.25">
      <c r="A177" s="73"/>
      <c r="B177" s="18"/>
      <c r="C177" s="18"/>
      <c r="D177" s="18"/>
      <c r="E177" s="18"/>
      <c r="F177" s="73"/>
      <c r="G177" s="73"/>
      <c r="H177" s="73"/>
      <c r="I177" s="73"/>
      <c r="J177" s="73"/>
      <c r="K177" s="73"/>
      <c r="L177" s="73"/>
    </row>
    <row r="178" spans="1:12" ht="15" x14ac:dyDescent="0.25">
      <c r="A178" s="73"/>
      <c r="B178" s="18"/>
      <c r="C178" s="18"/>
      <c r="D178" s="18"/>
      <c r="E178" s="18"/>
      <c r="F178" s="73"/>
      <c r="G178" s="73"/>
      <c r="H178" s="73"/>
      <c r="I178" s="73"/>
      <c r="J178" s="73"/>
      <c r="K178" s="73"/>
      <c r="L178" s="73"/>
    </row>
    <row r="179" spans="1:12" ht="15" x14ac:dyDescent="0.25">
      <c r="A179" s="73"/>
      <c r="B179" s="18"/>
      <c r="C179" s="18"/>
      <c r="D179" s="18"/>
      <c r="E179" s="18"/>
      <c r="F179" s="73"/>
      <c r="G179" s="73"/>
      <c r="H179" s="73"/>
      <c r="I179" s="73"/>
      <c r="J179" s="73"/>
      <c r="K179" s="73"/>
      <c r="L179" s="73"/>
    </row>
    <row r="180" spans="1:12" ht="15" x14ac:dyDescent="0.25">
      <c r="A180" s="73"/>
      <c r="B180" s="18"/>
      <c r="C180" s="18"/>
      <c r="D180" s="18"/>
      <c r="E180" s="18"/>
      <c r="F180" s="73"/>
      <c r="G180" s="73"/>
      <c r="H180" s="73"/>
      <c r="I180" s="73"/>
      <c r="J180" s="73"/>
      <c r="K180" s="73"/>
      <c r="L180" s="73"/>
    </row>
    <row r="181" spans="1:12" ht="15" x14ac:dyDescent="0.25">
      <c r="A181" s="73"/>
      <c r="B181" s="18"/>
      <c r="C181" s="18"/>
      <c r="D181" s="18"/>
      <c r="E181" s="18"/>
      <c r="F181" s="73"/>
      <c r="G181" s="73"/>
      <c r="H181" s="73"/>
      <c r="I181" s="73"/>
      <c r="J181" s="73"/>
      <c r="K181" s="73"/>
      <c r="L181" s="73"/>
    </row>
    <row r="182" spans="1:12" ht="15" x14ac:dyDescent="0.25">
      <c r="A182" s="73"/>
      <c r="B182" s="18"/>
      <c r="C182" s="18"/>
      <c r="D182" s="18"/>
      <c r="E182" s="18"/>
      <c r="F182" s="73"/>
      <c r="G182" s="73"/>
      <c r="H182" s="73"/>
      <c r="I182" s="73"/>
      <c r="J182" s="73"/>
      <c r="K182" s="73"/>
      <c r="L182" s="73"/>
    </row>
    <row r="183" spans="1:12" ht="15" x14ac:dyDescent="0.25">
      <c r="A183" s="73"/>
      <c r="B183" s="18"/>
      <c r="C183" s="18"/>
      <c r="D183" s="18"/>
      <c r="E183" s="18"/>
      <c r="F183" s="73"/>
      <c r="G183" s="73"/>
      <c r="H183" s="73"/>
      <c r="I183" s="73"/>
      <c r="J183" s="73"/>
      <c r="K183" s="73"/>
      <c r="L183" s="73"/>
    </row>
    <row r="184" spans="1:12" ht="15" x14ac:dyDescent="0.25">
      <c r="A184" s="73"/>
      <c r="B184" s="18"/>
      <c r="C184" s="18"/>
      <c r="D184" s="18"/>
      <c r="E184" s="18"/>
      <c r="F184" s="73"/>
      <c r="G184" s="73"/>
      <c r="H184" s="73"/>
      <c r="I184" s="73"/>
      <c r="J184" s="73"/>
      <c r="K184" s="73"/>
      <c r="L184" s="73"/>
    </row>
    <row r="185" spans="1:12" ht="15" x14ac:dyDescent="0.25">
      <c r="A185" s="73"/>
      <c r="B185" s="18"/>
      <c r="C185" s="18"/>
      <c r="D185" s="18"/>
      <c r="E185" s="18"/>
      <c r="F185" s="73"/>
      <c r="G185" s="73"/>
      <c r="H185" s="73"/>
      <c r="I185" s="73"/>
      <c r="J185" s="73"/>
      <c r="K185" s="73"/>
      <c r="L185" s="73"/>
    </row>
    <row r="186" spans="1:12" ht="15" x14ac:dyDescent="0.25">
      <c r="A186" s="73"/>
      <c r="B186" s="18"/>
      <c r="C186" s="18"/>
      <c r="D186" s="18"/>
      <c r="E186" s="18"/>
      <c r="F186" s="73"/>
      <c r="G186" s="73"/>
      <c r="H186" s="73"/>
      <c r="I186" s="73"/>
      <c r="J186" s="73"/>
      <c r="K186" s="73"/>
      <c r="L186" s="73"/>
    </row>
    <row r="187" spans="1:12" ht="15" x14ac:dyDescent="0.25">
      <c r="A187" s="73"/>
      <c r="B187" s="18"/>
      <c r="C187" s="18"/>
      <c r="D187" s="18"/>
      <c r="E187" s="18"/>
      <c r="F187" s="73"/>
      <c r="G187" s="73"/>
      <c r="H187" s="73"/>
      <c r="I187" s="73"/>
      <c r="J187" s="73"/>
      <c r="K187" s="73"/>
      <c r="L187" s="73"/>
    </row>
    <row r="188" spans="1:12" ht="15" x14ac:dyDescent="0.25">
      <c r="A188" s="73"/>
      <c r="B188" s="18"/>
      <c r="C188" s="18"/>
      <c r="D188" s="18"/>
      <c r="E188" s="18"/>
      <c r="F188" s="73"/>
      <c r="G188" s="73"/>
      <c r="H188" s="73"/>
      <c r="I188" s="73"/>
      <c r="J188" s="73"/>
      <c r="K188" s="73"/>
      <c r="L188" s="73"/>
    </row>
    <row r="189" spans="1:12" ht="15" x14ac:dyDescent="0.25">
      <c r="A189" s="73"/>
      <c r="B189" s="18"/>
      <c r="C189" s="18"/>
      <c r="D189" s="18"/>
      <c r="E189" s="18"/>
      <c r="F189" s="73"/>
      <c r="G189" s="73"/>
      <c r="H189" s="73"/>
      <c r="I189" s="73"/>
      <c r="J189" s="73"/>
      <c r="K189" s="73"/>
      <c r="L189" s="73"/>
    </row>
    <row r="190" spans="1:12" ht="15" x14ac:dyDescent="0.25">
      <c r="A190" s="73"/>
      <c r="B190" s="18"/>
      <c r="C190" s="18"/>
      <c r="D190" s="18"/>
      <c r="E190" s="18"/>
      <c r="F190" s="73"/>
      <c r="G190" s="73"/>
      <c r="H190" s="73"/>
      <c r="I190" s="73"/>
      <c r="J190" s="73"/>
      <c r="K190" s="73"/>
      <c r="L190" s="73"/>
    </row>
    <row r="191" spans="1:12" ht="15" x14ac:dyDescent="0.25">
      <c r="A191" s="73"/>
      <c r="B191" s="18"/>
      <c r="C191" s="18"/>
      <c r="D191" s="18"/>
      <c r="E191" s="18"/>
      <c r="F191" s="73"/>
      <c r="G191" s="73"/>
      <c r="H191" s="73"/>
      <c r="I191" s="73"/>
      <c r="J191" s="73"/>
      <c r="K191" s="73"/>
      <c r="L191" s="73"/>
    </row>
    <row r="192" spans="1:12" ht="15" x14ac:dyDescent="0.25">
      <c r="A192" s="73"/>
      <c r="B192" s="18"/>
      <c r="C192" s="18"/>
      <c r="D192" s="18"/>
      <c r="E192" s="18"/>
      <c r="F192" s="73"/>
      <c r="G192" s="73"/>
      <c r="H192" s="73"/>
      <c r="I192" s="73"/>
      <c r="J192" s="73"/>
      <c r="K192" s="73"/>
      <c r="L192" s="73"/>
    </row>
    <row r="193" spans="1:12" ht="15" x14ac:dyDescent="0.25">
      <c r="A193" s="73"/>
      <c r="B193" s="18"/>
      <c r="C193" s="18"/>
      <c r="D193" s="18"/>
      <c r="E193" s="18"/>
      <c r="F193" s="73"/>
      <c r="G193" s="73"/>
      <c r="H193" s="73"/>
      <c r="I193" s="73"/>
      <c r="J193" s="73"/>
      <c r="K193" s="73"/>
      <c r="L193" s="73"/>
    </row>
    <row r="194" spans="1:12" ht="15" x14ac:dyDescent="0.25">
      <c r="A194" s="73"/>
      <c r="B194" s="18"/>
      <c r="C194" s="18"/>
      <c r="D194" s="18"/>
      <c r="E194" s="18"/>
      <c r="F194" s="73"/>
      <c r="G194" s="73"/>
      <c r="H194" s="73"/>
      <c r="I194" s="73"/>
      <c r="J194" s="73"/>
      <c r="K194" s="73"/>
      <c r="L194" s="73"/>
    </row>
    <row r="195" spans="1:12" ht="15" x14ac:dyDescent="0.25">
      <c r="A195" s="73"/>
      <c r="B195" s="18"/>
      <c r="C195" s="18"/>
      <c r="D195" s="18"/>
      <c r="E195" s="18"/>
      <c r="F195" s="73"/>
      <c r="G195" s="73"/>
      <c r="H195" s="73"/>
      <c r="I195" s="73"/>
      <c r="J195" s="73"/>
      <c r="K195" s="73"/>
      <c r="L195" s="73"/>
    </row>
    <row r="196" spans="1:12" ht="15" x14ac:dyDescent="0.25">
      <c r="A196" s="73"/>
      <c r="B196" s="18"/>
      <c r="C196" s="18"/>
      <c r="D196" s="18"/>
      <c r="E196" s="18"/>
      <c r="F196" s="73"/>
      <c r="G196" s="73"/>
      <c r="H196" s="73"/>
      <c r="I196" s="73"/>
      <c r="J196" s="73"/>
      <c r="K196" s="73"/>
      <c r="L196" s="73"/>
    </row>
    <row r="197" spans="1:12" ht="15" x14ac:dyDescent="0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</row>
    <row r="198" spans="1:12" ht="15" x14ac:dyDescent="0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</row>
    <row r="199" spans="1:12" ht="15" x14ac:dyDescent="0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</row>
    <row r="200" spans="1:12" ht="15" x14ac:dyDescent="0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</row>
    <row r="201" spans="1:12" ht="15" x14ac:dyDescent="0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</row>
    <row r="202" spans="1:12" ht="15" x14ac:dyDescent="0.25">
      <c r="A202" s="73"/>
      <c r="B202" s="73"/>
      <c r="C202" s="73"/>
      <c r="D202" s="73"/>
      <c r="E202" s="73"/>
    </row>
    <row r="203" spans="1:12" ht="15" x14ac:dyDescent="0.25">
      <c r="A203" s="73"/>
      <c r="B203" s="73"/>
      <c r="C203" s="73"/>
      <c r="D203" s="73"/>
      <c r="E203" s="73"/>
    </row>
    <row r="204" spans="1:12" ht="15" x14ac:dyDescent="0.25">
      <c r="A204" s="73"/>
      <c r="B204" s="73"/>
      <c r="C204" s="73"/>
      <c r="D204" s="73"/>
      <c r="E204" s="73"/>
    </row>
  </sheetData>
  <conditionalFormatting sqref="C44:D46">
    <cfRule type="cellIs" dxfId="1" priority="2" operator="notEqual">
      <formula>0</formula>
    </cfRule>
  </conditionalFormatting>
  <conditionalFormatting sqref="C50:D52">
    <cfRule type="cellIs" dxfId="0" priority="1" operator="notEqual">
      <formula>0</formula>
    </cfRule>
  </conditionalFormatting>
  <pageMargins left="0.2" right="0.2" top="0.75" bottom="0.75" header="0.3" footer="0.3"/>
  <pageSetup scale="33" orientation="portrait" horizontalDpi="4294967293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C16" sqref="C16"/>
    </sheetView>
  </sheetViews>
  <sheetFormatPr defaultColWidth="9.140625" defaultRowHeight="12.75" x14ac:dyDescent="0.2"/>
  <cols>
    <col min="1" max="1" width="3.5703125" style="293" customWidth="1"/>
    <col min="2" max="2" width="19.42578125" style="293" bestFit="1" customWidth="1"/>
    <col min="3" max="3" width="14.28515625" style="149" bestFit="1" customWidth="1"/>
    <col min="4" max="4" width="15.28515625" style="149" bestFit="1" customWidth="1"/>
    <col min="5" max="16384" width="9.140625" style="293"/>
  </cols>
  <sheetData>
    <row r="2" spans="2:4" ht="25.5" x14ac:dyDescent="0.2">
      <c r="C2" s="294" t="s">
        <v>316</v>
      </c>
      <c r="D2" s="294" t="s">
        <v>317</v>
      </c>
    </row>
    <row r="3" spans="2:4" x14ac:dyDescent="0.2">
      <c r="C3" s="294"/>
      <c r="D3" s="294"/>
    </row>
    <row r="4" spans="2:4" x14ac:dyDescent="0.2">
      <c r="B4" s="293" t="s">
        <v>23</v>
      </c>
      <c r="C4" s="295">
        <f>'GL Balances'!C6</f>
        <v>20194542.27</v>
      </c>
      <c r="D4" s="295">
        <f>C4</f>
        <v>20194542.27</v>
      </c>
    </row>
    <row r="5" spans="2:4" x14ac:dyDescent="0.2">
      <c r="B5" s="293" t="s">
        <v>318</v>
      </c>
      <c r="C5" s="149">
        <f>'Plant Site Report'!L44</f>
        <v>19069069.5</v>
      </c>
      <c r="D5" s="149">
        <f>'Plant Site Report'!M44</f>
        <v>27111356.847078569</v>
      </c>
    </row>
    <row r="6" spans="2:4" x14ac:dyDescent="0.2">
      <c r="B6" s="293" t="s">
        <v>319</v>
      </c>
      <c r="C6" s="296">
        <f>'Units1&amp;2 Int Remedy Eval Alt 10'!E52</f>
        <v>105944825</v>
      </c>
      <c r="D6" s="296">
        <f>'Units1&amp;2 Int Remedy Eval Alt 10'!F52</f>
        <v>124345842.48742798</v>
      </c>
    </row>
    <row r="7" spans="2:4" x14ac:dyDescent="0.2">
      <c r="B7" s="293" t="s">
        <v>320</v>
      </c>
      <c r="C7" s="295">
        <f>SUM(C4:C6)</f>
        <v>145208436.76999998</v>
      </c>
      <c r="D7" s="295">
        <f>SUM(D4:D6)</f>
        <v>171651741.60450655</v>
      </c>
    </row>
    <row r="9" spans="2:4" x14ac:dyDescent="0.2">
      <c r="B9" s="293" t="s">
        <v>23</v>
      </c>
      <c r="C9" s="295">
        <f>Decommissioning!J6</f>
        <v>14800000</v>
      </c>
      <c r="D9" s="295">
        <f>Decommissioning!K6</f>
        <v>15549249.999999998</v>
      </c>
    </row>
    <row r="10" spans="2:4" x14ac:dyDescent="0.2">
      <c r="B10" s="293" t="s">
        <v>318</v>
      </c>
      <c r="C10" s="149">
        <f>'Plant Site Report'!S44</f>
        <v>11150077.75</v>
      </c>
      <c r="D10" s="149">
        <f>'Plant Site Report'!T44</f>
        <v>15988024.957127919</v>
      </c>
    </row>
    <row r="11" spans="2:4" x14ac:dyDescent="0.2">
      <c r="B11" s="293" t="s">
        <v>51</v>
      </c>
      <c r="C11" s="296">
        <f>'Units 3&amp;4 Remedy Eval'!E62</f>
        <v>25129387.5</v>
      </c>
      <c r="D11" s="296">
        <f>'Units 3&amp;4 Remedy Eval'!F62</f>
        <v>33586693.57996767</v>
      </c>
    </row>
    <row r="12" spans="2:4" x14ac:dyDescent="0.2">
      <c r="B12" s="293" t="s">
        <v>321</v>
      </c>
      <c r="C12" s="295">
        <f>SUM(C9:C11)</f>
        <v>51079465.25</v>
      </c>
      <c r="D12" s="295">
        <f>SUM(D9:D11)</f>
        <v>65123968.537095591</v>
      </c>
    </row>
    <row r="14" spans="2:4" x14ac:dyDescent="0.2">
      <c r="B14" s="293" t="s">
        <v>322</v>
      </c>
      <c r="C14" s="149">
        <f>'GL Balances'!C4</f>
        <v>-95934500</v>
      </c>
      <c r="D14" s="149">
        <f>C14</f>
        <v>-95934500</v>
      </c>
    </row>
    <row r="15" spans="2:4" x14ac:dyDescent="0.2">
      <c r="B15" s="293" t="s">
        <v>325</v>
      </c>
      <c r="C15" s="298">
        <f>'GL Balances'!C10</f>
        <v>47226280.32</v>
      </c>
      <c r="D15" s="298">
        <f>C15</f>
        <v>47226280.32</v>
      </c>
    </row>
    <row r="16" spans="2:4" x14ac:dyDescent="0.2">
      <c r="B16" s="293" t="s">
        <v>323</v>
      </c>
      <c r="C16" s="149">
        <f>C5+C6+C14+C15</f>
        <v>76305674.819999993</v>
      </c>
      <c r="D16" s="149">
        <f>D5+D6+D14+D15</f>
        <v>102748979.65450653</v>
      </c>
    </row>
    <row r="18" spans="2:5" x14ac:dyDescent="0.2">
      <c r="B18" s="297"/>
    </row>
    <row r="19" spans="2:5" x14ac:dyDescent="0.2">
      <c r="E19" s="293" t="s">
        <v>324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6" sqref="C6"/>
    </sheetView>
  </sheetViews>
  <sheetFormatPr defaultColWidth="9.140625" defaultRowHeight="12.75" x14ac:dyDescent="0.2"/>
  <cols>
    <col min="1" max="1" width="3.42578125" style="188" customWidth="1"/>
    <col min="2" max="2" width="32.42578125" style="188" bestFit="1" customWidth="1"/>
    <col min="3" max="4" width="19.5703125" style="188" customWidth="1"/>
    <col min="5" max="5" width="9.140625" style="188"/>
    <col min="6" max="6" width="11.42578125" style="188" bestFit="1" customWidth="1"/>
    <col min="7" max="16384" width="9.140625" style="188"/>
  </cols>
  <sheetData>
    <row r="1" spans="1:6" x14ac:dyDescent="0.2">
      <c r="A1" s="187"/>
      <c r="B1" s="187"/>
      <c r="C1" s="187"/>
      <c r="D1" s="187"/>
      <c r="E1" s="187"/>
    </row>
    <row r="2" spans="1:6" ht="15.75" x14ac:dyDescent="0.25">
      <c r="A2" s="189"/>
      <c r="B2" s="326" t="s">
        <v>209</v>
      </c>
      <c r="C2" s="326"/>
      <c r="D2" s="326"/>
      <c r="E2" s="189"/>
    </row>
    <row r="3" spans="1:6" ht="15.75" x14ac:dyDescent="0.25">
      <c r="A3" s="189"/>
      <c r="B3" s="190"/>
      <c r="C3" s="190"/>
      <c r="D3" s="190"/>
      <c r="E3" s="189"/>
    </row>
    <row r="4" spans="1:6" ht="15.75" x14ac:dyDescent="0.25">
      <c r="A4" s="189"/>
      <c r="B4" s="191"/>
      <c r="C4" s="192" t="s">
        <v>199</v>
      </c>
      <c r="D4" s="192" t="s">
        <v>51</v>
      </c>
      <c r="E4" s="189"/>
    </row>
    <row r="5" spans="1:6" ht="15.75" x14ac:dyDescent="0.25">
      <c r="A5" s="189"/>
      <c r="B5" s="191" t="s">
        <v>200</v>
      </c>
      <c r="C5" s="193">
        <f>'Plant Site Report'!L44+'Units1&amp;2 Int Remedy Eval Alt 10'!E52</f>
        <v>125013894.5</v>
      </c>
      <c r="D5" s="193">
        <f>'Plant Site Report'!S44+'Units 3&amp;4 Remedy Eval'!E62</f>
        <v>36279465.25</v>
      </c>
      <c r="E5" s="189"/>
    </row>
    <row r="6" spans="1:6" ht="15.75" x14ac:dyDescent="0.25">
      <c r="A6" s="189"/>
      <c r="B6" s="191" t="s">
        <v>201</v>
      </c>
      <c r="C6" s="193">
        <v>0</v>
      </c>
      <c r="D6" s="193">
        <f>Decommissioning!J6</f>
        <v>14800000</v>
      </c>
      <c r="E6" s="189"/>
    </row>
    <row r="7" spans="1:6" ht="15.75" x14ac:dyDescent="0.25">
      <c r="A7" s="189"/>
      <c r="B7" s="194" t="s">
        <v>202</v>
      </c>
      <c r="C7" s="195">
        <f>C5+C6</f>
        <v>125013894.5</v>
      </c>
      <c r="D7" s="195">
        <f>D5+D6</f>
        <v>51079465.25</v>
      </c>
      <c r="E7" s="189"/>
    </row>
    <row r="8" spans="1:6" ht="15.75" x14ac:dyDescent="0.25">
      <c r="A8" s="189"/>
      <c r="B8" s="191" t="s">
        <v>203</v>
      </c>
      <c r="C8" s="193">
        <f>'Plant Site Report'!M44+'Units1&amp;2 Int Remedy Eval Alt 10'!F52</f>
        <v>151457199.33450654</v>
      </c>
      <c r="D8" s="193">
        <f>'Plant Site Report'!T44+'Units 3&amp;4 Remedy Eval'!F62</f>
        <v>49574718.537095591</v>
      </c>
      <c r="E8" s="189"/>
      <c r="F8" s="196"/>
    </row>
    <row r="9" spans="1:6" ht="15.75" x14ac:dyDescent="0.25">
      <c r="A9" s="189"/>
      <c r="B9" s="191" t="s">
        <v>204</v>
      </c>
      <c r="C9" s="193">
        <v>0</v>
      </c>
      <c r="D9" s="193">
        <f>Decommissioning!K6</f>
        <v>15549249.999999998</v>
      </c>
      <c r="E9" s="189"/>
    </row>
    <row r="10" spans="1:6" ht="15.75" x14ac:dyDescent="0.25">
      <c r="A10" s="189"/>
      <c r="B10" s="194" t="s">
        <v>205</v>
      </c>
      <c r="C10" s="195">
        <f>C8+C9</f>
        <v>151457199.33450654</v>
      </c>
      <c r="D10" s="195">
        <f>D8+D9</f>
        <v>65123968.537095591</v>
      </c>
      <c r="E10" s="189"/>
    </row>
    <row r="11" spans="1:6" ht="15.75" x14ac:dyDescent="0.25">
      <c r="A11" s="189"/>
      <c r="B11" s="191"/>
      <c r="C11" s="193"/>
      <c r="D11" s="193"/>
      <c r="E11" s="189"/>
    </row>
    <row r="12" spans="1:6" ht="15.75" x14ac:dyDescent="0.25">
      <c r="A12" s="189"/>
      <c r="B12" s="191" t="s">
        <v>206</v>
      </c>
      <c r="C12" s="193">
        <f>'GL Balances'!C10</f>
        <v>47226280.32</v>
      </c>
      <c r="D12" s="193">
        <f>'GL Balances'!C11</f>
        <v>27831597.100000001</v>
      </c>
      <c r="E12" s="189"/>
    </row>
    <row r="13" spans="1:6" ht="15.75" x14ac:dyDescent="0.25">
      <c r="A13" s="189"/>
      <c r="B13" s="191" t="s">
        <v>207</v>
      </c>
      <c r="C13" s="195">
        <f>C10+C12</f>
        <v>198683479.65450653</v>
      </c>
      <c r="D13" s="195">
        <f>D10+D12</f>
        <v>92955565.6370956</v>
      </c>
      <c r="E13" s="189"/>
    </row>
    <row r="14" spans="1:6" ht="15.75" x14ac:dyDescent="0.25">
      <c r="A14" s="189"/>
      <c r="B14" s="197"/>
      <c r="C14" s="198"/>
      <c r="D14" s="198"/>
      <c r="E14" s="189"/>
    </row>
    <row r="15" spans="1:6" ht="15.75" x14ac:dyDescent="0.25">
      <c r="A15" s="189"/>
      <c r="B15" s="199" t="s">
        <v>208</v>
      </c>
      <c r="C15" s="190"/>
      <c r="D15" s="190"/>
      <c r="E15" s="189"/>
    </row>
    <row r="16" spans="1:6" x14ac:dyDescent="0.2">
      <c r="A16" s="189"/>
      <c r="B16" s="189"/>
      <c r="C16" s="189"/>
      <c r="D16" s="189"/>
      <c r="E16" s="189"/>
    </row>
    <row r="19" spans="3:3" x14ac:dyDescent="0.2">
      <c r="C19" s="196"/>
    </row>
    <row r="21" spans="3:3" x14ac:dyDescent="0.2">
      <c r="C21" s="19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K6" sqref="K6"/>
    </sheetView>
  </sheetViews>
  <sheetFormatPr defaultColWidth="9.140625" defaultRowHeight="12.75" x14ac:dyDescent="0.2"/>
  <cols>
    <col min="1" max="1" width="39.5703125" style="34" bestFit="1" customWidth="1"/>
    <col min="2" max="2" width="13.5703125" style="34" bestFit="1" customWidth="1"/>
    <col min="3" max="3" width="2.85546875" style="34" customWidth="1"/>
    <col min="4" max="4" width="5" style="34" bestFit="1" customWidth="1"/>
    <col min="5" max="5" width="3.42578125" style="34" customWidth="1"/>
    <col min="6" max="6" width="10.5703125" style="34" bestFit="1" customWidth="1"/>
    <col min="7" max="7" width="2.5703125" style="34" customWidth="1"/>
    <col min="8" max="8" width="8.140625" style="34" bestFit="1" customWidth="1"/>
    <col min="9" max="9" width="2" style="34" bestFit="1" customWidth="1"/>
    <col min="10" max="10" width="14.5703125" style="34" bestFit="1" customWidth="1"/>
    <col min="11" max="11" width="17.42578125" style="34" bestFit="1" customWidth="1"/>
    <col min="12" max="16384" width="9.140625" style="34"/>
  </cols>
  <sheetData>
    <row r="2" spans="1:11" x14ac:dyDescent="0.2">
      <c r="B2" s="210" t="s">
        <v>210</v>
      </c>
      <c r="C2" s="210"/>
      <c r="D2" s="210"/>
      <c r="E2" s="210"/>
      <c r="F2" s="210"/>
      <c r="G2" s="210"/>
      <c r="H2" s="210"/>
      <c r="I2" s="210"/>
      <c r="J2" s="210"/>
    </row>
    <row r="3" spans="1:11" x14ac:dyDescent="0.2">
      <c r="B3" s="211" t="s">
        <v>211</v>
      </c>
      <c r="C3" s="32"/>
      <c r="D3" s="212" t="s">
        <v>212</v>
      </c>
      <c r="E3" s="209"/>
      <c r="F3" s="212" t="s">
        <v>213</v>
      </c>
      <c r="G3" s="209"/>
      <c r="H3" s="212" t="s">
        <v>214</v>
      </c>
      <c r="I3" s="209"/>
      <c r="J3" s="212" t="s">
        <v>84</v>
      </c>
      <c r="K3" s="212" t="s">
        <v>215</v>
      </c>
    </row>
    <row r="4" spans="1:11" x14ac:dyDescent="0.2">
      <c r="B4" s="213" t="s">
        <v>216</v>
      </c>
      <c r="C4" s="32"/>
      <c r="D4" s="213" t="s">
        <v>217</v>
      </c>
      <c r="E4" s="32"/>
      <c r="F4" s="213" t="s">
        <v>218</v>
      </c>
      <c r="G4" s="32"/>
      <c r="H4" s="213" t="s">
        <v>219</v>
      </c>
      <c r="I4" s="32"/>
      <c r="J4" s="213" t="s">
        <v>220</v>
      </c>
      <c r="K4" s="213"/>
    </row>
    <row r="5" spans="1:11" x14ac:dyDescent="0.2">
      <c r="B5" s="214"/>
      <c r="C5" s="32"/>
      <c r="D5" s="214"/>
      <c r="E5" s="32"/>
      <c r="F5" s="214"/>
      <c r="G5" s="32"/>
      <c r="H5" s="214"/>
      <c r="I5" s="32"/>
      <c r="J5" s="214"/>
      <c r="K5" s="214"/>
    </row>
    <row r="6" spans="1:11" x14ac:dyDescent="0.2">
      <c r="A6" s="34" t="s">
        <v>221</v>
      </c>
      <c r="B6" s="34">
        <v>40</v>
      </c>
      <c r="D6" s="34">
        <v>1480</v>
      </c>
      <c r="F6" s="215">
        <v>0.25</v>
      </c>
      <c r="H6" s="34">
        <v>370</v>
      </c>
      <c r="J6" s="36">
        <f>B6*H6*1000</f>
        <v>14800000</v>
      </c>
      <c r="K6" s="36">
        <f>J6*((1+B15)^(B14-B13))</f>
        <v>15549249.999999998</v>
      </c>
    </row>
    <row r="7" spans="1:11" x14ac:dyDescent="0.2">
      <c r="A7" s="34" t="s">
        <v>222</v>
      </c>
      <c r="I7" s="216" t="s">
        <v>223</v>
      </c>
      <c r="J7" s="36">
        <f>'GL Balances'!C6</f>
        <v>20194542.27</v>
      </c>
      <c r="K7" s="36"/>
    </row>
    <row r="10" spans="1:11" x14ac:dyDescent="0.2">
      <c r="A10" s="34" t="s">
        <v>224</v>
      </c>
    </row>
    <row r="12" spans="1:11" x14ac:dyDescent="0.2">
      <c r="A12" s="217" t="s">
        <v>225</v>
      </c>
    </row>
    <row r="13" spans="1:11" x14ac:dyDescent="0.2">
      <c r="A13" s="34" t="s">
        <v>226</v>
      </c>
      <c r="B13" s="34">
        <v>2023</v>
      </c>
    </row>
    <row r="14" spans="1:11" x14ac:dyDescent="0.2">
      <c r="A14" s="34" t="s">
        <v>227</v>
      </c>
      <c r="B14" s="218">
        <v>2025</v>
      </c>
    </row>
    <row r="15" spans="1:11" x14ac:dyDescent="0.2">
      <c r="A15" s="34" t="s">
        <v>228</v>
      </c>
      <c r="B15" s="219">
        <v>2.5000000000000001E-2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Normal="100" workbookViewId="0">
      <pane xSplit="2" ySplit="6" topLeftCell="H34" activePane="bottomRight" state="frozen"/>
      <selection activeCell="C7" sqref="C7"/>
      <selection pane="topRight" activeCell="C7" sqref="C7"/>
      <selection pane="bottomLeft" activeCell="C7" sqref="C7"/>
      <selection pane="bottomRight" activeCell="L44" sqref="L44"/>
    </sheetView>
  </sheetViews>
  <sheetFormatPr defaultColWidth="9.140625" defaultRowHeight="12.75" outlineLevelRow="1" x14ac:dyDescent="0.2"/>
  <cols>
    <col min="1" max="1" width="4.5703125" style="180" bestFit="1" customWidth="1"/>
    <col min="2" max="2" width="9.140625" style="164"/>
    <col min="3" max="3" width="18.42578125" style="152" customWidth="1"/>
    <col min="4" max="4" width="18.42578125" style="164" customWidth="1"/>
    <col min="5" max="5" width="20.5703125" style="152" customWidth="1"/>
    <col min="6" max="6" width="18.42578125" style="152" customWidth="1"/>
    <col min="7" max="7" width="2.5703125" style="152" customWidth="1"/>
    <col min="8" max="8" width="4.5703125" style="152" bestFit="1" customWidth="1"/>
    <col min="9" max="9" width="7.140625" style="152" bestFit="1" customWidth="1"/>
    <col min="10" max="10" width="18.5703125" style="152" customWidth="1"/>
    <col min="11" max="11" width="18.5703125" style="164" customWidth="1"/>
    <col min="12" max="12" width="23.140625" style="152" customWidth="1"/>
    <col min="13" max="13" width="18.5703125" style="152" customWidth="1"/>
    <col min="14" max="14" width="3.5703125" style="164" customWidth="1"/>
    <col min="15" max="15" width="4.5703125" style="152" bestFit="1" customWidth="1"/>
    <col min="16" max="16" width="7.140625" style="152" bestFit="1" customWidth="1"/>
    <col min="17" max="17" width="20" style="152" customWidth="1"/>
    <col min="18" max="18" width="20" style="164" customWidth="1"/>
    <col min="19" max="20" width="20" style="152" customWidth="1"/>
    <col min="21" max="16384" width="9.140625" style="164"/>
  </cols>
  <sheetData>
    <row r="1" spans="1:23" s="152" customFormat="1" x14ac:dyDescent="0.2">
      <c r="A1" s="150" t="s">
        <v>160</v>
      </c>
      <c r="B1" s="30"/>
      <c r="C1" s="50"/>
      <c r="D1" s="30"/>
      <c r="E1" s="50"/>
      <c r="F1" s="151" t="s">
        <v>161</v>
      </c>
      <c r="G1" s="50"/>
      <c r="H1" s="150" t="s">
        <v>162</v>
      </c>
      <c r="I1" s="50"/>
      <c r="J1" s="50"/>
      <c r="K1" s="50"/>
      <c r="L1" s="50"/>
      <c r="M1" s="151" t="s">
        <v>161</v>
      </c>
      <c r="N1" s="50"/>
      <c r="O1" s="150" t="s">
        <v>163</v>
      </c>
      <c r="P1" s="50"/>
      <c r="Q1" s="50"/>
      <c r="R1" s="50"/>
      <c r="S1" s="50"/>
      <c r="T1" s="151" t="s">
        <v>161</v>
      </c>
    </row>
    <row r="2" spans="1:23" s="152" customFormat="1" x14ac:dyDescent="0.2">
      <c r="A2" s="153" t="s">
        <v>164</v>
      </c>
      <c r="B2" s="30"/>
      <c r="C2" s="50"/>
      <c r="D2" s="30"/>
      <c r="E2" s="50"/>
      <c r="F2" s="154" t="s">
        <v>165</v>
      </c>
      <c r="G2" s="50"/>
      <c r="H2" s="153" t="s">
        <v>164</v>
      </c>
      <c r="I2" s="50"/>
      <c r="J2" s="50"/>
      <c r="K2" s="50"/>
      <c r="L2" s="50"/>
      <c r="M2" s="154" t="s">
        <v>166</v>
      </c>
      <c r="N2" s="50"/>
      <c r="O2" s="153" t="s">
        <v>164</v>
      </c>
      <c r="P2" s="50"/>
      <c r="Q2" s="50"/>
      <c r="R2" s="50"/>
      <c r="S2" s="50"/>
      <c r="T2" s="154" t="s">
        <v>166</v>
      </c>
    </row>
    <row r="3" spans="1:23" s="157" customFormat="1" x14ac:dyDescent="0.2">
      <c r="A3" s="153" t="s">
        <v>167</v>
      </c>
      <c r="B3" s="155"/>
      <c r="C3" s="75"/>
      <c r="D3" s="155"/>
      <c r="E3" s="75"/>
      <c r="F3" s="156" t="s">
        <v>168</v>
      </c>
      <c r="G3" s="75"/>
      <c r="H3" s="153" t="s">
        <v>167</v>
      </c>
      <c r="I3" s="75"/>
      <c r="J3" s="75"/>
      <c r="K3" s="155"/>
      <c r="L3" s="75"/>
      <c r="M3" s="156" t="s">
        <v>168</v>
      </c>
      <c r="N3" s="155"/>
      <c r="O3" s="153" t="s">
        <v>169</v>
      </c>
      <c r="P3" s="75"/>
      <c r="Q3" s="75"/>
      <c r="R3" s="155"/>
      <c r="S3" s="75"/>
      <c r="T3" s="156" t="s">
        <v>168</v>
      </c>
    </row>
    <row r="4" spans="1:23" s="157" customFormat="1" ht="15.75" outlineLevel="1" x14ac:dyDescent="0.25">
      <c r="A4" s="158"/>
      <c r="B4" s="158"/>
      <c r="C4" s="158"/>
      <c r="D4" s="158"/>
      <c r="E4" s="158"/>
      <c r="F4" s="156" t="s">
        <v>170</v>
      </c>
      <c r="G4" s="155"/>
      <c r="H4" s="155"/>
      <c r="I4" s="155"/>
      <c r="J4" s="158"/>
      <c r="K4" s="158"/>
      <c r="L4" s="158"/>
      <c r="M4" s="156" t="s">
        <v>171</v>
      </c>
      <c r="N4" s="155"/>
      <c r="O4" s="155"/>
      <c r="P4" s="155"/>
      <c r="Q4" s="158"/>
      <c r="R4" s="158"/>
      <c r="S4" s="158"/>
      <c r="T4" s="156" t="s">
        <v>172</v>
      </c>
    </row>
    <row r="5" spans="1:23" s="157" customFormat="1" ht="15.75" x14ac:dyDescent="0.25">
      <c r="A5" s="158"/>
      <c r="B5" s="155"/>
      <c r="C5" s="158"/>
      <c r="D5" s="158"/>
      <c r="E5" s="158"/>
      <c r="F5" s="158"/>
      <c r="G5" s="155"/>
      <c r="H5" s="155"/>
      <c r="I5" s="155"/>
      <c r="J5" s="159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3" ht="66.95" customHeight="1" x14ac:dyDescent="0.2">
      <c r="A6" s="160" t="s">
        <v>173</v>
      </c>
      <c r="B6" s="160" t="s">
        <v>174</v>
      </c>
      <c r="C6" s="161" t="s">
        <v>175</v>
      </c>
      <c r="D6" s="161" t="s">
        <v>176</v>
      </c>
      <c r="E6" s="162" t="s">
        <v>177</v>
      </c>
      <c r="F6" s="161" t="s">
        <v>178</v>
      </c>
      <c r="G6" s="163"/>
      <c r="H6" s="160" t="s">
        <v>173</v>
      </c>
      <c r="I6" s="160" t="s">
        <v>174</v>
      </c>
      <c r="J6" s="161" t="s">
        <v>179</v>
      </c>
      <c r="K6" s="161" t="s">
        <v>180</v>
      </c>
      <c r="L6" s="162" t="s">
        <v>181</v>
      </c>
      <c r="M6" s="161" t="s">
        <v>182</v>
      </c>
      <c r="N6" s="30"/>
      <c r="O6" s="160" t="s">
        <v>173</v>
      </c>
      <c r="P6" s="160" t="s">
        <v>174</v>
      </c>
      <c r="Q6" s="161" t="s">
        <v>183</v>
      </c>
      <c r="R6" s="161" t="s">
        <v>184</v>
      </c>
      <c r="S6" s="162" t="s">
        <v>185</v>
      </c>
      <c r="T6" s="161" t="s">
        <v>186</v>
      </c>
    </row>
    <row r="7" spans="1:23" x14ac:dyDescent="0.2">
      <c r="A7" s="165">
        <v>1</v>
      </c>
      <c r="B7" s="165">
        <v>2019</v>
      </c>
      <c r="C7" s="166"/>
      <c r="D7" s="167"/>
      <c r="E7" s="168">
        <f t="shared" ref="E7:E41" si="0">+D7+C7</f>
        <v>0</v>
      </c>
      <c r="F7" s="169">
        <v>0</v>
      </c>
      <c r="G7" s="170"/>
      <c r="H7" s="165">
        <v>1</v>
      </c>
      <c r="I7" s="165">
        <v>2019</v>
      </c>
      <c r="J7" s="166"/>
      <c r="K7" s="167"/>
      <c r="L7" s="168">
        <f t="shared" ref="L7:L41" si="1">+K7+J7</f>
        <v>0</v>
      </c>
      <c r="M7" s="169">
        <v>0</v>
      </c>
      <c r="N7" s="30"/>
      <c r="O7" s="165">
        <v>1</v>
      </c>
      <c r="P7" s="165">
        <v>2019</v>
      </c>
      <c r="Q7" s="166"/>
      <c r="R7" s="167"/>
      <c r="S7" s="168">
        <f t="shared" ref="S7:S41" si="2">+R7+Q7</f>
        <v>0</v>
      </c>
      <c r="T7" s="169">
        <v>0</v>
      </c>
    </row>
    <row r="8" spans="1:23" x14ac:dyDescent="0.2">
      <c r="A8" s="165">
        <f t="shared" ref="A8:A23" si="3">A7+1</f>
        <v>2</v>
      </c>
      <c r="B8" s="165">
        <v>2020</v>
      </c>
      <c r="C8" s="166"/>
      <c r="D8" s="167"/>
      <c r="E8" s="168">
        <f t="shared" si="0"/>
        <v>0</v>
      </c>
      <c r="F8" s="169">
        <v>0</v>
      </c>
      <c r="G8" s="170"/>
      <c r="H8" s="165">
        <f t="shared" ref="H8:I41" si="4">H7+1</f>
        <v>2</v>
      </c>
      <c r="I8" s="165">
        <v>2020</v>
      </c>
      <c r="J8" s="166"/>
      <c r="K8" s="167"/>
      <c r="L8" s="168">
        <f t="shared" si="1"/>
        <v>0</v>
      </c>
      <c r="M8" s="169">
        <v>0</v>
      </c>
      <c r="N8" s="30"/>
      <c r="O8" s="165">
        <f t="shared" ref="O8:P41" si="5">O7+1</f>
        <v>2</v>
      </c>
      <c r="P8" s="165">
        <v>2020</v>
      </c>
      <c r="Q8" s="166"/>
      <c r="R8" s="167"/>
      <c r="S8" s="168">
        <f t="shared" si="2"/>
        <v>0</v>
      </c>
      <c r="T8" s="169">
        <v>0</v>
      </c>
    </row>
    <row r="9" spans="1:23" x14ac:dyDescent="0.2">
      <c r="A9" s="165">
        <f t="shared" si="3"/>
        <v>3</v>
      </c>
      <c r="B9" s="165">
        <v>2021</v>
      </c>
      <c r="C9" s="166"/>
      <c r="D9" s="167"/>
      <c r="E9" s="168">
        <f t="shared" si="0"/>
        <v>0</v>
      </c>
      <c r="F9" s="169">
        <v>0</v>
      </c>
      <c r="G9" s="170"/>
      <c r="H9" s="165">
        <f t="shared" si="4"/>
        <v>3</v>
      </c>
      <c r="I9" s="165">
        <v>2021</v>
      </c>
      <c r="J9" s="166"/>
      <c r="K9" s="167"/>
      <c r="L9" s="168">
        <f t="shared" si="1"/>
        <v>0</v>
      </c>
      <c r="M9" s="169">
        <v>0</v>
      </c>
      <c r="N9" s="30"/>
      <c r="O9" s="165">
        <f t="shared" si="5"/>
        <v>3</v>
      </c>
      <c r="P9" s="165">
        <v>2021</v>
      </c>
      <c r="Q9" s="166"/>
      <c r="R9" s="167"/>
      <c r="S9" s="168">
        <f t="shared" si="2"/>
        <v>0</v>
      </c>
      <c r="T9" s="169">
        <v>0</v>
      </c>
    </row>
    <row r="10" spans="1:23" x14ac:dyDescent="0.2">
      <c r="A10" s="165">
        <f t="shared" si="3"/>
        <v>4</v>
      </c>
      <c r="B10" s="165">
        <v>2022</v>
      </c>
      <c r="C10" s="166"/>
      <c r="D10" s="167"/>
      <c r="E10" s="168">
        <f t="shared" si="0"/>
        <v>0</v>
      </c>
      <c r="F10" s="169">
        <v>0</v>
      </c>
      <c r="G10" s="170"/>
      <c r="H10" s="165">
        <f t="shared" si="4"/>
        <v>4</v>
      </c>
      <c r="I10" s="165">
        <v>2022</v>
      </c>
      <c r="J10" s="166"/>
      <c r="K10" s="167"/>
      <c r="L10" s="168">
        <f t="shared" si="1"/>
        <v>0</v>
      </c>
      <c r="M10" s="169">
        <v>0</v>
      </c>
      <c r="N10" s="30"/>
      <c r="O10" s="165">
        <f t="shared" si="5"/>
        <v>4</v>
      </c>
      <c r="P10" s="165">
        <v>2022</v>
      </c>
      <c r="Q10" s="166"/>
      <c r="R10" s="167"/>
      <c r="S10" s="168">
        <f t="shared" si="2"/>
        <v>0</v>
      </c>
      <c r="T10" s="169">
        <v>0</v>
      </c>
      <c r="U10" s="42"/>
      <c r="V10" s="42"/>
      <c r="W10" s="42"/>
    </row>
    <row r="11" spans="1:23" x14ac:dyDescent="0.2">
      <c r="A11" s="165">
        <f t="shared" si="3"/>
        <v>5</v>
      </c>
      <c r="B11" s="165">
        <v>2023</v>
      </c>
      <c r="C11" s="166">
        <v>7000000</v>
      </c>
      <c r="D11" s="167">
        <v>1274500</v>
      </c>
      <c r="E11" s="168">
        <f t="shared" si="0"/>
        <v>8274500</v>
      </c>
      <c r="F11" s="169">
        <f t="shared" ref="F11:F41" si="6">E11*1.025^(B11-$B$11)</f>
        <v>8274500</v>
      </c>
      <c r="G11" s="170"/>
      <c r="H11" s="165">
        <f t="shared" si="4"/>
        <v>5</v>
      </c>
      <c r="I11" s="165">
        <v>2023</v>
      </c>
      <c r="J11" s="166">
        <v>5100000</v>
      </c>
      <c r="K11" s="167">
        <v>549136</v>
      </c>
      <c r="L11" s="168">
        <f t="shared" si="1"/>
        <v>5649136</v>
      </c>
      <c r="M11" s="169">
        <f>L11*1.025^(B11-$B$11)</f>
        <v>5649136</v>
      </c>
      <c r="N11" s="30"/>
      <c r="O11" s="165">
        <f t="shared" si="5"/>
        <v>5</v>
      </c>
      <c r="P11" s="165">
        <v>2023</v>
      </c>
      <c r="Q11" s="166">
        <v>1900000</v>
      </c>
      <c r="R11" s="167">
        <v>725364</v>
      </c>
      <c r="S11" s="168">
        <f t="shared" si="2"/>
        <v>2625364</v>
      </c>
      <c r="T11" s="169">
        <f>S11*1.025^(B11-$B$11)</f>
        <v>2625364</v>
      </c>
      <c r="U11" s="42"/>
      <c r="V11" s="42"/>
      <c r="W11" s="42"/>
    </row>
    <row r="12" spans="1:23" x14ac:dyDescent="0.2">
      <c r="A12" s="165">
        <f t="shared" si="3"/>
        <v>6</v>
      </c>
      <c r="B12" s="165">
        <v>2024</v>
      </c>
      <c r="C12" s="166"/>
      <c r="D12" s="167">
        <v>1918500</v>
      </c>
      <c r="E12" s="168">
        <f t="shared" si="0"/>
        <v>1918500</v>
      </c>
      <c r="F12" s="169">
        <f t="shared" si="6"/>
        <v>1966462.4999999998</v>
      </c>
      <c r="G12" s="170"/>
      <c r="H12" s="165">
        <f t="shared" si="4"/>
        <v>6</v>
      </c>
      <c r="I12" s="165">
        <v>2024</v>
      </c>
      <c r="J12" s="166"/>
      <c r="K12" s="167">
        <v>988974</v>
      </c>
      <c r="L12" s="168">
        <f t="shared" si="1"/>
        <v>988974</v>
      </c>
      <c r="M12" s="169">
        <f t="shared" ref="M12:M41" si="7">L12*1.025^(B12-$B$11)</f>
        <v>1013698.3499999999</v>
      </c>
      <c r="N12" s="30"/>
      <c r="O12" s="165">
        <f t="shared" si="5"/>
        <v>6</v>
      </c>
      <c r="P12" s="165">
        <v>2024</v>
      </c>
      <c r="Q12" s="166"/>
      <c r="R12" s="167">
        <v>929526</v>
      </c>
      <c r="S12" s="168">
        <f t="shared" si="2"/>
        <v>929526</v>
      </c>
      <c r="T12" s="169">
        <f t="shared" ref="T12:T41" si="8">S12*1.025^(B12-$B$11)</f>
        <v>952764.14999999991</v>
      </c>
      <c r="U12" s="42"/>
      <c r="V12" s="42"/>
      <c r="W12" s="42"/>
    </row>
    <row r="13" spans="1:23" x14ac:dyDescent="0.2">
      <c r="A13" s="165">
        <f t="shared" si="3"/>
        <v>7</v>
      </c>
      <c r="B13" s="165">
        <v>2025</v>
      </c>
      <c r="C13" s="166"/>
      <c r="D13" s="167">
        <v>1918500</v>
      </c>
      <c r="E13" s="168">
        <f t="shared" si="0"/>
        <v>1918500</v>
      </c>
      <c r="F13" s="169">
        <f t="shared" si="6"/>
        <v>2015624.0624999998</v>
      </c>
      <c r="G13" s="170"/>
      <c r="H13" s="165">
        <f t="shared" si="4"/>
        <v>7</v>
      </c>
      <c r="I13" s="165">
        <v>2025</v>
      </c>
      <c r="J13" s="166"/>
      <c r="K13" s="167">
        <v>988974</v>
      </c>
      <c r="L13" s="168">
        <f t="shared" si="1"/>
        <v>988974</v>
      </c>
      <c r="M13" s="169">
        <f t="shared" si="7"/>
        <v>1039040.80875</v>
      </c>
      <c r="N13" s="30"/>
      <c r="O13" s="165">
        <f t="shared" si="5"/>
        <v>7</v>
      </c>
      <c r="P13" s="165">
        <v>2025</v>
      </c>
      <c r="Q13" s="166"/>
      <c r="R13" s="167">
        <v>929526</v>
      </c>
      <c r="S13" s="168">
        <f t="shared" si="2"/>
        <v>929526</v>
      </c>
      <c r="T13" s="169">
        <f t="shared" si="8"/>
        <v>976583.25374999992</v>
      </c>
      <c r="U13" s="42"/>
      <c r="V13" s="42"/>
      <c r="W13" s="42"/>
    </row>
    <row r="14" spans="1:23" x14ac:dyDescent="0.2">
      <c r="A14" s="165">
        <f t="shared" si="3"/>
        <v>8</v>
      </c>
      <c r="B14" s="165">
        <v>2026</v>
      </c>
      <c r="C14" s="166"/>
      <c r="D14" s="167">
        <v>1918500</v>
      </c>
      <c r="E14" s="168">
        <f t="shared" si="0"/>
        <v>1918500</v>
      </c>
      <c r="F14" s="169">
        <f t="shared" si="6"/>
        <v>2066014.6640624998</v>
      </c>
      <c r="G14" s="170"/>
      <c r="H14" s="165">
        <f t="shared" si="4"/>
        <v>8</v>
      </c>
      <c r="I14" s="165">
        <v>2026</v>
      </c>
      <c r="J14" s="166"/>
      <c r="K14" s="167">
        <v>988974</v>
      </c>
      <c r="L14" s="168">
        <f t="shared" si="1"/>
        <v>988974</v>
      </c>
      <c r="M14" s="169">
        <f t="shared" si="7"/>
        <v>1065016.8289687498</v>
      </c>
      <c r="N14" s="30"/>
      <c r="O14" s="165">
        <f t="shared" si="5"/>
        <v>8</v>
      </c>
      <c r="P14" s="165">
        <v>2026</v>
      </c>
      <c r="Q14" s="166"/>
      <c r="R14" s="167">
        <v>929526</v>
      </c>
      <c r="S14" s="168">
        <f t="shared" si="2"/>
        <v>929526</v>
      </c>
      <c r="T14" s="169">
        <f t="shared" si="8"/>
        <v>1000997.8350937499</v>
      </c>
      <c r="U14" s="42"/>
      <c r="V14" s="42"/>
      <c r="W14" s="42"/>
    </row>
    <row r="15" spans="1:23" x14ac:dyDescent="0.2">
      <c r="A15" s="165">
        <f t="shared" si="3"/>
        <v>9</v>
      </c>
      <c r="B15" s="165">
        <v>2027</v>
      </c>
      <c r="C15" s="166">
        <v>6470000</v>
      </c>
      <c r="D15" s="167">
        <v>1918500</v>
      </c>
      <c r="E15" s="168">
        <f t="shared" si="0"/>
        <v>8388500</v>
      </c>
      <c r="F15" s="169">
        <f t="shared" si="6"/>
        <v>9259334.4330078103</v>
      </c>
      <c r="G15" s="170"/>
      <c r="H15" s="165">
        <f t="shared" si="4"/>
        <v>9</v>
      </c>
      <c r="I15" s="165">
        <v>2027</v>
      </c>
      <c r="J15" s="166">
        <v>1294000</v>
      </c>
      <c r="K15" s="167">
        <v>988974</v>
      </c>
      <c r="L15" s="168">
        <f t="shared" si="1"/>
        <v>2282974</v>
      </c>
      <c r="M15" s="169">
        <f t="shared" si="7"/>
        <v>2519976.130161718</v>
      </c>
      <c r="N15" s="30"/>
      <c r="O15" s="165">
        <f t="shared" si="5"/>
        <v>9</v>
      </c>
      <c r="P15" s="165">
        <v>2027</v>
      </c>
      <c r="Q15" s="166">
        <v>5176000</v>
      </c>
      <c r="R15" s="167">
        <v>929526</v>
      </c>
      <c r="S15" s="168">
        <f t="shared" si="2"/>
        <v>6105526</v>
      </c>
      <c r="T15" s="169">
        <f t="shared" si="8"/>
        <v>6739358.3028460927</v>
      </c>
      <c r="U15" s="42"/>
      <c r="V15" s="42"/>
      <c r="W15" s="42"/>
    </row>
    <row r="16" spans="1:23" x14ac:dyDescent="0.2">
      <c r="A16" s="165">
        <f t="shared" si="3"/>
        <v>10</v>
      </c>
      <c r="B16" s="165">
        <v>2028</v>
      </c>
      <c r="C16" s="166">
        <v>3227000</v>
      </c>
      <c r="D16" s="167">
        <v>1918500</v>
      </c>
      <c r="E16" s="168">
        <f t="shared" si="0"/>
        <v>5145500</v>
      </c>
      <c r="F16" s="169">
        <f t="shared" si="6"/>
        <v>5821660.959428709</v>
      </c>
      <c r="G16" s="170"/>
      <c r="H16" s="165">
        <f t="shared" si="4"/>
        <v>10</v>
      </c>
      <c r="I16" s="165">
        <v>2028</v>
      </c>
      <c r="J16" s="166"/>
      <c r="K16" s="167">
        <v>988974</v>
      </c>
      <c r="L16" s="168">
        <f t="shared" si="1"/>
        <v>988974</v>
      </c>
      <c r="M16" s="169">
        <f t="shared" si="7"/>
        <v>1118933.3059352927</v>
      </c>
      <c r="N16" s="30"/>
      <c r="O16" s="165">
        <f t="shared" si="5"/>
        <v>10</v>
      </c>
      <c r="P16" s="165">
        <v>2028</v>
      </c>
      <c r="Q16" s="166">
        <v>3227000</v>
      </c>
      <c r="R16" s="167">
        <v>929526</v>
      </c>
      <c r="S16" s="168">
        <f t="shared" si="2"/>
        <v>4156526</v>
      </c>
      <c r="T16" s="169">
        <f t="shared" si="8"/>
        <v>4702727.6534934165</v>
      </c>
      <c r="U16" s="42"/>
      <c r="V16" s="42"/>
      <c r="W16" s="42"/>
    </row>
    <row r="17" spans="1:23" x14ac:dyDescent="0.2">
      <c r="A17" s="165">
        <f t="shared" si="3"/>
        <v>11</v>
      </c>
      <c r="B17" s="165">
        <v>2029</v>
      </c>
      <c r="C17" s="166"/>
      <c r="D17" s="167">
        <v>1926150</v>
      </c>
      <c r="E17" s="168">
        <f t="shared" si="0"/>
        <v>1926150</v>
      </c>
      <c r="F17" s="169">
        <f t="shared" si="6"/>
        <v>2233743.4774907585</v>
      </c>
      <c r="G17" s="170"/>
      <c r="H17" s="165">
        <f t="shared" si="4"/>
        <v>11</v>
      </c>
      <c r="I17" s="165">
        <v>2029</v>
      </c>
      <c r="J17" s="166"/>
      <c r="K17" s="167">
        <v>988974</v>
      </c>
      <c r="L17" s="168">
        <f t="shared" si="1"/>
        <v>988974</v>
      </c>
      <c r="M17" s="169">
        <f t="shared" si="7"/>
        <v>1146906.6385836748</v>
      </c>
      <c r="N17" s="30"/>
      <c r="O17" s="165">
        <f t="shared" si="5"/>
        <v>11</v>
      </c>
      <c r="P17" s="165">
        <v>2029</v>
      </c>
      <c r="Q17" s="166"/>
      <c r="R17" s="167">
        <v>937176</v>
      </c>
      <c r="S17" s="168">
        <f t="shared" si="2"/>
        <v>937176</v>
      </c>
      <c r="T17" s="169">
        <f t="shared" si="8"/>
        <v>1086836.8389070835</v>
      </c>
      <c r="U17" s="42"/>
      <c r="V17" s="42"/>
      <c r="W17" s="42"/>
    </row>
    <row r="18" spans="1:23" x14ac:dyDescent="0.2">
      <c r="A18" s="165">
        <f t="shared" si="3"/>
        <v>12</v>
      </c>
      <c r="B18" s="165">
        <v>2030</v>
      </c>
      <c r="C18" s="166"/>
      <c r="D18" s="167">
        <v>1926150</v>
      </c>
      <c r="E18" s="168">
        <f t="shared" si="0"/>
        <v>1926150</v>
      </c>
      <c r="F18" s="169">
        <f t="shared" si="6"/>
        <v>2289587.0644280277</v>
      </c>
      <c r="G18" s="170"/>
      <c r="H18" s="165">
        <f t="shared" si="4"/>
        <v>12</v>
      </c>
      <c r="I18" s="165">
        <v>2030</v>
      </c>
      <c r="J18" s="166"/>
      <c r="K18" s="167">
        <v>988974</v>
      </c>
      <c r="L18" s="168">
        <f t="shared" si="1"/>
        <v>988974</v>
      </c>
      <c r="M18" s="169">
        <f t="shared" si="7"/>
        <v>1175579.3045482668</v>
      </c>
      <c r="N18" s="30"/>
      <c r="O18" s="165">
        <f t="shared" si="5"/>
        <v>12</v>
      </c>
      <c r="P18" s="165">
        <v>2030</v>
      </c>
      <c r="Q18" s="166"/>
      <c r="R18" s="167">
        <v>937176</v>
      </c>
      <c r="S18" s="168">
        <f t="shared" si="2"/>
        <v>937176</v>
      </c>
      <c r="T18" s="169">
        <f t="shared" si="8"/>
        <v>1114007.7598797607</v>
      </c>
      <c r="U18" s="42"/>
      <c r="V18" s="42"/>
      <c r="W18" s="42"/>
    </row>
    <row r="19" spans="1:23" x14ac:dyDescent="0.2">
      <c r="A19" s="165">
        <f t="shared" si="3"/>
        <v>13</v>
      </c>
      <c r="B19" s="165">
        <v>2031</v>
      </c>
      <c r="C19" s="166"/>
      <c r="D19" s="167">
        <v>1926150</v>
      </c>
      <c r="E19" s="168">
        <f t="shared" si="0"/>
        <v>1926150</v>
      </c>
      <c r="F19" s="169">
        <f t="shared" si="6"/>
        <v>2346826.741038728</v>
      </c>
      <c r="G19" s="170"/>
      <c r="H19" s="165">
        <f t="shared" si="4"/>
        <v>13</v>
      </c>
      <c r="I19" s="165">
        <v>2031</v>
      </c>
      <c r="J19" s="166"/>
      <c r="K19" s="167">
        <v>988974</v>
      </c>
      <c r="L19" s="168">
        <f t="shared" si="1"/>
        <v>988974</v>
      </c>
      <c r="M19" s="169">
        <f t="shared" si="7"/>
        <v>1204968.7871619733</v>
      </c>
      <c r="N19" s="30"/>
      <c r="O19" s="165">
        <f t="shared" si="5"/>
        <v>13</v>
      </c>
      <c r="P19" s="165">
        <v>2031</v>
      </c>
      <c r="Q19" s="166"/>
      <c r="R19" s="167">
        <v>937176</v>
      </c>
      <c r="S19" s="168">
        <f t="shared" si="2"/>
        <v>937176</v>
      </c>
      <c r="T19" s="169">
        <f t="shared" si="8"/>
        <v>1141857.9538767547</v>
      </c>
      <c r="U19" s="42"/>
      <c r="V19" s="42"/>
      <c r="W19" s="42"/>
    </row>
    <row r="20" spans="1:23" x14ac:dyDescent="0.2">
      <c r="A20" s="165">
        <f t="shared" si="3"/>
        <v>14</v>
      </c>
      <c r="B20" s="165">
        <v>2032</v>
      </c>
      <c r="C20" s="166"/>
      <c r="D20" s="167">
        <v>1926150</v>
      </c>
      <c r="E20" s="168">
        <f t="shared" si="0"/>
        <v>1926150</v>
      </c>
      <c r="F20" s="169">
        <f t="shared" si="6"/>
        <v>2405497.4095646958</v>
      </c>
      <c r="G20" s="170"/>
      <c r="H20" s="165">
        <f t="shared" si="4"/>
        <v>14</v>
      </c>
      <c r="I20" s="165">
        <v>2032</v>
      </c>
      <c r="J20" s="166"/>
      <c r="K20" s="167">
        <v>988974</v>
      </c>
      <c r="L20" s="168">
        <f t="shared" si="1"/>
        <v>988974</v>
      </c>
      <c r="M20" s="169">
        <f t="shared" si="7"/>
        <v>1235093.0068410225</v>
      </c>
      <c r="N20" s="30"/>
      <c r="O20" s="165">
        <f t="shared" si="5"/>
        <v>14</v>
      </c>
      <c r="P20" s="165">
        <v>2032</v>
      </c>
      <c r="Q20" s="166"/>
      <c r="R20" s="167">
        <v>937176</v>
      </c>
      <c r="S20" s="168">
        <f t="shared" si="2"/>
        <v>937176</v>
      </c>
      <c r="T20" s="169">
        <f t="shared" si="8"/>
        <v>1170404.4027236733</v>
      </c>
      <c r="U20" s="42"/>
      <c r="V20" s="42"/>
      <c r="W20" s="42"/>
    </row>
    <row r="21" spans="1:23" x14ac:dyDescent="0.2">
      <c r="A21" s="165">
        <f t="shared" si="3"/>
        <v>15</v>
      </c>
      <c r="B21" s="165">
        <v>2033</v>
      </c>
      <c r="C21" s="166"/>
      <c r="D21" s="167">
        <v>1926150</v>
      </c>
      <c r="E21" s="168">
        <f t="shared" si="0"/>
        <v>1926150</v>
      </c>
      <c r="F21" s="169">
        <f t="shared" si="6"/>
        <v>2465634.8448038134</v>
      </c>
      <c r="G21" s="170"/>
      <c r="H21" s="165">
        <f t="shared" si="4"/>
        <v>15</v>
      </c>
      <c r="I21" s="165">
        <v>2033</v>
      </c>
      <c r="J21" s="166"/>
      <c r="K21" s="167">
        <v>988974</v>
      </c>
      <c r="L21" s="168">
        <f t="shared" si="1"/>
        <v>988974</v>
      </c>
      <c r="M21" s="169">
        <f t="shared" si="7"/>
        <v>1265970.332012048</v>
      </c>
      <c r="N21" s="30"/>
      <c r="O21" s="165">
        <f t="shared" si="5"/>
        <v>15</v>
      </c>
      <c r="P21" s="165">
        <v>2033</v>
      </c>
      <c r="Q21" s="166"/>
      <c r="R21" s="167">
        <v>937176</v>
      </c>
      <c r="S21" s="168">
        <f t="shared" si="2"/>
        <v>937176</v>
      </c>
      <c r="T21" s="169">
        <f t="shared" si="8"/>
        <v>1199664.5127917652</v>
      </c>
      <c r="U21" s="42"/>
      <c r="V21" s="42"/>
      <c r="W21" s="42"/>
    </row>
    <row r="22" spans="1:23" x14ac:dyDescent="0.2">
      <c r="A22" s="165">
        <f t="shared" si="3"/>
        <v>16</v>
      </c>
      <c r="B22" s="165">
        <v>2034</v>
      </c>
      <c r="C22" s="166"/>
      <c r="D22" s="167">
        <v>1926150</v>
      </c>
      <c r="E22" s="168">
        <f t="shared" si="0"/>
        <v>1926150</v>
      </c>
      <c r="F22" s="169">
        <f t="shared" si="6"/>
        <v>2527275.7159239086</v>
      </c>
      <c r="G22" s="170"/>
      <c r="H22" s="165">
        <f t="shared" si="4"/>
        <v>16</v>
      </c>
      <c r="I22" s="165">
        <v>2034</v>
      </c>
      <c r="J22" s="166"/>
      <c r="K22" s="167">
        <v>988974</v>
      </c>
      <c r="L22" s="168">
        <f t="shared" si="1"/>
        <v>988974</v>
      </c>
      <c r="M22" s="169">
        <f t="shared" si="7"/>
        <v>1297619.5903123491</v>
      </c>
      <c r="N22" s="30"/>
      <c r="O22" s="165">
        <f t="shared" si="5"/>
        <v>16</v>
      </c>
      <c r="P22" s="165">
        <v>2034</v>
      </c>
      <c r="Q22" s="166"/>
      <c r="R22" s="167">
        <v>937176</v>
      </c>
      <c r="S22" s="168">
        <f t="shared" si="2"/>
        <v>937176</v>
      </c>
      <c r="T22" s="169">
        <f t="shared" si="8"/>
        <v>1229656.1256115593</v>
      </c>
      <c r="U22" s="42"/>
      <c r="V22" s="42"/>
      <c r="W22" s="42"/>
    </row>
    <row r="23" spans="1:23" x14ac:dyDescent="0.2">
      <c r="A23" s="165">
        <f t="shared" si="3"/>
        <v>17</v>
      </c>
      <c r="B23" s="165">
        <v>2035</v>
      </c>
      <c r="C23" s="166"/>
      <c r="D23" s="167">
        <v>1926150</v>
      </c>
      <c r="E23" s="168">
        <f t="shared" si="0"/>
        <v>1926150</v>
      </c>
      <c r="F23" s="169">
        <f t="shared" si="6"/>
        <v>2590457.6088220058</v>
      </c>
      <c r="G23" s="170"/>
      <c r="H23" s="165">
        <f t="shared" si="4"/>
        <v>17</v>
      </c>
      <c r="I23" s="165">
        <v>2035</v>
      </c>
      <c r="J23" s="166"/>
      <c r="K23" s="167">
        <v>988974</v>
      </c>
      <c r="L23" s="168">
        <f t="shared" si="1"/>
        <v>988974</v>
      </c>
      <c r="M23" s="169">
        <f t="shared" si="7"/>
        <v>1330060.0800701578</v>
      </c>
      <c r="N23" s="30"/>
      <c r="O23" s="165">
        <f t="shared" si="5"/>
        <v>17</v>
      </c>
      <c r="P23" s="165">
        <v>2035</v>
      </c>
      <c r="Q23" s="166"/>
      <c r="R23" s="167">
        <v>937176</v>
      </c>
      <c r="S23" s="168">
        <f t="shared" si="2"/>
        <v>937176</v>
      </c>
      <c r="T23" s="169">
        <f t="shared" si="8"/>
        <v>1260397.528751848</v>
      </c>
      <c r="U23" s="42"/>
      <c r="V23" s="42"/>
      <c r="W23" s="42"/>
    </row>
    <row r="24" spans="1:23" x14ac:dyDescent="0.2">
      <c r="A24" s="165">
        <f t="shared" ref="A24:A39" si="9">A23+1</f>
        <v>18</v>
      </c>
      <c r="B24" s="165">
        <v>2036</v>
      </c>
      <c r="C24" s="166"/>
      <c r="D24" s="167">
        <v>1926150</v>
      </c>
      <c r="E24" s="168">
        <f t="shared" si="0"/>
        <v>1926150</v>
      </c>
      <c r="F24" s="169">
        <f t="shared" si="6"/>
        <v>2655219.049042556</v>
      </c>
      <c r="G24" s="170"/>
      <c r="H24" s="165">
        <f t="shared" si="4"/>
        <v>18</v>
      </c>
      <c r="I24" s="165">
        <v>2036</v>
      </c>
      <c r="J24" s="166"/>
      <c r="K24" s="167">
        <v>988974</v>
      </c>
      <c r="L24" s="168">
        <f t="shared" si="1"/>
        <v>988974</v>
      </c>
      <c r="M24" s="169">
        <f t="shared" si="7"/>
        <v>1363311.5820719118</v>
      </c>
      <c r="N24" s="30"/>
      <c r="O24" s="165">
        <f t="shared" si="5"/>
        <v>18</v>
      </c>
      <c r="P24" s="165">
        <v>2036</v>
      </c>
      <c r="Q24" s="166"/>
      <c r="R24" s="167">
        <v>937176</v>
      </c>
      <c r="S24" s="168">
        <f t="shared" si="2"/>
        <v>937176</v>
      </c>
      <c r="T24" s="169">
        <f t="shared" si="8"/>
        <v>1291907.4669706442</v>
      </c>
      <c r="U24" s="42"/>
      <c r="V24" s="42"/>
      <c r="W24" s="42"/>
    </row>
    <row r="25" spans="1:23" x14ac:dyDescent="0.2">
      <c r="A25" s="165">
        <f t="shared" si="9"/>
        <v>19</v>
      </c>
      <c r="B25" s="165">
        <v>2037</v>
      </c>
      <c r="C25" s="166"/>
      <c r="D25" s="167">
        <v>1926150</v>
      </c>
      <c r="E25" s="168">
        <f t="shared" si="0"/>
        <v>1926150</v>
      </c>
      <c r="F25" s="169">
        <f t="shared" si="6"/>
        <v>2721599.5252686194</v>
      </c>
      <c r="G25" s="170"/>
      <c r="H25" s="165">
        <f t="shared" si="4"/>
        <v>19</v>
      </c>
      <c r="I25" s="165">
        <v>2037</v>
      </c>
      <c r="J25" s="166"/>
      <c r="K25" s="167">
        <v>988974</v>
      </c>
      <c r="L25" s="168">
        <f t="shared" si="1"/>
        <v>988974</v>
      </c>
      <c r="M25" s="169">
        <f t="shared" si="7"/>
        <v>1397394.3716237093</v>
      </c>
      <c r="N25" s="30"/>
      <c r="O25" s="165">
        <f t="shared" si="5"/>
        <v>19</v>
      </c>
      <c r="P25" s="165">
        <v>2037</v>
      </c>
      <c r="Q25" s="166"/>
      <c r="R25" s="167">
        <v>937176</v>
      </c>
      <c r="S25" s="168">
        <f t="shared" si="2"/>
        <v>937176</v>
      </c>
      <c r="T25" s="169">
        <f t="shared" si="8"/>
        <v>1324205.1536449103</v>
      </c>
      <c r="U25" s="42"/>
      <c r="V25" s="42"/>
      <c r="W25" s="42"/>
    </row>
    <row r="26" spans="1:23" x14ac:dyDescent="0.2">
      <c r="A26" s="165">
        <f t="shared" si="9"/>
        <v>20</v>
      </c>
      <c r="B26" s="165">
        <v>2038</v>
      </c>
      <c r="C26" s="166"/>
      <c r="D26" s="167">
        <v>1926150</v>
      </c>
      <c r="E26" s="168">
        <f t="shared" si="0"/>
        <v>1926150</v>
      </c>
      <c r="F26" s="169">
        <f t="shared" si="6"/>
        <v>2789639.5134003353</v>
      </c>
      <c r="G26" s="170"/>
      <c r="H26" s="165">
        <f t="shared" si="4"/>
        <v>20</v>
      </c>
      <c r="I26" s="165">
        <v>2038</v>
      </c>
      <c r="J26" s="166"/>
      <c r="K26" s="167">
        <v>988974</v>
      </c>
      <c r="L26" s="168">
        <f t="shared" si="1"/>
        <v>988974</v>
      </c>
      <c r="M26" s="169">
        <f t="shared" si="7"/>
        <v>1432329.2309143024</v>
      </c>
      <c r="N26" s="30"/>
      <c r="O26" s="165">
        <f t="shared" si="5"/>
        <v>20</v>
      </c>
      <c r="P26" s="165">
        <v>2038</v>
      </c>
      <c r="Q26" s="166"/>
      <c r="R26" s="167">
        <v>937176</v>
      </c>
      <c r="S26" s="168">
        <f t="shared" si="2"/>
        <v>937176</v>
      </c>
      <c r="T26" s="169">
        <f t="shared" si="8"/>
        <v>1357310.2824860332</v>
      </c>
      <c r="U26" s="42"/>
      <c r="V26" s="42"/>
      <c r="W26" s="42"/>
    </row>
    <row r="27" spans="1:23" x14ac:dyDescent="0.2">
      <c r="A27" s="165">
        <f t="shared" si="9"/>
        <v>21</v>
      </c>
      <c r="B27" s="165">
        <v>2039</v>
      </c>
      <c r="C27" s="166"/>
      <c r="D27" s="167">
        <v>1926150</v>
      </c>
      <c r="E27" s="168">
        <f t="shared" si="0"/>
        <v>1926150</v>
      </c>
      <c r="F27" s="169">
        <f t="shared" si="6"/>
        <v>2859380.5012353435</v>
      </c>
      <c r="G27" s="170"/>
      <c r="H27" s="165">
        <f t="shared" si="4"/>
        <v>21</v>
      </c>
      <c r="I27" s="165">
        <v>2039</v>
      </c>
      <c r="J27" s="166"/>
      <c r="K27" s="167">
        <v>988974</v>
      </c>
      <c r="L27" s="168">
        <f t="shared" si="1"/>
        <v>988974</v>
      </c>
      <c r="M27" s="169">
        <f t="shared" si="7"/>
        <v>1468137.4616871597</v>
      </c>
      <c r="N27" s="30"/>
      <c r="O27" s="165">
        <f t="shared" si="5"/>
        <v>21</v>
      </c>
      <c r="P27" s="165">
        <v>2039</v>
      </c>
      <c r="Q27" s="166"/>
      <c r="R27" s="167">
        <v>937176</v>
      </c>
      <c r="S27" s="168">
        <f t="shared" si="2"/>
        <v>937176</v>
      </c>
      <c r="T27" s="169">
        <f t="shared" si="8"/>
        <v>1391243.039548184</v>
      </c>
      <c r="U27" s="42"/>
      <c r="V27" s="42"/>
      <c r="W27" s="42"/>
    </row>
    <row r="28" spans="1:23" x14ac:dyDescent="0.2">
      <c r="A28" s="165">
        <f t="shared" si="9"/>
        <v>22</v>
      </c>
      <c r="B28" s="165">
        <v>2040</v>
      </c>
      <c r="C28" s="166">
        <v>2270000</v>
      </c>
      <c r="D28" s="167">
        <v>1926150</v>
      </c>
      <c r="E28" s="168">
        <f t="shared" si="0"/>
        <v>4196150</v>
      </c>
      <c r="F28" s="169">
        <f t="shared" si="6"/>
        <v>6384938.4666381916</v>
      </c>
      <c r="G28" s="170"/>
      <c r="H28" s="165">
        <f t="shared" si="4"/>
        <v>22</v>
      </c>
      <c r="I28" s="165">
        <v>2040</v>
      </c>
      <c r="J28" s="166">
        <v>264438</v>
      </c>
      <c r="K28" s="167">
        <v>988974</v>
      </c>
      <c r="L28" s="168">
        <f t="shared" si="1"/>
        <v>1253412</v>
      </c>
      <c r="M28" s="169">
        <f t="shared" si="7"/>
        <v>1907214.5879784825</v>
      </c>
      <c r="N28" s="30"/>
      <c r="O28" s="165">
        <f t="shared" si="5"/>
        <v>22</v>
      </c>
      <c r="P28" s="165">
        <v>2040</v>
      </c>
      <c r="Q28" s="166">
        <f>C28-J28</f>
        <v>2005562</v>
      </c>
      <c r="R28" s="167">
        <v>937176</v>
      </c>
      <c r="S28" s="168">
        <f t="shared" si="2"/>
        <v>2942738</v>
      </c>
      <c r="T28" s="169">
        <f t="shared" si="8"/>
        <v>4477723.8786597094</v>
      </c>
      <c r="U28" s="42"/>
      <c r="V28" s="42"/>
      <c r="W28" s="42"/>
    </row>
    <row r="29" spans="1:23" x14ac:dyDescent="0.2">
      <c r="A29" s="165">
        <f t="shared" si="9"/>
        <v>23</v>
      </c>
      <c r="B29" s="165">
        <v>2041</v>
      </c>
      <c r="C29" s="166"/>
      <c r="D29" s="167">
        <v>2076150</v>
      </c>
      <c r="E29" s="168">
        <f t="shared" si="0"/>
        <v>2076150</v>
      </c>
      <c r="F29" s="169">
        <f t="shared" si="6"/>
        <v>3238085.4467663583</v>
      </c>
      <c r="G29" s="170"/>
      <c r="H29" s="165">
        <f t="shared" si="4"/>
        <v>23</v>
      </c>
      <c r="I29" s="165">
        <v>2041</v>
      </c>
      <c r="J29" s="166"/>
      <c r="K29" s="167">
        <v>1078974</v>
      </c>
      <c r="L29" s="168">
        <f t="shared" si="1"/>
        <v>1078974</v>
      </c>
      <c r="M29" s="169">
        <f t="shared" si="7"/>
        <v>1682831.2052786574</v>
      </c>
      <c r="N29" s="30"/>
      <c r="O29" s="165">
        <f t="shared" si="5"/>
        <v>23</v>
      </c>
      <c r="P29" s="165">
        <v>2041</v>
      </c>
      <c r="Q29" s="166"/>
      <c r="R29" s="167">
        <v>997176</v>
      </c>
      <c r="S29" s="168">
        <f t="shared" si="2"/>
        <v>997176</v>
      </c>
      <c r="T29" s="169">
        <f t="shared" si="8"/>
        <v>1555254.2414877007</v>
      </c>
      <c r="U29" s="42"/>
      <c r="V29" s="42"/>
      <c r="W29" s="42"/>
    </row>
    <row r="30" spans="1:23" x14ac:dyDescent="0.2">
      <c r="A30" s="165">
        <f t="shared" si="9"/>
        <v>24</v>
      </c>
      <c r="B30" s="165">
        <v>2042</v>
      </c>
      <c r="C30" s="166"/>
      <c r="D30" s="167">
        <v>2076150</v>
      </c>
      <c r="E30" s="168">
        <f t="shared" si="0"/>
        <v>2076150</v>
      </c>
      <c r="F30" s="169">
        <f t="shared" si="6"/>
        <v>3319037.5829355172</v>
      </c>
      <c r="G30" s="170"/>
      <c r="H30" s="165">
        <f t="shared" si="4"/>
        <v>24</v>
      </c>
      <c r="I30" s="165">
        <v>2042</v>
      </c>
      <c r="J30" s="166"/>
      <c r="K30" s="167">
        <v>1078974</v>
      </c>
      <c r="L30" s="168">
        <f t="shared" si="1"/>
        <v>1078974</v>
      </c>
      <c r="M30" s="169">
        <f t="shared" si="7"/>
        <v>1724901.985410624</v>
      </c>
      <c r="N30" s="30"/>
      <c r="O30" s="165">
        <f t="shared" si="5"/>
        <v>24</v>
      </c>
      <c r="P30" s="165">
        <v>2042</v>
      </c>
      <c r="Q30" s="166"/>
      <c r="R30" s="167">
        <v>997176</v>
      </c>
      <c r="S30" s="168">
        <f t="shared" si="2"/>
        <v>997176</v>
      </c>
      <c r="T30" s="169">
        <f t="shared" si="8"/>
        <v>1594135.5975248935</v>
      </c>
      <c r="U30" s="42"/>
      <c r="V30" s="42"/>
      <c r="W30" s="42"/>
    </row>
    <row r="31" spans="1:23" x14ac:dyDescent="0.2">
      <c r="A31" s="165">
        <f t="shared" si="9"/>
        <v>25</v>
      </c>
      <c r="B31" s="165">
        <v>2043</v>
      </c>
      <c r="C31" s="166"/>
      <c r="D31" s="167">
        <v>2076150</v>
      </c>
      <c r="E31" s="168">
        <f t="shared" si="0"/>
        <v>2076150</v>
      </c>
      <c r="F31" s="169">
        <f t="shared" si="6"/>
        <v>3402013.5225089048</v>
      </c>
      <c r="G31" s="170"/>
      <c r="H31" s="165">
        <f t="shared" si="4"/>
        <v>25</v>
      </c>
      <c r="I31" s="165">
        <v>2043</v>
      </c>
      <c r="J31" s="166"/>
      <c r="K31" s="167">
        <v>1078974</v>
      </c>
      <c r="L31" s="168">
        <f t="shared" si="1"/>
        <v>1078974</v>
      </c>
      <c r="M31" s="169">
        <f t="shared" si="7"/>
        <v>1768024.5350458892</v>
      </c>
      <c r="N31" s="30"/>
      <c r="O31" s="165">
        <f t="shared" si="5"/>
        <v>25</v>
      </c>
      <c r="P31" s="165">
        <v>2043</v>
      </c>
      <c r="Q31" s="166"/>
      <c r="R31" s="167">
        <v>997176</v>
      </c>
      <c r="S31" s="168">
        <f t="shared" si="2"/>
        <v>997176</v>
      </c>
      <c r="T31" s="169">
        <f t="shared" si="8"/>
        <v>1633988.9874630154</v>
      </c>
      <c r="U31" s="42"/>
      <c r="V31" s="42"/>
      <c r="W31" s="42"/>
    </row>
    <row r="32" spans="1:23" x14ac:dyDescent="0.2">
      <c r="A32" s="165">
        <f t="shared" si="9"/>
        <v>26</v>
      </c>
      <c r="B32" s="165">
        <v>2044</v>
      </c>
      <c r="C32" s="166"/>
      <c r="D32" s="167">
        <v>2076150</v>
      </c>
      <c r="E32" s="168">
        <f t="shared" si="0"/>
        <v>2076150</v>
      </c>
      <c r="F32" s="169">
        <f t="shared" si="6"/>
        <v>3487063.860571627</v>
      </c>
      <c r="G32" s="170"/>
      <c r="H32" s="165">
        <f t="shared" si="4"/>
        <v>26</v>
      </c>
      <c r="I32" s="165">
        <v>2044</v>
      </c>
      <c r="J32" s="166"/>
      <c r="K32" s="167">
        <v>1078974</v>
      </c>
      <c r="L32" s="168">
        <f t="shared" si="1"/>
        <v>1078974</v>
      </c>
      <c r="M32" s="169">
        <f t="shared" si="7"/>
        <v>1812225.1484220363</v>
      </c>
      <c r="N32" s="30"/>
      <c r="O32" s="165">
        <f t="shared" si="5"/>
        <v>26</v>
      </c>
      <c r="P32" s="165">
        <v>2044</v>
      </c>
      <c r="Q32" s="166"/>
      <c r="R32" s="167">
        <v>997176</v>
      </c>
      <c r="S32" s="168">
        <f t="shared" si="2"/>
        <v>997176</v>
      </c>
      <c r="T32" s="169">
        <f t="shared" si="8"/>
        <v>1674838.7121495907</v>
      </c>
      <c r="U32" s="42"/>
      <c r="V32" s="42"/>
      <c r="W32" s="42"/>
    </row>
    <row r="33" spans="1:23" x14ac:dyDescent="0.2">
      <c r="A33" s="165">
        <f t="shared" si="9"/>
        <v>27</v>
      </c>
      <c r="B33" s="165">
        <v>2045</v>
      </c>
      <c r="C33" s="166"/>
      <c r="D33" s="167">
        <v>2076150</v>
      </c>
      <c r="E33" s="168">
        <f t="shared" si="0"/>
        <v>2076150</v>
      </c>
      <c r="F33" s="169">
        <f t="shared" si="6"/>
        <v>3574240.4570859177</v>
      </c>
      <c r="G33" s="170"/>
      <c r="H33" s="165">
        <f t="shared" si="4"/>
        <v>27</v>
      </c>
      <c r="I33" s="165">
        <v>2045</v>
      </c>
      <c r="J33" s="166"/>
      <c r="K33" s="167">
        <v>1078974</v>
      </c>
      <c r="L33" s="168">
        <f t="shared" si="1"/>
        <v>1078974</v>
      </c>
      <c r="M33" s="169">
        <f t="shared" si="7"/>
        <v>1857530.777132587</v>
      </c>
      <c r="N33" s="30"/>
      <c r="O33" s="165">
        <f t="shared" si="5"/>
        <v>27</v>
      </c>
      <c r="P33" s="165">
        <v>2045</v>
      </c>
      <c r="Q33" s="166"/>
      <c r="R33" s="167">
        <v>997176</v>
      </c>
      <c r="S33" s="168">
        <f t="shared" si="2"/>
        <v>997176</v>
      </c>
      <c r="T33" s="169">
        <f t="shared" si="8"/>
        <v>1716709.6799533304</v>
      </c>
      <c r="U33" s="42"/>
      <c r="V33" s="42"/>
      <c r="W33" s="42"/>
    </row>
    <row r="34" spans="1:23" x14ac:dyDescent="0.2">
      <c r="A34" s="165">
        <f t="shared" si="9"/>
        <v>28</v>
      </c>
      <c r="B34" s="165">
        <v>2046</v>
      </c>
      <c r="C34" s="166"/>
      <c r="D34" s="167">
        <v>2076150</v>
      </c>
      <c r="E34" s="168">
        <f t="shared" si="0"/>
        <v>2076150</v>
      </c>
      <c r="F34" s="169">
        <f t="shared" si="6"/>
        <v>3663596.4685130655</v>
      </c>
      <c r="G34" s="170"/>
      <c r="H34" s="165">
        <f t="shared" si="4"/>
        <v>28</v>
      </c>
      <c r="I34" s="165">
        <v>2046</v>
      </c>
      <c r="J34" s="166"/>
      <c r="K34" s="167">
        <v>1078974</v>
      </c>
      <c r="L34" s="168">
        <f t="shared" si="1"/>
        <v>1078974</v>
      </c>
      <c r="M34" s="169">
        <f t="shared" si="7"/>
        <v>1903969.0465609019</v>
      </c>
      <c r="N34" s="30"/>
      <c r="O34" s="165">
        <f t="shared" si="5"/>
        <v>28</v>
      </c>
      <c r="P34" s="165">
        <v>2046</v>
      </c>
      <c r="Q34" s="166"/>
      <c r="R34" s="167">
        <v>997176</v>
      </c>
      <c r="S34" s="168">
        <f t="shared" si="2"/>
        <v>997176</v>
      </c>
      <c r="T34" s="169">
        <f t="shared" si="8"/>
        <v>1759627.4219521638</v>
      </c>
      <c r="U34" s="42"/>
      <c r="V34" s="42"/>
      <c r="W34" s="42"/>
    </row>
    <row r="35" spans="1:23" x14ac:dyDescent="0.2">
      <c r="A35" s="165">
        <f t="shared" si="9"/>
        <v>29</v>
      </c>
      <c r="B35" s="165">
        <v>2047</v>
      </c>
      <c r="C35" s="166"/>
      <c r="D35" s="167">
        <v>2076150</v>
      </c>
      <c r="E35" s="168">
        <f t="shared" si="0"/>
        <v>2076150</v>
      </c>
      <c r="F35" s="169">
        <f t="shared" si="6"/>
        <v>3755186.3802258922</v>
      </c>
      <c r="G35" s="170"/>
      <c r="H35" s="165">
        <f t="shared" si="4"/>
        <v>29</v>
      </c>
      <c r="I35" s="165">
        <v>2047</v>
      </c>
      <c r="J35" s="166"/>
      <c r="K35" s="167">
        <v>1078974</v>
      </c>
      <c r="L35" s="168">
        <f t="shared" si="1"/>
        <v>1078974</v>
      </c>
      <c r="M35" s="169">
        <f t="shared" si="7"/>
        <v>1951568.2727249244</v>
      </c>
      <c r="N35" s="30"/>
      <c r="O35" s="165">
        <f t="shared" si="5"/>
        <v>29</v>
      </c>
      <c r="P35" s="165">
        <v>2047</v>
      </c>
      <c r="Q35" s="166"/>
      <c r="R35" s="167">
        <v>997176</v>
      </c>
      <c r="S35" s="168">
        <f t="shared" si="2"/>
        <v>997176</v>
      </c>
      <c r="T35" s="169">
        <f t="shared" si="8"/>
        <v>1803618.1075009678</v>
      </c>
      <c r="U35" s="42"/>
      <c r="V35" s="42"/>
      <c r="W35" s="42"/>
    </row>
    <row r="36" spans="1:23" x14ac:dyDescent="0.2">
      <c r="A36" s="165">
        <f t="shared" si="9"/>
        <v>30</v>
      </c>
      <c r="B36" s="165">
        <v>2048</v>
      </c>
      <c r="C36" s="166"/>
      <c r="D36" s="167">
        <v>2076150</v>
      </c>
      <c r="E36" s="168">
        <f t="shared" si="0"/>
        <v>2076150</v>
      </c>
      <c r="F36" s="169">
        <f t="shared" si="6"/>
        <v>3849066.0397315389</v>
      </c>
      <c r="G36" s="170"/>
      <c r="H36" s="165">
        <f t="shared" si="4"/>
        <v>30</v>
      </c>
      <c r="I36" s="165">
        <v>2048</v>
      </c>
      <c r="J36" s="166"/>
      <c r="K36" s="167">
        <v>1078974</v>
      </c>
      <c r="L36" s="168">
        <f t="shared" si="1"/>
        <v>1078974</v>
      </c>
      <c r="M36" s="169">
        <f t="shared" si="7"/>
        <v>2000357.479543047</v>
      </c>
      <c r="N36" s="30"/>
      <c r="O36" s="165">
        <f t="shared" si="5"/>
        <v>30</v>
      </c>
      <c r="P36" s="165">
        <v>2048</v>
      </c>
      <c r="Q36" s="166"/>
      <c r="R36" s="167">
        <v>997176</v>
      </c>
      <c r="S36" s="168">
        <f t="shared" si="2"/>
        <v>997176</v>
      </c>
      <c r="T36" s="169">
        <f t="shared" si="8"/>
        <v>1848708.5601884916</v>
      </c>
      <c r="U36" s="42"/>
      <c r="V36" s="42"/>
      <c r="W36" s="42"/>
    </row>
    <row r="37" spans="1:23" x14ac:dyDescent="0.2">
      <c r="A37" s="165">
        <f t="shared" si="9"/>
        <v>31</v>
      </c>
      <c r="B37" s="165">
        <v>2049</v>
      </c>
      <c r="C37" s="166"/>
      <c r="D37" s="167">
        <v>1333650</v>
      </c>
      <c r="E37" s="168">
        <f t="shared" si="0"/>
        <v>1333650</v>
      </c>
      <c r="F37" s="169">
        <f t="shared" si="6"/>
        <v>2534325.3603955233</v>
      </c>
      <c r="G37" s="170"/>
      <c r="H37" s="165">
        <f t="shared" si="4"/>
        <v>31</v>
      </c>
      <c r="I37" s="165">
        <v>2049</v>
      </c>
      <c r="J37" s="166"/>
      <c r="K37" s="167">
        <v>630474</v>
      </c>
      <c r="L37" s="168">
        <f t="shared" si="1"/>
        <v>630474</v>
      </c>
      <c r="M37" s="169">
        <f t="shared" si="7"/>
        <v>1198085.1402317004</v>
      </c>
      <c r="N37" s="30"/>
      <c r="O37" s="165">
        <f t="shared" si="5"/>
        <v>31</v>
      </c>
      <c r="P37" s="165">
        <v>2049</v>
      </c>
      <c r="Q37" s="166"/>
      <c r="R37" s="167">
        <v>703176</v>
      </c>
      <c r="S37" s="168">
        <f t="shared" si="2"/>
        <v>703176</v>
      </c>
      <c r="T37" s="169">
        <f t="shared" si="8"/>
        <v>1336240.2201638229</v>
      </c>
      <c r="U37" s="42"/>
      <c r="V37" s="42"/>
      <c r="W37" s="42"/>
    </row>
    <row r="38" spans="1:23" x14ac:dyDescent="0.2">
      <c r="A38" s="165">
        <f t="shared" si="9"/>
        <v>32</v>
      </c>
      <c r="B38" s="165">
        <v>2050</v>
      </c>
      <c r="C38" s="166"/>
      <c r="D38" s="167">
        <v>829150</v>
      </c>
      <c r="E38" s="168">
        <f t="shared" si="0"/>
        <v>829150</v>
      </c>
      <c r="F38" s="169">
        <f t="shared" si="6"/>
        <v>1615018.3851732065</v>
      </c>
      <c r="G38" s="170"/>
      <c r="H38" s="165">
        <f t="shared" si="4"/>
        <v>32</v>
      </c>
      <c r="I38" s="165">
        <v>2050</v>
      </c>
      <c r="J38" s="166"/>
      <c r="K38" s="167">
        <v>467360</v>
      </c>
      <c r="L38" s="168">
        <f t="shared" si="1"/>
        <v>467360</v>
      </c>
      <c r="M38" s="169">
        <f t="shared" si="7"/>
        <v>910323.81655255344</v>
      </c>
      <c r="N38" s="30"/>
      <c r="O38" s="165">
        <f t="shared" si="5"/>
        <v>32</v>
      </c>
      <c r="P38" s="165">
        <v>2050</v>
      </c>
      <c r="Q38" s="166"/>
      <c r="R38" s="167">
        <v>361790</v>
      </c>
      <c r="S38" s="168">
        <f t="shared" si="2"/>
        <v>361790</v>
      </c>
      <c r="T38" s="169">
        <f t="shared" si="8"/>
        <v>704694.56862065289</v>
      </c>
      <c r="U38" s="42"/>
      <c r="V38" s="42"/>
      <c r="W38" s="42"/>
    </row>
    <row r="39" spans="1:23" x14ac:dyDescent="0.2">
      <c r="A39" s="165">
        <f t="shared" si="9"/>
        <v>33</v>
      </c>
      <c r="B39" s="165">
        <v>2051</v>
      </c>
      <c r="C39" s="166">
        <v>10180000</v>
      </c>
      <c r="D39" s="167">
        <v>129150</v>
      </c>
      <c r="E39" s="168">
        <f t="shared" si="0"/>
        <v>10309150</v>
      </c>
      <c r="F39" s="169">
        <f t="shared" si="6"/>
        <v>20582166.62262084</v>
      </c>
      <c r="G39" s="170"/>
      <c r="H39" s="165">
        <f t="shared" si="4"/>
        <v>33</v>
      </c>
      <c r="I39" s="165">
        <v>2051</v>
      </c>
      <c r="J39" s="166">
        <v>4108000</v>
      </c>
      <c r="K39" s="167">
        <v>47360</v>
      </c>
      <c r="L39" s="168">
        <f t="shared" si="1"/>
        <v>4155360</v>
      </c>
      <c r="M39" s="169">
        <f t="shared" si="7"/>
        <v>8296155.5411429387</v>
      </c>
      <c r="N39" s="30"/>
      <c r="O39" s="165">
        <f t="shared" si="5"/>
        <v>33</v>
      </c>
      <c r="P39" s="165">
        <v>2051</v>
      </c>
      <c r="Q39" s="166">
        <v>6072000</v>
      </c>
      <c r="R39" s="167">
        <v>81790</v>
      </c>
      <c r="S39" s="168">
        <f t="shared" si="2"/>
        <v>6153790</v>
      </c>
      <c r="T39" s="169">
        <f t="shared" si="8"/>
        <v>12286011.081477899</v>
      </c>
      <c r="U39" s="42"/>
      <c r="V39" s="42"/>
      <c r="W39" s="42"/>
    </row>
    <row r="40" spans="1:23" x14ac:dyDescent="0.2">
      <c r="A40" s="165">
        <f t="shared" ref="A40:B41" si="10">A39+1</f>
        <v>34</v>
      </c>
      <c r="B40" s="165">
        <v>2052</v>
      </c>
      <c r="C40" s="166"/>
      <c r="D40" s="167">
        <v>129150</v>
      </c>
      <c r="E40" s="168">
        <f t="shared" si="0"/>
        <v>129150</v>
      </c>
      <c r="F40" s="169">
        <f t="shared" si="6"/>
        <v>264293.51496430533</v>
      </c>
      <c r="G40" s="170"/>
      <c r="H40" s="165">
        <f t="shared" si="4"/>
        <v>34</v>
      </c>
      <c r="I40" s="165">
        <v>2052</v>
      </c>
      <c r="J40" s="166"/>
      <c r="K40" s="167">
        <v>47360</v>
      </c>
      <c r="L40" s="168">
        <f t="shared" si="1"/>
        <v>47360</v>
      </c>
      <c r="M40" s="169">
        <f t="shared" si="7"/>
        <v>96917.854190549755</v>
      </c>
      <c r="N40" s="30"/>
      <c r="O40" s="165">
        <f t="shared" si="5"/>
        <v>34</v>
      </c>
      <c r="P40" s="165">
        <v>2052</v>
      </c>
      <c r="Q40" s="166"/>
      <c r="R40" s="167">
        <v>81790</v>
      </c>
      <c r="S40" s="168">
        <f t="shared" si="2"/>
        <v>81790</v>
      </c>
      <c r="T40" s="169">
        <f t="shared" si="8"/>
        <v>167375.6607737556</v>
      </c>
      <c r="U40" s="42"/>
      <c r="V40" s="42"/>
      <c r="W40" s="42"/>
    </row>
    <row r="41" spans="1:23" x14ac:dyDescent="0.2">
      <c r="A41" s="165">
        <f t="shared" si="10"/>
        <v>35</v>
      </c>
      <c r="B41" s="165">
        <f t="shared" si="10"/>
        <v>2053</v>
      </c>
      <c r="C41" s="166">
        <v>509200</v>
      </c>
      <c r="D41" s="167">
        <v>71150</v>
      </c>
      <c r="E41" s="168">
        <f t="shared" si="0"/>
        <v>580350</v>
      </c>
      <c r="F41" s="169">
        <f t="shared" si="6"/>
        <v>1217323.3445201158</v>
      </c>
      <c r="G41" s="170"/>
      <c r="H41" s="165">
        <f t="shared" si="4"/>
        <v>35</v>
      </c>
      <c r="I41" s="165">
        <f t="shared" si="4"/>
        <v>2053</v>
      </c>
      <c r="J41" s="166">
        <v>162231</v>
      </c>
      <c r="K41" s="167">
        <v>23430</v>
      </c>
      <c r="L41" s="168">
        <f t="shared" si="1"/>
        <v>185661</v>
      </c>
      <c r="M41" s="169">
        <f t="shared" si="7"/>
        <v>389436.49429990386</v>
      </c>
      <c r="N41" s="30"/>
      <c r="O41" s="165">
        <f t="shared" si="5"/>
        <v>35</v>
      </c>
      <c r="P41" s="165">
        <f t="shared" si="5"/>
        <v>2053</v>
      </c>
      <c r="Q41" s="166">
        <v>346969</v>
      </c>
      <c r="R41" s="167">
        <v>47720</v>
      </c>
      <c r="S41" s="168">
        <f t="shared" si="2"/>
        <v>394689</v>
      </c>
      <c r="T41" s="169">
        <f t="shared" si="8"/>
        <v>827886.85022021178</v>
      </c>
      <c r="U41" s="42"/>
      <c r="V41" s="42"/>
      <c r="W41" s="42"/>
    </row>
    <row r="42" spans="1:23" x14ac:dyDescent="0.2">
      <c r="A42" s="165"/>
      <c r="B42" s="171" t="s">
        <v>91</v>
      </c>
      <c r="C42" s="172">
        <f>SUM(C7:C41)</f>
        <v>29656200</v>
      </c>
      <c r="D42" s="173">
        <f>SUM(D7:D41)</f>
        <v>53082250</v>
      </c>
      <c r="E42" s="172">
        <f>SUM(E7:E41)</f>
        <v>82738450</v>
      </c>
      <c r="F42" s="174">
        <f>SUM(F7:F41)</f>
        <v>118174813.52266881</v>
      </c>
      <c r="G42" s="175"/>
      <c r="H42" s="165"/>
      <c r="I42" s="171" t="s">
        <v>91</v>
      </c>
      <c r="J42" s="172">
        <f>SUM(J7:J41)</f>
        <v>10928669</v>
      </c>
      <c r="K42" s="173">
        <f>SUM(K7:K41)</f>
        <v>27209470</v>
      </c>
      <c r="L42" s="172">
        <f>SUM(L7:L41)</f>
        <v>38138139</v>
      </c>
      <c r="M42" s="174">
        <f>SUM(M7:M41)</f>
        <v>54222713.694157138</v>
      </c>
      <c r="N42" s="30"/>
      <c r="O42" s="165"/>
      <c r="P42" s="171" t="s">
        <v>91</v>
      </c>
      <c r="Q42" s="172">
        <f>SUM(Q7:Q41)</f>
        <v>18727531</v>
      </c>
      <c r="R42" s="173">
        <f>SUM(R7:R41)</f>
        <v>25872780</v>
      </c>
      <c r="S42" s="172">
        <f>SUM(S7:S41)</f>
        <v>44600311</v>
      </c>
      <c r="T42" s="174">
        <f>SUM(T7:T41)</f>
        <v>63952099.828511678</v>
      </c>
    </row>
    <row r="43" spans="1:23" x14ac:dyDescent="0.2">
      <c r="A43" s="176"/>
      <c r="B43" s="177"/>
      <c r="C43" s="149"/>
      <c r="D43" s="149"/>
      <c r="E43" s="178"/>
      <c r="F43" s="149"/>
      <c r="G43" s="50"/>
      <c r="H43" s="50"/>
      <c r="I43" s="50"/>
      <c r="J43" s="50"/>
      <c r="K43" s="30"/>
      <c r="L43" s="50"/>
      <c r="M43" s="50"/>
      <c r="N43" s="30"/>
      <c r="O43" s="50"/>
      <c r="P43" s="50"/>
      <c r="Q43" s="50"/>
      <c r="R43" s="30"/>
      <c r="S43" s="50"/>
      <c r="T43" s="50"/>
    </row>
    <row r="44" spans="1:23" x14ac:dyDescent="0.2">
      <c r="A44" s="176"/>
      <c r="B44" s="177"/>
      <c r="C44" s="50" t="s">
        <v>187</v>
      </c>
      <c r="D44" s="179"/>
      <c r="E44" s="172">
        <f>+L44+S44</f>
        <v>30219147.25</v>
      </c>
      <c r="F44" s="172">
        <f>+M44+T44</f>
        <v>43099381.804206491</v>
      </c>
      <c r="G44" s="50"/>
      <c r="H44" s="50"/>
      <c r="I44" s="50"/>
      <c r="J44" s="50" t="s">
        <v>188</v>
      </c>
      <c r="K44" s="179"/>
      <c r="L44" s="172">
        <f>+L42*0.5</f>
        <v>19069069.5</v>
      </c>
      <c r="M44" s="172">
        <f>+M42*0.5</f>
        <v>27111356.847078569</v>
      </c>
      <c r="N44" s="30"/>
      <c r="O44" s="50"/>
      <c r="P44" s="50"/>
      <c r="Q44" s="50" t="s">
        <v>189</v>
      </c>
      <c r="R44" s="179"/>
      <c r="S44" s="172">
        <f>+S42*0.25</f>
        <v>11150077.75</v>
      </c>
      <c r="T44" s="172">
        <f>+T42*0.25</f>
        <v>15988024.957127919</v>
      </c>
    </row>
    <row r="45" spans="1:23" x14ac:dyDescent="0.2">
      <c r="B45" s="177"/>
      <c r="M45" s="86"/>
      <c r="S45" s="181"/>
    </row>
    <row r="46" spans="1:23" x14ac:dyDescent="0.2">
      <c r="A46" s="182"/>
      <c r="B46" s="177"/>
      <c r="H46" s="182"/>
    </row>
    <row r="47" spans="1:23" x14ac:dyDescent="0.2">
      <c r="B47" s="177"/>
    </row>
  </sheetData>
  <printOptions horizontalCentered="1"/>
  <pageMargins left="0.5" right="0.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6" topLeftCell="A37" activePane="bottomLeft" state="frozen"/>
      <selection activeCell="C7" sqref="C7"/>
      <selection pane="bottomLeft" activeCell="E52" sqref="E52"/>
    </sheetView>
  </sheetViews>
  <sheetFormatPr defaultColWidth="9.140625" defaultRowHeight="12.75" x14ac:dyDescent="0.2"/>
  <cols>
    <col min="1" max="1" width="5.42578125" style="164" customWidth="1"/>
    <col min="2" max="4" width="14.42578125" style="164" customWidth="1"/>
    <col min="5" max="5" width="16.5703125" style="164" customWidth="1"/>
    <col min="6" max="6" width="17.5703125" style="164" customWidth="1"/>
    <col min="7" max="9" width="9.140625" style="164"/>
    <col min="10" max="10" width="13.5703125" style="164" bestFit="1" customWidth="1"/>
    <col min="11" max="16384" width="9.140625" style="164"/>
  </cols>
  <sheetData>
    <row r="1" spans="1:6" x14ac:dyDescent="0.2">
      <c r="A1" s="150" t="s">
        <v>190</v>
      </c>
      <c r="B1" s="30"/>
      <c r="C1" s="50"/>
      <c r="D1" s="30"/>
      <c r="E1" s="50"/>
      <c r="F1" s="151" t="s">
        <v>161</v>
      </c>
    </row>
    <row r="2" spans="1:6" ht="15.75" x14ac:dyDescent="0.25">
      <c r="A2" s="153" t="s">
        <v>191</v>
      </c>
      <c r="B2" s="183"/>
      <c r="C2" s="183"/>
      <c r="D2" s="183"/>
      <c r="E2" s="183"/>
      <c r="F2" s="154" t="s">
        <v>165</v>
      </c>
    </row>
    <row r="3" spans="1:6" ht="15.75" x14ac:dyDescent="0.25">
      <c r="A3" s="30"/>
      <c r="B3" s="183"/>
      <c r="C3" s="183"/>
      <c r="D3" s="183"/>
      <c r="E3" s="183"/>
      <c r="F3" s="156" t="s">
        <v>168</v>
      </c>
    </row>
    <row r="4" spans="1:6" s="180" customFormat="1" x14ac:dyDescent="0.2">
      <c r="A4" s="176"/>
      <c r="B4" s="176"/>
      <c r="C4" s="176"/>
      <c r="D4" s="176"/>
      <c r="E4" s="184"/>
      <c r="F4" s="156" t="s">
        <v>192</v>
      </c>
    </row>
    <row r="5" spans="1:6" s="180" customFormat="1" x14ac:dyDescent="0.2">
      <c r="A5" s="176"/>
      <c r="B5" s="176"/>
      <c r="C5" s="176"/>
      <c r="D5" s="176"/>
      <c r="E5" s="184"/>
      <c r="F5" s="184"/>
    </row>
    <row r="6" spans="1:6" ht="25.5" x14ac:dyDescent="0.2">
      <c r="A6" s="160" t="s">
        <v>173</v>
      </c>
      <c r="B6" s="160" t="s">
        <v>174</v>
      </c>
      <c r="C6" s="161" t="s">
        <v>193</v>
      </c>
      <c r="D6" s="161" t="s">
        <v>194</v>
      </c>
      <c r="E6" s="162" t="s">
        <v>177</v>
      </c>
      <c r="F6" s="161" t="s">
        <v>178</v>
      </c>
    </row>
    <row r="7" spans="1:6" x14ac:dyDescent="0.2">
      <c r="A7" s="165">
        <v>1</v>
      </c>
      <c r="B7" s="165">
        <v>2021</v>
      </c>
      <c r="C7" s="166"/>
      <c r="D7" s="167"/>
      <c r="E7" s="168">
        <f t="shared" ref="E7:E49" si="0">+D7+C7</f>
        <v>0</v>
      </c>
      <c r="F7" s="169">
        <v>0</v>
      </c>
    </row>
    <row r="8" spans="1:6" x14ac:dyDescent="0.2">
      <c r="A8" s="165">
        <f t="shared" ref="A8:A47" si="1">A7+1</f>
        <v>2</v>
      </c>
      <c r="B8" s="165">
        <v>2022</v>
      </c>
      <c r="C8" s="166"/>
      <c r="D8" s="167"/>
      <c r="E8" s="168">
        <f t="shared" si="0"/>
        <v>0</v>
      </c>
      <c r="F8" s="169">
        <v>0</v>
      </c>
    </row>
    <row r="9" spans="1:6" x14ac:dyDescent="0.2">
      <c r="A9" s="165">
        <f t="shared" si="1"/>
        <v>3</v>
      </c>
      <c r="B9" s="165">
        <v>2023</v>
      </c>
      <c r="C9" s="166">
        <v>1675000</v>
      </c>
      <c r="D9" s="167">
        <v>767000</v>
      </c>
      <c r="E9" s="168">
        <f t="shared" si="0"/>
        <v>2442000</v>
      </c>
      <c r="F9" s="169">
        <f t="shared" ref="F9:F49" si="2">E9*1.025^(B9-$B$9)</f>
        <v>2442000</v>
      </c>
    </row>
    <row r="10" spans="1:6" x14ac:dyDescent="0.2">
      <c r="A10" s="165">
        <f t="shared" si="1"/>
        <v>4</v>
      </c>
      <c r="B10" s="165">
        <v>2024</v>
      </c>
      <c r="C10" s="166">
        <v>500000</v>
      </c>
      <c r="D10" s="167">
        <v>590000</v>
      </c>
      <c r="E10" s="168">
        <f t="shared" si="0"/>
        <v>1090000</v>
      </c>
      <c r="F10" s="169">
        <f t="shared" si="2"/>
        <v>1117250</v>
      </c>
    </row>
    <row r="11" spans="1:6" x14ac:dyDescent="0.2">
      <c r="A11" s="165">
        <f t="shared" si="1"/>
        <v>5</v>
      </c>
      <c r="B11" s="165">
        <v>2025</v>
      </c>
      <c r="C11" s="166">
        <v>7636000</v>
      </c>
      <c r="D11" s="167">
        <v>500000</v>
      </c>
      <c r="E11" s="168">
        <f t="shared" si="0"/>
        <v>8136000</v>
      </c>
      <c r="F11" s="169">
        <f t="shared" si="2"/>
        <v>8547885</v>
      </c>
    </row>
    <row r="12" spans="1:6" x14ac:dyDescent="0.2">
      <c r="A12" s="165">
        <f t="shared" si="1"/>
        <v>6</v>
      </c>
      <c r="B12" s="165">
        <v>2026</v>
      </c>
      <c r="C12" s="166">
        <v>30166000</v>
      </c>
      <c r="D12" s="167">
        <v>500000</v>
      </c>
      <c r="E12" s="168">
        <f t="shared" si="0"/>
        <v>30666000</v>
      </c>
      <c r="F12" s="169">
        <f t="shared" si="2"/>
        <v>33023927.906249996</v>
      </c>
    </row>
    <row r="13" spans="1:6" x14ac:dyDescent="0.2">
      <c r="A13" s="165">
        <f t="shared" si="1"/>
        <v>7</v>
      </c>
      <c r="B13" s="165">
        <v>2027</v>
      </c>
      <c r="C13" s="166">
        <v>30166000</v>
      </c>
      <c r="D13" s="167">
        <v>400000</v>
      </c>
      <c r="E13" s="168">
        <f t="shared" si="0"/>
        <v>30566000</v>
      </c>
      <c r="F13" s="169">
        <f t="shared" si="2"/>
        <v>33739144.814843744</v>
      </c>
    </row>
    <row r="14" spans="1:6" x14ac:dyDescent="0.2">
      <c r="A14" s="165">
        <f t="shared" si="1"/>
        <v>8</v>
      </c>
      <c r="B14" s="165">
        <v>2028</v>
      </c>
      <c r="C14" s="166">
        <v>34461000</v>
      </c>
      <c r="D14" s="167">
        <v>400000</v>
      </c>
      <c r="E14" s="168">
        <f t="shared" si="0"/>
        <v>34861000</v>
      </c>
      <c r="F14" s="169">
        <f t="shared" si="2"/>
        <v>39442021.709580064</v>
      </c>
    </row>
    <row r="15" spans="1:6" x14ac:dyDescent="0.2">
      <c r="A15" s="165">
        <f t="shared" si="1"/>
        <v>9</v>
      </c>
      <c r="B15" s="165">
        <v>2029</v>
      </c>
      <c r="C15" s="166">
        <v>47437000</v>
      </c>
      <c r="D15" s="167">
        <v>400000</v>
      </c>
      <c r="E15" s="168">
        <f t="shared" si="0"/>
        <v>47837000</v>
      </c>
      <c r="F15" s="169">
        <f t="shared" si="2"/>
        <v>55476254.047050029</v>
      </c>
    </row>
    <row r="16" spans="1:6" x14ac:dyDescent="0.2">
      <c r="A16" s="165">
        <f t="shared" si="1"/>
        <v>10</v>
      </c>
      <c r="B16" s="165">
        <v>2030</v>
      </c>
      <c r="C16" s="166">
        <v>19364000</v>
      </c>
      <c r="D16" s="167">
        <v>400000</v>
      </c>
      <c r="E16" s="168">
        <f t="shared" si="0"/>
        <v>19764000</v>
      </c>
      <c r="F16" s="169">
        <f t="shared" si="2"/>
        <v>23493185.235498551</v>
      </c>
    </row>
    <row r="17" spans="1:6" x14ac:dyDescent="0.2">
      <c r="A17" s="165">
        <f t="shared" si="1"/>
        <v>11</v>
      </c>
      <c r="B17" s="165">
        <v>2031</v>
      </c>
      <c r="C17" s="166">
        <v>16313250</v>
      </c>
      <c r="D17" s="167">
        <v>400000</v>
      </c>
      <c r="E17" s="168">
        <f t="shared" si="0"/>
        <v>16713250</v>
      </c>
      <c r="F17" s="169">
        <f t="shared" si="2"/>
        <v>20363472.226807632</v>
      </c>
    </row>
    <row r="18" spans="1:6" x14ac:dyDescent="0.2">
      <c r="A18" s="165">
        <f t="shared" si="1"/>
        <v>12</v>
      </c>
      <c r="B18" s="165">
        <v>2032</v>
      </c>
      <c r="C18" s="166">
        <v>6232000</v>
      </c>
      <c r="D18" s="167">
        <v>495000</v>
      </c>
      <c r="E18" s="168">
        <f t="shared" si="0"/>
        <v>6727000</v>
      </c>
      <c r="F18" s="169">
        <f t="shared" si="2"/>
        <v>8401101.1988379452</v>
      </c>
    </row>
    <row r="19" spans="1:6" x14ac:dyDescent="0.2">
      <c r="A19" s="165">
        <f t="shared" si="1"/>
        <v>13</v>
      </c>
      <c r="B19" s="165">
        <v>2033</v>
      </c>
      <c r="C19" s="166"/>
      <c r="D19" s="167">
        <v>586000</v>
      </c>
      <c r="E19" s="168">
        <f t="shared" si="0"/>
        <v>586000</v>
      </c>
      <c r="F19" s="169">
        <f t="shared" si="2"/>
        <v>750129.5428990653</v>
      </c>
    </row>
    <row r="20" spans="1:6" x14ac:dyDescent="0.2">
      <c r="A20" s="165">
        <f t="shared" si="1"/>
        <v>14</v>
      </c>
      <c r="B20" s="165">
        <v>2034</v>
      </c>
      <c r="C20" s="166"/>
      <c r="D20" s="167">
        <v>586000</v>
      </c>
      <c r="E20" s="168">
        <f t="shared" si="0"/>
        <v>586000</v>
      </c>
      <c r="F20" s="169">
        <f t="shared" si="2"/>
        <v>768882.78147154185</v>
      </c>
    </row>
    <row r="21" spans="1:6" x14ac:dyDescent="0.2">
      <c r="A21" s="165">
        <f t="shared" si="1"/>
        <v>15</v>
      </c>
      <c r="B21" s="165">
        <v>2035</v>
      </c>
      <c r="C21" s="166"/>
      <c r="D21" s="167">
        <v>586000</v>
      </c>
      <c r="E21" s="168">
        <f t="shared" si="0"/>
        <v>586000</v>
      </c>
      <c r="F21" s="169">
        <f t="shared" si="2"/>
        <v>788104.85100833036</v>
      </c>
    </row>
    <row r="22" spans="1:6" x14ac:dyDescent="0.2">
      <c r="A22" s="165">
        <f t="shared" si="1"/>
        <v>16</v>
      </c>
      <c r="B22" s="165">
        <v>2036</v>
      </c>
      <c r="C22" s="166"/>
      <c r="D22" s="167">
        <v>586000</v>
      </c>
      <c r="E22" s="168">
        <f t="shared" si="0"/>
        <v>586000</v>
      </c>
      <c r="F22" s="169">
        <f t="shared" si="2"/>
        <v>807807.47228353855</v>
      </c>
    </row>
    <row r="23" spans="1:6" x14ac:dyDescent="0.2">
      <c r="A23" s="165">
        <f t="shared" si="1"/>
        <v>17</v>
      </c>
      <c r="B23" s="165">
        <v>2037</v>
      </c>
      <c r="C23" s="166"/>
      <c r="D23" s="167">
        <v>586000</v>
      </c>
      <c r="E23" s="168">
        <f t="shared" si="0"/>
        <v>586000</v>
      </c>
      <c r="F23" s="169">
        <f t="shared" si="2"/>
        <v>828002.65909062698</v>
      </c>
    </row>
    <row r="24" spans="1:6" x14ac:dyDescent="0.2">
      <c r="A24" s="165">
        <f t="shared" si="1"/>
        <v>18</v>
      </c>
      <c r="B24" s="165">
        <v>2038</v>
      </c>
      <c r="C24" s="166"/>
      <c r="D24" s="167">
        <v>586000</v>
      </c>
      <c r="E24" s="168">
        <f t="shared" si="0"/>
        <v>586000</v>
      </c>
      <c r="F24" s="169">
        <f t="shared" si="2"/>
        <v>848702.72556789278</v>
      </c>
    </row>
    <row r="25" spans="1:6" x14ac:dyDescent="0.2">
      <c r="A25" s="165">
        <f t="shared" si="1"/>
        <v>19</v>
      </c>
      <c r="B25" s="165">
        <v>2039</v>
      </c>
      <c r="C25" s="166"/>
      <c r="D25" s="167">
        <v>586000</v>
      </c>
      <c r="E25" s="168">
        <f t="shared" si="0"/>
        <v>586000</v>
      </c>
      <c r="F25" s="169">
        <f t="shared" si="2"/>
        <v>869920.29370708996</v>
      </c>
    </row>
    <row r="26" spans="1:6" x14ac:dyDescent="0.2">
      <c r="A26" s="165">
        <f t="shared" si="1"/>
        <v>20</v>
      </c>
      <c r="B26" s="165">
        <v>2040</v>
      </c>
      <c r="C26" s="166"/>
      <c r="D26" s="167">
        <v>586000</v>
      </c>
      <c r="E26" s="168">
        <f t="shared" si="0"/>
        <v>586000</v>
      </c>
      <c r="F26" s="169">
        <f t="shared" si="2"/>
        <v>891668.30104976706</v>
      </c>
    </row>
    <row r="27" spans="1:6" x14ac:dyDescent="0.2">
      <c r="A27" s="165">
        <f t="shared" si="1"/>
        <v>21</v>
      </c>
      <c r="B27" s="165">
        <v>2041</v>
      </c>
      <c r="C27" s="166"/>
      <c r="D27" s="167">
        <v>586000</v>
      </c>
      <c r="E27" s="168">
        <f t="shared" si="0"/>
        <v>586000</v>
      </c>
      <c r="F27" s="169">
        <f t="shared" si="2"/>
        <v>913960.00857601129</v>
      </c>
    </row>
    <row r="28" spans="1:6" x14ac:dyDescent="0.2">
      <c r="A28" s="165">
        <f t="shared" si="1"/>
        <v>22</v>
      </c>
      <c r="B28" s="165">
        <v>2042</v>
      </c>
      <c r="C28" s="166"/>
      <c r="D28" s="167">
        <v>586000</v>
      </c>
      <c r="E28" s="168">
        <f t="shared" si="0"/>
        <v>586000</v>
      </c>
      <c r="F28" s="169">
        <f t="shared" si="2"/>
        <v>936809.00879041164</v>
      </c>
    </row>
    <row r="29" spans="1:6" x14ac:dyDescent="0.2">
      <c r="A29" s="165">
        <f t="shared" si="1"/>
        <v>23</v>
      </c>
      <c r="B29" s="165">
        <v>2043</v>
      </c>
      <c r="C29" s="166"/>
      <c r="D29" s="167">
        <v>586000</v>
      </c>
      <c r="E29" s="168">
        <f t="shared" si="0"/>
        <v>586000</v>
      </c>
      <c r="F29" s="169">
        <f t="shared" si="2"/>
        <v>960229.23401017184</v>
      </c>
    </row>
    <row r="30" spans="1:6" x14ac:dyDescent="0.2">
      <c r="A30" s="165">
        <f t="shared" si="1"/>
        <v>24</v>
      </c>
      <c r="B30" s="165">
        <v>2044</v>
      </c>
      <c r="C30" s="166"/>
      <c r="D30" s="167">
        <v>586000</v>
      </c>
      <c r="E30" s="168">
        <f t="shared" si="0"/>
        <v>586000</v>
      </c>
      <c r="F30" s="169">
        <f t="shared" si="2"/>
        <v>984234.96486042603</v>
      </c>
    </row>
    <row r="31" spans="1:6" x14ac:dyDescent="0.2">
      <c r="A31" s="165">
        <f t="shared" si="1"/>
        <v>25</v>
      </c>
      <c r="B31" s="165">
        <v>2045</v>
      </c>
      <c r="C31" s="166"/>
      <c r="D31" s="167">
        <v>586000</v>
      </c>
      <c r="E31" s="168">
        <f t="shared" si="0"/>
        <v>586000</v>
      </c>
      <c r="F31" s="169">
        <f t="shared" si="2"/>
        <v>1008840.8389819366</v>
      </c>
    </row>
    <row r="32" spans="1:6" x14ac:dyDescent="0.2">
      <c r="A32" s="165">
        <f t="shared" si="1"/>
        <v>26</v>
      </c>
      <c r="B32" s="165">
        <v>2046</v>
      </c>
      <c r="C32" s="166"/>
      <c r="D32" s="167">
        <v>586000</v>
      </c>
      <c r="E32" s="168">
        <f t="shared" si="0"/>
        <v>586000</v>
      </c>
      <c r="F32" s="169">
        <f t="shared" si="2"/>
        <v>1034061.8599564851</v>
      </c>
    </row>
    <row r="33" spans="1:6" x14ac:dyDescent="0.2">
      <c r="A33" s="165">
        <f t="shared" si="1"/>
        <v>27</v>
      </c>
      <c r="B33" s="165">
        <v>2047</v>
      </c>
      <c r="C33" s="166"/>
      <c r="D33" s="167">
        <v>586000</v>
      </c>
      <c r="E33" s="168">
        <f t="shared" si="0"/>
        <v>586000</v>
      </c>
      <c r="F33" s="169">
        <f t="shared" si="2"/>
        <v>1059913.4064553971</v>
      </c>
    </row>
    <row r="34" spans="1:6" x14ac:dyDescent="0.2">
      <c r="A34" s="165">
        <f t="shared" si="1"/>
        <v>28</v>
      </c>
      <c r="B34" s="165">
        <v>2048</v>
      </c>
      <c r="C34" s="166"/>
      <c r="D34" s="167">
        <v>586000</v>
      </c>
      <c r="E34" s="168">
        <f t="shared" si="0"/>
        <v>586000</v>
      </c>
      <c r="F34" s="169">
        <f t="shared" si="2"/>
        <v>1086411.2416167818</v>
      </c>
    </row>
    <row r="35" spans="1:6" x14ac:dyDescent="0.2">
      <c r="A35" s="165">
        <f t="shared" si="1"/>
        <v>29</v>
      </c>
      <c r="B35" s="165">
        <v>2049</v>
      </c>
      <c r="C35" s="166"/>
      <c r="D35" s="167">
        <v>586000</v>
      </c>
      <c r="E35" s="168">
        <f t="shared" si="0"/>
        <v>586000</v>
      </c>
      <c r="F35" s="169">
        <f t="shared" si="2"/>
        <v>1113571.5226572014</v>
      </c>
    </row>
    <row r="36" spans="1:6" x14ac:dyDescent="0.2">
      <c r="A36" s="165">
        <f t="shared" si="1"/>
        <v>30</v>
      </c>
      <c r="B36" s="165">
        <v>2050</v>
      </c>
      <c r="C36" s="166"/>
      <c r="D36" s="167">
        <v>586000</v>
      </c>
      <c r="E36" s="168">
        <f t="shared" si="0"/>
        <v>586000</v>
      </c>
      <c r="F36" s="169">
        <f t="shared" si="2"/>
        <v>1141410.8107236314</v>
      </c>
    </row>
    <row r="37" spans="1:6" x14ac:dyDescent="0.2">
      <c r="A37" s="165">
        <f t="shared" si="1"/>
        <v>31</v>
      </c>
      <c r="B37" s="165">
        <v>2051</v>
      </c>
      <c r="C37" s="166"/>
      <c r="D37" s="167">
        <v>316000</v>
      </c>
      <c r="E37" s="168">
        <f t="shared" si="0"/>
        <v>316000</v>
      </c>
      <c r="F37" s="169">
        <f t="shared" si="2"/>
        <v>630892.42592727672</v>
      </c>
    </row>
    <row r="38" spans="1:6" x14ac:dyDescent="0.2">
      <c r="A38" s="165">
        <f t="shared" si="1"/>
        <v>32</v>
      </c>
      <c r="B38" s="165">
        <v>2052</v>
      </c>
      <c r="C38" s="166"/>
      <c r="D38" s="167">
        <v>316000</v>
      </c>
      <c r="E38" s="168">
        <f t="shared" si="0"/>
        <v>316000</v>
      </c>
      <c r="F38" s="169">
        <f t="shared" si="2"/>
        <v>646664.73657545866</v>
      </c>
    </row>
    <row r="39" spans="1:6" x14ac:dyDescent="0.2">
      <c r="A39" s="165">
        <f t="shared" si="1"/>
        <v>33</v>
      </c>
      <c r="B39" s="165">
        <v>2053</v>
      </c>
      <c r="C39" s="166"/>
      <c r="D39" s="167">
        <v>366000</v>
      </c>
      <c r="E39" s="168">
        <f t="shared" si="0"/>
        <v>366000</v>
      </c>
      <c r="F39" s="169">
        <f t="shared" si="2"/>
        <v>767709.73394393444</v>
      </c>
    </row>
    <row r="40" spans="1:6" x14ac:dyDescent="0.2">
      <c r="A40" s="165">
        <f t="shared" si="1"/>
        <v>34</v>
      </c>
      <c r="B40" s="165">
        <v>2054</v>
      </c>
      <c r="C40" s="166"/>
      <c r="D40" s="167">
        <v>136000</v>
      </c>
      <c r="E40" s="168">
        <f t="shared" si="0"/>
        <v>136000</v>
      </c>
      <c r="F40" s="169">
        <f t="shared" si="2"/>
        <v>292400.92052400135</v>
      </c>
    </row>
    <row r="41" spans="1:6" x14ac:dyDescent="0.2">
      <c r="A41" s="165">
        <f t="shared" si="1"/>
        <v>35</v>
      </c>
      <c r="B41" s="165">
        <v>2055</v>
      </c>
      <c r="C41" s="166"/>
      <c r="D41" s="167">
        <v>116000</v>
      </c>
      <c r="E41" s="168">
        <f t="shared" si="0"/>
        <v>116000</v>
      </c>
      <c r="F41" s="169">
        <f t="shared" si="2"/>
        <v>255635.80478164522</v>
      </c>
    </row>
    <row r="42" spans="1:6" x14ac:dyDescent="0.2">
      <c r="A42" s="165">
        <f t="shared" si="1"/>
        <v>36</v>
      </c>
      <c r="B42" s="165">
        <v>2056</v>
      </c>
      <c r="C42" s="166"/>
      <c r="D42" s="167">
        <v>116000</v>
      </c>
      <c r="E42" s="168">
        <f t="shared" si="0"/>
        <v>116000</v>
      </c>
      <c r="F42" s="169">
        <f t="shared" si="2"/>
        <v>262026.69990118634</v>
      </c>
    </row>
    <row r="43" spans="1:6" x14ac:dyDescent="0.2">
      <c r="A43" s="165">
        <f t="shared" si="1"/>
        <v>37</v>
      </c>
      <c r="B43" s="165">
        <v>2057</v>
      </c>
      <c r="C43" s="166"/>
      <c r="D43" s="167">
        <v>116000</v>
      </c>
      <c r="E43" s="168">
        <f t="shared" si="0"/>
        <v>116000</v>
      </c>
      <c r="F43" s="169">
        <f t="shared" si="2"/>
        <v>268577.36739871599</v>
      </c>
    </row>
    <row r="44" spans="1:6" x14ac:dyDescent="0.2">
      <c r="A44" s="165">
        <f t="shared" si="1"/>
        <v>38</v>
      </c>
      <c r="B44" s="165">
        <v>2058</v>
      </c>
      <c r="C44" s="166"/>
      <c r="D44" s="167">
        <v>116000</v>
      </c>
      <c r="E44" s="168">
        <f t="shared" si="0"/>
        <v>116000</v>
      </c>
      <c r="F44" s="169">
        <f t="shared" si="2"/>
        <v>275291.80158368387</v>
      </c>
    </row>
    <row r="45" spans="1:6" x14ac:dyDescent="0.2">
      <c r="A45" s="165">
        <f t="shared" si="1"/>
        <v>39</v>
      </c>
      <c r="B45" s="165">
        <v>2059</v>
      </c>
      <c r="C45" s="166"/>
      <c r="D45" s="167">
        <v>116000</v>
      </c>
      <c r="E45" s="168">
        <f t="shared" si="0"/>
        <v>116000</v>
      </c>
      <c r="F45" s="169">
        <f t="shared" si="2"/>
        <v>282174.09662327595</v>
      </c>
    </row>
    <row r="46" spans="1:6" x14ac:dyDescent="0.2">
      <c r="A46" s="165">
        <f t="shared" si="1"/>
        <v>40</v>
      </c>
      <c r="B46" s="165">
        <v>2060</v>
      </c>
      <c r="C46" s="166"/>
      <c r="D46" s="167">
        <v>116000</v>
      </c>
      <c r="E46" s="168">
        <f t="shared" si="0"/>
        <v>116000</v>
      </c>
      <c r="F46" s="169">
        <f t="shared" si="2"/>
        <v>289228.44903885783</v>
      </c>
    </row>
    <row r="47" spans="1:6" ht="13.35" customHeight="1" x14ac:dyDescent="0.2">
      <c r="A47" s="165">
        <f t="shared" si="1"/>
        <v>41</v>
      </c>
      <c r="B47" s="165">
        <v>2061</v>
      </c>
      <c r="C47" s="166"/>
      <c r="D47" s="167">
        <v>116000</v>
      </c>
      <c r="E47" s="168">
        <f t="shared" si="0"/>
        <v>116000</v>
      </c>
      <c r="F47" s="169">
        <f t="shared" si="2"/>
        <v>296459.16026482923</v>
      </c>
    </row>
    <row r="48" spans="1:6" x14ac:dyDescent="0.2">
      <c r="A48" s="165">
        <f>A46+1</f>
        <v>41</v>
      </c>
      <c r="B48" s="165">
        <v>2062</v>
      </c>
      <c r="C48" s="166"/>
      <c r="D48" s="167">
        <v>116000</v>
      </c>
      <c r="E48" s="168">
        <f t="shared" si="0"/>
        <v>116000</v>
      </c>
      <c r="F48" s="169">
        <f t="shared" si="2"/>
        <v>303870.63927145</v>
      </c>
    </row>
    <row r="49" spans="1:10" x14ac:dyDescent="0.2">
      <c r="A49" s="165">
        <f>A47+1</f>
        <v>42</v>
      </c>
      <c r="B49" s="165">
        <v>2063</v>
      </c>
      <c r="C49" s="166">
        <v>477400</v>
      </c>
      <c r="D49" s="167">
        <v>0</v>
      </c>
      <c r="E49" s="168">
        <f t="shared" si="0"/>
        <v>477400</v>
      </c>
      <c r="F49" s="169">
        <f t="shared" si="2"/>
        <v>1281849.4764473704</v>
      </c>
    </row>
    <row r="50" spans="1:10" x14ac:dyDescent="0.2">
      <c r="A50" s="165"/>
      <c r="B50" s="171" t="s">
        <v>91</v>
      </c>
      <c r="C50" s="172">
        <f>SUM(C7:C49)</f>
        <v>194427650</v>
      </c>
      <c r="D50" s="173">
        <f>SUM(D7:D49)</f>
        <v>17462000</v>
      </c>
      <c r="E50" s="172">
        <f>SUM(E7:E49)</f>
        <v>211889650</v>
      </c>
      <c r="F50" s="174">
        <f>SUM(F7:F49)</f>
        <v>248691684.97485596</v>
      </c>
    </row>
    <row r="51" spans="1:10" x14ac:dyDescent="0.2">
      <c r="A51" s="176"/>
      <c r="B51" s="177"/>
      <c r="C51" s="50"/>
      <c r="D51" s="30"/>
      <c r="E51" s="50"/>
      <c r="F51" s="50"/>
    </row>
    <row r="52" spans="1:10" x14ac:dyDescent="0.2">
      <c r="A52" s="176"/>
      <c r="B52" s="177"/>
      <c r="C52" s="50" t="s">
        <v>187</v>
      </c>
      <c r="D52" s="179">
        <v>0.5</v>
      </c>
      <c r="E52" s="172">
        <f>+$D52*E50</f>
        <v>105944825</v>
      </c>
      <c r="F52" s="172">
        <f>+$D52*F50</f>
        <v>124345842.48742798</v>
      </c>
      <c r="J52" s="31"/>
    </row>
    <row r="53" spans="1:10" x14ac:dyDescent="0.2">
      <c r="A53" s="180"/>
      <c r="B53" s="177"/>
      <c r="C53" s="152"/>
      <c r="E53" s="152"/>
      <c r="F53" s="152"/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6" topLeftCell="A48" activePane="bottomLeft" state="frozen"/>
      <selection activeCell="C7" sqref="C7"/>
      <selection pane="bottomLeft" activeCell="E62" sqref="E62"/>
    </sheetView>
  </sheetViews>
  <sheetFormatPr defaultColWidth="9.140625" defaultRowHeight="12.75" x14ac:dyDescent="0.2"/>
  <cols>
    <col min="1" max="1" width="9.140625" style="152"/>
    <col min="2" max="2" width="8.140625" style="152" bestFit="1" customWidth="1"/>
    <col min="3" max="3" width="17.140625" style="152" customWidth="1"/>
    <col min="4" max="4" width="18.140625" style="152" customWidth="1"/>
    <col min="5" max="5" width="18.5703125" style="152" customWidth="1"/>
    <col min="6" max="6" width="13.140625" style="152" bestFit="1" customWidth="1"/>
    <col min="7" max="16384" width="9.140625" style="152"/>
  </cols>
  <sheetData>
    <row r="1" spans="1:6" x14ac:dyDescent="0.2">
      <c r="A1" s="150" t="s">
        <v>195</v>
      </c>
      <c r="B1" s="30"/>
      <c r="C1" s="50"/>
      <c r="D1" s="30"/>
      <c r="E1" s="50"/>
      <c r="F1" s="151" t="s">
        <v>161</v>
      </c>
    </row>
    <row r="2" spans="1:6" ht="15.75" x14ac:dyDescent="0.25">
      <c r="A2" s="153" t="s">
        <v>196</v>
      </c>
      <c r="B2" s="183"/>
      <c r="C2" s="183"/>
      <c r="D2" s="183"/>
      <c r="E2" s="183"/>
      <c r="F2" s="154" t="s">
        <v>165</v>
      </c>
    </row>
    <row r="3" spans="1:6" ht="15.75" x14ac:dyDescent="0.25">
      <c r="A3" s="185" t="s">
        <v>197</v>
      </c>
      <c r="B3" s="183"/>
      <c r="C3" s="183"/>
      <c r="D3" s="183"/>
      <c r="E3" s="183"/>
      <c r="F3" s="156" t="s">
        <v>168</v>
      </c>
    </row>
    <row r="4" spans="1:6" ht="15.75" x14ac:dyDescent="0.25">
      <c r="A4" s="50"/>
      <c r="B4" s="183"/>
      <c r="C4" s="183"/>
      <c r="D4" s="183"/>
      <c r="E4" s="183"/>
      <c r="F4" s="156" t="s">
        <v>198</v>
      </c>
    </row>
    <row r="5" spans="1:6" x14ac:dyDescent="0.2">
      <c r="A5" s="176"/>
      <c r="B5" s="176"/>
      <c r="C5" s="176"/>
      <c r="D5" s="176"/>
      <c r="E5" s="184"/>
      <c r="F5" s="184"/>
    </row>
    <row r="6" spans="1:6" ht="66.95" customHeight="1" x14ac:dyDescent="0.2">
      <c r="A6" s="160" t="s">
        <v>173</v>
      </c>
      <c r="B6" s="160" t="s">
        <v>174</v>
      </c>
      <c r="C6" s="161" t="s">
        <v>193</v>
      </c>
      <c r="D6" s="161" t="s">
        <v>194</v>
      </c>
      <c r="E6" s="162" t="s">
        <v>177</v>
      </c>
      <c r="F6" s="161" t="s">
        <v>178</v>
      </c>
    </row>
    <row r="7" spans="1:6" x14ac:dyDescent="0.2">
      <c r="A7" s="186">
        <v>2</v>
      </c>
      <c r="B7" s="165">
        <v>2019</v>
      </c>
      <c r="C7" s="166"/>
      <c r="D7" s="167"/>
      <c r="E7" s="168">
        <f>+D7+C7</f>
        <v>0</v>
      </c>
      <c r="F7" s="169">
        <v>0</v>
      </c>
    </row>
    <row r="8" spans="1:6" x14ac:dyDescent="0.2">
      <c r="A8" s="165">
        <v>3</v>
      </c>
      <c r="B8" s="165">
        <v>2020</v>
      </c>
      <c r="C8" s="166"/>
      <c r="D8" s="167"/>
      <c r="E8" s="168">
        <f t="shared" ref="E8:E59" si="0">+D8+C8</f>
        <v>0</v>
      </c>
      <c r="F8" s="169">
        <v>0</v>
      </c>
    </row>
    <row r="9" spans="1:6" x14ac:dyDescent="0.2">
      <c r="A9" s="165">
        <f t="shared" ref="A9:A59" si="1">A8+1</f>
        <v>4</v>
      </c>
      <c r="B9" s="165">
        <v>2021</v>
      </c>
      <c r="C9" s="166"/>
      <c r="D9" s="167"/>
      <c r="E9" s="168">
        <f t="shared" si="0"/>
        <v>0</v>
      </c>
      <c r="F9" s="169">
        <v>0</v>
      </c>
    </row>
    <row r="10" spans="1:6" x14ac:dyDescent="0.2">
      <c r="A10" s="165">
        <f t="shared" si="1"/>
        <v>5</v>
      </c>
      <c r="B10" s="165">
        <v>2022</v>
      </c>
      <c r="C10" s="166"/>
      <c r="D10" s="167"/>
      <c r="E10" s="168">
        <f t="shared" si="0"/>
        <v>0</v>
      </c>
      <c r="F10" s="169">
        <v>0</v>
      </c>
    </row>
    <row r="11" spans="1:6" x14ac:dyDescent="0.2">
      <c r="A11" s="165">
        <f t="shared" si="1"/>
        <v>6</v>
      </c>
      <c r="B11" s="165">
        <v>2023</v>
      </c>
      <c r="C11" s="166"/>
      <c r="D11" s="167">
        <v>1437050</v>
      </c>
      <c r="E11" s="168">
        <f t="shared" si="0"/>
        <v>1437050</v>
      </c>
      <c r="F11" s="169">
        <f>E11*1.025^(B11-$B$11)</f>
        <v>1437050</v>
      </c>
    </row>
    <row r="12" spans="1:6" x14ac:dyDescent="0.2">
      <c r="A12" s="165">
        <f t="shared" si="1"/>
        <v>7</v>
      </c>
      <c r="B12" s="165">
        <v>2024</v>
      </c>
      <c r="C12" s="166">
        <v>8824000</v>
      </c>
      <c r="D12" s="167">
        <v>1300050</v>
      </c>
      <c r="E12" s="168">
        <f t="shared" si="0"/>
        <v>10124050</v>
      </c>
      <c r="F12" s="169">
        <f t="shared" ref="F12:F59" si="2">E12*1.025^(B12-$B$11)</f>
        <v>10377151.25</v>
      </c>
    </row>
    <row r="13" spans="1:6" x14ac:dyDescent="0.2">
      <c r="A13" s="165">
        <f t="shared" si="1"/>
        <v>8</v>
      </c>
      <c r="B13" s="165">
        <v>2025</v>
      </c>
      <c r="C13" s="166">
        <v>11644000</v>
      </c>
      <c r="D13" s="167">
        <v>1300050</v>
      </c>
      <c r="E13" s="168">
        <f t="shared" si="0"/>
        <v>12944050</v>
      </c>
      <c r="F13" s="169">
        <f t="shared" si="2"/>
        <v>13599342.531249998</v>
      </c>
    </row>
    <row r="14" spans="1:6" x14ac:dyDescent="0.2">
      <c r="A14" s="165">
        <f t="shared" si="1"/>
        <v>9</v>
      </c>
      <c r="B14" s="165">
        <v>2026</v>
      </c>
      <c r="C14" s="166">
        <v>14454000</v>
      </c>
      <c r="D14" s="167">
        <v>1337500</v>
      </c>
      <c r="E14" s="168">
        <f t="shared" si="0"/>
        <v>15791500</v>
      </c>
      <c r="F14" s="169">
        <f t="shared" si="2"/>
        <v>17005718.304687496</v>
      </c>
    </row>
    <row r="15" spans="1:6" x14ac:dyDescent="0.2">
      <c r="A15" s="165">
        <f t="shared" si="1"/>
        <v>10</v>
      </c>
      <c r="B15" s="165">
        <v>2027</v>
      </c>
      <c r="C15" s="166"/>
      <c r="D15" s="167">
        <v>1337500</v>
      </c>
      <c r="E15" s="168">
        <f t="shared" si="0"/>
        <v>1337500</v>
      </c>
      <c r="F15" s="169">
        <f t="shared" si="2"/>
        <v>1476349.7412109373</v>
      </c>
    </row>
    <row r="16" spans="1:6" x14ac:dyDescent="0.2">
      <c r="A16" s="165">
        <f t="shared" si="1"/>
        <v>11</v>
      </c>
      <c r="B16" s="165">
        <v>2028</v>
      </c>
      <c r="C16" s="166">
        <v>9046000</v>
      </c>
      <c r="D16" s="167">
        <v>1337500</v>
      </c>
      <c r="E16" s="168">
        <f t="shared" si="0"/>
        <v>10383500</v>
      </c>
      <c r="F16" s="169">
        <f t="shared" si="2"/>
        <v>11747977.178549802</v>
      </c>
    </row>
    <row r="17" spans="1:6" x14ac:dyDescent="0.2">
      <c r="A17" s="165">
        <f t="shared" si="1"/>
        <v>12</v>
      </c>
      <c r="B17" s="165">
        <v>2029</v>
      </c>
      <c r="C17" s="166"/>
      <c r="D17" s="167">
        <v>966050</v>
      </c>
      <c r="E17" s="168">
        <f t="shared" si="0"/>
        <v>966050</v>
      </c>
      <c r="F17" s="169">
        <f t="shared" si="2"/>
        <v>1120321.8266645626</v>
      </c>
    </row>
    <row r="18" spans="1:6" x14ac:dyDescent="0.2">
      <c r="A18" s="165">
        <f t="shared" si="1"/>
        <v>13</v>
      </c>
      <c r="B18" s="165">
        <v>2030</v>
      </c>
      <c r="C18" s="166"/>
      <c r="D18" s="167">
        <v>966050</v>
      </c>
      <c r="E18" s="168">
        <f t="shared" si="0"/>
        <v>966050</v>
      </c>
      <c r="F18" s="169">
        <f t="shared" si="2"/>
        <v>1148329.8723311767</v>
      </c>
    </row>
    <row r="19" spans="1:6" x14ac:dyDescent="0.2">
      <c r="A19" s="165">
        <f t="shared" si="1"/>
        <v>14</v>
      </c>
      <c r="B19" s="165">
        <v>2031</v>
      </c>
      <c r="C19" s="166"/>
      <c r="D19" s="167">
        <v>966050</v>
      </c>
      <c r="E19" s="168">
        <f t="shared" si="0"/>
        <v>966050</v>
      </c>
      <c r="F19" s="169">
        <f t="shared" si="2"/>
        <v>1177038.119139456</v>
      </c>
    </row>
    <row r="20" spans="1:6" x14ac:dyDescent="0.2">
      <c r="A20" s="165">
        <f t="shared" si="1"/>
        <v>15</v>
      </c>
      <c r="B20" s="165">
        <v>2032</v>
      </c>
      <c r="C20" s="166"/>
      <c r="D20" s="167">
        <v>966050</v>
      </c>
      <c r="E20" s="168">
        <f t="shared" si="0"/>
        <v>966050</v>
      </c>
      <c r="F20" s="169">
        <f t="shared" si="2"/>
        <v>1206464.0721179422</v>
      </c>
    </row>
    <row r="21" spans="1:6" x14ac:dyDescent="0.2">
      <c r="A21" s="165">
        <f t="shared" si="1"/>
        <v>16</v>
      </c>
      <c r="B21" s="165">
        <v>2033</v>
      </c>
      <c r="C21" s="166"/>
      <c r="D21" s="167">
        <v>966050</v>
      </c>
      <c r="E21" s="168">
        <f t="shared" si="0"/>
        <v>966050</v>
      </c>
      <c r="F21" s="169">
        <f t="shared" si="2"/>
        <v>1236625.6739208908</v>
      </c>
    </row>
    <row r="22" spans="1:6" x14ac:dyDescent="0.2">
      <c r="A22" s="165">
        <f t="shared" si="1"/>
        <v>17</v>
      </c>
      <c r="B22" s="165">
        <v>2034</v>
      </c>
      <c r="C22" s="166"/>
      <c r="D22" s="167">
        <v>966050</v>
      </c>
      <c r="E22" s="168">
        <f t="shared" si="0"/>
        <v>966050</v>
      </c>
      <c r="F22" s="169">
        <f t="shared" si="2"/>
        <v>1267541.3157689129</v>
      </c>
    </row>
    <row r="23" spans="1:6" x14ac:dyDescent="0.2">
      <c r="A23" s="165">
        <f t="shared" si="1"/>
        <v>18</v>
      </c>
      <c r="B23" s="165">
        <v>2035</v>
      </c>
      <c r="C23" s="166"/>
      <c r="D23" s="167">
        <v>966050</v>
      </c>
      <c r="E23" s="168">
        <f t="shared" si="0"/>
        <v>966050</v>
      </c>
      <c r="F23" s="169">
        <f t="shared" si="2"/>
        <v>1299229.8486631357</v>
      </c>
    </row>
    <row r="24" spans="1:6" x14ac:dyDescent="0.2">
      <c r="A24" s="165">
        <f t="shared" si="1"/>
        <v>19</v>
      </c>
      <c r="B24" s="165">
        <v>2036</v>
      </c>
      <c r="C24" s="166"/>
      <c r="D24" s="167">
        <v>966050</v>
      </c>
      <c r="E24" s="168">
        <f t="shared" si="0"/>
        <v>966050</v>
      </c>
      <c r="F24" s="169">
        <f t="shared" si="2"/>
        <v>1331710.5948797141</v>
      </c>
    </row>
    <row r="25" spans="1:6" x14ac:dyDescent="0.2">
      <c r="A25" s="165">
        <f t="shared" si="1"/>
        <v>20</v>
      </c>
      <c r="B25" s="165">
        <v>2037</v>
      </c>
      <c r="C25" s="166"/>
      <c r="D25" s="167">
        <v>966050</v>
      </c>
      <c r="E25" s="168">
        <f t="shared" si="0"/>
        <v>966050</v>
      </c>
      <c r="F25" s="169">
        <f t="shared" si="2"/>
        <v>1365003.3597517067</v>
      </c>
    </row>
    <row r="26" spans="1:6" x14ac:dyDescent="0.2">
      <c r="A26" s="165">
        <f t="shared" si="1"/>
        <v>21</v>
      </c>
      <c r="B26" s="165">
        <v>2038</v>
      </c>
      <c r="C26" s="166"/>
      <c r="D26" s="167">
        <v>966050</v>
      </c>
      <c r="E26" s="168">
        <f t="shared" si="0"/>
        <v>966050</v>
      </c>
      <c r="F26" s="169">
        <f t="shared" si="2"/>
        <v>1399128.4437454997</v>
      </c>
    </row>
    <row r="27" spans="1:6" x14ac:dyDescent="0.2">
      <c r="A27" s="165">
        <f t="shared" si="1"/>
        <v>22</v>
      </c>
      <c r="B27" s="165">
        <v>2039</v>
      </c>
      <c r="C27" s="166"/>
      <c r="D27" s="167">
        <v>966050</v>
      </c>
      <c r="E27" s="168">
        <f t="shared" si="0"/>
        <v>966050</v>
      </c>
      <c r="F27" s="169">
        <f t="shared" si="2"/>
        <v>1434106.6548391371</v>
      </c>
    </row>
    <row r="28" spans="1:6" x14ac:dyDescent="0.2">
      <c r="A28" s="165">
        <f t="shared" si="1"/>
        <v>23</v>
      </c>
      <c r="B28" s="165">
        <v>2040</v>
      </c>
      <c r="C28" s="166">
        <v>1440000</v>
      </c>
      <c r="D28" s="167">
        <v>2466050</v>
      </c>
      <c r="E28" s="168">
        <f t="shared" si="0"/>
        <v>3906050</v>
      </c>
      <c r="F28" s="169">
        <f t="shared" si="2"/>
        <v>5943517.0090707215</v>
      </c>
    </row>
    <row r="29" spans="1:6" x14ac:dyDescent="0.2">
      <c r="A29" s="165">
        <f t="shared" si="1"/>
        <v>24</v>
      </c>
      <c r="B29" s="165">
        <v>2041</v>
      </c>
      <c r="C29" s="166">
        <v>8063000</v>
      </c>
      <c r="D29" s="167">
        <v>2466050</v>
      </c>
      <c r="E29" s="168">
        <f t="shared" si="0"/>
        <v>10529050</v>
      </c>
      <c r="F29" s="169">
        <f t="shared" si="2"/>
        <v>16421724.621667666</v>
      </c>
    </row>
    <row r="30" spans="1:6" x14ac:dyDescent="0.2">
      <c r="A30" s="165">
        <f t="shared" si="1"/>
        <v>25</v>
      </c>
      <c r="B30" s="165">
        <v>2042</v>
      </c>
      <c r="C30" s="166"/>
      <c r="D30" s="167">
        <v>2493550</v>
      </c>
      <c r="E30" s="168">
        <f t="shared" si="0"/>
        <v>2493550</v>
      </c>
      <c r="F30" s="169">
        <f t="shared" si="2"/>
        <v>3986314.1704254793</v>
      </c>
    </row>
    <row r="31" spans="1:6" x14ac:dyDescent="0.2">
      <c r="A31" s="165">
        <f t="shared" si="1"/>
        <v>26</v>
      </c>
      <c r="B31" s="165">
        <v>2043</v>
      </c>
      <c r="C31" s="166"/>
      <c r="D31" s="167">
        <v>2493550</v>
      </c>
      <c r="E31" s="168">
        <f t="shared" si="0"/>
        <v>2493550</v>
      </c>
      <c r="F31" s="169">
        <f t="shared" si="2"/>
        <v>4085972.0246861158</v>
      </c>
    </row>
    <row r="32" spans="1:6" x14ac:dyDescent="0.2">
      <c r="A32" s="165">
        <f t="shared" si="1"/>
        <v>27</v>
      </c>
      <c r="B32" s="165">
        <v>2044</v>
      </c>
      <c r="C32" s="166"/>
      <c r="D32" s="167">
        <v>2493550</v>
      </c>
      <c r="E32" s="168">
        <f t="shared" si="0"/>
        <v>2493550</v>
      </c>
      <c r="F32" s="169">
        <f t="shared" si="2"/>
        <v>4188121.3253032682</v>
      </c>
    </row>
    <row r="33" spans="1:6" x14ac:dyDescent="0.2">
      <c r="A33" s="165">
        <f t="shared" si="1"/>
        <v>28</v>
      </c>
      <c r="B33" s="165">
        <v>2045</v>
      </c>
      <c r="C33" s="166"/>
      <c r="D33" s="167">
        <v>2493550</v>
      </c>
      <c r="E33" s="168">
        <f t="shared" si="0"/>
        <v>2493550</v>
      </c>
      <c r="F33" s="169">
        <f t="shared" si="2"/>
        <v>4292824.3584358497</v>
      </c>
    </row>
    <row r="34" spans="1:6" x14ac:dyDescent="0.2">
      <c r="A34" s="165">
        <f t="shared" si="1"/>
        <v>29</v>
      </c>
      <c r="B34" s="165">
        <v>2046</v>
      </c>
      <c r="C34" s="166"/>
      <c r="D34" s="167">
        <v>2493550</v>
      </c>
      <c r="E34" s="168">
        <f t="shared" si="0"/>
        <v>2493550</v>
      </c>
      <c r="F34" s="169">
        <f t="shared" si="2"/>
        <v>4400144.9673967464</v>
      </c>
    </row>
    <row r="35" spans="1:6" x14ac:dyDescent="0.2">
      <c r="A35" s="165">
        <f t="shared" si="1"/>
        <v>30</v>
      </c>
      <c r="B35" s="165">
        <v>2047</v>
      </c>
      <c r="C35" s="166"/>
      <c r="D35" s="167">
        <v>2493550</v>
      </c>
      <c r="E35" s="168">
        <f t="shared" si="0"/>
        <v>2493550</v>
      </c>
      <c r="F35" s="169">
        <f t="shared" si="2"/>
        <v>4510148.591581665</v>
      </c>
    </row>
    <row r="36" spans="1:6" x14ac:dyDescent="0.2">
      <c r="A36" s="165">
        <f t="shared" si="1"/>
        <v>31</v>
      </c>
      <c r="B36" s="165">
        <v>2048</v>
      </c>
      <c r="C36" s="166"/>
      <c r="D36" s="167">
        <v>2482000</v>
      </c>
      <c r="E36" s="168">
        <f t="shared" si="0"/>
        <v>2482000</v>
      </c>
      <c r="F36" s="169">
        <f t="shared" si="2"/>
        <v>4601489.2520355843</v>
      </c>
    </row>
    <row r="37" spans="1:6" x14ac:dyDescent="0.2">
      <c r="A37" s="165">
        <f t="shared" si="1"/>
        <v>32</v>
      </c>
      <c r="B37" s="165">
        <v>2049</v>
      </c>
      <c r="C37" s="166"/>
      <c r="D37" s="167">
        <v>1682000</v>
      </c>
      <c r="E37" s="168">
        <f t="shared" si="0"/>
        <v>1682000</v>
      </c>
      <c r="F37" s="169">
        <f t="shared" si="2"/>
        <v>3196292.3227123083</v>
      </c>
    </row>
    <row r="38" spans="1:6" x14ac:dyDescent="0.2">
      <c r="A38" s="165">
        <f t="shared" si="1"/>
        <v>33</v>
      </c>
      <c r="B38" s="165">
        <v>2050</v>
      </c>
      <c r="C38" s="166"/>
      <c r="D38" s="167">
        <v>1682000</v>
      </c>
      <c r="E38" s="168">
        <f t="shared" si="0"/>
        <v>1682000</v>
      </c>
      <c r="F38" s="169">
        <f t="shared" si="2"/>
        <v>3276199.6307801157</v>
      </c>
    </row>
    <row r="39" spans="1:6" x14ac:dyDescent="0.2">
      <c r="A39" s="165">
        <f t="shared" si="1"/>
        <v>34</v>
      </c>
      <c r="B39" s="165">
        <v>2051</v>
      </c>
      <c r="C39" s="166">
        <v>150000</v>
      </c>
      <c r="D39" s="167">
        <v>315100</v>
      </c>
      <c r="E39" s="168">
        <f t="shared" si="0"/>
        <v>465100</v>
      </c>
      <c r="F39" s="169">
        <f t="shared" si="2"/>
        <v>928569.83322397596</v>
      </c>
    </row>
    <row r="40" spans="1:6" x14ac:dyDescent="0.2">
      <c r="A40" s="165">
        <f t="shared" si="1"/>
        <v>35</v>
      </c>
      <c r="B40" s="165">
        <v>2052</v>
      </c>
      <c r="C40" s="166"/>
      <c r="D40" s="167">
        <v>295500</v>
      </c>
      <c r="E40" s="168">
        <f t="shared" si="0"/>
        <v>295500</v>
      </c>
      <c r="F40" s="169">
        <f t="shared" si="2"/>
        <v>604713.3849938229</v>
      </c>
    </row>
    <row r="41" spans="1:6" x14ac:dyDescent="0.2">
      <c r="A41" s="165">
        <f t="shared" si="1"/>
        <v>36</v>
      </c>
      <c r="B41" s="165">
        <v>2053</v>
      </c>
      <c r="C41" s="166"/>
      <c r="D41" s="167">
        <v>318500</v>
      </c>
      <c r="E41" s="168">
        <f t="shared" si="0"/>
        <v>318500</v>
      </c>
      <c r="F41" s="169">
        <f t="shared" si="2"/>
        <v>668075.27393754944</v>
      </c>
    </row>
    <row r="42" spans="1:6" x14ac:dyDescent="0.2">
      <c r="A42" s="165">
        <f t="shared" si="1"/>
        <v>37</v>
      </c>
      <c r="B42" s="165">
        <v>2054</v>
      </c>
      <c r="C42" s="166">
        <v>839200</v>
      </c>
      <c r="D42" s="167">
        <v>93500</v>
      </c>
      <c r="E42" s="168">
        <f t="shared" si="0"/>
        <v>932700</v>
      </c>
      <c r="F42" s="169">
        <f t="shared" si="2"/>
        <v>2005311.3130348239</v>
      </c>
    </row>
    <row r="43" spans="1:6" x14ac:dyDescent="0.2">
      <c r="A43" s="165">
        <f t="shared" si="1"/>
        <v>38</v>
      </c>
      <c r="B43" s="165">
        <v>2055</v>
      </c>
      <c r="C43" s="166"/>
      <c r="D43" s="167">
        <v>93500</v>
      </c>
      <c r="E43" s="168">
        <f t="shared" si="0"/>
        <v>93500</v>
      </c>
      <c r="F43" s="169">
        <f t="shared" si="2"/>
        <v>206051.27368175716</v>
      </c>
    </row>
    <row r="44" spans="1:6" x14ac:dyDescent="0.2">
      <c r="A44" s="165">
        <f t="shared" si="1"/>
        <v>39</v>
      </c>
      <c r="B44" s="165">
        <v>2056</v>
      </c>
      <c r="C44" s="166"/>
      <c r="D44" s="167">
        <v>56050</v>
      </c>
      <c r="E44" s="168">
        <f t="shared" si="0"/>
        <v>56050</v>
      </c>
      <c r="F44" s="169">
        <f t="shared" si="2"/>
        <v>126608.59077121978</v>
      </c>
    </row>
    <row r="45" spans="1:6" x14ac:dyDescent="0.2">
      <c r="A45" s="165">
        <f t="shared" si="1"/>
        <v>40</v>
      </c>
      <c r="B45" s="165">
        <v>2057</v>
      </c>
      <c r="C45" s="166"/>
      <c r="D45" s="167">
        <v>56050</v>
      </c>
      <c r="E45" s="168">
        <f t="shared" si="0"/>
        <v>56050</v>
      </c>
      <c r="F45" s="169">
        <f t="shared" si="2"/>
        <v>129773.80554050027</v>
      </c>
    </row>
    <row r="46" spans="1:6" x14ac:dyDescent="0.2">
      <c r="A46" s="165">
        <f t="shared" si="1"/>
        <v>41</v>
      </c>
      <c r="B46" s="165">
        <v>2058</v>
      </c>
      <c r="C46" s="166"/>
      <c r="D46" s="167">
        <v>56050</v>
      </c>
      <c r="E46" s="168">
        <f t="shared" si="0"/>
        <v>56050</v>
      </c>
      <c r="F46" s="169">
        <f t="shared" si="2"/>
        <v>133018.15067901276</v>
      </c>
    </row>
    <row r="47" spans="1:6" x14ac:dyDescent="0.2">
      <c r="A47" s="165">
        <f t="shared" si="1"/>
        <v>42</v>
      </c>
      <c r="B47" s="165">
        <v>2059</v>
      </c>
      <c r="C47" s="166"/>
      <c r="D47" s="167">
        <v>27500</v>
      </c>
      <c r="E47" s="168">
        <f t="shared" si="0"/>
        <v>27500</v>
      </c>
      <c r="F47" s="169">
        <f t="shared" si="2"/>
        <v>66894.721182242152</v>
      </c>
    </row>
    <row r="48" spans="1:6" x14ac:dyDescent="0.2">
      <c r="A48" s="165">
        <f t="shared" si="1"/>
        <v>43</v>
      </c>
      <c r="B48" s="165">
        <v>2060</v>
      </c>
      <c r="C48" s="166"/>
      <c r="D48" s="167">
        <v>27500</v>
      </c>
      <c r="E48" s="168">
        <f t="shared" si="0"/>
        <v>27500</v>
      </c>
      <c r="F48" s="169">
        <f t="shared" si="2"/>
        <v>68567.0892117982</v>
      </c>
    </row>
    <row r="49" spans="1:6" x14ac:dyDescent="0.2">
      <c r="A49" s="165">
        <f t="shared" si="1"/>
        <v>44</v>
      </c>
      <c r="B49" s="165">
        <v>2061</v>
      </c>
      <c r="C49" s="166"/>
      <c r="D49" s="167">
        <v>27500</v>
      </c>
      <c r="E49" s="168">
        <f t="shared" si="0"/>
        <v>27500</v>
      </c>
      <c r="F49" s="169">
        <f t="shared" si="2"/>
        <v>70281.26644209314</v>
      </c>
    </row>
    <row r="50" spans="1:6" x14ac:dyDescent="0.2">
      <c r="A50" s="165">
        <f t="shared" si="1"/>
        <v>45</v>
      </c>
      <c r="B50" s="165">
        <v>2062</v>
      </c>
      <c r="C50" s="166"/>
      <c r="D50" s="167">
        <v>27500</v>
      </c>
      <c r="E50" s="168">
        <f t="shared" si="0"/>
        <v>27500</v>
      </c>
      <c r="F50" s="169">
        <f t="shared" si="2"/>
        <v>72038.298103145469</v>
      </c>
    </row>
    <row r="51" spans="1:6" x14ac:dyDescent="0.2">
      <c r="A51" s="165">
        <f t="shared" si="1"/>
        <v>46</v>
      </c>
      <c r="B51" s="165">
        <v>2063</v>
      </c>
      <c r="C51" s="166"/>
      <c r="D51" s="167">
        <v>27500</v>
      </c>
      <c r="E51" s="168">
        <f t="shared" si="0"/>
        <v>27500</v>
      </c>
      <c r="F51" s="169">
        <f t="shared" si="2"/>
        <v>73839.255555724099</v>
      </c>
    </row>
    <row r="52" spans="1:6" x14ac:dyDescent="0.2">
      <c r="A52" s="165">
        <f t="shared" si="1"/>
        <v>47</v>
      </c>
      <c r="B52" s="165">
        <v>2064</v>
      </c>
      <c r="C52" s="166"/>
      <c r="D52" s="167">
        <v>27500</v>
      </c>
      <c r="E52" s="168">
        <f t="shared" si="0"/>
        <v>27500</v>
      </c>
      <c r="F52" s="169">
        <f t="shared" si="2"/>
        <v>75685.236944617194</v>
      </c>
    </row>
    <row r="53" spans="1:6" x14ac:dyDescent="0.2">
      <c r="A53" s="165">
        <f t="shared" si="1"/>
        <v>48</v>
      </c>
      <c r="B53" s="165">
        <v>2065</v>
      </c>
      <c r="C53" s="166"/>
      <c r="D53" s="167">
        <v>27500</v>
      </c>
      <c r="E53" s="168">
        <f t="shared" si="0"/>
        <v>27500</v>
      </c>
      <c r="F53" s="169">
        <f t="shared" si="2"/>
        <v>77577.367868232628</v>
      </c>
    </row>
    <row r="54" spans="1:6" x14ac:dyDescent="0.2">
      <c r="A54" s="165">
        <f t="shared" si="1"/>
        <v>49</v>
      </c>
      <c r="B54" s="165">
        <v>2066</v>
      </c>
      <c r="C54" s="166"/>
      <c r="D54" s="167">
        <v>27500</v>
      </c>
      <c r="E54" s="168">
        <f t="shared" si="0"/>
        <v>27500</v>
      </c>
      <c r="F54" s="169">
        <f t="shared" si="2"/>
        <v>79516.802064938442</v>
      </c>
    </row>
    <row r="55" spans="1:6" x14ac:dyDescent="0.2">
      <c r="A55" s="165">
        <f t="shared" si="1"/>
        <v>50</v>
      </c>
      <c r="B55" s="165">
        <v>2067</v>
      </c>
      <c r="C55" s="166"/>
      <c r="D55" s="167">
        <v>27500</v>
      </c>
      <c r="E55" s="168">
        <f t="shared" si="0"/>
        <v>27500</v>
      </c>
      <c r="F55" s="169">
        <f t="shared" si="2"/>
        <v>81504.722116561883</v>
      </c>
    </row>
    <row r="56" spans="1:6" x14ac:dyDescent="0.2">
      <c r="A56" s="165">
        <f t="shared" si="1"/>
        <v>51</v>
      </c>
      <c r="B56" s="165">
        <v>2068</v>
      </c>
      <c r="C56" s="166"/>
      <c r="D56" s="167">
        <v>27500</v>
      </c>
      <c r="E56" s="168">
        <f t="shared" si="0"/>
        <v>27500</v>
      </c>
      <c r="F56" s="169">
        <f t="shared" si="2"/>
        <v>83542.340169475938</v>
      </c>
    </row>
    <row r="57" spans="1:6" x14ac:dyDescent="0.2">
      <c r="A57" s="165">
        <f t="shared" si="1"/>
        <v>52</v>
      </c>
      <c r="B57" s="165">
        <v>2069</v>
      </c>
      <c r="C57" s="166"/>
      <c r="D57" s="167">
        <v>27500</v>
      </c>
      <c r="E57" s="168">
        <f t="shared" si="0"/>
        <v>27500</v>
      </c>
      <c r="F57" s="169">
        <f t="shared" si="2"/>
        <v>85630.898673712814</v>
      </c>
    </row>
    <row r="58" spans="1:6" x14ac:dyDescent="0.2">
      <c r="A58" s="165">
        <f t="shared" si="1"/>
        <v>53</v>
      </c>
      <c r="B58" s="165">
        <v>2070</v>
      </c>
      <c r="C58" s="166"/>
      <c r="D58" s="167">
        <v>27500</v>
      </c>
      <c r="E58" s="168">
        <f t="shared" si="0"/>
        <v>27500</v>
      </c>
      <c r="F58" s="169">
        <f t="shared" si="2"/>
        <v>87771.671140555656</v>
      </c>
    </row>
    <row r="59" spans="1:6" x14ac:dyDescent="0.2">
      <c r="A59" s="165">
        <f t="shared" si="1"/>
        <v>54</v>
      </c>
      <c r="B59" s="165">
        <v>2071</v>
      </c>
      <c r="C59" s="166"/>
      <c r="D59" s="167">
        <v>27500</v>
      </c>
      <c r="E59" s="168">
        <f t="shared" si="0"/>
        <v>27500</v>
      </c>
      <c r="F59" s="169">
        <f t="shared" si="2"/>
        <v>89965.962919069541</v>
      </c>
    </row>
    <row r="60" spans="1:6" x14ac:dyDescent="0.2">
      <c r="A60" s="165"/>
      <c r="B60" s="171" t="s">
        <v>91</v>
      </c>
      <c r="C60" s="172">
        <f>SUM(C7:C59)</f>
        <v>54460200</v>
      </c>
      <c r="D60" s="172">
        <f>SUM(D7:D59)</f>
        <v>46057350</v>
      </c>
      <c r="E60" s="172">
        <f>SUM(E7:E59)</f>
        <v>100517550</v>
      </c>
      <c r="F60" s="172">
        <f>SUM(F7:F59)</f>
        <v>134346774.31987068</v>
      </c>
    </row>
    <row r="61" spans="1:6" x14ac:dyDescent="0.2">
      <c r="A61" s="176"/>
      <c r="B61" s="177"/>
      <c r="C61" s="50"/>
      <c r="D61" s="30"/>
      <c r="E61" s="50"/>
      <c r="F61" s="50"/>
    </row>
    <row r="62" spans="1:6" x14ac:dyDescent="0.2">
      <c r="A62" s="176"/>
      <c r="B62" s="177"/>
      <c r="C62" s="50" t="s">
        <v>187</v>
      </c>
      <c r="D62" s="179">
        <v>0.25</v>
      </c>
      <c r="E62" s="172">
        <f>+$D62*E60</f>
        <v>25129387.5</v>
      </c>
      <c r="F62" s="172">
        <f>+$D62*F60</f>
        <v>33586693.57996767</v>
      </c>
    </row>
    <row r="63" spans="1:6" x14ac:dyDescent="0.2">
      <c r="F63" s="86"/>
    </row>
  </sheetData>
  <printOptions horizontalCentered="1"/>
  <pageMargins left="0.25" right="0.25" top="0.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30" sqref="C30"/>
    </sheetView>
  </sheetViews>
  <sheetFormatPr defaultColWidth="8.85546875" defaultRowHeight="15.75" x14ac:dyDescent="0.25"/>
  <cols>
    <col min="1" max="1" width="7.5703125" style="200" customWidth="1"/>
    <col min="2" max="2" width="43.42578125" style="200" bestFit="1" customWidth="1"/>
    <col min="3" max="3" width="15.85546875" style="200" bestFit="1" customWidth="1"/>
    <col min="4" max="4" width="1.7109375" style="200" bestFit="1" customWidth="1"/>
    <col min="5" max="16384" width="8.85546875" style="200"/>
  </cols>
  <sheetData>
    <row r="1" spans="1:5" x14ac:dyDescent="0.25">
      <c r="A1" s="200" t="s">
        <v>307</v>
      </c>
    </row>
    <row r="2" spans="1:5" x14ac:dyDescent="0.25">
      <c r="A2" s="200" t="s">
        <v>308</v>
      </c>
    </row>
    <row r="4" spans="1:5" x14ac:dyDescent="0.25">
      <c r="C4" s="207" t="s">
        <v>229</v>
      </c>
    </row>
    <row r="5" spans="1:5" x14ac:dyDescent="0.25">
      <c r="A5" s="3" t="s">
        <v>1</v>
      </c>
      <c r="B5" s="3" t="s">
        <v>2</v>
      </c>
      <c r="C5" s="208">
        <v>45107</v>
      </c>
    </row>
    <row r="6" spans="1:5" x14ac:dyDescent="0.25">
      <c r="A6" s="2"/>
      <c r="B6" s="4" t="s">
        <v>248</v>
      </c>
      <c r="C6" s="2"/>
    </row>
    <row r="7" spans="1:5" x14ac:dyDescent="0.25">
      <c r="B7" s="200" t="s">
        <v>249</v>
      </c>
    </row>
    <row r="8" spans="1:5" x14ac:dyDescent="0.25">
      <c r="A8" s="205">
        <f>ROW()</f>
        <v>8</v>
      </c>
      <c r="B8" s="200" t="s">
        <v>234</v>
      </c>
      <c r="C8" s="7">
        <f>'D&amp;R Summary'!C13</f>
        <v>198683479.65450653</v>
      </c>
    </row>
    <row r="9" spans="1:5" x14ac:dyDescent="0.25">
      <c r="A9" s="205">
        <f>ROW()</f>
        <v>9</v>
      </c>
      <c r="B9" s="200" t="s">
        <v>231</v>
      </c>
      <c r="C9" s="8">
        <f>'GL Balances'!C4</f>
        <v>-95934500</v>
      </c>
    </row>
    <row r="10" spans="1:5" x14ac:dyDescent="0.25">
      <c r="A10" s="205">
        <f>ROW()</f>
        <v>10</v>
      </c>
      <c r="B10" s="200" t="s">
        <v>243</v>
      </c>
      <c r="C10" s="11">
        <f>SUM(C8:C9)</f>
        <v>102748979.65450653</v>
      </c>
    </row>
    <row r="11" spans="1:5" x14ac:dyDescent="0.25">
      <c r="C11" s="11"/>
    </row>
    <row r="12" spans="1:5" x14ac:dyDescent="0.25">
      <c r="B12" s="200" t="s">
        <v>27</v>
      </c>
      <c r="C12" s="47"/>
    </row>
    <row r="13" spans="1:5" x14ac:dyDescent="0.25">
      <c r="A13" s="205">
        <f>ROW()</f>
        <v>13</v>
      </c>
      <c r="B13" s="200" t="s">
        <v>230</v>
      </c>
      <c r="C13" s="7">
        <f>'D&amp;R Summary'!D13</f>
        <v>92955565.6370956</v>
      </c>
    </row>
    <row r="14" spans="1:5" x14ac:dyDescent="0.25">
      <c r="A14" s="205">
        <f>ROW()</f>
        <v>14</v>
      </c>
      <c r="B14" s="200" t="s">
        <v>231</v>
      </c>
      <c r="C14" s="8">
        <f>'Colstrip Plant Balances'!D17</f>
        <v>-30238835.41</v>
      </c>
    </row>
    <row r="15" spans="1:5" x14ac:dyDescent="0.25">
      <c r="A15" s="205">
        <f>ROW()</f>
        <v>15</v>
      </c>
      <c r="B15" s="200" t="s">
        <v>232</v>
      </c>
      <c r="C15" s="8">
        <f>'3&amp;4 Accr Detail - PP'!B14</f>
        <v>-8786282.2699999996</v>
      </c>
    </row>
    <row r="16" spans="1:5" x14ac:dyDescent="0.25">
      <c r="A16" s="205">
        <f>ROW()</f>
        <v>16</v>
      </c>
      <c r="B16" s="200" t="s">
        <v>233</v>
      </c>
      <c r="C16" s="8">
        <f>'Colstrip Plant Balances'!F16</f>
        <v>9196701.4688480645</v>
      </c>
      <c r="D16" s="299">
        <f>'Revenue Requirement'!C23-SUM(C14:C16)</f>
        <v>0</v>
      </c>
      <c r="E16" s="300" t="s">
        <v>327</v>
      </c>
    </row>
    <row r="17" spans="1:3" x14ac:dyDescent="0.25">
      <c r="A17" s="205">
        <f>ROW()</f>
        <v>17</v>
      </c>
      <c r="B17" s="200" t="s">
        <v>244</v>
      </c>
      <c r="C17" s="48">
        <f>SUM(C13:C16)</f>
        <v>63127149.425943673</v>
      </c>
    </row>
    <row r="19" spans="1:3" ht="16.5" thickBot="1" x14ac:dyDescent="0.3">
      <c r="A19" s="205">
        <f>ROW()</f>
        <v>19</v>
      </c>
      <c r="B19" s="201" t="s">
        <v>235</v>
      </c>
      <c r="C19" s="203">
        <f>C17+C10</f>
        <v>165876129.08045021</v>
      </c>
    </row>
    <row r="20" spans="1:3" ht="16.5" thickTop="1" x14ac:dyDescent="0.25">
      <c r="C20" s="202"/>
    </row>
    <row r="21" spans="1:3" x14ac:dyDescent="0.25">
      <c r="B21" s="201" t="s">
        <v>236</v>
      </c>
    </row>
    <row r="22" spans="1:3" ht="16.5" thickBot="1" x14ac:dyDescent="0.3">
      <c r="A22" s="205">
        <f>ROW()</f>
        <v>22</v>
      </c>
      <c r="B22" s="201" t="s">
        <v>237</v>
      </c>
      <c r="C22" s="203">
        <f>SUM('Revenue Requirement'!C13:C14)+SUM('Revenue Requirement'!C29:C31)</f>
        <v>-141621929.32000002</v>
      </c>
    </row>
    <row r="23" spans="1:3" ht="16.5" thickTop="1" x14ac:dyDescent="0.25">
      <c r="C23" s="202"/>
    </row>
    <row r="24" spans="1:3" x14ac:dyDescent="0.25">
      <c r="B24" s="201" t="s">
        <v>238</v>
      </c>
    </row>
    <row r="25" spans="1:3" x14ac:dyDescent="0.25">
      <c r="A25" s="205">
        <f>ROW()</f>
        <v>25</v>
      </c>
      <c r="B25" s="200" t="s">
        <v>239</v>
      </c>
      <c r="C25" s="8">
        <f>'GL Balances'!C3</f>
        <v>-102557.17</v>
      </c>
    </row>
    <row r="26" spans="1:3" x14ac:dyDescent="0.25">
      <c r="A26" s="205">
        <f>ROW()</f>
        <v>26</v>
      </c>
      <c r="B26" s="200" t="s">
        <v>240</v>
      </c>
      <c r="C26" s="8">
        <f>'GL Balances'!C2</f>
        <v>-117565.55</v>
      </c>
    </row>
    <row r="27" spans="1:3" x14ac:dyDescent="0.25">
      <c r="A27" s="205">
        <f>ROW()</f>
        <v>27</v>
      </c>
      <c r="B27" s="201" t="s">
        <v>245</v>
      </c>
      <c r="C27" s="206">
        <f>SUM(C25:C26)</f>
        <v>-220122.72</v>
      </c>
    </row>
    <row r="29" spans="1:3" x14ac:dyDescent="0.25">
      <c r="A29" s="205">
        <f>ROW()</f>
        <v>29</v>
      </c>
    </row>
    <row r="30" spans="1:3" ht="16.5" thickBot="1" x14ac:dyDescent="0.3">
      <c r="B30" s="201" t="s">
        <v>246</v>
      </c>
      <c r="C30" s="203">
        <f>C19+C22+C27</f>
        <v>24034077.040450186</v>
      </c>
    </row>
    <row r="31" spans="1:3" ht="16.5" thickTop="1" x14ac:dyDescent="0.25"/>
    <row r="32" spans="1:3" x14ac:dyDescent="0.25">
      <c r="A32" s="205">
        <f>ROW()</f>
        <v>32</v>
      </c>
      <c r="B32" s="200" t="s">
        <v>241</v>
      </c>
      <c r="C32" s="200">
        <v>27</v>
      </c>
    </row>
    <row r="33" spans="1:3" x14ac:dyDescent="0.25">
      <c r="A33" s="205">
        <f>ROW()</f>
        <v>33</v>
      </c>
      <c r="B33" s="200" t="s">
        <v>242</v>
      </c>
      <c r="C33" s="200">
        <v>2.5</v>
      </c>
    </row>
    <row r="35" spans="1:3" ht="16.5" thickBot="1" x14ac:dyDescent="0.3">
      <c r="A35" s="205">
        <f>ROW()</f>
        <v>35</v>
      </c>
      <c r="B35" s="201" t="s">
        <v>330</v>
      </c>
      <c r="C35" s="203">
        <f>C30/C32</f>
        <v>890151.00149815506</v>
      </c>
    </row>
    <row r="36" spans="1:3" ht="16.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1" sqref="D11"/>
    </sheetView>
  </sheetViews>
  <sheetFormatPr defaultColWidth="9.140625" defaultRowHeight="15" x14ac:dyDescent="0.25"/>
  <cols>
    <col min="1" max="1" width="12.42578125" style="19" bestFit="1" customWidth="1"/>
    <col min="2" max="2" width="16.85546875" style="19" bestFit="1" customWidth="1"/>
    <col min="3" max="3" width="14.85546875" style="19" bestFit="1" customWidth="1"/>
    <col min="4" max="4" width="13.85546875" style="19" bestFit="1" customWidth="1"/>
    <col min="5" max="5" width="12.140625" style="19" bestFit="1" customWidth="1"/>
    <col min="6" max="6" width="12.42578125" style="19" bestFit="1" customWidth="1"/>
    <col min="7" max="7" width="1.85546875" style="19" customWidth="1"/>
    <col min="8" max="8" width="15.85546875" style="19" bestFit="1" customWidth="1"/>
    <col min="9" max="9" width="12.42578125" style="19" bestFit="1" customWidth="1"/>
    <col min="10" max="10" width="13.140625" style="19" bestFit="1" customWidth="1"/>
    <col min="11" max="11" width="15.42578125" style="19" customWidth="1"/>
    <col min="12" max="12" width="12.42578125" style="19" bestFit="1" customWidth="1"/>
    <col min="13" max="16384" width="9.140625" style="19"/>
  </cols>
  <sheetData>
    <row r="1" spans="1:6" x14ac:dyDescent="0.25">
      <c r="C1" s="20">
        <v>45107</v>
      </c>
      <c r="D1" s="21"/>
      <c r="E1" s="21"/>
      <c r="F1" s="21"/>
    </row>
    <row r="2" spans="1:6" ht="45" x14ac:dyDescent="0.25">
      <c r="A2" s="280" t="s">
        <v>18</v>
      </c>
      <c r="B2" s="22"/>
      <c r="C2" s="23" t="s">
        <v>19</v>
      </c>
      <c r="D2" s="23" t="s">
        <v>4</v>
      </c>
      <c r="E2" s="23" t="s">
        <v>20</v>
      </c>
      <c r="F2" s="23" t="s">
        <v>21</v>
      </c>
    </row>
    <row r="3" spans="1:6" x14ac:dyDescent="0.25">
      <c r="A3" s="280"/>
      <c r="B3" s="22" t="s">
        <v>22</v>
      </c>
      <c r="C3" s="24">
        <v>274661976.50999999</v>
      </c>
      <c r="D3" s="24">
        <v>-233807925.39531615</v>
      </c>
      <c r="E3" s="24">
        <v>-11105363.594521381</v>
      </c>
      <c r="F3" s="24">
        <f t="shared" ref="F3:F5" si="0">SUM(C3:E3)</f>
        <v>29748687.520162456</v>
      </c>
    </row>
    <row r="4" spans="1:6" x14ac:dyDescent="0.25">
      <c r="A4" s="280"/>
      <c r="B4" s="22" t="s">
        <v>23</v>
      </c>
      <c r="C4" s="24">
        <v>0</v>
      </c>
      <c r="D4" s="24">
        <v>4358902.1086496338</v>
      </c>
      <c r="E4" s="24">
        <v>0</v>
      </c>
      <c r="F4" s="24">
        <f t="shared" si="0"/>
        <v>4358902.1086496338</v>
      </c>
    </row>
    <row r="5" spans="1:6" x14ac:dyDescent="0.25">
      <c r="A5" s="280"/>
      <c r="B5" s="22" t="s">
        <v>24</v>
      </c>
      <c r="C5" s="24">
        <v>21752641.640000001</v>
      </c>
      <c r="D5" s="24">
        <v>-15119417.705</v>
      </c>
      <c r="E5" s="24">
        <v>0</v>
      </c>
      <c r="F5" s="24">
        <f t="shared" si="0"/>
        <v>6633223.9350000005</v>
      </c>
    </row>
    <row r="6" spans="1:6" x14ac:dyDescent="0.25">
      <c r="A6" s="280"/>
      <c r="B6" s="25" t="s">
        <v>25</v>
      </c>
      <c r="C6" s="24">
        <f t="shared" ref="C6:F6" si="1">SUM(C3:C5)</f>
        <v>296414618.14999998</v>
      </c>
      <c r="D6" s="24">
        <f t="shared" si="1"/>
        <v>-244568440.99166653</v>
      </c>
      <c r="E6" s="24">
        <f t="shared" si="1"/>
        <v>-11105363.594521381</v>
      </c>
      <c r="F6" s="24">
        <f t="shared" si="1"/>
        <v>40740813.563812092</v>
      </c>
    </row>
    <row r="7" spans="1:6" x14ac:dyDescent="0.25">
      <c r="A7" s="280"/>
      <c r="C7" s="26"/>
      <c r="D7" s="26"/>
      <c r="E7" s="26"/>
      <c r="F7" s="26"/>
    </row>
    <row r="8" spans="1:6" ht="45" x14ac:dyDescent="0.25">
      <c r="A8" s="280" t="s">
        <v>26</v>
      </c>
      <c r="B8" s="22"/>
      <c r="C8" s="27" t="s">
        <v>19</v>
      </c>
      <c r="D8" s="27" t="s">
        <v>4</v>
      </c>
      <c r="E8" s="27" t="s">
        <v>20</v>
      </c>
      <c r="F8" s="27" t="s">
        <v>21</v>
      </c>
    </row>
    <row r="9" spans="1:6" x14ac:dyDescent="0.25">
      <c r="A9" s="280"/>
      <c r="B9" s="22" t="s">
        <v>22</v>
      </c>
      <c r="C9" s="24">
        <v>256607652.42000008</v>
      </c>
      <c r="D9" s="24">
        <v>-215568683.88343889</v>
      </c>
      <c r="E9" s="24">
        <v>-10428946.774311412</v>
      </c>
      <c r="F9" s="24">
        <f t="shared" ref="F9:F11" si="2">SUM(C9:E9)</f>
        <v>30610021.762249779</v>
      </c>
    </row>
    <row r="10" spans="1:6" x14ac:dyDescent="0.25">
      <c r="A10" s="280"/>
      <c r="B10" s="22" t="s">
        <v>23</v>
      </c>
      <c r="C10" s="24">
        <v>0</v>
      </c>
      <c r="D10" s="24">
        <v>4837799.3601984307</v>
      </c>
      <c r="E10" s="24">
        <v>0</v>
      </c>
      <c r="F10" s="24">
        <f t="shared" si="2"/>
        <v>4837799.3601984307</v>
      </c>
    </row>
    <row r="11" spans="1:6" x14ac:dyDescent="0.25">
      <c r="A11" s="280"/>
      <c r="B11" s="22" t="s">
        <v>24</v>
      </c>
      <c r="C11" s="24">
        <v>21752641.640000001</v>
      </c>
      <c r="D11" s="24">
        <v>-15119417.705</v>
      </c>
      <c r="E11" s="24">
        <v>0</v>
      </c>
      <c r="F11" s="24">
        <f t="shared" si="2"/>
        <v>6633223.9350000005</v>
      </c>
    </row>
    <row r="12" spans="1:6" x14ac:dyDescent="0.25">
      <c r="A12" s="280"/>
      <c r="B12" s="25" t="s">
        <v>25</v>
      </c>
      <c r="C12" s="24">
        <f t="shared" ref="C12:F12" si="3">SUM(C9:C11)</f>
        <v>278360294.06000006</v>
      </c>
      <c r="D12" s="24">
        <f t="shared" si="3"/>
        <v>-225850302.22824046</v>
      </c>
      <c r="E12" s="24">
        <f t="shared" si="3"/>
        <v>-10428946.774311412</v>
      </c>
      <c r="F12" s="24">
        <f t="shared" si="3"/>
        <v>42081045.057448208</v>
      </c>
    </row>
    <row r="13" spans="1:6" x14ac:dyDescent="0.25">
      <c r="A13" s="280"/>
      <c r="B13" s="28"/>
      <c r="C13" s="29"/>
      <c r="D13" s="29"/>
      <c r="E13" s="29"/>
      <c r="F13" s="29"/>
    </row>
    <row r="14" spans="1:6" ht="45" x14ac:dyDescent="0.25">
      <c r="A14" s="280" t="s">
        <v>27</v>
      </c>
      <c r="B14" s="22"/>
      <c r="C14" s="27" t="s">
        <v>19</v>
      </c>
      <c r="D14" s="27" t="s">
        <v>4</v>
      </c>
      <c r="E14" s="27" t="s">
        <v>20</v>
      </c>
      <c r="F14" s="27" t="s">
        <v>21</v>
      </c>
    </row>
    <row r="15" spans="1:6" x14ac:dyDescent="0.25">
      <c r="B15" s="22" t="s">
        <v>22</v>
      </c>
      <c r="C15" s="24">
        <f t="shared" ref="C15:E17" si="4">C3+C9</f>
        <v>531269628.93000007</v>
      </c>
      <c r="D15" s="24">
        <f t="shared" si="4"/>
        <v>-449376609.27875507</v>
      </c>
      <c r="E15" s="24">
        <f t="shared" si="4"/>
        <v>-21534310.368832793</v>
      </c>
      <c r="F15" s="24">
        <f>SUM(C15:E15)</f>
        <v>60358709.282412201</v>
      </c>
    </row>
    <row r="16" spans="1:6" x14ac:dyDescent="0.25">
      <c r="B16" s="22" t="s">
        <v>23</v>
      </c>
      <c r="C16" s="24">
        <f t="shared" si="4"/>
        <v>0</v>
      </c>
      <c r="D16" s="24">
        <f t="shared" si="4"/>
        <v>9196701.4688480645</v>
      </c>
      <c r="E16" s="24">
        <f t="shared" si="4"/>
        <v>0</v>
      </c>
      <c r="F16" s="24">
        <f>SUM(C16:E16)</f>
        <v>9196701.4688480645</v>
      </c>
    </row>
    <row r="17" spans="2:6" x14ac:dyDescent="0.25">
      <c r="B17" s="22" t="s">
        <v>24</v>
      </c>
      <c r="C17" s="24">
        <f t="shared" si="4"/>
        <v>43505283.280000001</v>
      </c>
      <c r="D17" s="24">
        <f t="shared" si="4"/>
        <v>-30238835.41</v>
      </c>
      <c r="E17" s="24">
        <f t="shared" si="4"/>
        <v>0</v>
      </c>
      <c r="F17" s="24">
        <f>SUM(C17:E17)</f>
        <v>13266447.870000001</v>
      </c>
    </row>
    <row r="18" spans="2:6" x14ac:dyDescent="0.25">
      <c r="B18" s="25" t="s">
        <v>25</v>
      </c>
      <c r="C18" s="24">
        <f t="shared" ref="C18:F18" si="5">SUM(C15:C17)</f>
        <v>574774912.21000004</v>
      </c>
      <c r="D18" s="24">
        <f t="shared" si="5"/>
        <v>-470418743.21990705</v>
      </c>
      <c r="E18" s="24">
        <f t="shared" si="5"/>
        <v>-21534310.368832793</v>
      </c>
      <c r="F18" s="24">
        <f t="shared" si="5"/>
        <v>82821858.62126027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3" sqref="C3"/>
    </sheetView>
  </sheetViews>
  <sheetFormatPr defaultColWidth="9.140625" defaultRowHeight="12.75" x14ac:dyDescent="0.2"/>
  <cols>
    <col min="1" max="1" width="12.42578125" style="34" bestFit="1" customWidth="1"/>
    <col min="2" max="2" width="32.5703125" style="34" bestFit="1" customWidth="1"/>
    <col min="3" max="3" width="15.140625" style="34" bestFit="1" customWidth="1"/>
    <col min="4" max="4" width="14.5703125" style="34" bestFit="1" customWidth="1"/>
    <col min="5" max="16384" width="9.140625" style="34"/>
  </cols>
  <sheetData>
    <row r="1" spans="1:4" x14ac:dyDescent="0.2">
      <c r="A1" s="281" t="s">
        <v>37</v>
      </c>
      <c r="B1" s="282" t="s">
        <v>38</v>
      </c>
      <c r="C1" s="283">
        <v>45107</v>
      </c>
      <c r="D1" s="33"/>
    </row>
    <row r="2" spans="1:4" x14ac:dyDescent="0.2">
      <c r="A2" s="34">
        <v>10800321</v>
      </c>
      <c r="B2" s="34" t="s">
        <v>34</v>
      </c>
      <c r="C2" s="40">
        <v>-117565.55</v>
      </c>
      <c r="D2" s="36"/>
    </row>
    <row r="3" spans="1:4" x14ac:dyDescent="0.2">
      <c r="A3" s="34">
        <v>10800331</v>
      </c>
      <c r="B3" s="34" t="s">
        <v>31</v>
      </c>
      <c r="C3" s="40">
        <v>-102557.17</v>
      </c>
      <c r="D3" s="36"/>
    </row>
    <row r="4" spans="1:4" x14ac:dyDescent="0.2">
      <c r="A4" s="34">
        <v>10800611</v>
      </c>
      <c r="B4" s="34" t="s">
        <v>29</v>
      </c>
      <c r="C4" s="40">
        <v>-95934500</v>
      </c>
      <c r="D4" s="36"/>
    </row>
    <row r="5" spans="1:4" x14ac:dyDescent="0.2">
      <c r="A5" s="39">
        <v>10800651</v>
      </c>
      <c r="B5" s="38" t="s">
        <v>44</v>
      </c>
      <c r="C5" s="40">
        <v>-240042970.06</v>
      </c>
      <c r="D5" s="36"/>
    </row>
    <row r="6" spans="1:4" x14ac:dyDescent="0.2">
      <c r="A6" s="34">
        <v>10800771</v>
      </c>
      <c r="B6" s="35" t="s">
        <v>39</v>
      </c>
      <c r="C6" s="40">
        <v>20194542.27</v>
      </c>
      <c r="D6" s="36"/>
    </row>
    <row r="7" spans="1:4" x14ac:dyDescent="0.2">
      <c r="A7" s="39">
        <v>10800791</v>
      </c>
      <c r="B7" s="37" t="s">
        <v>46</v>
      </c>
      <c r="C7" s="40">
        <v>5000000</v>
      </c>
      <c r="D7" s="36"/>
    </row>
    <row r="8" spans="1:4" x14ac:dyDescent="0.2">
      <c r="A8" s="39">
        <v>10800921</v>
      </c>
      <c r="B8" s="38" t="s">
        <v>45</v>
      </c>
      <c r="C8" s="40">
        <v>-17551177.859999999</v>
      </c>
    </row>
    <row r="9" spans="1:4" x14ac:dyDescent="0.2">
      <c r="A9" s="34">
        <v>18220111</v>
      </c>
      <c r="B9" s="37" t="s">
        <v>42</v>
      </c>
      <c r="C9" s="41">
        <v>110972218.59999999</v>
      </c>
    </row>
    <row r="10" spans="1:4" x14ac:dyDescent="0.2">
      <c r="A10" s="34">
        <v>18239501</v>
      </c>
      <c r="B10" s="34" t="s">
        <v>40</v>
      </c>
      <c r="C10" s="40">
        <v>47226280.32</v>
      </c>
    </row>
    <row r="11" spans="1:4" x14ac:dyDescent="0.2">
      <c r="A11" s="34">
        <v>18239511</v>
      </c>
      <c r="B11" s="34" t="s">
        <v>41</v>
      </c>
      <c r="C11" s="40">
        <v>27831597.100000001</v>
      </c>
    </row>
    <row r="12" spans="1:4" x14ac:dyDescent="0.2">
      <c r="A12" s="39">
        <v>19000951</v>
      </c>
      <c r="B12" s="38" t="s">
        <v>47</v>
      </c>
      <c r="C12" s="40">
        <v>50409023.710000001</v>
      </c>
    </row>
    <row r="13" spans="1:4" x14ac:dyDescent="0.2">
      <c r="A13" s="39">
        <v>19000971</v>
      </c>
      <c r="B13" s="38" t="s">
        <v>48</v>
      </c>
      <c r="C13" s="40">
        <v>3685747.35</v>
      </c>
    </row>
    <row r="14" spans="1:4" x14ac:dyDescent="0.2">
      <c r="A14" s="34">
        <v>28302151</v>
      </c>
      <c r="B14" s="38" t="s">
        <v>43</v>
      </c>
      <c r="C14" s="41">
        <v>-23304165.899999999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4" sqref="B14"/>
    </sheetView>
  </sheetViews>
  <sheetFormatPr defaultColWidth="9.140625" defaultRowHeight="12.75" x14ac:dyDescent="0.2"/>
  <cols>
    <col min="1" max="1" width="9.5703125" style="34" bestFit="1" customWidth="1"/>
    <col min="2" max="2" width="13.42578125" style="34" bestFit="1" customWidth="1"/>
    <col min="3" max="3" width="11.5703125" style="34" bestFit="1" customWidth="1"/>
    <col min="4" max="5" width="13.42578125" style="34" customWidth="1"/>
    <col min="6" max="6" width="9.140625" style="34" customWidth="1"/>
    <col min="7" max="16384" width="9.140625" style="34"/>
  </cols>
  <sheetData>
    <row r="1" spans="1:6" x14ac:dyDescent="0.2">
      <c r="A1" s="32" t="s">
        <v>49</v>
      </c>
    </row>
    <row r="2" spans="1:6" x14ac:dyDescent="0.2">
      <c r="A2" s="32" t="s">
        <v>50</v>
      </c>
    </row>
    <row r="3" spans="1:6" x14ac:dyDescent="0.2">
      <c r="A3" s="33" t="s">
        <v>51</v>
      </c>
    </row>
    <row r="4" spans="1:6" x14ac:dyDescent="0.2">
      <c r="B4" s="33">
        <v>45107</v>
      </c>
      <c r="C4" s="33"/>
    </row>
    <row r="5" spans="1:6" x14ac:dyDescent="0.2">
      <c r="A5" s="34">
        <v>2015</v>
      </c>
      <c r="B5" s="36">
        <v>-295379.38</v>
      </c>
      <c r="C5" s="36"/>
      <c r="D5" s="43"/>
      <c r="E5" s="43"/>
      <c r="F5" s="44"/>
    </row>
    <row r="6" spans="1:6" x14ac:dyDescent="0.2">
      <c r="A6" s="34">
        <v>2016</v>
      </c>
      <c r="B6" s="36">
        <v>-626791.65</v>
      </c>
      <c r="C6" s="36"/>
      <c r="D6" s="43"/>
      <c r="E6" s="43"/>
      <c r="F6" s="44"/>
    </row>
    <row r="7" spans="1:6" x14ac:dyDescent="0.2">
      <c r="A7" s="34">
        <v>2017</v>
      </c>
      <c r="B7" s="36">
        <v>-1633880.9</v>
      </c>
      <c r="C7" s="36"/>
      <c r="D7" s="43"/>
      <c r="E7" s="43"/>
      <c r="F7" s="44"/>
    </row>
    <row r="8" spans="1:6" x14ac:dyDescent="0.2">
      <c r="A8" s="34">
        <v>2018</v>
      </c>
      <c r="B8" s="36">
        <v>-1314562.7</v>
      </c>
      <c r="C8" s="36"/>
      <c r="D8" s="43"/>
      <c r="E8" s="43"/>
      <c r="F8" s="44"/>
    </row>
    <row r="9" spans="1:6" x14ac:dyDescent="0.2">
      <c r="A9" s="34">
        <v>2019</v>
      </c>
      <c r="B9" s="36">
        <v>-1269712.54</v>
      </c>
      <c r="C9" s="36"/>
      <c r="D9" s="43"/>
      <c r="E9" s="43"/>
      <c r="F9" s="44"/>
    </row>
    <row r="10" spans="1:6" x14ac:dyDescent="0.2">
      <c r="A10" s="34">
        <v>2020</v>
      </c>
      <c r="B10" s="36">
        <v>-1213564.57</v>
      </c>
      <c r="C10" s="36"/>
      <c r="D10" s="43"/>
      <c r="E10" s="43"/>
      <c r="F10" s="44"/>
    </row>
    <row r="11" spans="1:6" x14ac:dyDescent="0.2">
      <c r="A11" s="34">
        <v>2021</v>
      </c>
      <c r="B11" s="36">
        <v>-1127582.71</v>
      </c>
      <c r="C11" s="36"/>
      <c r="D11" s="43"/>
      <c r="E11" s="43"/>
      <c r="F11" s="44"/>
    </row>
    <row r="12" spans="1:6" x14ac:dyDescent="0.2">
      <c r="A12" s="34">
        <v>2022</v>
      </c>
      <c r="B12" s="36">
        <v>-890712.89</v>
      </c>
      <c r="C12" s="36"/>
      <c r="D12" s="43"/>
      <c r="E12" s="43"/>
      <c r="F12" s="44"/>
    </row>
    <row r="13" spans="1:6" x14ac:dyDescent="0.2">
      <c r="A13" s="34">
        <v>2023</v>
      </c>
      <c r="B13" s="45">
        <v>-414094.93</v>
      </c>
      <c r="C13" s="45"/>
      <c r="D13" s="43"/>
      <c r="E13" s="43"/>
      <c r="F13" s="44"/>
    </row>
    <row r="14" spans="1:6" x14ac:dyDescent="0.2">
      <c r="B14" s="46">
        <f>SUM(B5:B13)</f>
        <v>-8786282.2699999996</v>
      </c>
      <c r="C14" s="46"/>
      <c r="D14" s="43"/>
      <c r="E14" s="43"/>
      <c r="F14" s="44"/>
    </row>
    <row r="16" spans="1:6" x14ac:dyDescent="0.2">
      <c r="A16" s="34" t="s">
        <v>303</v>
      </c>
      <c r="B16" s="36"/>
    </row>
    <row r="17" spans="2:2" x14ac:dyDescent="0.2">
      <c r="B17" s="3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D1" zoomScaleNormal="100" workbookViewId="0">
      <selection activeCell="H9" sqref="H9"/>
    </sheetView>
  </sheetViews>
  <sheetFormatPr defaultColWidth="9.140625" defaultRowHeight="12.75" x14ac:dyDescent="0.2"/>
  <cols>
    <col min="1" max="1" width="3.42578125" style="34" customWidth="1"/>
    <col min="2" max="2" width="15.42578125" style="34" bestFit="1" customWidth="1"/>
    <col min="3" max="3" width="23.42578125" style="34" bestFit="1" customWidth="1"/>
    <col min="4" max="4" width="28.42578125" style="34" bestFit="1" customWidth="1"/>
    <col min="5" max="5" width="47.5703125" style="34" customWidth="1"/>
    <col min="6" max="6" width="44.5703125" style="34" bestFit="1" customWidth="1"/>
    <col min="7" max="9" width="13.42578125" style="34" bestFit="1" customWidth="1"/>
    <col min="10" max="10" width="4" style="34" customWidth="1"/>
    <col min="11" max="11" width="11.5703125" style="34" bestFit="1" customWidth="1"/>
    <col min="12" max="12" width="21.140625" style="34" bestFit="1" customWidth="1"/>
    <col min="13" max="13" width="14.5703125" style="34" bestFit="1" customWidth="1"/>
    <col min="14" max="14" width="29" style="34" bestFit="1" customWidth="1"/>
    <col min="15" max="15" width="4.5703125" style="34" bestFit="1" customWidth="1"/>
    <col min="16" max="16" width="11.5703125" style="34" bestFit="1" customWidth="1"/>
    <col min="17" max="17" width="14.5703125" style="34" bestFit="1" customWidth="1"/>
    <col min="18" max="20" width="11.5703125" style="34" bestFit="1" customWidth="1"/>
    <col min="21" max="21" width="5.5703125" style="34" bestFit="1" customWidth="1"/>
    <col min="22" max="22" width="5.42578125" style="34" bestFit="1" customWidth="1"/>
    <col min="23" max="16384" width="9.140625" style="34"/>
  </cols>
  <sheetData>
    <row r="1" spans="1:23" x14ac:dyDescent="0.2">
      <c r="A1" s="32" t="s">
        <v>140</v>
      </c>
      <c r="D1" s="34" t="s">
        <v>304</v>
      </c>
    </row>
    <row r="2" spans="1:23" x14ac:dyDescent="0.2">
      <c r="A2" s="32" t="s">
        <v>141</v>
      </c>
    </row>
    <row r="3" spans="1:23" x14ac:dyDescent="0.2">
      <c r="B3" s="282" t="s">
        <v>142</v>
      </c>
      <c r="C3" s="282" t="s">
        <v>143</v>
      </c>
      <c r="D3" s="282" t="s">
        <v>144</v>
      </c>
      <c r="E3" s="282" t="s">
        <v>145</v>
      </c>
      <c r="F3" s="282" t="s">
        <v>146</v>
      </c>
      <c r="G3" s="282"/>
      <c r="H3" s="282">
        <v>2024</v>
      </c>
      <c r="I3" s="282"/>
    </row>
    <row r="4" spans="1:23" x14ac:dyDescent="0.2">
      <c r="B4" s="34" t="s">
        <v>147</v>
      </c>
      <c r="C4" s="34" t="s">
        <v>148</v>
      </c>
      <c r="D4" s="34" t="s">
        <v>149</v>
      </c>
      <c r="E4" s="34" t="s">
        <v>150</v>
      </c>
      <c r="F4" s="34" t="s">
        <v>151</v>
      </c>
      <c r="G4" s="36"/>
      <c r="H4" s="36"/>
      <c r="I4" s="36"/>
    </row>
    <row r="5" spans="1:23" x14ac:dyDescent="0.2">
      <c r="B5" s="34" t="s">
        <v>147</v>
      </c>
      <c r="C5" s="34" t="s">
        <v>148</v>
      </c>
      <c r="D5" s="34" t="s">
        <v>149</v>
      </c>
      <c r="E5" s="34" t="s">
        <v>152</v>
      </c>
      <c r="F5" s="34" t="s">
        <v>151</v>
      </c>
      <c r="G5" s="284"/>
      <c r="H5" s="284">
        <v>2748681.2733333302</v>
      </c>
      <c r="I5" s="284"/>
      <c r="K5" s="285"/>
    </row>
    <row r="6" spans="1:23" s="218" customFormat="1" x14ac:dyDescent="0.2">
      <c r="B6" s="218" t="s">
        <v>153</v>
      </c>
      <c r="C6" s="218" t="s">
        <v>154</v>
      </c>
      <c r="D6" s="218" t="s">
        <v>155</v>
      </c>
      <c r="E6" s="218" t="s">
        <v>156</v>
      </c>
      <c r="F6" s="218" t="s">
        <v>157</v>
      </c>
      <c r="G6" s="284"/>
      <c r="H6" s="284">
        <v>2047640</v>
      </c>
      <c r="I6" s="284"/>
      <c r="K6" s="285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x14ac:dyDescent="0.2">
      <c r="B7" s="34" t="s">
        <v>153</v>
      </c>
      <c r="C7" s="34" t="s">
        <v>154</v>
      </c>
      <c r="D7" s="34" t="s">
        <v>155</v>
      </c>
      <c r="E7" s="34" t="s">
        <v>158</v>
      </c>
      <c r="F7" s="34" t="s">
        <v>157</v>
      </c>
      <c r="G7" s="284"/>
      <c r="H7" s="284">
        <v>12559577</v>
      </c>
      <c r="I7" s="284"/>
    </row>
    <row r="8" spans="1:23" x14ac:dyDescent="0.2">
      <c r="B8" s="34" t="s">
        <v>153</v>
      </c>
      <c r="C8" s="34" t="s">
        <v>154</v>
      </c>
      <c r="D8" s="34" t="s">
        <v>155</v>
      </c>
      <c r="E8" s="34" t="s">
        <v>159</v>
      </c>
      <c r="F8" s="34" t="s">
        <v>157</v>
      </c>
      <c r="G8" s="284"/>
      <c r="H8" s="284">
        <v>10431254</v>
      </c>
      <c r="I8" s="284"/>
    </row>
    <row r="9" spans="1:23" x14ac:dyDescent="0.2">
      <c r="F9" s="32" t="s">
        <v>25</v>
      </c>
      <c r="G9" s="286"/>
      <c r="H9" s="287">
        <f>SUM(H4:H8)</f>
        <v>27787152.27333333</v>
      </c>
      <c r="I9" s="28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ColWidth="8.85546875" defaultRowHeight="15" x14ac:dyDescent="0.25"/>
  <cols>
    <col min="1" max="1" width="48.5703125" style="289" bestFit="1" customWidth="1"/>
    <col min="2" max="2" width="9.140625"/>
    <col min="3" max="3" width="8.85546875" style="289"/>
    <col min="4" max="7" width="9.140625" customWidth="1"/>
    <col min="8" max="16384" width="8.85546875" style="289"/>
  </cols>
  <sheetData>
    <row r="1" spans="1:3" ht="15.75" thickBot="1" x14ac:dyDescent="0.3">
      <c r="A1" s="288" t="s">
        <v>309</v>
      </c>
      <c r="C1" s="288" t="s">
        <v>310</v>
      </c>
    </row>
    <row r="2" spans="1:3" x14ac:dyDescent="0.25">
      <c r="A2" s="290" t="s">
        <v>311</v>
      </c>
      <c r="C2" s="291"/>
    </row>
    <row r="3" spans="1:3" x14ac:dyDescent="0.25">
      <c r="A3" s="292" t="s">
        <v>312</v>
      </c>
      <c r="C3" s="291">
        <v>3095564.4720000024</v>
      </c>
    </row>
    <row r="4" spans="1:3" x14ac:dyDescent="0.25">
      <c r="A4" s="292" t="s">
        <v>313</v>
      </c>
      <c r="C4" s="291">
        <v>0</v>
      </c>
    </row>
    <row r="5" spans="1:3" x14ac:dyDescent="0.25">
      <c r="A5" s="292" t="s">
        <v>314</v>
      </c>
      <c r="C5" s="291">
        <v>1014517.3695999996</v>
      </c>
    </row>
    <row r="7" spans="1:3" x14ac:dyDescent="0.25">
      <c r="A7" s="289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5" sqref="F15"/>
    </sheetView>
  </sheetViews>
  <sheetFormatPr defaultRowHeight="15" x14ac:dyDescent="0.25"/>
  <cols>
    <col min="2" max="2" width="23.42578125" bestFit="1" customWidth="1"/>
    <col min="3" max="3" width="7.7109375" bestFit="1" customWidth="1"/>
    <col min="4" max="4" width="15.85546875" bestFit="1" customWidth="1"/>
    <col min="5" max="5" width="15.5703125" bestFit="1" customWidth="1"/>
    <col min="6" max="6" width="10.42578125" bestFit="1" customWidth="1"/>
  </cols>
  <sheetData>
    <row r="1" spans="1:6" x14ac:dyDescent="0.25">
      <c r="A1" t="s">
        <v>305</v>
      </c>
    </row>
    <row r="4" spans="1:6" x14ac:dyDescent="0.25">
      <c r="B4" s="275" t="s">
        <v>287</v>
      </c>
      <c r="C4" s="275" t="s">
        <v>288</v>
      </c>
    </row>
    <row r="5" spans="1:6" x14ac:dyDescent="0.25">
      <c r="D5" t="s">
        <v>289</v>
      </c>
      <c r="E5" t="s">
        <v>290</v>
      </c>
    </row>
    <row r="6" spans="1:6" x14ac:dyDescent="0.25">
      <c r="B6" t="s">
        <v>291</v>
      </c>
      <c r="D6" s="204">
        <v>48396.75</v>
      </c>
      <c r="E6" s="204">
        <v>3870368.67</v>
      </c>
    </row>
    <row r="7" spans="1:6" x14ac:dyDescent="0.25">
      <c r="B7" t="s">
        <v>292</v>
      </c>
      <c r="D7" s="204">
        <v>51231.56</v>
      </c>
      <c r="E7" s="204">
        <v>973399.66</v>
      </c>
    </row>
    <row r="8" spans="1:6" x14ac:dyDescent="0.25">
      <c r="B8" t="s">
        <v>293</v>
      </c>
      <c r="D8" s="204">
        <v>1245.2</v>
      </c>
      <c r="E8" s="204">
        <v>23658.799999999999</v>
      </c>
    </row>
    <row r="9" spans="1:6" x14ac:dyDescent="0.25">
      <c r="B9" t="s">
        <v>294</v>
      </c>
      <c r="D9" s="204">
        <v>1695.6</v>
      </c>
      <c r="E9" s="204">
        <v>32216.400000000001</v>
      </c>
    </row>
    <row r="10" spans="1:6" x14ac:dyDescent="0.25">
      <c r="B10" t="s">
        <v>295</v>
      </c>
      <c r="D10" s="204">
        <v>5651.85</v>
      </c>
      <c r="E10" s="204">
        <v>107385.13</v>
      </c>
    </row>
    <row r="11" spans="1:6" x14ac:dyDescent="0.25">
      <c r="B11" t="s">
        <v>296</v>
      </c>
      <c r="D11" s="204">
        <v>450</v>
      </c>
      <c r="E11" s="204">
        <v>8550</v>
      </c>
    </row>
    <row r="12" spans="1:6" x14ac:dyDescent="0.25">
      <c r="B12" t="s">
        <v>297</v>
      </c>
      <c r="D12" s="276">
        <v>0</v>
      </c>
      <c r="E12" s="276">
        <v>0</v>
      </c>
    </row>
    <row r="13" spans="1:6" x14ac:dyDescent="0.25">
      <c r="B13" s="279" t="s">
        <v>300</v>
      </c>
      <c r="D13" s="277">
        <f>SUM(D6:D12)</f>
        <v>108670.96</v>
      </c>
      <c r="E13" s="277">
        <f>SUM(E6:E12)</f>
        <v>5015578.66</v>
      </c>
    </row>
    <row r="14" spans="1:6" x14ac:dyDescent="0.25">
      <c r="B14" t="s">
        <v>298</v>
      </c>
      <c r="D14" s="274">
        <v>0.5</v>
      </c>
      <c r="E14" s="274">
        <v>0.25</v>
      </c>
    </row>
    <row r="15" spans="1:6" ht="15.75" thickBot="1" x14ac:dyDescent="0.3">
      <c r="B15" s="275" t="s">
        <v>299</v>
      </c>
      <c r="D15" s="278">
        <f>D13*D14</f>
        <v>54335.48</v>
      </c>
      <c r="E15" s="278">
        <f>E13*E14</f>
        <v>1253894.665</v>
      </c>
      <c r="F15" s="278">
        <f>E15+D15</f>
        <v>1308230.145</v>
      </c>
    </row>
    <row r="16" spans="1:6" ht="15.75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workbookViewId="0">
      <selection activeCell="P11" sqref="P11"/>
    </sheetView>
  </sheetViews>
  <sheetFormatPr defaultColWidth="9.140625" defaultRowHeight="12.75" x14ac:dyDescent="0.2"/>
  <cols>
    <col min="1" max="1" width="3.28515625" style="251" customWidth="1"/>
    <col min="2" max="5" width="12.85546875" style="251" customWidth="1"/>
    <col min="6" max="6" width="13.42578125" style="251" customWidth="1"/>
    <col min="7" max="7" width="15.42578125" style="251" customWidth="1"/>
    <col min="8" max="8" width="14.42578125" style="251" customWidth="1"/>
    <col min="9" max="12" width="15" style="251" customWidth="1"/>
    <col min="13" max="13" width="14.140625" style="251" customWidth="1"/>
    <col min="14" max="14" width="15" style="251" customWidth="1"/>
    <col min="15" max="16" width="12.7109375" style="251" customWidth="1"/>
    <col min="17" max="17" width="4.28515625" style="251" customWidth="1"/>
    <col min="18" max="16384" width="9.140625" style="251"/>
  </cols>
  <sheetData>
    <row r="1" spans="2:16" ht="18" x14ac:dyDescent="0.25">
      <c r="B1" s="249" t="s">
        <v>264</v>
      </c>
      <c r="C1" s="250"/>
      <c r="J1" s="252" t="s">
        <v>265</v>
      </c>
    </row>
    <row r="2" spans="2:16" ht="18" x14ac:dyDescent="0.25">
      <c r="B2" s="249" t="s">
        <v>266</v>
      </c>
      <c r="C2" s="250"/>
      <c r="J2" s="253" t="s">
        <v>267</v>
      </c>
      <c r="M2" s="254"/>
      <c r="O2" s="254"/>
    </row>
    <row r="3" spans="2:16" x14ac:dyDescent="0.2">
      <c r="B3" s="255"/>
      <c r="M3" s="254"/>
      <c r="O3" s="254"/>
    </row>
    <row r="4" spans="2:16" x14ac:dyDescent="0.2">
      <c r="B4" s="255"/>
    </row>
    <row r="6" spans="2:16" ht="13.5" thickBot="1" x14ac:dyDescent="0.25"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</row>
    <row r="7" spans="2:16" ht="15.75" customHeight="1" thickBot="1" x14ac:dyDescent="0.25">
      <c r="C7" s="323" t="s">
        <v>268</v>
      </c>
      <c r="D7" s="324"/>
      <c r="E7" s="324"/>
      <c r="F7" s="324"/>
      <c r="G7" s="323" t="s">
        <v>269</v>
      </c>
      <c r="H7" s="324"/>
      <c r="I7" s="324"/>
      <c r="J7" s="324"/>
      <c r="K7" s="324"/>
      <c r="L7" s="324"/>
      <c r="M7" s="324"/>
      <c r="N7" s="324"/>
      <c r="O7" s="324"/>
      <c r="P7" s="325"/>
    </row>
    <row r="8" spans="2:16" ht="38.25" customHeight="1" x14ac:dyDescent="0.2">
      <c r="B8" s="257" t="s">
        <v>174</v>
      </c>
      <c r="C8" s="257" t="s">
        <v>270</v>
      </c>
      <c r="D8" s="257" t="s">
        <v>271</v>
      </c>
      <c r="E8" s="257" t="s">
        <v>272</v>
      </c>
      <c r="F8" s="258" t="s">
        <v>273</v>
      </c>
      <c r="G8" s="259" t="s">
        <v>274</v>
      </c>
      <c r="H8" s="260" t="s">
        <v>275</v>
      </c>
      <c r="I8" s="260" t="s">
        <v>276</v>
      </c>
      <c r="J8" s="257" t="s">
        <v>277</v>
      </c>
      <c r="K8" s="257" t="s">
        <v>278</v>
      </c>
      <c r="L8" s="260" t="s">
        <v>279</v>
      </c>
      <c r="M8" s="260" t="s">
        <v>280</v>
      </c>
      <c r="N8" s="260" t="s">
        <v>281</v>
      </c>
      <c r="O8" s="258" t="s">
        <v>282</v>
      </c>
      <c r="P8" s="257" t="s">
        <v>283</v>
      </c>
    </row>
    <row r="9" spans="2:16" x14ac:dyDescent="0.2">
      <c r="B9" s="261"/>
      <c r="C9" s="261"/>
      <c r="D9" s="261"/>
      <c r="E9" s="261"/>
      <c r="F9" s="262"/>
      <c r="G9" s="263"/>
      <c r="H9" s="264"/>
      <c r="I9" s="265"/>
      <c r="J9" s="261"/>
      <c r="K9" s="261"/>
      <c r="L9" s="265"/>
      <c r="M9" s="265"/>
      <c r="N9" s="265"/>
      <c r="O9" s="262"/>
      <c r="P9" s="261"/>
    </row>
    <row r="10" spans="2:16" x14ac:dyDescent="0.2">
      <c r="B10" s="266" t="s">
        <v>284</v>
      </c>
      <c r="C10" s="261"/>
      <c r="D10" s="261"/>
      <c r="E10" s="261"/>
      <c r="F10" s="262"/>
      <c r="G10" s="263"/>
      <c r="H10" s="265"/>
      <c r="I10" s="265"/>
      <c r="J10" s="261"/>
      <c r="K10" s="261"/>
      <c r="L10" s="265"/>
      <c r="M10" s="265"/>
      <c r="N10" s="265"/>
      <c r="O10" s="262"/>
      <c r="P10" s="261"/>
    </row>
    <row r="11" spans="2:16" x14ac:dyDescent="0.2">
      <c r="B11" s="267" t="s">
        <v>285</v>
      </c>
      <c r="C11" s="268">
        <v>-3501939.5</v>
      </c>
      <c r="D11" s="268">
        <v>-24696794.5</v>
      </c>
      <c r="E11" s="268">
        <v>317160.5</v>
      </c>
      <c r="F11" s="269">
        <f>SUM(C11:E11)</f>
        <v>-27881573.5</v>
      </c>
      <c r="G11" s="270">
        <v>26164031</v>
      </c>
      <c r="H11" s="270">
        <v>-735407.5</v>
      </c>
      <c r="I11" s="270">
        <v>-7997306.5</v>
      </c>
      <c r="J11" s="271">
        <f>SUM(H11:I11)</f>
        <v>-8732714</v>
      </c>
      <c r="K11" s="271">
        <f t="shared" ref="K11" si="0">SUM(G11:I11)</f>
        <v>17431317</v>
      </c>
      <c r="L11" s="270">
        <v>8539794.8900000006</v>
      </c>
      <c r="M11" s="272">
        <f>I11-D11*0.21</f>
        <v>-2810979.6550000003</v>
      </c>
      <c r="N11" s="270">
        <f t="shared" ref="N11" si="1">SUM(L11:M11)</f>
        <v>5728815.2350000003</v>
      </c>
      <c r="O11" s="268">
        <v>-66603.705000000002</v>
      </c>
      <c r="P11" s="273">
        <f t="shared" ref="P11" si="2">SUM(M11,O11)</f>
        <v>-2877583.3600000003</v>
      </c>
    </row>
    <row r="13" spans="2:16" x14ac:dyDescent="0.2">
      <c r="B13" s="252"/>
    </row>
  </sheetData>
  <mergeCells count="2">
    <mergeCell ref="C7:F7"/>
    <mergeCell ref="G7:P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933298D70C3D4A8E7C95A6455F7A7E" ma:contentTypeVersion="16" ma:contentTypeDescription="" ma:contentTypeScope="" ma:versionID="7e0ec1a3b6caf39526a6bc3f955b83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2023-08-29T07:00:00+00:00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8FEA18-77BB-4B3B-9A99-A5D445CA3422}"/>
</file>

<file path=customXml/itemProps2.xml><?xml version="1.0" encoding="utf-8"?>
<ds:datastoreItem xmlns:ds="http://schemas.openxmlformats.org/officeDocument/2006/customXml" ds:itemID="{072D5FF5-BBC0-4CF0-B01E-7280DD597F1D}"/>
</file>

<file path=customXml/itemProps3.xml><?xml version="1.0" encoding="utf-8"?>
<ds:datastoreItem xmlns:ds="http://schemas.openxmlformats.org/officeDocument/2006/customXml" ds:itemID="{5A73BAE8-7E5A-46EC-8EAD-1F20E9419D3E}"/>
</file>

<file path=customXml/itemProps4.xml><?xml version="1.0" encoding="utf-8"?>
<ds:datastoreItem xmlns:ds="http://schemas.openxmlformats.org/officeDocument/2006/customXml" ds:itemID="{4C9282E5-5456-4A58-A889-91A735A31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Revenue Requirement</vt:lpstr>
      <vt:lpstr>Estimated D&amp;R Recovery</vt:lpstr>
      <vt:lpstr>Colstrip Plant Balances</vt:lpstr>
      <vt:lpstr>GL Balances</vt:lpstr>
      <vt:lpstr>3&amp;4 Accr Detail - PP</vt:lpstr>
      <vt:lpstr>Production O&amp;M 2024</vt:lpstr>
      <vt:lpstr>2024 Capital Ex</vt:lpstr>
      <vt:lpstr>Prop&amp;Liab Ins</vt:lpstr>
      <vt:lpstr>DFIT Calc</vt:lpstr>
      <vt:lpstr>MT Energy Tax</vt:lpstr>
      <vt:lpstr>Update ConvF</vt:lpstr>
      <vt:lpstr>Def, COC, ConvF</vt:lpstr>
      <vt:lpstr>D&amp;R Defic</vt:lpstr>
      <vt:lpstr>D&amp;R Summary</vt:lpstr>
      <vt:lpstr>Decommissioning</vt:lpstr>
      <vt:lpstr>Plant Site Report</vt:lpstr>
      <vt:lpstr>Units1&amp;2 Int Remedy Eval Alt 10</vt:lpstr>
      <vt:lpstr>Units 3&amp;4 Remedy Eval</vt:lpstr>
      <vt:lpstr>'Plant Site Report'!Print_Area</vt:lpstr>
      <vt:lpstr>'Units 3&amp;4 Remedy Eval'!Print_Area</vt:lpstr>
      <vt:lpstr>'Units1&amp;2 Int Remedy Eval Alt 10'!Print_Area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Traore, Lori</cp:lastModifiedBy>
  <dcterms:created xsi:type="dcterms:W3CDTF">2023-09-07T17:29:59Z</dcterms:created>
  <dcterms:modified xsi:type="dcterms:W3CDTF">2023-09-29T18:30:26Z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0x0101006E56B4D1795A2E4DB2F0B01679ED314A00C9933298D70C3D4A8E7C95A6455F7A7E</vt:lpwstr>
  </property>
  <property fmtid="{D5CDD505-2E9C-101B-9397-08002B2CF9AE}" pid="3" name="_docset_NoMedatataSyncRequired">
    <vt:lpwstr>False</vt:lpwstr>
  </property>
</Properties>
</file>