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Sch. 129D Bill Discount Rate Rider\2023\Eff. Oct 1, 2023\Analysis\"/>
    </mc:Choice>
  </mc:AlternateContent>
  <bookViews>
    <workbookView xWindow="-60" yWindow="15" windowWidth="14970" windowHeight="14430" tabRatio="837"/>
  </bookViews>
  <sheets>
    <sheet name="Rates" sheetId="7" r:id="rId1"/>
    <sheet name="Rate Impacts--&gt;" sheetId="16" r:id="rId2"/>
    <sheet name="Rate Impacts Sch 129D" sheetId="83" r:id="rId3"/>
    <sheet name="Typical Res Bill Sch 129D" sheetId="84" r:id="rId4"/>
    <sheet name="Sch. 129D" sheetId="85" r:id="rId5"/>
    <sheet name="Work Papers--&gt;" sheetId="25" r:id="rId6"/>
    <sheet name="Sch 85 87 Rate Calc" sheetId="9" r:id="rId7"/>
    <sheet name="Margin Revenue" sheetId="8" r:id="rId8"/>
    <sheet name="Revenue Requirement" sheetId="82" r:id="rId9"/>
    <sheet name="2022 GRC Rates--&gt;" sheetId="42" r:id="rId10"/>
    <sheet name="Exh JDT-5 (JDT-RES_RD)" sheetId="74" r:id="rId11"/>
    <sheet name="Exh JDT-5 (JDT-C&amp;I-RD)" sheetId="75" r:id="rId12"/>
    <sheet name="Exh JDT-5 (JDT-INTRPL-RD)" sheetId="76" r:id="rId13"/>
    <sheet name="Exh JDT-5 (JDT-MYRP)" sheetId="77" r:id="rId14"/>
  </sheets>
  <definedNames>
    <definedName name="_xlnm.Print_Area" localSheetId="13">'Exh JDT-5 (JDT-MYRP)'!$B$1:$R$256</definedName>
    <definedName name="_xlnm.Print_Area" localSheetId="7">'Margin Revenue'!$B$1:$O$38</definedName>
    <definedName name="_xlnm.Print_Area" localSheetId="2">'Rate Impacts Sch 129D'!$B$1:$V$37</definedName>
    <definedName name="_xlnm.Print_Area" localSheetId="0">Rates!$B$1:$K$52</definedName>
    <definedName name="_xlnm.Print_Area" localSheetId="8">'Revenue Requirement'!$B$1:$V$57</definedName>
    <definedName name="_xlnm.Print_Area" localSheetId="6">'Sch 85 87 Rate Calc'!$B$1:$N$53</definedName>
    <definedName name="_xlnm.Print_Area" localSheetId="4">'Sch. 129D'!$A$1:$I$50</definedName>
    <definedName name="_xlnm.Print_Area" localSheetId="3">'Typical Res Bill Sch 129D'!$B$1:$H$40</definedName>
    <definedName name="_xlnm.Print_Titles" localSheetId="11">'Exh JDT-5 (JDT-C&amp;I-RD)'!$1:$8</definedName>
    <definedName name="_xlnm.Print_Titles" localSheetId="12">'Exh JDT-5 (JDT-INTRPL-RD)'!$1:$8</definedName>
    <definedName name="_xlnm.Print_Titles" localSheetId="13">'Exh JDT-5 (JDT-MYRP)'!$B:$B,'Exh JDT-5 (JDT-MYRP)'!$1:$8</definedName>
  </definedNames>
  <calcPr calcId="162913"/>
</workbook>
</file>

<file path=xl/calcChain.xml><?xml version="1.0" encoding="utf-8"?>
<calcChain xmlns="http://schemas.openxmlformats.org/spreadsheetml/2006/main">
  <c r="N45" i="9" l="1"/>
  <c r="J50" i="85"/>
  <c r="J48" i="85"/>
  <c r="J47" i="85"/>
  <c r="J46" i="85"/>
  <c r="J45" i="85"/>
  <c r="J44" i="85"/>
  <c r="J43" i="85"/>
  <c r="J42" i="85"/>
  <c r="J39" i="85"/>
  <c r="J38" i="85"/>
  <c r="J37" i="85"/>
  <c r="J36" i="85"/>
  <c r="J33" i="85"/>
  <c r="J32" i="85"/>
  <c r="J31" i="85"/>
  <c r="J30" i="85"/>
  <c r="J29" i="85"/>
  <c r="J28" i="85"/>
  <c r="J27" i="85"/>
  <c r="J24" i="85"/>
  <c r="J23" i="85"/>
  <c r="J21" i="85"/>
  <c r="J20" i="85"/>
  <c r="J19" i="85"/>
  <c r="J18" i="85"/>
  <c r="J15" i="85"/>
  <c r="J14" i="85"/>
  <c r="J12" i="85"/>
  <c r="J11" i="85"/>
  <c r="J9" i="85"/>
  <c r="F47" i="85"/>
  <c r="H46" i="85"/>
  <c r="G46" i="85"/>
  <c r="F46" i="85"/>
  <c r="F45" i="85"/>
  <c r="H44" i="85"/>
  <c r="G44" i="85"/>
  <c r="F44" i="85"/>
  <c r="F43" i="85"/>
  <c r="H42" i="85"/>
  <c r="G42" i="85"/>
  <c r="F42" i="85"/>
  <c r="G38" i="85"/>
  <c r="F38" i="85"/>
  <c r="H38" i="85"/>
  <c r="I38" i="85" s="1"/>
  <c r="F37" i="85"/>
  <c r="G37" i="85"/>
  <c r="G36" i="85"/>
  <c r="F36" i="85"/>
  <c r="H36" i="85"/>
  <c r="F32" i="85"/>
  <c r="H31" i="85"/>
  <c r="G31" i="85"/>
  <c r="F31" i="85"/>
  <c r="F30" i="85"/>
  <c r="H29" i="85"/>
  <c r="G29" i="85"/>
  <c r="F29" i="85"/>
  <c r="F28" i="85"/>
  <c r="H27" i="85"/>
  <c r="G27" i="85"/>
  <c r="F27" i="85"/>
  <c r="D33" i="85"/>
  <c r="F24" i="85"/>
  <c r="H23" i="85"/>
  <c r="G23" i="85"/>
  <c r="M16" i="83" s="1"/>
  <c r="F23" i="85"/>
  <c r="G20" i="85"/>
  <c r="F20" i="85"/>
  <c r="H20" i="85"/>
  <c r="I20" i="85" s="1"/>
  <c r="F19" i="85"/>
  <c r="G19" i="85"/>
  <c r="G18" i="85"/>
  <c r="F18" i="85"/>
  <c r="H18" i="85"/>
  <c r="F15" i="85"/>
  <c r="G15" i="85"/>
  <c r="M19" i="83" s="1"/>
  <c r="G14" i="85"/>
  <c r="F14" i="85"/>
  <c r="H14" i="85" s="1"/>
  <c r="I14" i="85" s="1"/>
  <c r="F12" i="85"/>
  <c r="G12" i="85"/>
  <c r="M18" i="83" s="1"/>
  <c r="G11" i="85"/>
  <c r="F11" i="85"/>
  <c r="H11" i="85" s="1"/>
  <c r="I11" i="85" s="1"/>
  <c r="F9" i="85"/>
  <c r="G30" i="84"/>
  <c r="G31" i="84" s="1"/>
  <c r="H31" i="84" s="1"/>
  <c r="G29" i="84"/>
  <c r="D31" i="84"/>
  <c r="E31" i="84" s="1"/>
  <c r="H27" i="84"/>
  <c r="G27" i="84"/>
  <c r="E27" i="84"/>
  <c r="G24" i="84"/>
  <c r="G23" i="84"/>
  <c r="G22" i="84"/>
  <c r="G21" i="84"/>
  <c r="G20" i="84"/>
  <c r="G19" i="84"/>
  <c r="G18" i="84"/>
  <c r="D18" i="84"/>
  <c r="G17" i="84"/>
  <c r="G16" i="84"/>
  <c r="E13" i="84"/>
  <c r="D13" i="84"/>
  <c r="E12" i="84"/>
  <c r="G12" i="84"/>
  <c r="B4" i="84"/>
  <c r="B2" i="84"/>
  <c r="U33" i="83"/>
  <c r="S33" i="83"/>
  <c r="Q33" i="83"/>
  <c r="P33" i="83"/>
  <c r="M33" i="83"/>
  <c r="L33" i="83"/>
  <c r="K33" i="83"/>
  <c r="J33" i="83"/>
  <c r="I33" i="83"/>
  <c r="D33" i="83"/>
  <c r="S32" i="83"/>
  <c r="O31" i="83"/>
  <c r="G31" i="83"/>
  <c r="S30" i="83"/>
  <c r="N30" i="83"/>
  <c r="I29" i="83"/>
  <c r="S28" i="83"/>
  <c r="K28" i="83"/>
  <c r="D28" i="83"/>
  <c r="N27" i="83"/>
  <c r="G27" i="83"/>
  <c r="Q24" i="83"/>
  <c r="R33" i="83"/>
  <c r="O33" i="83"/>
  <c r="N33" i="83"/>
  <c r="G33" i="83"/>
  <c r="E33" i="83"/>
  <c r="F33" i="83" s="1"/>
  <c r="L32" i="83"/>
  <c r="D32" i="83"/>
  <c r="F21" i="83"/>
  <c r="H21" i="83" s="1"/>
  <c r="Q29" i="83"/>
  <c r="P29" i="83"/>
  <c r="T19" i="83"/>
  <c r="F19" i="83"/>
  <c r="H19" i="83" s="1"/>
  <c r="T18" i="83"/>
  <c r="V18" i="83" s="1"/>
  <c r="L28" i="83"/>
  <c r="F18" i="83"/>
  <c r="H18" i="83" s="1"/>
  <c r="R32" i="83"/>
  <c r="Q32" i="83"/>
  <c r="P32" i="83"/>
  <c r="O32" i="83"/>
  <c r="N32" i="83"/>
  <c r="K32" i="83"/>
  <c r="J32" i="83"/>
  <c r="I32" i="83"/>
  <c r="G32" i="83"/>
  <c r="S31" i="83"/>
  <c r="R31" i="83"/>
  <c r="Q31" i="83"/>
  <c r="P31" i="83"/>
  <c r="N31" i="83"/>
  <c r="L31" i="83"/>
  <c r="K31" i="83"/>
  <c r="J31" i="83"/>
  <c r="I31" i="83"/>
  <c r="F16" i="83"/>
  <c r="H16" i="83" s="1"/>
  <c r="E31" i="83"/>
  <c r="F31" i="83" s="1"/>
  <c r="D31" i="83"/>
  <c r="R30" i="83"/>
  <c r="Q30" i="83"/>
  <c r="P30" i="83"/>
  <c r="O30" i="83"/>
  <c r="L30" i="83"/>
  <c r="K30" i="83"/>
  <c r="J30" i="83"/>
  <c r="I30" i="83"/>
  <c r="G30" i="83"/>
  <c r="D30" i="83"/>
  <c r="S29" i="83"/>
  <c r="R29" i="83"/>
  <c r="O29" i="83"/>
  <c r="N29" i="83"/>
  <c r="M14" i="83"/>
  <c r="M29" i="83" s="1"/>
  <c r="L29" i="83"/>
  <c r="K29" i="83"/>
  <c r="J29" i="83"/>
  <c r="G29" i="83"/>
  <c r="E29" i="83"/>
  <c r="F14" i="83"/>
  <c r="O28" i="83"/>
  <c r="N28" i="83"/>
  <c r="M13" i="83"/>
  <c r="J28" i="83"/>
  <c r="I28" i="83"/>
  <c r="G28" i="83"/>
  <c r="F13" i="83"/>
  <c r="H13" i="83" s="1"/>
  <c r="O27" i="83"/>
  <c r="I24" i="83"/>
  <c r="F12" i="83"/>
  <c r="H12" i="83" s="1"/>
  <c r="T12" i="83" s="1"/>
  <c r="V12" i="83" s="1"/>
  <c r="R27" i="83"/>
  <c r="Q27" i="83"/>
  <c r="N24" i="83"/>
  <c r="J27" i="83"/>
  <c r="J34" i="83" s="1"/>
  <c r="E24" i="83"/>
  <c r="E7" i="83"/>
  <c r="O34" i="83" l="1"/>
  <c r="E30" i="83"/>
  <c r="F30" i="83" s="1"/>
  <c r="F20" i="83"/>
  <c r="H20" i="83" s="1"/>
  <c r="T20" i="83" s="1"/>
  <c r="H31" i="83"/>
  <c r="T16" i="83"/>
  <c r="P24" i="83"/>
  <c r="P27" i="83"/>
  <c r="P28" i="83"/>
  <c r="F15" i="83"/>
  <c r="H15" i="83" s="1"/>
  <c r="L24" i="83"/>
  <c r="L27" i="83"/>
  <c r="L34" i="83" s="1"/>
  <c r="J24" i="83"/>
  <c r="H14" i="83"/>
  <c r="N34" i="83"/>
  <c r="H28" i="83"/>
  <c r="T13" i="83"/>
  <c r="T28" i="83" s="1"/>
  <c r="D24" i="83"/>
  <c r="F24" i="83" s="1"/>
  <c r="D27" i="83"/>
  <c r="R28" i="83"/>
  <c r="R34" i="83" s="1"/>
  <c r="R24" i="83"/>
  <c r="G25" i="84"/>
  <c r="G9" i="85"/>
  <c r="I18" i="85"/>
  <c r="D21" i="85"/>
  <c r="D50" i="85" s="1"/>
  <c r="D48" i="85"/>
  <c r="H47" i="85"/>
  <c r="G47" i="85"/>
  <c r="I27" i="83"/>
  <c r="I34" i="83" s="1"/>
  <c r="G34" i="83"/>
  <c r="H43" i="85"/>
  <c r="G43" i="85"/>
  <c r="F22" i="83"/>
  <c r="H22" i="83" s="1"/>
  <c r="G33" i="85"/>
  <c r="M17" i="83" s="1"/>
  <c r="I36" i="85"/>
  <c r="D39" i="85"/>
  <c r="F11" i="83"/>
  <c r="H11" i="83" s="1"/>
  <c r="U14" i="83"/>
  <c r="E32" i="83"/>
  <c r="F32" i="83" s="1"/>
  <c r="F23" i="83"/>
  <c r="H23" i="83" s="1"/>
  <c r="D29" i="83"/>
  <c r="F29" i="83" s="1"/>
  <c r="H12" i="84"/>
  <c r="H13" i="84" s="1"/>
  <c r="G13" i="84"/>
  <c r="D25" i="84"/>
  <c r="H9" i="85"/>
  <c r="H12" i="85"/>
  <c r="I12" i="85" s="1"/>
  <c r="H15" i="85"/>
  <c r="I15" i="85" s="1"/>
  <c r="G21" i="85"/>
  <c r="M15" i="83" s="1"/>
  <c r="H19" i="85"/>
  <c r="I19" i="85" s="1"/>
  <c r="I23" i="85"/>
  <c r="I27" i="85"/>
  <c r="I29" i="85"/>
  <c r="I31" i="85"/>
  <c r="H45" i="85"/>
  <c r="G45" i="85"/>
  <c r="G48" i="85" s="1"/>
  <c r="M22" i="83" s="1"/>
  <c r="E27" i="83"/>
  <c r="G24" i="83"/>
  <c r="K24" i="83"/>
  <c r="O24" i="83"/>
  <c r="S24" i="83"/>
  <c r="E28" i="83"/>
  <c r="F28" i="83" s="1"/>
  <c r="M28" i="83"/>
  <c r="Q28" i="83"/>
  <c r="Q34" i="83" s="1"/>
  <c r="U13" i="83"/>
  <c r="F17" i="83"/>
  <c r="H17" i="83" s="1"/>
  <c r="K27" i="83"/>
  <c r="K34" i="83" s="1"/>
  <c r="S27" i="83"/>
  <c r="S34" i="83" s="1"/>
  <c r="H24" i="85"/>
  <c r="G24" i="85"/>
  <c r="M21" i="83" s="1"/>
  <c r="M31" i="83" s="1"/>
  <c r="H28" i="85"/>
  <c r="I28" i="85" s="1"/>
  <c r="G28" i="85"/>
  <c r="H30" i="85"/>
  <c r="G30" i="85"/>
  <c r="H32" i="85"/>
  <c r="I32" i="85" s="1"/>
  <c r="G32" i="85"/>
  <c r="G39" i="85"/>
  <c r="M20" i="83" s="1"/>
  <c r="H37" i="85"/>
  <c r="I37" i="85" s="1"/>
  <c r="I42" i="85"/>
  <c r="I44" i="85"/>
  <c r="I46" i="85"/>
  <c r="I49" i="7"/>
  <c r="U48" i="82"/>
  <c r="O36" i="82"/>
  <c r="O37" i="82" s="1"/>
  <c r="O38" i="82" s="1"/>
  <c r="O39" i="82" s="1"/>
  <c r="O40" i="82" s="1"/>
  <c r="M36" i="82"/>
  <c r="M37" i="82" s="1"/>
  <c r="Q35" i="82"/>
  <c r="O14" i="82"/>
  <c r="O15" i="82" s="1"/>
  <c r="O16" i="82" s="1"/>
  <c r="O17" i="82" s="1"/>
  <c r="O18" i="82" s="1"/>
  <c r="N14" i="82"/>
  <c r="N15" i="82" s="1"/>
  <c r="N16" i="82" s="1"/>
  <c r="N17" i="82" s="1"/>
  <c r="N18" i="82" s="1"/>
  <c r="M14" i="82"/>
  <c r="E34" i="83" l="1"/>
  <c r="F27" i="83"/>
  <c r="I9" i="85"/>
  <c r="M32" i="83"/>
  <c r="M30" i="83"/>
  <c r="E25" i="84"/>
  <c r="E32" i="84" s="1"/>
  <c r="E34" i="84" s="1"/>
  <c r="D38" i="84"/>
  <c r="D32" i="84"/>
  <c r="H33" i="83"/>
  <c r="T23" i="83"/>
  <c r="T22" i="83"/>
  <c r="T14" i="83"/>
  <c r="T29" i="83" s="1"/>
  <c r="H29" i="83"/>
  <c r="H30" i="83"/>
  <c r="T15" i="83"/>
  <c r="T30" i="83" s="1"/>
  <c r="T21" i="83"/>
  <c r="D34" i="83"/>
  <c r="H32" i="83"/>
  <c r="T17" i="83"/>
  <c r="T32" i="83" s="1"/>
  <c r="H33" i="85"/>
  <c r="I24" i="85"/>
  <c r="U28" i="83"/>
  <c r="V28" i="83" s="1"/>
  <c r="V13" i="83"/>
  <c r="I45" i="85"/>
  <c r="U19" i="83"/>
  <c r="V19" i="83" s="1"/>
  <c r="I39" i="85"/>
  <c r="I21" i="85"/>
  <c r="T31" i="83"/>
  <c r="H24" i="83"/>
  <c r="H27" i="83"/>
  <c r="H34" i="83" s="1"/>
  <c r="M11" i="83"/>
  <c r="G50" i="85"/>
  <c r="I30" i="85"/>
  <c r="U16" i="83"/>
  <c r="U18" i="83"/>
  <c r="H34" i="84"/>
  <c r="H35" i="84" s="1"/>
  <c r="H36" i="84" s="1"/>
  <c r="U29" i="83"/>
  <c r="V29" i="83" s="1"/>
  <c r="V14" i="83"/>
  <c r="H39" i="85"/>
  <c r="I43" i="85"/>
  <c r="H48" i="85"/>
  <c r="I47" i="85"/>
  <c r="H21" i="85"/>
  <c r="H50" i="85" s="1"/>
  <c r="G38" i="84"/>
  <c r="G32" i="84"/>
  <c r="H25" i="84"/>
  <c r="H32" i="84" s="1"/>
  <c r="P34" i="83"/>
  <c r="M15" i="82"/>
  <c r="Q14" i="82"/>
  <c r="R14" i="82" s="1"/>
  <c r="M38" i="82"/>
  <c r="Q37" i="82"/>
  <c r="R37" i="82" s="1"/>
  <c r="R35" i="82"/>
  <c r="Q13" i="82"/>
  <c r="Q36" i="82"/>
  <c r="R36" i="82" s="1"/>
  <c r="V16" i="83" l="1"/>
  <c r="I50" i="85"/>
  <c r="U11" i="83"/>
  <c r="I48" i="85"/>
  <c r="M27" i="83"/>
  <c r="M34" i="83" s="1"/>
  <c r="M24" i="83"/>
  <c r="U20" i="83"/>
  <c r="V20" i="83" s="1"/>
  <c r="U21" i="83"/>
  <c r="V21" i="83" s="1"/>
  <c r="I33" i="85"/>
  <c r="V23" i="83"/>
  <c r="T33" i="83"/>
  <c r="V33" i="83" s="1"/>
  <c r="T11" i="83"/>
  <c r="U15" i="83"/>
  <c r="F34" i="83"/>
  <c r="R13" i="82"/>
  <c r="M39" i="82"/>
  <c r="Q38" i="82"/>
  <c r="R38" i="82" s="1"/>
  <c r="M16" i="82"/>
  <c r="Q15" i="82"/>
  <c r="R15" i="82" s="1"/>
  <c r="T24" i="83" l="1"/>
  <c r="T27" i="83"/>
  <c r="T34" i="83" s="1"/>
  <c r="U30" i="83"/>
  <c r="V30" i="83" s="1"/>
  <c r="V15" i="83"/>
  <c r="U22" i="83"/>
  <c r="V22" i="83" s="1"/>
  <c r="U17" i="83"/>
  <c r="U24" i="83" s="1"/>
  <c r="V24" i="83" s="1"/>
  <c r="U27" i="83"/>
  <c r="V11" i="83"/>
  <c r="U31" i="83"/>
  <c r="V31" i="83" s="1"/>
  <c r="M17" i="82"/>
  <c r="Q16" i="82"/>
  <c r="R16" i="82" s="1"/>
  <c r="M40" i="82"/>
  <c r="Q40" i="82" s="1"/>
  <c r="R40" i="82" s="1"/>
  <c r="Q39" i="82"/>
  <c r="R39" i="82" s="1"/>
  <c r="R42" i="82" s="1"/>
  <c r="V46" i="82" s="1"/>
  <c r="U32" i="83" l="1"/>
  <c r="V32" i="83" s="1"/>
  <c r="V17" i="83"/>
  <c r="U34" i="83"/>
  <c r="V34" i="83" s="1"/>
  <c r="V27" i="83"/>
  <c r="M18" i="82"/>
  <c r="Q18" i="82" s="1"/>
  <c r="R18" i="82" s="1"/>
  <c r="Q17" i="82"/>
  <c r="R17" i="82" s="1"/>
  <c r="R20" i="82" s="1"/>
  <c r="Q42" i="82"/>
  <c r="Q20" i="82"/>
  <c r="V24" i="82" l="1"/>
  <c r="V50" i="82" s="1"/>
  <c r="T48" i="82"/>
  <c r="V51" i="82" s="1"/>
  <c r="C51" i="7" l="1"/>
  <c r="Q11" i="9"/>
  <c r="Q12" i="9"/>
  <c r="Q13" i="9"/>
  <c r="Q14" i="9"/>
  <c r="Q15" i="9"/>
  <c r="Q10" i="9"/>
  <c r="C52" i="9" l="1"/>
  <c r="T11" i="9"/>
  <c r="T12" i="9"/>
  <c r="T13" i="9"/>
  <c r="T14" i="9"/>
  <c r="T15" i="9"/>
  <c r="T10" i="9"/>
  <c r="S11" i="9"/>
  <c r="S12" i="9"/>
  <c r="S13" i="9"/>
  <c r="S14" i="9"/>
  <c r="S15" i="9"/>
  <c r="S10" i="9"/>
  <c r="U11" i="9"/>
  <c r="U12" i="9"/>
  <c r="U13" i="9"/>
  <c r="U14" i="9"/>
  <c r="U15" i="9"/>
  <c r="U10" i="9"/>
  <c r="K20" i="8" l="1"/>
  <c r="K19" i="8"/>
  <c r="K16" i="8"/>
  <c r="K14" i="8"/>
  <c r="K12" i="8"/>
  <c r="K9" i="8"/>
  <c r="J20" i="8"/>
  <c r="J19" i="8"/>
  <c r="J16" i="8"/>
  <c r="J14" i="8"/>
  <c r="J12" i="8"/>
  <c r="J9" i="8"/>
  <c r="I20" i="8"/>
  <c r="I19" i="8"/>
  <c r="I16" i="8"/>
  <c r="I14" i="8"/>
  <c r="I12" i="8"/>
  <c r="I9" i="8"/>
  <c r="L24" i="8"/>
  <c r="L25" i="8"/>
  <c r="F25" i="8"/>
  <c r="E25" i="8"/>
  <c r="F24" i="8"/>
  <c r="E24" i="8"/>
  <c r="F20" i="8"/>
  <c r="E20" i="8"/>
  <c r="F19" i="8"/>
  <c r="E19" i="8"/>
  <c r="F16" i="8"/>
  <c r="E16" i="8"/>
  <c r="F14" i="8"/>
  <c r="E14" i="8"/>
  <c r="F12" i="8"/>
  <c r="E12" i="8"/>
  <c r="F9" i="8"/>
  <c r="E9" i="8"/>
  <c r="P252" i="77"/>
  <c r="B213" i="77"/>
  <c r="E209" i="77"/>
  <c r="F207" i="77"/>
  <c r="F203" i="77"/>
  <c r="M200" i="77"/>
  <c r="F200" i="77"/>
  <c r="D198" i="77"/>
  <c r="G198" i="77" s="1"/>
  <c r="B193" i="77"/>
  <c r="M190" i="77"/>
  <c r="M182" i="77"/>
  <c r="F182" i="77"/>
  <c r="C181" i="77"/>
  <c r="N179" i="77"/>
  <c r="G179" i="77"/>
  <c r="D179" i="77"/>
  <c r="B170" i="77"/>
  <c r="M164" i="77"/>
  <c r="F160" i="77"/>
  <c r="B154" i="77"/>
  <c r="L152" i="77"/>
  <c r="F151" i="77"/>
  <c r="M147" i="77"/>
  <c r="F147" i="77"/>
  <c r="M145" i="77"/>
  <c r="F144" i="77"/>
  <c r="B135" i="77"/>
  <c r="M128" i="77"/>
  <c r="M125" i="77"/>
  <c r="F125" i="77"/>
  <c r="B118" i="77"/>
  <c r="L116" i="77"/>
  <c r="L109" i="77" s="1"/>
  <c r="N107" i="77"/>
  <c r="D107" i="77"/>
  <c r="Q102" i="77"/>
  <c r="Q117" i="77" s="1"/>
  <c r="B98" i="77"/>
  <c r="M91" i="77"/>
  <c r="F91" i="77"/>
  <c r="E93" i="77"/>
  <c r="E86" i="77"/>
  <c r="B81" i="77"/>
  <c r="L77" i="77"/>
  <c r="D75" i="77"/>
  <c r="F71" i="77"/>
  <c r="L70" i="77"/>
  <c r="C70" i="77"/>
  <c r="D69" i="77"/>
  <c r="G69" i="77" s="1"/>
  <c r="B60" i="77"/>
  <c r="B50" i="77"/>
  <c r="M47" i="77"/>
  <c r="M46" i="77"/>
  <c r="L47" i="77"/>
  <c r="N45" i="77"/>
  <c r="G45" i="77"/>
  <c r="D45" i="77"/>
  <c r="Q40" i="77"/>
  <c r="Q49" i="77" s="1"/>
  <c r="L39" i="77"/>
  <c r="P40" i="77" s="1"/>
  <c r="B36" i="77"/>
  <c r="B28" i="77"/>
  <c r="G24" i="77"/>
  <c r="D24" i="77"/>
  <c r="C24" i="77"/>
  <c r="B20" i="77"/>
  <c r="D16" i="77"/>
  <c r="D149" i="76"/>
  <c r="D148" i="76"/>
  <c r="D141" i="76"/>
  <c r="C208" i="77"/>
  <c r="F208" i="77" s="1"/>
  <c r="F132" i="76"/>
  <c r="C207" i="77"/>
  <c r="M207" i="77" s="1"/>
  <c r="D151" i="76"/>
  <c r="F131" i="76"/>
  <c r="C206" i="77"/>
  <c r="F206" i="77" s="1"/>
  <c r="C205" i="77"/>
  <c r="M205" i="77" s="1"/>
  <c r="C204" i="77"/>
  <c r="F204" i="77" s="1"/>
  <c r="F129" i="76"/>
  <c r="F128" i="76"/>
  <c r="F147" i="76" s="1"/>
  <c r="C203" i="77"/>
  <c r="M203" i="77" s="1"/>
  <c r="D147" i="76"/>
  <c r="L125" i="76"/>
  <c r="I125" i="76"/>
  <c r="I144" i="76" s="1"/>
  <c r="C199" i="77"/>
  <c r="F199" i="77" s="1"/>
  <c r="I123" i="76"/>
  <c r="F123" i="76"/>
  <c r="C198" i="77"/>
  <c r="F198" i="77" s="1"/>
  <c r="H115" i="76"/>
  <c r="F115" i="76"/>
  <c r="C190" i="77"/>
  <c r="C187" i="77"/>
  <c r="F111" i="76"/>
  <c r="F148" i="76" s="1"/>
  <c r="C186" i="77"/>
  <c r="M186" i="77" s="1"/>
  <c r="O110" i="76"/>
  <c r="F110" i="76"/>
  <c r="C185" i="77"/>
  <c r="F185" i="77" s="1"/>
  <c r="I107" i="76"/>
  <c r="K107" i="76" s="1"/>
  <c r="L107" i="76" s="1"/>
  <c r="H106" i="76"/>
  <c r="D181" i="77" s="1"/>
  <c r="H105" i="76"/>
  <c r="C180" i="77"/>
  <c r="F105" i="76"/>
  <c r="I104" i="76"/>
  <c r="F104" i="76"/>
  <c r="C179" i="77"/>
  <c r="M179" i="77" s="1"/>
  <c r="D88" i="76"/>
  <c r="C165" i="77"/>
  <c r="F165" i="77" s="1"/>
  <c r="C164" i="77"/>
  <c r="I76" i="76"/>
  <c r="K76" i="76" s="1"/>
  <c r="L76" i="76" s="1"/>
  <c r="H75" i="76"/>
  <c r="D160" i="77" s="1"/>
  <c r="F75" i="76"/>
  <c r="C160" i="77"/>
  <c r="D67" i="76"/>
  <c r="F66" i="76"/>
  <c r="C151" i="77"/>
  <c r="M151" i="77" s="1"/>
  <c r="F65" i="76"/>
  <c r="C150" i="77"/>
  <c r="M150" i="77" s="1"/>
  <c r="H61" i="76"/>
  <c r="D146" i="77" s="1"/>
  <c r="C146" i="77"/>
  <c r="D61" i="76"/>
  <c r="H60" i="76"/>
  <c r="D145" i="77" s="1"/>
  <c r="N145" i="77" s="1"/>
  <c r="F60" i="76"/>
  <c r="F89" i="76" s="1"/>
  <c r="C145" i="77"/>
  <c r="D89" i="76"/>
  <c r="H59" i="76"/>
  <c r="D144" i="77" s="1"/>
  <c r="N144" i="77" s="1"/>
  <c r="F59" i="76"/>
  <c r="C144" i="77"/>
  <c r="M144" i="77" s="1"/>
  <c r="D51" i="76"/>
  <c r="D44" i="76"/>
  <c r="F35" i="76"/>
  <c r="C130" i="77"/>
  <c r="C129" i="77"/>
  <c r="C128" i="77"/>
  <c r="I30" i="76"/>
  <c r="K30" i="76" s="1"/>
  <c r="L30" i="76" s="1"/>
  <c r="F29" i="76"/>
  <c r="C124" i="77"/>
  <c r="F28" i="76"/>
  <c r="H28" i="76"/>
  <c r="D123" i="77" s="1"/>
  <c r="D43" i="76"/>
  <c r="F19" i="76"/>
  <c r="C113" i="77"/>
  <c r="M113" i="77" s="1"/>
  <c r="H13" i="76"/>
  <c r="D108" i="77" s="1"/>
  <c r="N108" i="77" s="1"/>
  <c r="C108" i="77"/>
  <c r="M108" i="77" s="1"/>
  <c r="F13" i="76"/>
  <c r="F44" i="76" s="1"/>
  <c r="I12" i="76"/>
  <c r="K12" i="76" s="1"/>
  <c r="L12" i="76" s="1"/>
  <c r="F12" i="76"/>
  <c r="C107" i="77"/>
  <c r="M107" i="77" s="1"/>
  <c r="D79" i="75"/>
  <c r="D74" i="75"/>
  <c r="D75" i="75" s="1"/>
  <c r="C92" i="77"/>
  <c r="F92" i="77" s="1"/>
  <c r="H64" i="75"/>
  <c r="F64" i="75"/>
  <c r="C91" i="77"/>
  <c r="H63" i="75"/>
  <c r="D90" i="77" s="1"/>
  <c r="C90" i="77"/>
  <c r="C87" i="77"/>
  <c r="F87" i="77" s="1"/>
  <c r="C86" i="77"/>
  <c r="D59" i="75"/>
  <c r="F59" i="75" s="1"/>
  <c r="H58" i="75"/>
  <c r="D85" i="77" s="1"/>
  <c r="F58" i="75"/>
  <c r="C85" i="77"/>
  <c r="F85" i="77" s="1"/>
  <c r="D78" i="77"/>
  <c r="C78" i="77"/>
  <c r="F48" i="75"/>
  <c r="C75" i="77"/>
  <c r="F47" i="75"/>
  <c r="H46" i="75"/>
  <c r="D74" i="77" s="1"/>
  <c r="C74" i="77"/>
  <c r="H43" i="75"/>
  <c r="C71" i="77"/>
  <c r="F43" i="75"/>
  <c r="H42" i="75"/>
  <c r="D70" i="77" s="1"/>
  <c r="F42" i="75"/>
  <c r="D42" i="75"/>
  <c r="I41" i="75"/>
  <c r="C69" i="77"/>
  <c r="D31" i="75"/>
  <c r="C55" i="77"/>
  <c r="F23" i="75"/>
  <c r="F24" i="75" s="1"/>
  <c r="F26" i="75" s="1"/>
  <c r="H22" i="75"/>
  <c r="D54" i="77" s="1"/>
  <c r="F22" i="75"/>
  <c r="C54" i="77"/>
  <c r="I14" i="75"/>
  <c r="I33" i="75" s="1"/>
  <c r="D47" i="77"/>
  <c r="N47" i="77" s="1"/>
  <c r="C47" i="77"/>
  <c r="D14" i="75"/>
  <c r="F13" i="75"/>
  <c r="C46" i="77"/>
  <c r="I12" i="75"/>
  <c r="F12" i="75"/>
  <c r="F31" i="75" s="1"/>
  <c r="C45" i="77"/>
  <c r="M45" i="77" s="1"/>
  <c r="C25" i="77"/>
  <c r="F21" i="74"/>
  <c r="H20" i="74"/>
  <c r="F20" i="74"/>
  <c r="F22" i="74" s="1"/>
  <c r="F24" i="74" s="1"/>
  <c r="C17" i="77"/>
  <c r="D37" i="74"/>
  <c r="I12" i="74"/>
  <c r="F12" i="74"/>
  <c r="C16" i="77"/>
  <c r="B5" i="77"/>
  <c r="F50" i="76" l="1"/>
  <c r="F34" i="75"/>
  <c r="F36" i="75" s="1"/>
  <c r="D71" i="77"/>
  <c r="G71" i="77" s="1"/>
  <c r="H60" i="75"/>
  <c r="I43" i="75"/>
  <c r="K43" i="75" s="1"/>
  <c r="L43" i="75" s="1"/>
  <c r="K33" i="75"/>
  <c r="L33" i="75" s="1"/>
  <c r="C32" i="77"/>
  <c r="F32" i="77" s="1"/>
  <c r="F34" i="77" s="1"/>
  <c r="H28" i="74"/>
  <c r="I48" i="75"/>
  <c r="K48" i="75" s="1"/>
  <c r="L48" i="75" s="1"/>
  <c r="D80" i="75"/>
  <c r="F36" i="76"/>
  <c r="F38" i="76" s="1"/>
  <c r="D90" i="76"/>
  <c r="F61" i="76"/>
  <c r="F90" i="76" s="1"/>
  <c r="L78" i="77"/>
  <c r="M187" i="77"/>
  <c r="H59" i="75"/>
  <c r="I59" i="76"/>
  <c r="F91" i="76"/>
  <c r="I62" i="76"/>
  <c r="I75" i="76"/>
  <c r="K75" i="76" s="1"/>
  <c r="L75" i="76" s="1"/>
  <c r="F113" i="76"/>
  <c r="K168" i="76"/>
  <c r="L168" i="76" s="1"/>
  <c r="Q219" i="77"/>
  <c r="Q226" i="77" s="1"/>
  <c r="G16" i="77"/>
  <c r="F16" i="77"/>
  <c r="F25" i="77"/>
  <c r="E47" i="77"/>
  <c r="F46" i="77"/>
  <c r="E77" i="77"/>
  <c r="M92" i="77"/>
  <c r="M130" i="77"/>
  <c r="K12" i="74"/>
  <c r="I20" i="74"/>
  <c r="F32" i="75"/>
  <c r="F15" i="75"/>
  <c r="F41" i="75"/>
  <c r="K41" i="75" s="1"/>
  <c r="I42" i="75"/>
  <c r="K42" i="75" s="1"/>
  <c r="L42" i="75" s="1"/>
  <c r="I47" i="75"/>
  <c r="K47" i="75" s="1"/>
  <c r="L47" i="75" s="1"/>
  <c r="I58" i="75"/>
  <c r="F110" i="77"/>
  <c r="M110" i="77" s="1"/>
  <c r="F46" i="76"/>
  <c r="C114" i="77"/>
  <c r="H19" i="76"/>
  <c r="C115" i="77"/>
  <c r="H20" i="76"/>
  <c r="H29" i="76"/>
  <c r="D124" i="77" s="1"/>
  <c r="G124" i="77" s="1"/>
  <c r="F33" i="76"/>
  <c r="D49" i="76"/>
  <c r="D36" i="76"/>
  <c r="D50" i="76"/>
  <c r="F34" i="76"/>
  <c r="F74" i="76"/>
  <c r="C188" i="77"/>
  <c r="M188" i="77" s="1"/>
  <c r="I115" i="76"/>
  <c r="K115" i="76" s="1"/>
  <c r="L115" i="76" s="1"/>
  <c r="F209" i="77"/>
  <c r="F211" i="77" s="1"/>
  <c r="J219" i="77"/>
  <c r="N16" i="77"/>
  <c r="M16" i="77"/>
  <c r="M18" i="77" s="1"/>
  <c r="F45" i="77"/>
  <c r="F55" i="77"/>
  <c r="G107" i="77"/>
  <c r="F107" i="77"/>
  <c r="M198" i="77"/>
  <c r="N198" i="77"/>
  <c r="F205" i="77"/>
  <c r="F13" i="74"/>
  <c r="F14" i="74" s="1"/>
  <c r="K14" i="75"/>
  <c r="L14" i="75" s="1"/>
  <c r="F80" i="75"/>
  <c r="N160" i="77"/>
  <c r="G160" i="77"/>
  <c r="C189" i="77"/>
  <c r="F189" i="77" s="1"/>
  <c r="F114" i="76"/>
  <c r="F151" i="76" s="1"/>
  <c r="F133" i="76"/>
  <c r="F152" i="76" s="1"/>
  <c r="D152" i="76"/>
  <c r="M17" i="77"/>
  <c r="L10" i="77"/>
  <c r="N24" i="77"/>
  <c r="M24" i="77"/>
  <c r="M26" i="77" s="1"/>
  <c r="L86" i="77"/>
  <c r="N85" i="77"/>
  <c r="M85" i="77"/>
  <c r="K12" i="75"/>
  <c r="F14" i="75"/>
  <c r="F33" i="75" s="1"/>
  <c r="D33" i="75"/>
  <c r="D49" i="75"/>
  <c r="D50" i="75" s="1"/>
  <c r="C76" i="77"/>
  <c r="M76" i="77" s="1"/>
  <c r="H48" i="75"/>
  <c r="D91" i="77"/>
  <c r="N91" i="77" s="1"/>
  <c r="I64" i="75"/>
  <c r="I13" i="76"/>
  <c r="F18" i="76"/>
  <c r="F49" i="76" s="1"/>
  <c r="D21" i="76"/>
  <c r="D14" i="76" s="1"/>
  <c r="F14" i="76" s="1"/>
  <c r="I20" i="76"/>
  <c r="F80" i="76"/>
  <c r="F95" i="76" s="1"/>
  <c r="D190" i="77"/>
  <c r="G190" i="77" s="1"/>
  <c r="H133" i="76"/>
  <c r="D208" i="77" s="1"/>
  <c r="G208" i="77" s="1"/>
  <c r="P59" i="77"/>
  <c r="P49" i="77"/>
  <c r="F28" i="74"/>
  <c r="F32" i="74" s="1"/>
  <c r="M48" i="77"/>
  <c r="I22" i="75"/>
  <c r="I31" i="75" s="1"/>
  <c r="D32" i="75"/>
  <c r="D93" i="75" s="1"/>
  <c r="F75" i="75"/>
  <c r="D76" i="75"/>
  <c r="F60" i="75"/>
  <c r="F76" i="75" s="1"/>
  <c r="F65" i="75"/>
  <c r="F81" i="75" s="1"/>
  <c r="D81" i="75"/>
  <c r="D82" i="75" s="1"/>
  <c r="D66" i="75"/>
  <c r="D94" i="75" s="1"/>
  <c r="C109" i="77"/>
  <c r="M109" i="77" s="1"/>
  <c r="H14" i="76"/>
  <c r="D109" i="77" s="1"/>
  <c r="N109" i="77" s="1"/>
  <c r="I15" i="76"/>
  <c r="I19" i="76"/>
  <c r="F20" i="76"/>
  <c r="F51" i="76" s="1"/>
  <c r="N123" i="77"/>
  <c r="G123" i="77"/>
  <c r="F43" i="76"/>
  <c r="F67" i="76"/>
  <c r="I61" i="76"/>
  <c r="H74" i="76"/>
  <c r="D159" i="77" s="1"/>
  <c r="C159" i="77"/>
  <c r="F159" i="77" s="1"/>
  <c r="D81" i="76"/>
  <c r="F79" i="76"/>
  <c r="F94" i="76" s="1"/>
  <c r="D95" i="76"/>
  <c r="I105" i="76"/>
  <c r="K105" i="76" s="1"/>
  <c r="L105" i="76" s="1"/>
  <c r="F112" i="76"/>
  <c r="D116" i="76"/>
  <c r="D106" i="76" s="1"/>
  <c r="F141" i="76"/>
  <c r="F150" i="76"/>
  <c r="D134" i="76"/>
  <c r="F17" i="77"/>
  <c r="E10" i="77"/>
  <c r="J11" i="77" s="1"/>
  <c r="O225" i="77"/>
  <c r="H225" i="77"/>
  <c r="O224" i="77"/>
  <c r="H224" i="77"/>
  <c r="O223" i="77"/>
  <c r="H223" i="77"/>
  <c r="O222" i="77"/>
  <c r="H222" i="77"/>
  <c r="O221" i="77"/>
  <c r="H221" i="77"/>
  <c r="O220" i="77"/>
  <c r="H220" i="77"/>
  <c r="Q225" i="77"/>
  <c r="J225" i="77"/>
  <c r="Q224" i="77"/>
  <c r="J224" i="77"/>
  <c r="Q223" i="77"/>
  <c r="J223" i="77"/>
  <c r="Q222" i="77"/>
  <c r="J222" i="77"/>
  <c r="Q221" i="77"/>
  <c r="J221" i="77"/>
  <c r="Q220" i="77"/>
  <c r="J220" i="77"/>
  <c r="P225" i="77"/>
  <c r="I225" i="77"/>
  <c r="P224" i="77"/>
  <c r="I224" i="77"/>
  <c r="P223" i="77"/>
  <c r="I223" i="77"/>
  <c r="P222" i="77"/>
  <c r="I222" i="77"/>
  <c r="P221" i="77"/>
  <c r="I221" i="77"/>
  <c r="P220" i="77"/>
  <c r="I220" i="77"/>
  <c r="E225" i="77"/>
  <c r="L220" i="77"/>
  <c r="L225" i="77"/>
  <c r="G54" i="77"/>
  <c r="F54" i="77"/>
  <c r="F69" i="77"/>
  <c r="C123" i="77"/>
  <c r="F123" i="77" s="1"/>
  <c r="I60" i="76"/>
  <c r="D94" i="76"/>
  <c r="D96" i="76" s="1"/>
  <c r="D162" i="76" s="1"/>
  <c r="F180" i="77"/>
  <c r="M180" i="77"/>
  <c r="I141" i="76"/>
  <c r="K123" i="76"/>
  <c r="M25" i="77"/>
  <c r="O40" i="77"/>
  <c r="N54" i="77"/>
  <c r="Q64" i="77"/>
  <c r="Q80" i="77" s="1"/>
  <c r="N70" i="77"/>
  <c r="N75" i="77"/>
  <c r="F86" i="77"/>
  <c r="F94" i="77" s="1"/>
  <c r="F96" i="77" s="1"/>
  <c r="L93" i="77"/>
  <c r="L63" i="77" s="1"/>
  <c r="I28" i="76"/>
  <c r="K104" i="76"/>
  <c r="L104" i="76" s="1"/>
  <c r="D180" i="77"/>
  <c r="H124" i="76"/>
  <c r="D142" i="76"/>
  <c r="F124" i="76"/>
  <c r="F142" i="76" s="1"/>
  <c r="F144" i="76"/>
  <c r="K144" i="76" s="1"/>
  <c r="L144" i="76" s="1"/>
  <c r="F130" i="76"/>
  <c r="F24" i="77"/>
  <c r="F26" i="77" s="1"/>
  <c r="M32" i="77"/>
  <c r="M34" i="77" s="1"/>
  <c r="M54" i="77"/>
  <c r="M55" i="77"/>
  <c r="N69" i="77"/>
  <c r="M69" i="77"/>
  <c r="M70" i="77"/>
  <c r="M75" i="77"/>
  <c r="M87" i="77"/>
  <c r="J139" i="77"/>
  <c r="J153" i="77" s="1"/>
  <c r="L146" i="77"/>
  <c r="Q139" i="77"/>
  <c r="Q153" i="77" s="1"/>
  <c r="D150" i="76"/>
  <c r="D153" i="76" s="1"/>
  <c r="D163" i="76" s="1"/>
  <c r="H219" i="77"/>
  <c r="O219" i="77"/>
  <c r="E70" i="77"/>
  <c r="F75" i="77"/>
  <c r="G108" i="77"/>
  <c r="E116" i="77"/>
  <c r="N124" i="77"/>
  <c r="M124" i="77"/>
  <c r="M159" i="77"/>
  <c r="F179" i="77"/>
  <c r="I219" i="77"/>
  <c r="P219" i="77"/>
  <c r="P226" i="77" s="1"/>
  <c r="M71" i="77"/>
  <c r="G75" i="77"/>
  <c r="G85" i="77"/>
  <c r="F108" i="77"/>
  <c r="F113" i="77"/>
  <c r="L131" i="77"/>
  <c r="L101" i="77" s="1"/>
  <c r="L222" i="77" s="1"/>
  <c r="M129" i="77"/>
  <c r="G144" i="77"/>
  <c r="G145" i="77"/>
  <c r="F145" i="77"/>
  <c r="L166" i="77"/>
  <c r="M165" i="77"/>
  <c r="M185" i="77"/>
  <c r="L191" i="77"/>
  <c r="F190" i="77"/>
  <c r="M204" i="77"/>
  <c r="M206" i="77"/>
  <c r="M208" i="77"/>
  <c r="I252" i="77"/>
  <c r="E152" i="77"/>
  <c r="E146" i="77" s="1"/>
  <c r="M160" i="77"/>
  <c r="E191" i="77"/>
  <c r="F124" i="77"/>
  <c r="E131" i="77"/>
  <c r="F128" i="77"/>
  <c r="F129" i="77"/>
  <c r="F130" i="77"/>
  <c r="F150" i="77"/>
  <c r="E166" i="77"/>
  <c r="F164" i="77"/>
  <c r="F187" i="77"/>
  <c r="M199" i="77"/>
  <c r="F186" i="77"/>
  <c r="L209" i="77"/>
  <c r="L41" i="75" l="1"/>
  <c r="O64" i="77"/>
  <c r="P64" i="77"/>
  <c r="L221" i="77"/>
  <c r="F45" i="76"/>
  <c r="F21" i="76"/>
  <c r="J27" i="77"/>
  <c r="J35" i="77"/>
  <c r="J19" i="77"/>
  <c r="K31" i="75"/>
  <c r="F70" i="77"/>
  <c r="G70" i="77"/>
  <c r="N180" i="77"/>
  <c r="G180" i="77"/>
  <c r="K28" i="76"/>
  <c r="F131" i="77"/>
  <c r="F133" i="77" s="1"/>
  <c r="I90" i="76"/>
  <c r="K90" i="76" s="1"/>
  <c r="L90" i="76" s="1"/>
  <c r="K61" i="76"/>
  <c r="L61" i="76" s="1"/>
  <c r="F188" i="77"/>
  <c r="O226" i="77"/>
  <c r="O59" i="77"/>
  <c r="O49" i="77"/>
  <c r="L123" i="76"/>
  <c r="I89" i="76"/>
  <c r="K89" i="76" s="1"/>
  <c r="L89" i="76" s="1"/>
  <c r="K60" i="76"/>
  <c r="L60" i="76" s="1"/>
  <c r="M86" i="77"/>
  <c r="N86" i="77"/>
  <c r="F67" i="75"/>
  <c r="F69" i="75" s="1"/>
  <c r="M209" i="77"/>
  <c r="M211" i="77" s="1"/>
  <c r="I74" i="75"/>
  <c r="K58" i="75"/>
  <c r="F93" i="75"/>
  <c r="F17" i="75"/>
  <c r="L12" i="74"/>
  <c r="P102" i="77"/>
  <c r="E78" i="77"/>
  <c r="E63" i="77"/>
  <c r="G47" i="77"/>
  <c r="J40" i="77"/>
  <c r="J49" i="77" s="1"/>
  <c r="F47" i="77"/>
  <c r="E39" i="77"/>
  <c r="F18" i="77"/>
  <c r="F12" i="77" s="1"/>
  <c r="K62" i="76"/>
  <c r="L62" i="76" s="1"/>
  <c r="I91" i="76"/>
  <c r="K91" i="76" s="1"/>
  <c r="L91" i="76" s="1"/>
  <c r="N78" i="77"/>
  <c r="M78" i="77"/>
  <c r="D32" i="77"/>
  <c r="I28" i="74"/>
  <c r="I133" i="76"/>
  <c r="M189" i="77"/>
  <c r="N190" i="77"/>
  <c r="E181" i="77"/>
  <c r="E173" i="77"/>
  <c r="E224" i="77" s="1"/>
  <c r="E109" i="77"/>
  <c r="J102" i="77"/>
  <c r="J117" i="77" s="1"/>
  <c r="H226" i="77"/>
  <c r="G91" i="77"/>
  <c r="M56" i="77"/>
  <c r="M58" i="77" s="1"/>
  <c r="F149" i="76"/>
  <c r="F56" i="77"/>
  <c r="F58" i="77" s="1"/>
  <c r="F106" i="76"/>
  <c r="I106" i="76"/>
  <c r="F166" i="77"/>
  <c r="F168" i="77" s="1"/>
  <c r="F52" i="76"/>
  <c r="F54" i="76" s="1"/>
  <c r="M41" i="77"/>
  <c r="D76" i="77"/>
  <c r="H65" i="75"/>
  <c r="O102" i="77"/>
  <c r="J64" i="77"/>
  <c r="J80" i="77" s="1"/>
  <c r="O11" i="77"/>
  <c r="L219" i="77"/>
  <c r="P11" i="77"/>
  <c r="D167" i="76"/>
  <c r="D169" i="76" s="1"/>
  <c r="F81" i="76"/>
  <c r="F83" i="76" s="1"/>
  <c r="F88" i="76"/>
  <c r="F96" i="76" s="1"/>
  <c r="F98" i="76" s="1"/>
  <c r="D52" i="76"/>
  <c r="D161" i="76" s="1"/>
  <c r="D164" i="76" s="1"/>
  <c r="D115" i="77"/>
  <c r="H35" i="76"/>
  <c r="F76" i="77"/>
  <c r="E219" i="77"/>
  <c r="H11" i="77"/>
  <c r="K19" i="76"/>
  <c r="L19" i="76" s="1"/>
  <c r="K20" i="76"/>
  <c r="L20" i="76" s="1"/>
  <c r="I80" i="75"/>
  <c r="K64" i="75"/>
  <c r="I50" i="75"/>
  <c r="F50" i="75"/>
  <c r="F83" i="75" s="1"/>
  <c r="D83" i="75"/>
  <c r="I43" i="76"/>
  <c r="M12" i="77"/>
  <c r="D114" i="77"/>
  <c r="H34" i="76"/>
  <c r="F51" i="75"/>
  <c r="K20" i="74"/>
  <c r="M123" i="77"/>
  <c r="M131" i="77" s="1"/>
  <c r="M133" i="77" s="1"/>
  <c r="I59" i="75"/>
  <c r="D86" i="77"/>
  <c r="G86" i="77" s="1"/>
  <c r="G146" i="77"/>
  <c r="F146" i="77"/>
  <c r="F152" i="77" s="1"/>
  <c r="F140" i="77" s="1"/>
  <c r="E138" i="77"/>
  <c r="N208" i="77"/>
  <c r="L181" i="77"/>
  <c r="L173" i="77"/>
  <c r="L224" i="77" s="1"/>
  <c r="I226" i="77"/>
  <c r="M166" i="77"/>
  <c r="M168" i="77" s="1"/>
  <c r="F162" i="76"/>
  <c r="F69" i="76"/>
  <c r="I46" i="76"/>
  <c r="K46" i="76" s="1"/>
  <c r="L46" i="76" s="1"/>
  <c r="K15" i="76"/>
  <c r="L15" i="76" s="1"/>
  <c r="K22" i="75"/>
  <c r="D45" i="76"/>
  <c r="I14" i="76"/>
  <c r="F37" i="74"/>
  <c r="F39" i="74" s="1"/>
  <c r="F16" i="74"/>
  <c r="M114" i="77"/>
  <c r="M116" i="77" s="1"/>
  <c r="M103" i="77" s="1"/>
  <c r="F114" i="77"/>
  <c r="N71" i="77"/>
  <c r="L138" i="77"/>
  <c r="M146" i="77"/>
  <c r="M152" i="77" s="1"/>
  <c r="N146" i="77"/>
  <c r="M79" i="77"/>
  <c r="M65" i="77" s="1"/>
  <c r="D199" i="77"/>
  <c r="I124" i="76"/>
  <c r="K141" i="76"/>
  <c r="F134" i="76"/>
  <c r="F136" i="76" s="1"/>
  <c r="G159" i="77"/>
  <c r="N159" i="77"/>
  <c r="I29" i="76"/>
  <c r="K29" i="76" s="1"/>
  <c r="L29" i="76" s="1"/>
  <c r="D95" i="75"/>
  <c r="I11" i="77"/>
  <c r="I44" i="76"/>
  <c r="K44" i="76" s="1"/>
  <c r="L44" i="76" s="1"/>
  <c r="K13" i="76"/>
  <c r="L12" i="75"/>
  <c r="M94" i="77"/>
  <c r="M96" i="77" s="1"/>
  <c r="F48" i="77"/>
  <c r="F41" i="77" s="1"/>
  <c r="J226" i="77"/>
  <c r="I74" i="76"/>
  <c r="M115" i="77"/>
  <c r="F115" i="77"/>
  <c r="Q11" i="77"/>
  <c r="I88" i="76"/>
  <c r="K59" i="76"/>
  <c r="F74" i="75"/>
  <c r="F84" i="75" s="1"/>
  <c r="F86" i="75" s="1"/>
  <c r="D87" i="77"/>
  <c r="I60" i="75"/>
  <c r="H13" i="75"/>
  <c r="Q35" i="77" l="1"/>
  <c r="Q19" i="77"/>
  <c r="Q27" i="77"/>
  <c r="D129" i="77"/>
  <c r="I34" i="76"/>
  <c r="D46" i="77"/>
  <c r="H23" i="75"/>
  <c r="I13" i="75"/>
  <c r="L59" i="76"/>
  <c r="M181" i="77"/>
  <c r="M191" i="77" s="1"/>
  <c r="M175" i="77" s="1"/>
  <c r="N181" i="77"/>
  <c r="N114" i="77"/>
  <c r="G114" i="77"/>
  <c r="K43" i="76"/>
  <c r="I83" i="75"/>
  <c r="K83" i="75" s="1"/>
  <c r="L83" i="75" s="1"/>
  <c r="K50" i="75"/>
  <c r="N115" i="77"/>
  <c r="G115" i="77"/>
  <c r="I143" i="76"/>
  <c r="K143" i="76" s="1"/>
  <c r="L143" i="76" s="1"/>
  <c r="K106" i="76"/>
  <c r="L106" i="76" s="1"/>
  <c r="K28" i="74"/>
  <c r="I32" i="74"/>
  <c r="H13" i="74" s="1"/>
  <c r="G78" i="77"/>
  <c r="F78" i="77"/>
  <c r="F79" i="77" s="1"/>
  <c r="F65" i="77" s="1"/>
  <c r="F232" i="77" s="1"/>
  <c r="F234" i="77" s="1"/>
  <c r="L28" i="76"/>
  <c r="F161" i="76"/>
  <c r="F23" i="76"/>
  <c r="O97" i="77"/>
  <c r="O80" i="77"/>
  <c r="I76" i="75"/>
  <c r="K60" i="75"/>
  <c r="L13" i="76"/>
  <c r="K124" i="76"/>
  <c r="I142" i="76"/>
  <c r="M140" i="77"/>
  <c r="L22" i="75"/>
  <c r="L20" i="74"/>
  <c r="K80" i="75"/>
  <c r="L80" i="75" s="1"/>
  <c r="L64" i="75"/>
  <c r="P35" i="77"/>
  <c r="P19" i="77"/>
  <c r="P27" i="77"/>
  <c r="O134" i="77"/>
  <c r="O117" i="77"/>
  <c r="I51" i="75"/>
  <c r="F143" i="76"/>
  <c r="F153" i="76" s="1"/>
  <c r="F155" i="76" s="1"/>
  <c r="F167" i="76" s="1"/>
  <c r="F169" i="76" s="1"/>
  <c r="F174" i="76" s="1"/>
  <c r="F116" i="76"/>
  <c r="G109" i="77"/>
  <c r="E101" i="77"/>
  <c r="F109" i="77"/>
  <c r="F116" i="77" s="1"/>
  <c r="F103" i="77" s="1"/>
  <c r="G32" i="77"/>
  <c r="G34" i="77" s="1"/>
  <c r="N32" i="77"/>
  <c r="N34" i="77" s="1"/>
  <c r="P36" i="77" s="1"/>
  <c r="P241" i="77" s="1"/>
  <c r="P134" i="77"/>
  <c r="P117" i="77"/>
  <c r="F95" i="75"/>
  <c r="F97" i="75" s="1"/>
  <c r="I27" i="77"/>
  <c r="I35" i="77"/>
  <c r="I19" i="77"/>
  <c r="L141" i="76"/>
  <c r="N87" i="77"/>
  <c r="G87" i="77"/>
  <c r="K88" i="76"/>
  <c r="O65" i="76"/>
  <c r="K74" i="76"/>
  <c r="G199" i="77"/>
  <c r="N199" i="77"/>
  <c r="P139" i="77"/>
  <c r="L223" i="77"/>
  <c r="O139" i="77"/>
  <c r="I45" i="76"/>
  <c r="K45" i="76" s="1"/>
  <c r="L45" i="76" s="1"/>
  <c r="K14" i="76"/>
  <c r="L14" i="76" s="1"/>
  <c r="I139" i="77"/>
  <c r="H139" i="77"/>
  <c r="E223" i="77"/>
  <c r="K59" i="75"/>
  <c r="I75" i="75"/>
  <c r="F94" i="75"/>
  <c r="F53" i="75"/>
  <c r="H35" i="77"/>
  <c r="H19" i="77"/>
  <c r="H27" i="77"/>
  <c r="L226" i="77"/>
  <c r="L229" i="77" s="1"/>
  <c r="D92" i="77"/>
  <c r="I65" i="75"/>
  <c r="I67" i="75" s="1"/>
  <c r="I69" i="75" s="1"/>
  <c r="L31" i="75"/>
  <c r="D130" i="77"/>
  <c r="I35" i="76"/>
  <c r="O27" i="77"/>
  <c r="O35" i="77"/>
  <c r="O19" i="77"/>
  <c r="N76" i="77"/>
  <c r="N79" i="77" s="1"/>
  <c r="G76" i="77"/>
  <c r="G79" i="77" s="1"/>
  <c r="G181" i="77"/>
  <c r="F181" i="77"/>
  <c r="F191" i="77" s="1"/>
  <c r="F175" i="77" s="1"/>
  <c r="I152" i="76"/>
  <c r="K152" i="76" s="1"/>
  <c r="L152" i="76" s="1"/>
  <c r="K133" i="76"/>
  <c r="L133" i="76" s="1"/>
  <c r="I40" i="77"/>
  <c r="H40" i="77"/>
  <c r="E220" i="77"/>
  <c r="H64" i="77"/>
  <c r="I64" i="77"/>
  <c r="E221" i="77"/>
  <c r="L58" i="75"/>
  <c r="K74" i="75"/>
  <c r="P80" i="77"/>
  <c r="P97" i="77"/>
  <c r="I84" i="75" l="1"/>
  <c r="I86" i="75" s="1"/>
  <c r="O43" i="75" s="1"/>
  <c r="P81" i="77"/>
  <c r="P244" i="77" s="1"/>
  <c r="H59" i="77"/>
  <c r="H49" i="77"/>
  <c r="O169" i="77"/>
  <c r="O153" i="77"/>
  <c r="H65" i="76"/>
  <c r="H66" i="76"/>
  <c r="I36" i="77"/>
  <c r="I241" i="77" s="1"/>
  <c r="L43" i="76"/>
  <c r="K34" i="76"/>
  <c r="L34" i="76" s="1"/>
  <c r="I50" i="76"/>
  <c r="K50" i="76" s="1"/>
  <c r="L50" i="76" s="1"/>
  <c r="L74" i="75"/>
  <c r="I80" i="77"/>
  <c r="I97" i="77"/>
  <c r="I49" i="77"/>
  <c r="I59" i="77"/>
  <c r="N130" i="77"/>
  <c r="G130" i="77"/>
  <c r="H18" i="76"/>
  <c r="L88" i="76"/>
  <c r="D17" i="77"/>
  <c r="H21" i="74"/>
  <c r="I21" i="74" s="1"/>
  <c r="I13" i="74"/>
  <c r="I32" i="75"/>
  <c r="K13" i="75"/>
  <c r="I15" i="75"/>
  <c r="G129" i="77"/>
  <c r="N129" i="77"/>
  <c r="H80" i="77"/>
  <c r="I81" i="77" s="1"/>
  <c r="I244" i="77" s="1"/>
  <c r="H97" i="77"/>
  <c r="H169" i="77"/>
  <c r="H153" i="77"/>
  <c r="P169" i="77"/>
  <c r="P153" i="77"/>
  <c r="I102" i="77"/>
  <c r="H102" i="77"/>
  <c r="E222" i="77"/>
  <c r="E226" i="77" s="1"/>
  <c r="E229" i="77" s="1"/>
  <c r="I53" i="75"/>
  <c r="I94" i="75"/>
  <c r="K94" i="75" s="1"/>
  <c r="L94" i="75" s="1"/>
  <c r="K142" i="76"/>
  <c r="O109" i="76"/>
  <c r="K76" i="75"/>
  <c r="L76" i="75" s="1"/>
  <c r="L60" i="75"/>
  <c r="K32" i="74"/>
  <c r="L32" i="74" s="1"/>
  <c r="L28" i="74"/>
  <c r="L50" i="75"/>
  <c r="K51" i="75"/>
  <c r="D55" i="77"/>
  <c r="I23" i="75"/>
  <c r="K35" i="76"/>
  <c r="L35" i="76" s="1"/>
  <c r="I51" i="76"/>
  <c r="K51" i="76" s="1"/>
  <c r="L51" i="76" s="1"/>
  <c r="N92" i="77"/>
  <c r="N94" i="77" s="1"/>
  <c r="N96" i="77" s="1"/>
  <c r="G92" i="77"/>
  <c r="L59" i="75"/>
  <c r="K75" i="75"/>
  <c r="L75" i="75" s="1"/>
  <c r="F118" i="76"/>
  <c r="F163" i="76"/>
  <c r="K65" i="75"/>
  <c r="I81" i="75"/>
  <c r="I153" i="77"/>
  <c r="I169" i="77"/>
  <c r="L74" i="76"/>
  <c r="G94" i="77"/>
  <c r="G96" i="77" s="1"/>
  <c r="I98" i="77" s="1"/>
  <c r="I245" i="77" s="1"/>
  <c r="L124" i="76"/>
  <c r="F164" i="76"/>
  <c r="F173" i="76" s="1"/>
  <c r="N46" i="77"/>
  <c r="N48" i="77" s="1"/>
  <c r="G46" i="77"/>
  <c r="G48" i="77" s="1"/>
  <c r="M232" i="77"/>
  <c r="M234" i="77" s="1"/>
  <c r="P98" i="77" l="1"/>
  <c r="P245" i="77" s="1"/>
  <c r="N65" i="77"/>
  <c r="P50" i="77"/>
  <c r="P242" i="77" s="1"/>
  <c r="N41" i="77"/>
  <c r="L65" i="75"/>
  <c r="K81" i="75"/>
  <c r="N55" i="77"/>
  <c r="N56" i="77" s="1"/>
  <c r="N58" i="77" s="1"/>
  <c r="P60" i="77" s="1"/>
  <c r="P243" i="77" s="1"/>
  <c r="G55" i="77"/>
  <c r="G56" i="77" s="1"/>
  <c r="G58" i="77" s="1"/>
  <c r="I60" i="77" s="1"/>
  <c r="I243" i="77" s="1"/>
  <c r="H112" i="76"/>
  <c r="H111" i="76"/>
  <c r="H110" i="76"/>
  <c r="H113" i="76"/>
  <c r="H114" i="76"/>
  <c r="L13" i="75"/>
  <c r="K15" i="75"/>
  <c r="K21" i="74"/>
  <c r="I22" i="74"/>
  <c r="I24" i="74" s="1"/>
  <c r="D113" i="77"/>
  <c r="H33" i="76"/>
  <c r="I18" i="76"/>
  <c r="K67" i="75"/>
  <c r="L51" i="75"/>
  <c r="K53" i="75"/>
  <c r="L53" i="75" s="1"/>
  <c r="L142" i="76"/>
  <c r="H134" i="77"/>
  <c r="H117" i="77"/>
  <c r="K32" i="75"/>
  <c r="I34" i="75"/>
  <c r="I36" i="75" s="1"/>
  <c r="O14" i="75" s="1"/>
  <c r="D25" i="77"/>
  <c r="N17" i="77"/>
  <c r="N18" i="77" s="1"/>
  <c r="G17" i="77"/>
  <c r="G18" i="77" s="1"/>
  <c r="I134" i="77"/>
  <c r="I117" i="77"/>
  <c r="D151" i="77"/>
  <c r="H80" i="76"/>
  <c r="I66" i="76"/>
  <c r="I50" i="77"/>
  <c r="I242" i="77" s="1"/>
  <c r="K23" i="75"/>
  <c r="I24" i="75"/>
  <c r="I26" i="75" s="1"/>
  <c r="I93" i="75"/>
  <c r="I17" i="75"/>
  <c r="K13" i="74"/>
  <c r="I14" i="74"/>
  <c r="D150" i="77"/>
  <c r="H79" i="76"/>
  <c r="I65" i="76"/>
  <c r="G65" i="77"/>
  <c r="D164" i="77" l="1"/>
  <c r="I79" i="76"/>
  <c r="I94" i="76"/>
  <c r="K65" i="76"/>
  <c r="I67" i="76"/>
  <c r="L13" i="74"/>
  <c r="K14" i="74"/>
  <c r="L23" i="75"/>
  <c r="K24" i="75"/>
  <c r="D165" i="77"/>
  <c r="I80" i="76"/>
  <c r="K80" i="76" s="1"/>
  <c r="L80" i="76" s="1"/>
  <c r="I20" i="77"/>
  <c r="I239" i="77" s="1"/>
  <c r="L32" i="75"/>
  <c r="K34" i="75"/>
  <c r="K18" i="76"/>
  <c r="I21" i="76"/>
  <c r="L21" i="74"/>
  <c r="K22" i="74"/>
  <c r="D188" i="77"/>
  <c r="H131" i="76"/>
  <c r="I113" i="76"/>
  <c r="K113" i="76" s="1"/>
  <c r="L113" i="76" s="1"/>
  <c r="N151" i="77"/>
  <c r="G151" i="77"/>
  <c r="P20" i="77"/>
  <c r="P239" i="77" s="1"/>
  <c r="N12" i="77"/>
  <c r="D128" i="77"/>
  <c r="I33" i="76"/>
  <c r="L15" i="75"/>
  <c r="K17" i="75"/>
  <c r="L17" i="75" s="1"/>
  <c r="D185" i="77"/>
  <c r="H128" i="76"/>
  <c r="I110" i="76"/>
  <c r="N150" i="77"/>
  <c r="G150" i="77"/>
  <c r="G152" i="77" s="1"/>
  <c r="K93" i="75"/>
  <c r="I95" i="75"/>
  <c r="G41" i="77"/>
  <c r="G25" i="77"/>
  <c r="G26" i="77" s="1"/>
  <c r="I28" i="77" s="1"/>
  <c r="I240" i="77" s="1"/>
  <c r="N25" i="77"/>
  <c r="N26" i="77" s="1"/>
  <c r="P28" i="77" s="1"/>
  <c r="P240" i="77" s="1"/>
  <c r="N113" i="77"/>
  <c r="N116" i="77" s="1"/>
  <c r="G113" i="77"/>
  <c r="G116" i="77" s="1"/>
  <c r="D186" i="77"/>
  <c r="H129" i="76"/>
  <c r="I111" i="76"/>
  <c r="K111" i="76" s="1"/>
  <c r="L111" i="76" s="1"/>
  <c r="L81" i="75"/>
  <c r="K84" i="75"/>
  <c r="I16" i="74"/>
  <c r="I37" i="74"/>
  <c r="I95" i="76"/>
  <c r="K95" i="76" s="1"/>
  <c r="L95" i="76" s="1"/>
  <c r="K66" i="76"/>
  <c r="L66" i="76" s="1"/>
  <c r="K69" i="75"/>
  <c r="L69" i="75" s="1"/>
  <c r="L67" i="75"/>
  <c r="D189" i="77"/>
  <c r="H132" i="76"/>
  <c r="I114" i="76"/>
  <c r="K114" i="76" s="1"/>
  <c r="L114" i="76" s="1"/>
  <c r="D187" i="77"/>
  <c r="H130" i="76"/>
  <c r="I112" i="76"/>
  <c r="K112" i="76" s="1"/>
  <c r="L112" i="76" s="1"/>
  <c r="L65" i="76" l="1"/>
  <c r="K67" i="76"/>
  <c r="D205" i="77"/>
  <c r="I130" i="76"/>
  <c r="N189" i="77"/>
  <c r="G189" i="77"/>
  <c r="I118" i="77"/>
  <c r="I246" i="77" s="1"/>
  <c r="N152" i="77"/>
  <c r="L34" i="75"/>
  <c r="K36" i="75"/>
  <c r="L36" i="75" s="1"/>
  <c r="K16" i="74"/>
  <c r="L16" i="74" s="1"/>
  <c r="L14" i="74"/>
  <c r="K94" i="76"/>
  <c r="I96" i="76"/>
  <c r="I98" i="76" s="1"/>
  <c r="O61" i="76" s="1"/>
  <c r="G185" i="77"/>
  <c r="N185" i="77"/>
  <c r="L18" i="76"/>
  <c r="K21" i="76"/>
  <c r="G187" i="77"/>
  <c r="N187" i="77"/>
  <c r="K37" i="74"/>
  <c r="L37" i="74" s="1"/>
  <c r="N14" i="74"/>
  <c r="P118" i="77"/>
  <c r="P246" i="77" s="1"/>
  <c r="K110" i="76"/>
  <c r="L110" i="76" s="1"/>
  <c r="I116" i="76"/>
  <c r="D206" i="77"/>
  <c r="I131" i="76"/>
  <c r="I23" i="76"/>
  <c r="G165" i="77"/>
  <c r="N165" i="77"/>
  <c r="K79" i="76"/>
  <c r="I81" i="76"/>
  <c r="I83" i="76" s="1"/>
  <c r="D207" i="77"/>
  <c r="I132" i="76"/>
  <c r="K86" i="75"/>
  <c r="L86" i="75" s="1"/>
  <c r="L84" i="75"/>
  <c r="G186" i="77"/>
  <c r="N186" i="77"/>
  <c r="I154" i="77"/>
  <c r="I248" i="77" s="1"/>
  <c r="N128" i="77"/>
  <c r="N131" i="77" s="1"/>
  <c r="N133" i="77" s="1"/>
  <c r="P135" i="77" s="1"/>
  <c r="P247" i="77" s="1"/>
  <c r="G128" i="77"/>
  <c r="G131" i="77" s="1"/>
  <c r="G133" i="77" s="1"/>
  <c r="I135" i="77" s="1"/>
  <c r="I247" i="77" s="1"/>
  <c r="L22" i="74"/>
  <c r="K24" i="74"/>
  <c r="L24" i="74" s="1"/>
  <c r="D204" i="77"/>
  <c r="I129" i="76"/>
  <c r="K95" i="75"/>
  <c r="L95" i="75" s="1"/>
  <c r="L93" i="75"/>
  <c r="D203" i="77"/>
  <c r="I128" i="76"/>
  <c r="K33" i="76"/>
  <c r="I36" i="76"/>
  <c r="I38" i="76" s="1"/>
  <c r="G188" i="77"/>
  <c r="N188" i="77"/>
  <c r="I49" i="76"/>
  <c r="G12" i="77"/>
  <c r="L24" i="75"/>
  <c r="L26" i="75"/>
  <c r="I162" i="76"/>
  <c r="K162" i="76" s="1"/>
  <c r="L162" i="76" s="1"/>
  <c r="I69" i="76"/>
  <c r="N164" i="77"/>
  <c r="N166" i="77" s="1"/>
  <c r="N168" i="77" s="1"/>
  <c r="P170" i="77" s="1"/>
  <c r="P249" i="77" s="1"/>
  <c r="G164" i="77"/>
  <c r="G166" i="77" s="1"/>
  <c r="G168" i="77" s="1"/>
  <c r="I170" i="77" s="1"/>
  <c r="I249" i="77" s="1"/>
  <c r="G203" i="77" l="1"/>
  <c r="N203" i="77"/>
  <c r="G204" i="77"/>
  <c r="N204" i="77"/>
  <c r="G205" i="77"/>
  <c r="N205" i="77"/>
  <c r="G207" i="77"/>
  <c r="N207" i="77"/>
  <c r="G206" i="77"/>
  <c r="N206" i="77"/>
  <c r="G191" i="77"/>
  <c r="L67" i="76"/>
  <c r="K69" i="76"/>
  <c r="L69" i="76" s="1"/>
  <c r="K132" i="76"/>
  <c r="L132" i="76" s="1"/>
  <c r="I151" i="76"/>
  <c r="K151" i="76" s="1"/>
  <c r="L151" i="76" s="1"/>
  <c r="I150" i="76"/>
  <c r="K150" i="76" s="1"/>
  <c r="L150" i="76" s="1"/>
  <c r="K131" i="76"/>
  <c r="L131" i="76" s="1"/>
  <c r="L94" i="76"/>
  <c r="K96" i="76"/>
  <c r="Q174" i="77"/>
  <c r="Q175" i="77" s="1"/>
  <c r="Q190" i="77" s="1"/>
  <c r="Q176" i="77" s="1"/>
  <c r="Q186" i="77" s="1"/>
  <c r="N191" i="77"/>
  <c r="K49" i="76"/>
  <c r="I52" i="76"/>
  <c r="I54" i="76" s="1"/>
  <c r="L33" i="76"/>
  <c r="K36" i="76"/>
  <c r="G140" i="77"/>
  <c r="N103" i="77"/>
  <c r="J174" i="77"/>
  <c r="J175" i="77" s="1"/>
  <c r="J190" i="77" s="1"/>
  <c r="J176" i="77" s="1"/>
  <c r="J187" i="77" s="1"/>
  <c r="I174" i="77"/>
  <c r="I175" i="77" s="1"/>
  <c r="P154" i="77"/>
  <c r="P248" i="77" s="1"/>
  <c r="N140" i="77"/>
  <c r="Q189" i="77"/>
  <c r="Q188" i="77"/>
  <c r="K128" i="76"/>
  <c r="I147" i="76"/>
  <c r="I134" i="76"/>
  <c r="I136" i="76" s="1"/>
  <c r="I148" i="76"/>
  <c r="K148" i="76" s="1"/>
  <c r="L148" i="76" s="1"/>
  <c r="K129" i="76"/>
  <c r="L129" i="76" s="1"/>
  <c r="L79" i="76"/>
  <c r="K81" i="76"/>
  <c r="I161" i="76"/>
  <c r="I118" i="76"/>
  <c r="I163" i="76"/>
  <c r="K163" i="76" s="1"/>
  <c r="L163" i="76" s="1"/>
  <c r="K116" i="76"/>
  <c r="L21" i="76"/>
  <c r="K23" i="76"/>
  <c r="L23" i="76" s="1"/>
  <c r="G103" i="77"/>
  <c r="I149" i="76"/>
  <c r="K149" i="76" s="1"/>
  <c r="L149" i="76" s="1"/>
  <c r="K130" i="76"/>
  <c r="L130" i="76" s="1"/>
  <c r="L36" i="76" l="1"/>
  <c r="K38" i="76"/>
  <c r="L38" i="76" s="1"/>
  <c r="K98" i="76"/>
  <c r="L98" i="76" s="1"/>
  <c r="L96" i="76"/>
  <c r="J189" i="77"/>
  <c r="J186" i="77"/>
  <c r="I164" i="76"/>
  <c r="K161" i="76"/>
  <c r="H174" i="77"/>
  <c r="H175" i="77" s="1"/>
  <c r="J185" i="77"/>
  <c r="P174" i="77"/>
  <c r="P175" i="77" s="1"/>
  <c r="Q187" i="77"/>
  <c r="N209" i="77"/>
  <c r="N211" i="77" s="1"/>
  <c r="J188" i="77"/>
  <c r="L128" i="76"/>
  <c r="K134" i="76"/>
  <c r="L116" i="76"/>
  <c r="K118" i="76"/>
  <c r="L118" i="76" s="1"/>
  <c r="L81" i="76"/>
  <c r="K83" i="76"/>
  <c r="L83" i="76" s="1"/>
  <c r="I190" i="77"/>
  <c r="I208" i="77"/>
  <c r="O14" i="76"/>
  <c r="O174" i="77"/>
  <c r="O175" i="77" s="1"/>
  <c r="Q185" i="77"/>
  <c r="Q192" i="77" s="1"/>
  <c r="G209" i="77"/>
  <c r="G211" i="77" s="1"/>
  <c r="K147" i="76"/>
  <c r="I153" i="76"/>
  <c r="I155" i="76" s="1"/>
  <c r="O106" i="76" s="1"/>
  <c r="L49" i="76"/>
  <c r="K52" i="76"/>
  <c r="G175" i="77"/>
  <c r="K54" i="76" l="1"/>
  <c r="L54" i="76" s="1"/>
  <c r="L52" i="76"/>
  <c r="O190" i="77"/>
  <c r="O176" i="77" s="1"/>
  <c r="O208" i="77"/>
  <c r="L161" i="76"/>
  <c r="K164" i="76"/>
  <c r="L164" i="76" s="1"/>
  <c r="I167" i="76"/>
  <c r="I176" i="77"/>
  <c r="P208" i="77"/>
  <c r="P190" i="77"/>
  <c r="P176" i="77" s="1"/>
  <c r="J192" i="77"/>
  <c r="N175" i="77"/>
  <c r="N232" i="77" s="1"/>
  <c r="K136" i="76"/>
  <c r="L136" i="76" s="1"/>
  <c r="L134" i="76"/>
  <c r="L147" i="76"/>
  <c r="K153" i="76"/>
  <c r="H190" i="77"/>
  <c r="H208" i="77"/>
  <c r="G232" i="77"/>
  <c r="O188" i="77" l="1"/>
  <c r="O189" i="77"/>
  <c r="O187" i="77"/>
  <c r="O186" i="77"/>
  <c r="O185" i="77"/>
  <c r="O203" i="77"/>
  <c r="O204" i="77"/>
  <c r="O206" i="77"/>
  <c r="O207" i="77"/>
  <c r="O205" i="77"/>
  <c r="H176" i="77"/>
  <c r="P187" i="77"/>
  <c r="P186" i="77"/>
  <c r="P189" i="77"/>
  <c r="P185" i="77"/>
  <c r="P188" i="77"/>
  <c r="P203" i="77"/>
  <c r="P204" i="77"/>
  <c r="P207" i="77"/>
  <c r="P206" i="77"/>
  <c r="P205" i="77"/>
  <c r="L153" i="76"/>
  <c r="K155" i="76"/>
  <c r="L155" i="76" s="1"/>
  <c r="I169" i="76"/>
  <c r="I174" i="76" s="1"/>
  <c r="K167" i="76"/>
  <c r="I186" i="77"/>
  <c r="I189" i="77"/>
  <c r="I188" i="77"/>
  <c r="I187" i="77"/>
  <c r="I185" i="77"/>
  <c r="I192" i="77" s="1"/>
  <c r="I204" i="77"/>
  <c r="I207" i="77"/>
  <c r="I203" i="77"/>
  <c r="I206" i="77"/>
  <c r="I205" i="77"/>
  <c r="P192" i="77" l="1"/>
  <c r="H188" i="77"/>
  <c r="H186" i="77"/>
  <c r="H189" i="77"/>
  <c r="H185" i="77"/>
  <c r="H187" i="77"/>
  <c r="H205" i="77"/>
  <c r="H207" i="77"/>
  <c r="H204" i="77"/>
  <c r="H203" i="77"/>
  <c r="H206" i="77"/>
  <c r="O212" i="77"/>
  <c r="I212" i="77"/>
  <c r="K169" i="76"/>
  <c r="L167" i="76"/>
  <c r="P212" i="77"/>
  <c r="O192" i="77"/>
  <c r="P193" i="77" s="1"/>
  <c r="P250" i="77" s="1"/>
  <c r="P213" i="77" l="1"/>
  <c r="P251" i="77" s="1"/>
  <c r="P253" i="77" s="1"/>
  <c r="P256" i="77" s="1"/>
  <c r="K174" i="76"/>
  <c r="L169" i="76"/>
  <c r="H212" i="77"/>
  <c r="I213" i="77" s="1"/>
  <c r="I251" i="77" s="1"/>
  <c r="H192" i="77"/>
  <c r="I193" i="77" s="1"/>
  <c r="I250" i="77" s="1"/>
  <c r="I253" i="77" s="1"/>
  <c r="I256" i="77" s="1"/>
  <c r="J25" i="8" l="1"/>
  <c r="J24" i="8"/>
  <c r="K25" i="8"/>
  <c r="K24" i="8"/>
  <c r="H25" i="8" l="1"/>
  <c r="H24" i="8"/>
  <c r="F9" i="7" l="1"/>
  <c r="C52" i="7" l="1"/>
  <c r="B4" i="9" l="1"/>
  <c r="B2" i="8" l="1"/>
  <c r="B2" i="9" l="1"/>
  <c r="R15" i="9" l="1"/>
  <c r="R14" i="9"/>
  <c r="R13" i="9"/>
  <c r="R12" i="9"/>
  <c r="R11" i="9"/>
  <c r="E36" i="9"/>
  <c r="E17" i="9"/>
  <c r="F10" i="9" s="1"/>
  <c r="R10" i="9" l="1"/>
  <c r="V10" i="9" s="1"/>
  <c r="G45" i="9"/>
  <c r="G36" i="9"/>
  <c r="G26" i="9"/>
  <c r="G17" i="9"/>
  <c r="V11" i="9" l="1"/>
  <c r="H40" i="9" s="1"/>
  <c r="V12" i="9"/>
  <c r="H41" i="9" s="1"/>
  <c r="V13" i="9"/>
  <c r="H42" i="9" s="1"/>
  <c r="V14" i="9"/>
  <c r="H43" i="9" s="1"/>
  <c r="V15" i="9"/>
  <c r="H44" i="9" s="1"/>
  <c r="H39" i="9"/>
  <c r="B11" i="8" l="1"/>
  <c r="B12" i="8" s="1"/>
  <c r="B14" i="8" l="1"/>
  <c r="B16" i="8" s="1"/>
  <c r="B18" i="8" s="1"/>
  <c r="B19" i="8" s="1"/>
  <c r="B20" i="8" s="1"/>
  <c r="B21" i="8" s="1"/>
  <c r="G6" i="8"/>
  <c r="G25" i="8"/>
  <c r="M25" i="8" s="1"/>
  <c r="G24" i="8"/>
  <c r="M24" i="8" s="1"/>
  <c r="G20" i="8"/>
  <c r="M20" i="8" s="1"/>
  <c r="G19" i="8"/>
  <c r="M19" i="8" s="1"/>
  <c r="G16" i="8"/>
  <c r="M16" i="8" s="1"/>
  <c r="G14" i="8"/>
  <c r="M14" i="8" s="1"/>
  <c r="G12" i="8"/>
  <c r="M12" i="8" s="1"/>
  <c r="G9" i="8"/>
  <c r="M9" i="8" s="1"/>
  <c r="B23" i="8" l="1"/>
  <c r="B24" i="8" s="1"/>
  <c r="B25" i="8" s="1"/>
  <c r="B26" i="8" s="1"/>
  <c r="B27" i="8" s="1"/>
  <c r="F21" i="7"/>
  <c r="F13" i="7"/>
  <c r="F11" i="7"/>
  <c r="H10" i="9" l="1"/>
  <c r="H12" i="9"/>
  <c r="H14" i="9"/>
  <c r="E16" i="9"/>
  <c r="F11" i="9" s="1"/>
  <c r="G11" i="9" s="1"/>
  <c r="H20" i="9"/>
  <c r="H22" i="9"/>
  <c r="H24" i="9"/>
  <c r="E26" i="9"/>
  <c r="F22" i="9" s="1"/>
  <c r="G22" i="9" s="1"/>
  <c r="B28" i="9"/>
  <c r="B29" i="9" s="1"/>
  <c r="B30" i="9" s="1"/>
  <c r="B31" i="9" s="1"/>
  <c r="B32" i="9" s="1"/>
  <c r="B33" i="9" s="1"/>
  <c r="B34" i="9" s="1"/>
  <c r="B35" i="9" s="1"/>
  <c r="B36" i="9" s="1"/>
  <c r="B38" i="9" s="1"/>
  <c r="B39" i="9" s="1"/>
  <c r="B40" i="9" s="1"/>
  <c r="B41" i="9" s="1"/>
  <c r="B42" i="9" s="1"/>
  <c r="B43" i="9" s="1"/>
  <c r="B44" i="9" s="1"/>
  <c r="B45" i="9" s="1"/>
  <c r="H29" i="9"/>
  <c r="H30" i="9"/>
  <c r="H31" i="9"/>
  <c r="H32" i="9"/>
  <c r="H33" i="9"/>
  <c r="H34" i="9"/>
  <c r="E35" i="9"/>
  <c r="F29" i="9" s="1"/>
  <c r="H21" i="9"/>
  <c r="H13" i="9"/>
  <c r="H15" i="9"/>
  <c r="E45" i="9"/>
  <c r="F39" i="9" s="1"/>
  <c r="G47" i="9"/>
  <c r="F6" i="8"/>
  <c r="O6" i="8"/>
  <c r="E21" i="8"/>
  <c r="F21" i="8"/>
  <c r="E26" i="8"/>
  <c r="F26" i="8"/>
  <c r="G6" i="7"/>
  <c r="B32" i="7"/>
  <c r="B33" i="7" s="1"/>
  <c r="B34" i="7" s="1"/>
  <c r="B35" i="7" s="1"/>
  <c r="B36" i="7" s="1"/>
  <c r="B38" i="7" s="1"/>
  <c r="B39" i="7" s="1"/>
  <c r="B40" i="7" s="1"/>
  <c r="B41" i="7" s="1"/>
  <c r="B42" i="7" s="1"/>
  <c r="B43" i="7" s="1"/>
  <c r="B44" i="7" s="1"/>
  <c r="B45" i="7" s="1"/>
  <c r="B47" i="7" s="1"/>
  <c r="B49" i="7" s="1"/>
  <c r="G39" i="9" l="1"/>
  <c r="F39" i="7" s="1"/>
  <c r="G29" i="9"/>
  <c r="I29" i="9" s="1"/>
  <c r="F27" i="8"/>
  <c r="F30" i="9"/>
  <c r="G30" i="9" s="1"/>
  <c r="F34" i="7" s="1"/>
  <c r="E27" i="8"/>
  <c r="F23" i="9"/>
  <c r="G23" i="9" s="1"/>
  <c r="F21" i="9"/>
  <c r="G21" i="9" s="1"/>
  <c r="F25" i="9"/>
  <c r="G25" i="9" s="1"/>
  <c r="F20" i="9"/>
  <c r="F24" i="9"/>
  <c r="G24" i="9" s="1"/>
  <c r="F17" i="7"/>
  <c r="F32" i="9"/>
  <c r="G32" i="9" s="1"/>
  <c r="I32" i="9" s="1"/>
  <c r="F34" i="9"/>
  <c r="G34" i="9" s="1"/>
  <c r="I34" i="9" s="1"/>
  <c r="F33" i="9"/>
  <c r="G33" i="9" s="1"/>
  <c r="I33" i="9" s="1"/>
  <c r="F31" i="9"/>
  <c r="G31" i="9" s="1"/>
  <c r="I22" i="9"/>
  <c r="F26" i="7"/>
  <c r="F12" i="9"/>
  <c r="G12" i="9" s="1"/>
  <c r="E47" i="9"/>
  <c r="H23" i="9"/>
  <c r="F15" i="9"/>
  <c r="G15" i="9" s="1"/>
  <c r="I15" i="9" s="1"/>
  <c r="H11" i="9"/>
  <c r="I11" i="9" s="1"/>
  <c r="F14" i="9"/>
  <c r="G14" i="9" s="1"/>
  <c r="I14" i="9" s="1"/>
  <c r="F44" i="9"/>
  <c r="G44" i="9" s="1"/>
  <c r="F43" i="9"/>
  <c r="G43" i="9" s="1"/>
  <c r="F42" i="9"/>
  <c r="G42" i="9" s="1"/>
  <c r="F41" i="9"/>
  <c r="G41" i="9" s="1"/>
  <c r="F40" i="9"/>
  <c r="G40" i="9" s="1"/>
  <c r="H25" i="9"/>
  <c r="F13" i="9"/>
  <c r="G13" i="9" s="1"/>
  <c r="I13" i="9" s="1"/>
  <c r="F36" i="9" l="1"/>
  <c r="I39" i="9"/>
  <c r="F33" i="7"/>
  <c r="F45" i="9"/>
  <c r="G20" i="9"/>
  <c r="I20" i="9" s="1"/>
  <c r="F26" i="9"/>
  <c r="G10" i="9"/>
  <c r="I10" i="9" s="1"/>
  <c r="F17" i="9"/>
  <c r="I30" i="9"/>
  <c r="I41" i="9"/>
  <c r="F41" i="7"/>
  <c r="G16" i="9"/>
  <c r="I12" i="9"/>
  <c r="G59" i="9"/>
  <c r="I23" i="9"/>
  <c r="F27" i="7"/>
  <c r="F42" i="7"/>
  <c r="I42" i="9"/>
  <c r="I43" i="9"/>
  <c r="F43" i="7"/>
  <c r="I25" i="9"/>
  <c r="F29" i="7"/>
  <c r="F40" i="7"/>
  <c r="I40" i="9"/>
  <c r="F44" i="7"/>
  <c r="I44" i="9"/>
  <c r="I21" i="9"/>
  <c r="F25" i="7"/>
  <c r="I24" i="9"/>
  <c r="F28" i="7"/>
  <c r="I31" i="9"/>
  <c r="G35" i="9"/>
  <c r="G58" i="9"/>
  <c r="G56" i="9" l="1"/>
  <c r="G57" i="9"/>
  <c r="F24" i="7"/>
  <c r="F30" i="7" s="1"/>
  <c r="F16" i="7"/>
  <c r="F45" i="7"/>
  <c r="I35" i="9"/>
  <c r="I45" i="9"/>
  <c r="I17" i="9"/>
  <c r="I16" i="9"/>
  <c r="I26" i="9"/>
  <c r="F18" i="7"/>
  <c r="F35" i="7"/>
  <c r="F36" i="7" s="1"/>
  <c r="N26" i="8" s="1"/>
  <c r="I36" i="9"/>
  <c r="F19" i="7" l="1"/>
  <c r="F47" i="7" s="1"/>
  <c r="I47" i="9"/>
  <c r="N21" i="8" l="1"/>
  <c r="N27" i="8" s="1"/>
  <c r="O25" i="8"/>
  <c r="G45" i="7" s="1"/>
  <c r="O20" i="8"/>
  <c r="G30" i="7" s="1"/>
  <c r="O14" i="8"/>
  <c r="G13" i="7" s="1"/>
  <c r="O16" i="8"/>
  <c r="G21" i="7" s="1"/>
  <c r="O12" i="8"/>
  <c r="G11" i="7" s="1"/>
  <c r="O24" i="8"/>
  <c r="O19" i="8" l="1"/>
  <c r="G19" i="7" s="1"/>
  <c r="O9" i="8"/>
  <c r="O26" i="8"/>
  <c r="G36" i="7"/>
  <c r="O21" i="8" l="1"/>
  <c r="O27" i="8" s="1"/>
  <c r="G9" i="7"/>
  <c r="G47" i="7" l="1"/>
  <c r="H9" i="7" s="1"/>
  <c r="H21" i="7" l="1"/>
  <c r="I21" i="7" s="1"/>
  <c r="J21" i="7" s="1"/>
  <c r="H11" i="7"/>
  <c r="I11" i="7" s="1"/>
  <c r="J11" i="7" s="1"/>
  <c r="H30" i="7"/>
  <c r="I30" i="7" s="1"/>
  <c r="J26" i="9" s="1"/>
  <c r="H13" i="7"/>
  <c r="I13" i="7" s="1"/>
  <c r="J13" i="7" s="1"/>
  <c r="H19" i="7"/>
  <c r="I19" i="7" s="1"/>
  <c r="J17" i="9" s="1"/>
  <c r="H45" i="7"/>
  <c r="I45" i="7" s="1"/>
  <c r="J45" i="9" s="1"/>
  <c r="H36" i="7"/>
  <c r="I36" i="7" s="1"/>
  <c r="J36" i="9" s="1"/>
  <c r="I9" i="7"/>
  <c r="J9" i="7" s="1"/>
  <c r="K13" i="7" l="1"/>
  <c r="K11" i="7"/>
  <c r="K21" i="7"/>
  <c r="H47" i="7"/>
  <c r="J47" i="9"/>
  <c r="I47" i="7"/>
  <c r="J48" i="9" l="1"/>
  <c r="K11" i="9" s="1"/>
  <c r="K9" i="7"/>
  <c r="K22" i="9" l="1"/>
  <c r="K31" i="9"/>
  <c r="K25" i="9"/>
  <c r="K39" i="9"/>
  <c r="L39" i="9" s="1"/>
  <c r="L29" i="9" s="1"/>
  <c r="K29" i="9"/>
  <c r="K42" i="9"/>
  <c r="L42" i="9" s="1"/>
  <c r="L23" i="9" s="1"/>
  <c r="J27" i="7" s="1"/>
  <c r="K10" i="9"/>
  <c r="K24" i="9"/>
  <c r="K21" i="9"/>
  <c r="K43" i="9"/>
  <c r="L43" i="9" s="1"/>
  <c r="M43" i="9" s="1"/>
  <c r="K34" i="9"/>
  <c r="K12" i="9"/>
  <c r="K40" i="9"/>
  <c r="L40" i="9" s="1"/>
  <c r="L30" i="9" s="1"/>
  <c r="L11" i="9" s="1"/>
  <c r="K20" i="9"/>
  <c r="K30" i="9"/>
  <c r="K41" i="9"/>
  <c r="L41" i="9" s="1"/>
  <c r="M41" i="9" s="1"/>
  <c r="K44" i="9"/>
  <c r="L44" i="9" s="1"/>
  <c r="L25" i="9" s="1"/>
  <c r="J29" i="7" s="1"/>
  <c r="K33" i="9"/>
  <c r="K13" i="9"/>
  <c r="K15" i="9"/>
  <c r="K23" i="9"/>
  <c r="K32" i="9"/>
  <c r="K14" i="9"/>
  <c r="J42" i="7"/>
  <c r="J44" i="7" l="1"/>
  <c r="M25" i="9"/>
  <c r="L20" i="9"/>
  <c r="M30" i="9"/>
  <c r="L24" i="9"/>
  <c r="J28" i="7" s="1"/>
  <c r="M39" i="9"/>
  <c r="J39" i="7"/>
  <c r="M23" i="9"/>
  <c r="L21" i="9"/>
  <c r="J25" i="7" s="1"/>
  <c r="J34" i="7"/>
  <c r="J40" i="7"/>
  <c r="M42" i="9"/>
  <c r="K45" i="9"/>
  <c r="L22" i="9"/>
  <c r="M22" i="9" s="1"/>
  <c r="J41" i="7"/>
  <c r="K35" i="9"/>
  <c r="K26" i="9"/>
  <c r="J43" i="7"/>
  <c r="M40" i="9"/>
  <c r="M44" i="9"/>
  <c r="K36" i="9"/>
  <c r="K16" i="9"/>
  <c r="K17" i="9"/>
  <c r="J33" i="7"/>
  <c r="M29" i="9"/>
  <c r="L10" i="9"/>
  <c r="J24" i="7"/>
  <c r="M20" i="9"/>
  <c r="M11" i="9"/>
  <c r="J17" i="7"/>
  <c r="M21" i="9" l="1"/>
  <c r="M24" i="9"/>
  <c r="M26" i="9" s="1"/>
  <c r="N26" i="9" s="1"/>
  <c r="M45" i="9"/>
  <c r="L35" i="9"/>
  <c r="L16" i="9" s="1"/>
  <c r="J18" i="7" s="1"/>
  <c r="J26" i="7"/>
  <c r="K47" i="9"/>
  <c r="M10" i="9"/>
  <c r="J16" i="7"/>
  <c r="K45" i="7" l="1"/>
  <c r="M16" i="9"/>
  <c r="M17" i="9" s="1"/>
  <c r="J35" i="7"/>
  <c r="M35" i="9"/>
  <c r="M36" i="9" s="1"/>
  <c r="K36" i="7" s="1"/>
  <c r="K30" i="7"/>
  <c r="N36" i="9" l="1"/>
  <c r="N17" i="9"/>
  <c r="M47" i="9"/>
  <c r="K19" i="7"/>
  <c r="K47" i="7" s="1"/>
  <c r="N47" i="9" l="1"/>
  <c r="N48" i="9" s="1"/>
  <c r="J47" i="7"/>
  <c r="L47" i="7"/>
  <c r="L48" i="7" s="1"/>
</calcChain>
</file>

<file path=xl/sharedStrings.xml><?xml version="1.0" encoding="utf-8"?>
<sst xmlns="http://schemas.openxmlformats.org/spreadsheetml/2006/main" count="1217" uniqueCount="421">
  <si>
    <t>Total</t>
  </si>
  <si>
    <t>Subtotal</t>
  </si>
  <si>
    <t>87T</t>
  </si>
  <si>
    <t>85T</t>
  </si>
  <si>
    <t>Interruptible</t>
  </si>
  <si>
    <t>Residential</t>
  </si>
  <si>
    <t>Revenue</t>
  </si>
  <si>
    <t>Schedule</t>
  </si>
  <si>
    <t>Rate Class</t>
  </si>
  <si>
    <t>Margin</t>
  </si>
  <si>
    <t>Volume</t>
  </si>
  <si>
    <t>Rate</t>
  </si>
  <si>
    <t>Puget Sound Energy</t>
  </si>
  <si>
    <t>Check</t>
  </si>
  <si>
    <t>Next 300,000 therms</t>
  </si>
  <si>
    <t>Next 100,000 therms</t>
  </si>
  <si>
    <t>Next 50,000 therms</t>
  </si>
  <si>
    <t>Next 25,000 therms</t>
  </si>
  <si>
    <t>First 25,000 therms</t>
  </si>
  <si>
    <t>Over 500,000 therms</t>
  </si>
  <si>
    <t>Transportation</t>
  </si>
  <si>
    <t>Over 50,000 therms</t>
  </si>
  <si>
    <t>Large volume</t>
  </si>
  <si>
    <t>Commercial &amp; industrial</t>
  </si>
  <si>
    <t>23/53</t>
  </si>
  <si>
    <t>Customer Class</t>
  </si>
  <si>
    <t>Proposed</t>
  </si>
  <si>
    <t>Estimated</t>
  </si>
  <si>
    <t>(3)</t>
  </si>
  <si>
    <t>(2)</t>
  </si>
  <si>
    <t>(1)</t>
  </si>
  <si>
    <t>86/86T</t>
  </si>
  <si>
    <t>41/41T</t>
  </si>
  <si>
    <t>31/31T</t>
  </si>
  <si>
    <t>Requirement</t>
  </si>
  <si>
    <t>Spread</t>
  </si>
  <si>
    <t>Line</t>
  </si>
  <si>
    <t>Margin at</t>
  </si>
  <si>
    <t>Low Income</t>
  </si>
  <si>
    <t xml:space="preserve">   Subtotal</t>
  </si>
  <si>
    <t>Non exclusive interruptible</t>
  </si>
  <si>
    <t>Limited interruptible</t>
  </si>
  <si>
    <t>General service</t>
  </si>
  <si>
    <t>Margin/Therm</t>
  </si>
  <si>
    <t>Revenue at</t>
  </si>
  <si>
    <t>Average</t>
  </si>
  <si>
    <t>Percent of revenue at Schedule 87T base rates</t>
  </si>
  <si>
    <t>Transportation Schedule 87T</t>
  </si>
  <si>
    <t>Subtotal over 50,000 therms</t>
  </si>
  <si>
    <t>Transportation Schedule 85T</t>
  </si>
  <si>
    <t>Interruptible Schedule 87</t>
  </si>
  <si>
    <t>Interruptible Schedule 85</t>
  </si>
  <si>
    <t>Therm</t>
  </si>
  <si>
    <t>Base Rates</t>
  </si>
  <si>
    <t>(Therms)</t>
  </si>
  <si>
    <t>% to Total</t>
  </si>
  <si>
    <t>Rate Schedule</t>
  </si>
  <si>
    <t>Rate per</t>
  </si>
  <si>
    <t>Allocated</t>
  </si>
  <si>
    <t>Normalized</t>
  </si>
  <si>
    <t>Calculation of Low Income Gas Rates by Block for Schedules 85, 85T, 87 and 87T</t>
  </si>
  <si>
    <t>Gas</t>
  </si>
  <si>
    <t>Electric</t>
  </si>
  <si>
    <r>
      <t>Volume</t>
    </r>
    <r>
      <rPr>
        <vertAlign val="superscript"/>
        <sz val="10"/>
        <rFont val="Arial"/>
        <family val="2"/>
      </rPr>
      <t xml:space="preserve"> (1)</t>
    </r>
  </si>
  <si>
    <r>
      <t>Volume</t>
    </r>
    <r>
      <rPr>
        <vertAlign val="superscript"/>
        <sz val="10"/>
        <rFont val="Arial"/>
        <family val="2"/>
      </rPr>
      <t xml:space="preserve"> (2)</t>
    </r>
  </si>
  <si>
    <r>
      <t>(Therms)</t>
    </r>
    <r>
      <rPr>
        <vertAlign val="superscript"/>
        <sz val="10"/>
        <rFont val="Arial"/>
        <family val="2"/>
      </rPr>
      <t xml:space="preserve"> (1)</t>
    </r>
  </si>
  <si>
    <r>
      <t>Current Rates</t>
    </r>
    <r>
      <rPr>
        <vertAlign val="superscript"/>
        <sz val="10"/>
        <rFont val="Arial"/>
        <family val="2"/>
      </rPr>
      <t xml:space="preserve"> (2)</t>
    </r>
  </si>
  <si>
    <r>
      <t xml:space="preserve">(Therms) </t>
    </r>
    <r>
      <rPr>
        <vertAlign val="superscript"/>
        <sz val="10"/>
        <rFont val="Arial"/>
        <family val="2"/>
      </rPr>
      <t>(1)</t>
    </r>
  </si>
  <si>
    <r>
      <t xml:space="preserve">Base Rates </t>
    </r>
    <r>
      <rPr>
        <vertAlign val="superscript"/>
        <sz val="10"/>
        <rFont val="Arial"/>
        <family val="2"/>
      </rPr>
      <t>(3)</t>
    </r>
  </si>
  <si>
    <t>Base</t>
  </si>
  <si>
    <t>Sched 140</t>
  </si>
  <si>
    <t>Property Tax</t>
  </si>
  <si>
    <r>
      <t>Revenue</t>
    </r>
    <r>
      <rPr>
        <vertAlign val="superscript"/>
        <sz val="10"/>
        <rFont val="Arial"/>
        <family val="2"/>
      </rPr>
      <t xml:space="preserve"> (2)</t>
    </r>
  </si>
  <si>
    <t>Change</t>
  </si>
  <si>
    <t>Rates</t>
  </si>
  <si>
    <t>Sch. 87T</t>
  </si>
  <si>
    <t>Sch. 140</t>
  </si>
  <si>
    <t xml:space="preserve">Billing </t>
  </si>
  <si>
    <t>Current</t>
  </si>
  <si>
    <t>Target</t>
  </si>
  <si>
    <t>Description</t>
  </si>
  <si>
    <t>Units</t>
  </si>
  <si>
    <t>Determinants</t>
  </si>
  <si>
    <t>Revenues</t>
  </si>
  <si>
    <t>Basic Charge</t>
  </si>
  <si>
    <t>Bills</t>
  </si>
  <si>
    <t>Delivery Charge</t>
  </si>
  <si>
    <t>Therms</t>
  </si>
  <si>
    <t>Mantles</t>
  </si>
  <si>
    <t>Procurement Charge</t>
  </si>
  <si>
    <t>Demand</t>
  </si>
  <si>
    <t>Minimum Bill</t>
  </si>
  <si>
    <t>Demand Charge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</si>
  <si>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</si>
  <si>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</si>
  <si>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</si>
  <si>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</si>
  <si>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</si>
  <si>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</si>
  <si>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Minimum Bills</t>
  </si>
  <si>
    <t>First 25,000 Therms</t>
  </si>
  <si>
    <t>Next 25,000 Therms</t>
  </si>
  <si>
    <t>All over 50,000 Therms</t>
  </si>
  <si>
    <t>Next 50,000 Therms</t>
  </si>
  <si>
    <t>First 1,000 therms</t>
  </si>
  <si>
    <t>All over 1,000 therms</t>
  </si>
  <si>
    <t xml:space="preserve"> </t>
  </si>
  <si>
    <t>All over 500,000 therms</t>
  </si>
  <si>
    <t>Proposed Rates</t>
  </si>
  <si>
    <t>Schedule 87T Margin Rates:</t>
  </si>
  <si>
    <t>Current and Proposed Rates by Rate Schedule (Schedules 16, 23 &amp; 53)</t>
  </si>
  <si>
    <t xml:space="preserve">Difference </t>
  </si>
  <si>
    <t>$</t>
  </si>
  <si>
    <t>%</t>
  </si>
  <si>
    <t>Increase</t>
  </si>
  <si>
    <t>Schedule 23</t>
  </si>
  <si>
    <t>over (under)</t>
  </si>
  <si>
    <t>Total Revenues</t>
  </si>
  <si>
    <t>Schedule 53</t>
  </si>
  <si>
    <t>Total Delivery Charges</t>
  </si>
  <si>
    <t>Schedule 16</t>
  </si>
  <si>
    <t>Total Delivery Charge</t>
  </si>
  <si>
    <t>Calculated Total Therms</t>
  </si>
  <si>
    <t>Residential Summary</t>
  </si>
  <si>
    <t>(1) Schedule 101 rates in effective November 1, 2018</t>
  </si>
  <si>
    <t>Current and Proposed Rates by Rate Schedule (Schedules 31, 31T, 41 &amp; 41T)</t>
  </si>
  <si>
    <t>Schedule 31 - Sales</t>
  </si>
  <si>
    <t>TARGET 31/31T</t>
  </si>
  <si>
    <t>Schedule 31 - Transportation</t>
  </si>
  <si>
    <t>Schedule 31 - Total</t>
  </si>
  <si>
    <t>Schedule 41 - Sales</t>
  </si>
  <si>
    <t>TARGET 41/41T</t>
  </si>
  <si>
    <t>Schedule 41 - Transportation</t>
  </si>
  <si>
    <t>Schedule 41 - Total</t>
  </si>
  <si>
    <t>Commercial &amp; Industrial Summary</t>
  </si>
  <si>
    <t>Schedule 41, 41T</t>
  </si>
  <si>
    <t>Schedules 31, 31T</t>
  </si>
  <si>
    <t>Current and Proposed Rates by Rate Schedule (Schedules 85, 85T, 86, 86T, 87 &amp; 87T)</t>
  </si>
  <si>
    <t>Schedule 85 - Sales</t>
  </si>
  <si>
    <t>TARGET 85/85T</t>
  </si>
  <si>
    <t>Schedule 85 - Transportation</t>
  </si>
  <si>
    <t>Schedule 85 - Total</t>
  </si>
  <si>
    <t>Schedule 86 - Sales</t>
  </si>
  <si>
    <t>TARGET 86/86T</t>
  </si>
  <si>
    <t>Schedule 86 - Transportation</t>
  </si>
  <si>
    <t>Schedule 86 - Total</t>
  </si>
  <si>
    <t>Schedule 87 - Sales</t>
  </si>
  <si>
    <t>TARGET 87/87T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</si>
  <si>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</si>
  <si>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</si>
  <si>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</si>
  <si>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</si>
  <si>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</si>
  <si>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</si>
  <si>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</si>
  <si>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</si>
  <si>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Grand Total</t>
  </si>
  <si>
    <t>(5)</t>
  </si>
  <si>
    <t>(4)</t>
  </si>
  <si>
    <t>(6)</t>
  </si>
  <si>
    <t>(7)</t>
  </si>
  <si>
    <t>Sched 141Z</t>
  </si>
  <si>
    <t>(8)</t>
  </si>
  <si>
    <t>UP EDIT</t>
  </si>
  <si>
    <t>(Eff. Oct 1, 2020)</t>
  </si>
  <si>
    <t>Sch. 141Z</t>
  </si>
  <si>
    <t>Schedule 141Z Unprotected Excess Deferred Income Tax (UP EDIT) Reversal rates effective October 1, 2020.</t>
  </si>
  <si>
    <t>$/Therm</t>
  </si>
  <si>
    <t>Contracts</t>
  </si>
  <si>
    <t>Current Rates</t>
  </si>
  <si>
    <r>
      <t xml:space="preserve">Rates </t>
    </r>
    <r>
      <rPr>
        <vertAlign val="superscript"/>
        <sz val="10"/>
        <rFont val="Arial"/>
        <family val="2"/>
      </rPr>
      <t>(3)</t>
    </r>
  </si>
  <si>
    <r>
      <t xml:space="preserve">Rates </t>
    </r>
    <r>
      <rPr>
        <vertAlign val="superscript"/>
        <sz val="10"/>
        <rFont val="Arial"/>
        <family val="2"/>
      </rPr>
      <t>(4)</t>
    </r>
  </si>
  <si>
    <r>
      <t xml:space="preserve">Rates </t>
    </r>
    <r>
      <rPr>
        <vertAlign val="superscript"/>
        <sz val="10"/>
        <rFont val="Arial"/>
        <family val="2"/>
      </rPr>
      <t>(5)</t>
    </r>
  </si>
  <si>
    <r>
      <t>Rates</t>
    </r>
    <r>
      <rPr>
        <vertAlign val="superscript"/>
        <sz val="10"/>
        <rFont val="Arial"/>
        <family val="2"/>
      </rPr>
      <t xml:space="preserve"> (6)</t>
    </r>
  </si>
  <si>
    <t>Calculation of Schedule 129D Rates</t>
  </si>
  <si>
    <t>Proposed Effective October 1, 2023</t>
  </si>
  <si>
    <t>Weather normalized margin revenue for 12 months ending December 31, 2022, given 2022 volume, priced at current rates effective May 1, 2023.</t>
  </si>
  <si>
    <t>Sch. 129D</t>
  </si>
  <si>
    <t>2023 Gas Schedule 129D Bill Discount Rate Filing</t>
  </si>
  <si>
    <t>Current Base Rates</t>
  </si>
  <si>
    <t>Proposed Base Rates</t>
  </si>
  <si>
    <t>TARGET</t>
  </si>
  <si>
    <t>Total Base Revenues</t>
  </si>
  <si>
    <t>Total Residential Base Revenues</t>
  </si>
  <si>
    <t>Backup</t>
  </si>
  <si>
    <t>Delta</t>
  </si>
  <si>
    <t>Multi-Year Rates by Rate Schedule</t>
  </si>
  <si>
    <t>Proposed 2023 Rates</t>
  </si>
  <si>
    <t>Proposed 2024 Rates</t>
  </si>
  <si>
    <t>Proposed 2025 Rates</t>
  </si>
  <si>
    <t>Billing Determinants</t>
  </si>
  <si>
    <t>Proforma $</t>
  </si>
  <si>
    <t>Proposed Revenues</t>
  </si>
  <si>
    <t>Sch 141N</t>
  </si>
  <si>
    <t>Sch 141R</t>
  </si>
  <si>
    <t>Sch 141D
(Sales Only)</t>
  </si>
  <si>
    <t>Multi-Year Rates (Schedules 16, 23 &amp; 53)</t>
  </si>
  <si>
    <t>141N/R Rate</t>
  </si>
  <si>
    <t>Subtotal Base Revenue</t>
  </si>
  <si>
    <t>Schedule 141R/N/D Revenue</t>
  </si>
  <si>
    <t>Multi-Year Rates (Schedules 31 &amp; 31T)</t>
  </si>
  <si>
    <t>Multi-Year Rates (Schedules 41 &amp; 41T)</t>
  </si>
  <si>
    <t>Multi-Year Rates (Schedules 85 &amp; 85T)</t>
  </si>
  <si>
    <t>Multi-Year Rates (Schedules 86 &amp; 86T)</t>
  </si>
  <si>
    <t>Multi-Year Rates (Schedules 87 &amp; 87T)</t>
  </si>
  <si>
    <t>% Margin</t>
  </si>
  <si>
    <t>Note:  Amounts in bold and italics are different from the October 18, 2022 PSE Response to WUTC Bench Request 002.</t>
  </si>
  <si>
    <t>Pro-forma therms</t>
  </si>
  <si>
    <t>Pro-forma revenues</t>
  </si>
  <si>
    <t>Total Schedule 23</t>
  </si>
  <si>
    <t>Total Schedule 53</t>
  </si>
  <si>
    <t>Total Schedule 16</t>
  </si>
  <si>
    <t>Total Schedule 31 - Sales</t>
  </si>
  <si>
    <t>Total Schedule 31 - Transportation</t>
  </si>
  <si>
    <t>Total Schedule 41 - Sales</t>
  </si>
  <si>
    <t>Total Schedule 41 - Transportation</t>
  </si>
  <si>
    <t>Total Schedule 85 - Sales</t>
  </si>
  <si>
    <t>Total Schedule 85 - Transportation</t>
  </si>
  <si>
    <t>Total Schedule 86 - Sales</t>
  </si>
  <si>
    <t>Total Schedule 86 - Transportation</t>
  </si>
  <si>
    <t>Total Schedule 87 - Sales</t>
  </si>
  <si>
    <t>Total Schedule 87 - Transportation</t>
  </si>
  <si>
    <t>Tie out</t>
  </si>
  <si>
    <t>UG-220067</t>
  </si>
  <si>
    <t>Weather normalized volume for the 12 months ended June 2021 from the 2022 General Rate Case Filing (UG-220067).</t>
  </si>
  <si>
    <t>Base schedule revenue for the 12 months ended June 2021 from the 2022 General Rate Case Filing (UG-220067).</t>
  </si>
  <si>
    <t>Schedule 140 Property Tax rates effective May 1, 2023.</t>
  </si>
  <si>
    <t>Sched 141D</t>
  </si>
  <si>
    <t>Sched 141N</t>
  </si>
  <si>
    <t>Sched 141R</t>
  </si>
  <si>
    <t>Dist. Pipeline</t>
  </si>
  <si>
    <t>Rate Plan</t>
  </si>
  <si>
    <r>
      <t>Rates</t>
    </r>
    <r>
      <rPr>
        <vertAlign val="superscript"/>
        <sz val="10"/>
        <rFont val="Arial"/>
        <family val="2"/>
      </rPr>
      <t xml:space="preserve"> (7)</t>
    </r>
  </si>
  <si>
    <r>
      <t>(Therms)</t>
    </r>
    <r>
      <rPr>
        <vertAlign val="superscript"/>
        <sz val="10"/>
        <rFont val="Arial"/>
        <family val="2"/>
      </rPr>
      <t xml:space="preserve"> (8)</t>
    </r>
  </si>
  <si>
    <r>
      <t>Current Rates</t>
    </r>
    <r>
      <rPr>
        <vertAlign val="superscript"/>
        <sz val="10"/>
        <rFont val="Arial"/>
        <family val="2"/>
      </rPr>
      <t xml:space="preserve"> (9)</t>
    </r>
  </si>
  <si>
    <t>Schedule 141D Distribution Pipeline Provisional Recovery rates effective January 7, 2023 (UG-220067).</t>
  </si>
  <si>
    <t>Schedule 141N Not Subject to Refund rates effective January 7, 2023 (UG-220067).</t>
  </si>
  <si>
    <t>Schedule 141R Subject to Refund rates effective January 7, 2023 (UG-220067).</t>
  </si>
  <si>
    <t>(9)</t>
  </si>
  <si>
    <t>Weather normalized volume for the year ending December 31, 2022 from the 2022 Commission Basis Report (CBR).</t>
  </si>
  <si>
    <t>Estimated 2022 Margin Revenue at Current Rates</t>
  </si>
  <si>
    <t>Average Base</t>
  </si>
  <si>
    <t>Proposed Bill Discount Rate Rider Schedule 129D</t>
  </si>
  <si>
    <t>Final</t>
  </si>
  <si>
    <t>Rates, effective May 1, 2023</t>
  </si>
  <si>
    <t>Previous</t>
  </si>
  <si>
    <t>Bill</t>
  </si>
  <si>
    <t>First</t>
  </si>
  <si>
    <t>Second</t>
  </si>
  <si>
    <r>
      <t>Total</t>
    </r>
    <r>
      <rPr>
        <vertAlign val="superscript"/>
        <sz val="8"/>
        <rFont val="Arial"/>
        <family val="2"/>
      </rPr>
      <t>(1)</t>
    </r>
  </si>
  <si>
    <t>Program</t>
  </si>
  <si>
    <t>Discount</t>
  </si>
  <si>
    <t>Block</t>
  </si>
  <si>
    <t>Energy</t>
  </si>
  <si>
    <t>Year's</t>
  </si>
  <si>
    <t>For</t>
  </si>
  <si>
    <t>BDR</t>
  </si>
  <si>
    <t>Number</t>
  </si>
  <si>
    <t>(&lt;600 kWh)</t>
  </si>
  <si>
    <t>(&gt;600 kWh)</t>
  </si>
  <si>
    <t>Basic</t>
  </si>
  <si>
    <t>Charge</t>
  </si>
  <si>
    <r>
      <t>Net</t>
    </r>
    <r>
      <rPr>
        <vertAlign val="superscript"/>
        <sz val="8"/>
        <rFont val="Arial"/>
        <family val="2"/>
      </rPr>
      <t>(2)</t>
    </r>
  </si>
  <si>
    <t>PSE HELP</t>
  </si>
  <si>
    <t>Rider</t>
  </si>
  <si>
    <t xml:space="preserve">Income </t>
  </si>
  <si>
    <t>of</t>
  </si>
  <si>
    <t>First block</t>
  </si>
  <si>
    <t>Second block</t>
  </si>
  <si>
    <t>Credits</t>
  </si>
  <si>
    <t>Administrative</t>
  </si>
  <si>
    <t>Unspent</t>
  </si>
  <si>
    <t>No.</t>
  </si>
  <si>
    <r>
      <t xml:space="preserve">Tiers </t>
    </r>
    <r>
      <rPr>
        <vertAlign val="superscript"/>
        <sz val="8"/>
        <rFont val="Arial"/>
        <family val="2"/>
      </rPr>
      <t>(6)</t>
    </r>
  </si>
  <si>
    <t>kWh</t>
  </si>
  <si>
    <t>$/bill</t>
  </si>
  <si>
    <t>$/kWh</t>
  </si>
  <si>
    <t>To be Given</t>
  </si>
  <si>
    <r>
      <t xml:space="preserve">Costs </t>
    </r>
    <r>
      <rPr>
        <vertAlign val="superscript"/>
        <sz val="8"/>
        <rFont val="Arial"/>
        <family val="2"/>
      </rPr>
      <t>(4)</t>
    </r>
    <r>
      <rPr>
        <sz val="8"/>
        <rFont val="Arial"/>
        <family val="2"/>
      </rPr>
      <t xml:space="preserve"> </t>
    </r>
  </si>
  <si>
    <t>Funds</t>
  </si>
  <si>
    <t>Residential Bill Discount Rate - Tier 1</t>
  </si>
  <si>
    <t>7BDR</t>
  </si>
  <si>
    <t xml:space="preserve"> T1: 0% FPL to ≤ 20% FPL</t>
  </si>
  <si>
    <t>Residential Bill Discount Rate - Tier 2</t>
  </si>
  <si>
    <t xml:space="preserve"> T2: &gt;20% FPL to ≤ 50% FPL</t>
  </si>
  <si>
    <t>Residential Bill Discount Rate - Tier 3</t>
  </si>
  <si>
    <t xml:space="preserve"> T3: &gt;50% FPL to ≤ 100% FPL</t>
  </si>
  <si>
    <t>Residential Bill Discount Rate - Tier 4</t>
  </si>
  <si>
    <t xml:space="preserve"> T4: &gt;100% FPL to ≤ 150% FPL</t>
  </si>
  <si>
    <t>Residential Bill Discount Rate - Tier 5</t>
  </si>
  <si>
    <t xml:space="preserve"> T5: &gt;150% FPL to ≤ 200% FPL</t>
  </si>
  <si>
    <t>Residential Bill Discount Rate - Tier 6</t>
  </si>
  <si>
    <t xml:space="preserve"> T6: &gt;200% FPL &amp; ≤ 80% AMI </t>
  </si>
  <si>
    <t>Total - Electric</t>
  </si>
  <si>
    <r>
      <t>Unspent PSE HELP funding - Electric</t>
    </r>
    <r>
      <rPr>
        <vertAlign val="superscript"/>
        <sz val="8"/>
        <rFont val="Arial"/>
        <family val="2"/>
      </rPr>
      <t>(5)</t>
    </r>
  </si>
  <si>
    <r>
      <t>Revenue Requirement - Electric</t>
    </r>
    <r>
      <rPr>
        <b/>
        <vertAlign val="superscript"/>
        <sz val="8"/>
        <rFont val="Arial"/>
        <family val="2"/>
      </rPr>
      <t>(4,5)</t>
    </r>
  </si>
  <si>
    <t>Delivery</t>
  </si>
  <si>
    <t>$/therm</t>
  </si>
  <si>
    <t>23BDR</t>
  </si>
  <si>
    <t>Total - Gas</t>
  </si>
  <si>
    <r>
      <t>Unspent PSE HELP funding - Gas</t>
    </r>
    <r>
      <rPr>
        <vertAlign val="superscript"/>
        <sz val="8"/>
        <rFont val="Arial"/>
        <family val="2"/>
      </rPr>
      <t>(5)</t>
    </r>
  </si>
  <si>
    <r>
      <t>Revenue Requirement - Gas</t>
    </r>
    <r>
      <rPr>
        <b/>
        <vertAlign val="superscript"/>
        <sz val="8"/>
        <rFont val="Arial"/>
        <family val="2"/>
      </rPr>
      <t>(4,5)</t>
    </r>
  </si>
  <si>
    <t>Total - Electric and Gas</t>
  </si>
  <si>
    <r>
      <t>Revenue Requirement - Total</t>
    </r>
    <r>
      <rPr>
        <b/>
        <vertAlign val="superscript"/>
        <sz val="8"/>
        <rFont val="Arial"/>
        <family val="2"/>
      </rPr>
      <t>(4,5)</t>
    </r>
  </si>
  <si>
    <t>Notes:</t>
  </si>
  <si>
    <t>Includes all volumetric charges, including riders and trackers.</t>
  </si>
  <si>
    <t>Net bill includes all charges but does not include any optional or voluntary schedules.</t>
  </si>
  <si>
    <t>RSI means revenue sensitive items adjustment, including taxes, bad debt, and annual filing fee.</t>
  </si>
  <si>
    <t>No Projected BDR administrative cost for 2023 filing per GRC settlement, page 23, section 37.i. approved in Final Order 24/10 in Docket UE-220066.</t>
  </si>
  <si>
    <t>Unspent PSE HELP funds from the 2021-2022 program year</t>
  </si>
  <si>
    <t>2022 Gas General Rate Case Filing</t>
  </si>
  <si>
    <t>Gas Rate Spread &amp; Design Work Paper</t>
  </si>
  <si>
    <t>Rate Spread and Schedule 141R and 141N Allocation</t>
  </si>
  <si>
    <t>Sch. 141N</t>
  </si>
  <si>
    <t>Sch. 141R</t>
  </si>
  <si>
    <t>(Eff. Jan 7, 2023)</t>
  </si>
  <si>
    <t>(Eff. May 1, 2023)</t>
  </si>
  <si>
    <t>Calendar volume for year ending December 31, 2022 from Customer Information System (CIS).</t>
  </si>
  <si>
    <t>Current Schedule 87T rates including Base, Property Tax (Sch. 140), Not Subject to Refund (Sch. 141N), Subject to Refund (Sch. 141R) and UP EDIT (Sch. 141Z).</t>
  </si>
  <si>
    <t>Total revenue requirement for low income discount rates</t>
  </si>
  <si>
    <t xml:space="preserve">2023 PROGRAM YEAR (Oct 1, 2023 - Sep 30, 2024) REVENUE REQUIREMENT </t>
  </si>
  <si>
    <r>
      <t>Billing determinants</t>
    </r>
    <r>
      <rPr>
        <vertAlign val="superscript"/>
        <sz val="8"/>
        <rFont val="Arial"/>
        <family val="2"/>
      </rPr>
      <t>(7)</t>
    </r>
  </si>
  <si>
    <t>FPL = Federal Poverty Level; AMI = Area (County) Median Income</t>
  </si>
  <si>
    <t xml:space="preserve">Assumes 70,000 customers in gas BDR by January 1, 2023, and 70,000 customers in electric BDR by October 1, 2024. Per Order 01 (Aug 3, 2023) in Docket UG-230470 (PSE's 2023 Gas CCA tariff), PSE is required to enroll a targeted 70,000 customers into energy assistance or bill assistance program by January 1, 2023. </t>
  </si>
  <si>
    <t>2023 Gas Schedule 129D Low Income Discount Rates Filing</t>
  </si>
  <si>
    <t>Rate Change Impacts by Rate Schedule</t>
  </si>
  <si>
    <t>Proposed Rates Effective October 1, 2023</t>
  </si>
  <si>
    <t>Forecasted</t>
  </si>
  <si>
    <t>Base Sch.</t>
  </si>
  <si>
    <t>12ME Sept. 2024</t>
  </si>
  <si>
    <t>Base Schedule</t>
  </si>
  <si>
    <t>Oct 2023 -</t>
  </si>
  <si>
    <t>Sch. 101</t>
  </si>
  <si>
    <t>Sch. 106</t>
  </si>
  <si>
    <t>Sch. 120</t>
  </si>
  <si>
    <t>Sch. 129</t>
  </si>
  <si>
    <t>Sch. 141D</t>
  </si>
  <si>
    <t>Sch. 142</t>
  </si>
  <si>
    <t>Total Forecasted</t>
  </si>
  <si>
    <t>Percent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</si>
  <si>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</si>
  <si>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</si>
  <si>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Sept. 2024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</si>
  <si>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</si>
  <si>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</si>
  <si>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</si>
  <si>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</si>
  <si>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</si>
  <si>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</si>
  <si>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</si>
  <si>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</si>
  <si>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</si>
  <si>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</si>
  <si>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</si>
  <si>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</si>
  <si>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</si>
  <si>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</si>
  <si>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</si>
  <si>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</si>
  <si>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</si>
  <si>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</si>
  <si>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</si>
  <si>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 = sum(G:R)</t>
  </si>
  <si>
    <t>T</t>
  </si>
  <si>
    <t>W= T/S</t>
  </si>
  <si>
    <t>23,53</t>
  </si>
  <si>
    <t>Residential Gas Lights</t>
  </si>
  <si>
    <t>Commercial &amp; Industrial</t>
  </si>
  <si>
    <t>Large Volume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</si>
  <si>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</si>
  <si>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</si>
  <si>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</si>
  <si>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</si>
  <si>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</si>
  <si>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</si>
  <si>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</si>
  <si>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Limited Interruptible Transportation</t>
  </si>
  <si>
    <t>86T</t>
  </si>
  <si>
    <t>Non-exclusive Interruptible Transportation</t>
  </si>
  <si>
    <t>By Customer Class:</t>
  </si>
  <si>
    <t>16,23,53</t>
  </si>
  <si>
    <t>31,31T</t>
  </si>
  <si>
    <t>41,41T</t>
  </si>
  <si>
    <t>85,85T</t>
  </si>
  <si>
    <t>86,86T</t>
  </si>
  <si>
    <t>Non-exclusive interruptible</t>
  </si>
  <si>
    <t>87,87T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</si>
  <si>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</si>
  <si>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May 1, 2023.</t>
    </r>
  </si>
  <si>
    <t>Typical Residential Bill Impacts</t>
  </si>
  <si>
    <t>Schedule 129D Low Income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</si>
  <si>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</si>
  <si>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</si>
  <si>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</si>
  <si>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Volume (therms)</t>
  </si>
  <si>
    <t>Customer charge ($/month)</t>
  </si>
  <si>
    <t>Basic charge (Sch. 23)</t>
  </si>
  <si>
    <t>Volumetric charges ($/therm)</t>
  </si>
  <si>
    <t>Delivery charge (Sch. 23)</t>
  </si>
  <si>
    <t>Low Income charge (Sch. 129)</t>
  </si>
  <si>
    <t>Low Income Discount charge (Sch. 129D)</t>
  </si>
  <si>
    <t>Property Tax charge (Sch. 140)</t>
  </si>
  <si>
    <t>Dist. Pipeline Provisional (Sch. 141D)</t>
  </si>
  <si>
    <t>Rates Not Subject to Refund (Sch. 141N)</t>
  </si>
  <si>
    <t>Rates Subject to Refund (Sch. 141R)</t>
  </si>
  <si>
    <t>UP EDIT adjusting charge (Sch. 141Z)</t>
  </si>
  <si>
    <t>Decoupling charge (Sch. 142)</t>
  </si>
  <si>
    <t>Conservation charge (Sch. 120)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</si>
  <si>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</si>
  <si>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</si>
  <si>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</si>
  <si>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</si>
  <si>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</si>
  <si>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</si>
  <si>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</si>
  <si>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May 1, 2023</t>
    </r>
  </si>
  <si>
    <t>Gas Schedule 129D</t>
  </si>
  <si>
    <t>Low Income Discount Rates</t>
  </si>
  <si>
    <t>Sched 129D</t>
  </si>
  <si>
    <t>Volume (Therms)</t>
  </si>
  <si>
    <t xml:space="preserve">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</si>
</sst>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0000_);_(&quot;$&quot;* \(#,##0.00000\);_(&quot;$&quot;* &quot;-&quot;?????_);_(@_)"/>
    <numFmt numFmtId="168" formatCode="_(&quot;$&quot;* #,##0.00000_);_(&quot;$&quot;* \(#,##0.00000\);_(&quot;$&quot;* &quot;-&quot;??_);_(@_)"/>
    <numFmt numFmtId="169" formatCode="_(* #,##0.00000_);_(* \(#,##0.00000\);_(* &quot;-&quot;??_);_(@_)"/>
    <numFmt numFmtId="170" formatCode="_(&quot;$&quot;* #,##0.0000_);_(&quot;$&quot;* \(#,##0.0000\);_(&quot;$&quot;* &quot;-&quot;??_);_(@_)"/>
    <numFmt numFmtId="171" formatCode="0.0000%"/>
    <numFmt numFmtId="172" formatCode="&quot;$&quot;#,##0\ ;\(&quot;$&quot;#,##0\)"/>
    <numFmt numFmtId="173" formatCode="0.000%"/>
    <numFmt numFmtId="174" formatCode="&quot;$&quot;#,##0.00\ ;\(&quot;$&quot;#,##0.00\)"/>
    <numFmt numFmtId="175" formatCode="&quot;$&quot;#,##0.00000\ ;\(&quot;$&quot;#,##0.00000\)"/>
    <numFmt numFmtId="176" formatCode="&quot;$&quot;#,##0.0000\ ;\(&quot;$&quot;#,##0.0000\)"/>
    <numFmt numFmtId="177" formatCode="#,##0.00000"/>
    <numFmt numFmtId="178" formatCode="#,##0.0"/>
    <numFmt numFmtId="179" formatCode="&quot;$&quot;#,##0"/>
    <numFmt numFmtId="180" formatCode="&quot;$&quot;#,##0.00000000_);\(&quot;$&quot;#,##0.00000000\)"/>
    <numFmt numFmtId="181" formatCode="&quot;$&quot;#,##0.00000_);\(&quot;$&quot;#,##0.00000\)"/>
    <numFmt numFmtId="182" formatCode="_(&quot;$&quot;* #,##0.000000_);_(&quot;$&quot;* \(#,##0.000000\);_(&quot;$&quot;* &quot;-&quot;??_);_(@_)"/>
    <numFmt numFmtId="183" formatCode="_(&quot;$&quot;* #,##0.00_);_(&quot;$&quot;* \(#,##0.00\);_(&quot;$&quot;* &quot;-&quot;_);_(@_)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0"/>
      <color indexed="21"/>
      <name val="Arial"/>
      <family val="2"/>
    </font>
    <font>
      <sz val="10"/>
      <color theme="1"/>
      <name val="Arial"/>
      <family val="2"/>
    </font>
    <font>
      <sz val="10"/>
      <color rgb="FF009999"/>
      <name val="Arial"/>
      <family val="2"/>
    </font>
    <font>
      <vertAlign val="superscript"/>
      <sz val="10"/>
      <name val="Arial"/>
      <family val="2"/>
    </font>
    <font>
      <sz val="10"/>
      <color rgb="FF006666"/>
      <name val="Arial"/>
      <family val="2"/>
    </font>
    <font>
      <sz val="10"/>
      <color rgb="FF008080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0000FF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sz val="8"/>
      <color rgb="FF006666"/>
      <name val="Arial"/>
      <family val="2"/>
    </font>
    <font>
      <sz val="8"/>
      <color rgb="FF0000FF"/>
      <name val="Arial"/>
      <family val="2"/>
    </font>
    <font>
      <b/>
      <vertAlign val="superscript"/>
      <sz val="8"/>
      <name val="Arial"/>
      <family val="2"/>
    </font>
    <font>
      <sz val="8"/>
      <color theme="1" tint="0.499984740745262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671">
    <xf numFmtId="0" fontId="0" fillId="0" borderId="0" xfId="0"/>
    <xf numFmtId="0" fontId="8" fillId="0" borderId="0" xfId="0" applyFont="1" applyFill="1" applyAlignment="1">
      <alignment horizontal="center"/>
    </xf>
    <xf numFmtId="0" fontId="33" fillId="0" borderId="2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7" fillId="0" borderId="2" xfId="0" applyNumberFormat="1" applyFont="1" applyFill="1" applyBorder="1"/>
    <xf numFmtId="3" fontId="7" fillId="0" borderId="0" xfId="0" applyNumberFormat="1" applyFont="1" applyFill="1"/>
    <xf numFmtId="3" fontId="3" fillId="0" borderId="0" xfId="0" applyNumberFormat="1" applyFont="1" applyFill="1"/>
    <xf numFmtId="166" fontId="1" fillId="0" borderId="0" xfId="0" applyNumberFormat="1" applyFont="1" applyFill="1"/>
    <xf numFmtId="166" fontId="1" fillId="0" borderId="0" xfId="0" applyNumberFormat="1" applyFont="1" applyFill="1" applyBorder="1"/>
    <xf numFmtId="164" fontId="1" fillId="0" borderId="0" xfId="0" applyNumberFormat="1" applyFont="1" applyFill="1" applyBorder="1"/>
    <xf numFmtId="42" fontId="1" fillId="0" borderId="0" xfId="0" applyNumberFormat="1" applyFont="1" applyFill="1" applyBorder="1"/>
    <xf numFmtId="42" fontId="3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42" fontId="1" fillId="0" borderId="1" xfId="0" applyNumberFormat="1" applyFont="1" applyFill="1" applyBorder="1"/>
    <xf numFmtId="164" fontId="4" fillId="0" borderId="3" xfId="0" applyNumberFormat="1" applyFont="1" applyFill="1" applyBorder="1"/>
    <xf numFmtId="3" fontId="4" fillId="0" borderId="3" xfId="0" applyNumberFormat="1" applyFont="1" applyFill="1" applyBorder="1"/>
    <xf numFmtId="3" fontId="3" fillId="0" borderId="0" xfId="0" applyNumberFormat="1" applyFont="1" applyFill="1" applyBorder="1"/>
    <xf numFmtId="3" fontId="1" fillId="0" borderId="1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/>
    </xf>
    <xf numFmtId="3" fontId="1" fillId="0" borderId="7" xfId="0" applyNumberFormat="1" applyFont="1" applyFill="1" applyBorder="1"/>
    <xf numFmtId="3" fontId="1" fillId="0" borderId="8" xfId="0" applyNumberFormat="1" applyFont="1" applyFill="1" applyBorder="1"/>
    <xf numFmtId="0" fontId="1" fillId="0" borderId="9" xfId="0" applyFont="1" applyFill="1" applyBorder="1" applyAlignment="1">
      <alignment horizontal="center"/>
    </xf>
    <xf numFmtId="42" fontId="5" fillId="0" borderId="4" xfId="0" applyNumberFormat="1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/>
    <xf numFmtId="3" fontId="8" fillId="0" borderId="0" xfId="0" applyNumberFormat="1" applyFont="1" applyFill="1" applyAlignment="1">
      <alignment horizontal="right"/>
    </xf>
    <xf numFmtId="164" fontId="1" fillId="0" borderId="3" xfId="0" applyNumberFormat="1" applyFont="1" applyFill="1" applyBorder="1"/>
    <xf numFmtId="167" fontId="1" fillId="0" borderId="0" xfId="0" applyNumberFormat="1" applyFont="1" applyFill="1"/>
    <xf numFmtId="164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11" fillId="0" borderId="0" xfId="0" applyNumberFormat="1" applyFont="1" applyFill="1"/>
    <xf numFmtId="10" fontId="1" fillId="0" borderId="1" xfId="0" applyNumberFormat="1" applyFont="1" applyFill="1" applyBorder="1" applyAlignment="1">
      <alignment horizontal="right"/>
    </xf>
    <xf numFmtId="10" fontId="8" fillId="0" borderId="0" xfId="0" applyNumberFormat="1" applyFont="1" applyFill="1"/>
    <xf numFmtId="10" fontId="8" fillId="0" borderId="2" xfId="0" applyNumberFormat="1" applyFont="1" applyFill="1" applyBorder="1"/>
    <xf numFmtId="0" fontId="1" fillId="0" borderId="0" xfId="0" applyFont="1" applyAlignment="1">
      <alignment horizontal="centerContinuous"/>
    </xf>
    <xf numFmtId="3" fontId="1" fillId="0" borderId="0" xfId="0" applyNumberFormat="1" applyFont="1" applyFill="1"/>
    <xf numFmtId="0" fontId="1" fillId="0" borderId="0" xfId="0" applyFont="1" applyBorder="1"/>
    <xf numFmtId="0" fontId="1" fillId="0" borderId="0" xfId="0" quotePrefix="1" applyFont="1" applyAlignment="1">
      <alignment vertical="top"/>
    </xf>
    <xf numFmtId="0" fontId="5" fillId="0" borderId="0" xfId="0" applyFont="1"/>
    <xf numFmtId="41" fontId="1" fillId="0" borderId="0" xfId="0" quotePrefix="1" applyNumberFormat="1" applyFont="1" applyAlignment="1">
      <alignment horizontal="right"/>
    </xf>
    <xf numFmtId="3" fontId="1" fillId="0" borderId="0" xfId="0" applyNumberFormat="1" applyFont="1" applyFill="1" applyBorder="1"/>
    <xf numFmtId="168" fontId="8" fillId="0" borderId="2" xfId="0" applyNumberFormat="1" applyFont="1" applyFill="1" applyBorder="1"/>
    <xf numFmtId="168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44" fontId="1" fillId="0" borderId="0" xfId="0" applyNumberFormat="1" applyFont="1" applyFill="1"/>
    <xf numFmtId="42" fontId="12" fillId="0" borderId="0" xfId="0" applyNumberFormat="1" applyFont="1" applyFill="1"/>
    <xf numFmtId="165" fontId="8" fillId="0" borderId="0" xfId="0" applyNumberFormat="1" applyFont="1" applyFill="1"/>
    <xf numFmtId="164" fontId="7" fillId="0" borderId="0" xfId="0" applyNumberFormat="1" applyFont="1" applyFill="1"/>
    <xf numFmtId="164" fontId="12" fillId="0" borderId="0" xfId="0" applyNumberFormat="1" applyFont="1" applyFill="1"/>
    <xf numFmtId="3" fontId="7" fillId="0" borderId="0" xfId="0" applyNumberFormat="1" applyFont="1" applyFill="1" applyBorder="1"/>
    <xf numFmtId="10" fontId="1" fillId="0" borderId="0" xfId="0" applyNumberFormat="1" applyFont="1" applyFill="1"/>
    <xf numFmtId="8" fontId="1" fillId="0" borderId="0" xfId="0" applyNumberFormat="1" applyFont="1" applyFill="1"/>
    <xf numFmtId="3" fontId="12" fillId="0" borderId="1" xfId="0" applyNumberFormat="1" applyFont="1" applyFill="1" applyBorder="1"/>
    <xf numFmtId="3" fontId="8" fillId="0" borderId="0" xfId="0" applyNumberFormat="1" applyFont="1" applyFill="1"/>
    <xf numFmtId="3" fontId="8" fillId="0" borderId="3" xfId="0" applyNumberFormat="1" applyFont="1" applyFill="1" applyBorder="1"/>
    <xf numFmtId="168" fontId="12" fillId="0" borderId="0" xfId="0" applyNumberFormat="1" applyFont="1" applyFill="1"/>
    <xf numFmtId="0" fontId="1" fillId="0" borderId="0" xfId="0" applyFont="1" applyFill="1" applyAlignment="1">
      <alignment horizontal="centerContinuous"/>
    </xf>
    <xf numFmtId="10" fontId="8" fillId="0" borderId="3" xfId="0" applyNumberFormat="1" applyFont="1" applyFill="1" applyBorder="1"/>
    <xf numFmtId="0" fontId="2" fillId="0" borderId="0" xfId="0" applyFont="1" applyFill="1"/>
    <xf numFmtId="166" fontId="2" fillId="0" borderId="0" xfId="0" applyNumberFormat="1" applyFont="1" applyFill="1" applyBorder="1"/>
    <xf numFmtId="168" fontId="2" fillId="0" borderId="0" xfId="0" applyNumberFormat="1" applyFont="1" applyFill="1" applyBorder="1"/>
    <xf numFmtId="41" fontId="2" fillId="0" borderId="0" xfId="0" applyNumberFormat="1" applyFont="1" applyFill="1" applyBorder="1"/>
    <xf numFmtId="42" fontId="13" fillId="0" borderId="0" xfId="0" applyNumberFormat="1" applyFont="1" applyFill="1" applyBorder="1"/>
    <xf numFmtId="42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Fill="1" applyAlignment="1">
      <alignment horizontal="centerContinuous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Continuous"/>
    </xf>
    <xf numFmtId="0" fontId="1" fillId="0" borderId="1" xfId="0" applyFont="1" applyFill="1" applyBorder="1"/>
    <xf numFmtId="0" fontId="1" fillId="0" borderId="2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72" fontId="7" fillId="0" borderId="10" xfId="0" applyNumberFormat="1" applyFont="1" applyFill="1" applyBorder="1" applyAlignment="1">
      <alignment horizontal="center"/>
    </xf>
    <xf numFmtId="175" fontId="1" fillId="0" borderId="0" xfId="0" applyNumberFormat="1" applyFont="1" applyFill="1" applyBorder="1"/>
    <xf numFmtId="0" fontId="1" fillId="0" borderId="16" xfId="0" applyFont="1" applyFill="1" applyBorder="1"/>
    <xf numFmtId="0" fontId="1" fillId="0" borderId="2" xfId="0" applyFont="1" applyFill="1" applyBorder="1"/>
    <xf numFmtId="172" fontId="1" fillId="0" borderId="2" xfId="0" applyNumberFormat="1" applyFont="1" applyFill="1" applyBorder="1"/>
    <xf numFmtId="3" fontId="1" fillId="0" borderId="2" xfId="0" applyNumberFormat="1" applyFont="1" applyFill="1" applyBorder="1"/>
    <xf numFmtId="165" fontId="1" fillId="0" borderId="17" xfId="0" applyNumberFormat="1" applyFont="1" applyFill="1" applyBorder="1"/>
    <xf numFmtId="172" fontId="1" fillId="0" borderId="0" xfId="0" applyNumberFormat="1" applyFont="1" applyFill="1"/>
    <xf numFmtId="172" fontId="1" fillId="0" borderId="0" xfId="0" applyNumberFormat="1" applyFont="1" applyFill="1" applyBorder="1"/>
    <xf numFmtId="165" fontId="1" fillId="0" borderId="0" xfId="0" applyNumberFormat="1" applyFont="1" applyFill="1" applyBorder="1"/>
    <xf numFmtId="0" fontId="2" fillId="0" borderId="18" xfId="0" applyFont="1" applyFill="1" applyBorder="1" applyProtection="1">
      <protection locked="0"/>
    </xf>
    <xf numFmtId="0" fontId="1" fillId="0" borderId="20" xfId="0" applyFont="1" applyFill="1" applyBorder="1"/>
    <xf numFmtId="3" fontId="1" fillId="0" borderId="0" xfId="0" applyNumberFormat="1" applyFont="1" applyFill="1" applyBorder="1" applyProtection="1">
      <protection locked="0"/>
    </xf>
    <xf numFmtId="165" fontId="1" fillId="0" borderId="21" xfId="0" applyNumberFormat="1" applyFont="1" applyFill="1" applyBorder="1" applyAlignment="1">
      <alignment horizontal="right"/>
    </xf>
    <xf numFmtId="172" fontId="1" fillId="0" borderId="0" xfId="0" applyNumberFormat="1" applyFont="1" applyFill="1" applyBorder="1" applyAlignment="1">
      <alignment horizontal="right"/>
    </xf>
    <xf numFmtId="174" fontId="1" fillId="0" borderId="0" xfId="0" applyNumberFormat="1" applyFont="1" applyFill="1" applyBorder="1"/>
    <xf numFmtId="165" fontId="1" fillId="0" borderId="21" xfId="0" applyNumberFormat="1" applyFont="1" applyFill="1" applyBorder="1"/>
    <xf numFmtId="0" fontId="2" fillId="0" borderId="20" xfId="0" applyFont="1" applyFill="1" applyBorder="1"/>
    <xf numFmtId="172" fontId="2" fillId="0" borderId="0" xfId="0" applyNumberFormat="1" applyFont="1" applyFill="1" applyBorder="1"/>
    <xf numFmtId="175" fontId="3" fillId="0" borderId="0" xfId="0" applyNumberFormat="1" applyFont="1" applyFill="1" applyBorder="1"/>
    <xf numFmtId="173" fontId="1" fillId="0" borderId="0" xfId="0" applyNumberFormat="1" applyFont="1" applyFill="1" applyBorder="1"/>
    <xf numFmtId="175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>
      <alignment horizontal="center"/>
    </xf>
    <xf numFmtId="0" fontId="1" fillId="0" borderId="12" xfId="0" applyFont="1" applyFill="1" applyBorder="1"/>
    <xf numFmtId="3" fontId="1" fillId="0" borderId="0" xfId="0" applyNumberFormat="1" applyFont="1" applyFill="1" applyAlignment="1">
      <alignment horizontal="centerContinuous"/>
    </xf>
    <xf numFmtId="3" fontId="1" fillId="0" borderId="2" xfId="0" applyNumberFormat="1" applyFont="1" applyFill="1" applyBorder="1" applyAlignment="1"/>
    <xf numFmtId="172" fontId="1" fillId="0" borderId="5" xfId="0" applyNumberFormat="1" applyFont="1" applyFill="1" applyBorder="1" applyAlignment="1">
      <alignment horizontal="center"/>
    </xf>
    <xf numFmtId="172" fontId="1" fillId="0" borderId="1" xfId="0" applyNumberFormat="1" applyFont="1" applyFill="1" applyBorder="1"/>
    <xf numFmtId="10" fontId="3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/>
    <xf numFmtId="9" fontId="1" fillId="0" borderId="0" xfId="0" applyNumberFormat="1" applyFont="1" applyFill="1" applyBorder="1"/>
    <xf numFmtId="174" fontId="1" fillId="0" borderId="2" xfId="0" applyNumberFormat="1" applyFont="1" applyFill="1" applyBorder="1" applyAlignment="1">
      <alignment horizontal="center"/>
    </xf>
    <xf numFmtId="172" fontId="1" fillId="0" borderId="2" xfId="0" applyNumberFormat="1" applyFont="1" applyFill="1" applyBorder="1" applyAlignment="1">
      <alignment horizontal="center"/>
    </xf>
    <xf numFmtId="9" fontId="1" fillId="0" borderId="2" xfId="0" applyNumberFormat="1" applyFont="1" applyFill="1" applyBorder="1"/>
    <xf numFmtId="175" fontId="6" fillId="0" borderId="0" xfId="0" applyNumberFormat="1" applyFont="1" applyFill="1" applyBorder="1"/>
    <xf numFmtId="174" fontId="3" fillId="0" borderId="0" xfId="0" applyNumberFormat="1" applyFont="1" applyFill="1" applyBorder="1"/>
    <xf numFmtId="0" fontId="8" fillId="0" borderId="6" xfId="0" applyFont="1" applyFill="1" applyBorder="1" applyAlignment="1">
      <alignment horizontal="center"/>
    </xf>
    <xf numFmtId="172" fontId="1" fillId="0" borderId="10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left"/>
    </xf>
    <xf numFmtId="174" fontId="1" fillId="0" borderId="0" xfId="0" applyNumberFormat="1" applyFont="1" applyFill="1" applyAlignment="1">
      <alignment horizontal="center"/>
    </xf>
    <xf numFmtId="172" fontId="1" fillId="0" borderId="0" xfId="0" applyNumberFormat="1" applyFont="1" applyFill="1" applyBorder="1" applyAlignment="1">
      <alignment horizontal="center"/>
    </xf>
    <xf numFmtId="179" fontId="1" fillId="0" borderId="0" xfId="0" applyNumberFormat="1" applyFont="1" applyFill="1"/>
    <xf numFmtId="3" fontId="1" fillId="0" borderId="0" xfId="0" applyNumberFormat="1" applyFont="1" applyFill="1" applyBorder="1" applyAlignment="1">
      <alignment horizontal="centerContinuous"/>
    </xf>
    <xf numFmtId="174" fontId="1" fillId="0" borderId="0" xfId="0" applyNumberFormat="1" applyFont="1" applyFill="1" applyAlignment="1">
      <alignment horizontal="centerContinuous"/>
    </xf>
    <xf numFmtId="3" fontId="1" fillId="0" borderId="1" xfId="0" applyNumberFormat="1" applyFont="1" applyFill="1" applyBorder="1" applyAlignment="1">
      <alignment horizontal="center"/>
    </xf>
    <xf numFmtId="9" fontId="3" fillId="0" borderId="0" xfId="0" applyNumberFormat="1" applyFont="1" applyFill="1" applyBorder="1"/>
    <xf numFmtId="165" fontId="1" fillId="0" borderId="19" xfId="0" applyNumberFormat="1" applyFont="1" applyFill="1" applyBorder="1" applyAlignment="1">
      <alignment horizontal="right"/>
    </xf>
    <xf numFmtId="174" fontId="1" fillId="0" borderId="2" xfId="0" applyNumberFormat="1" applyFont="1" applyFill="1" applyBorder="1"/>
    <xf numFmtId="174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Protection="1">
      <protection locked="0"/>
    </xf>
    <xf numFmtId="172" fontId="1" fillId="0" borderId="0" xfId="0" applyNumberFormat="1" applyFont="1" applyFill="1" applyBorder="1" applyProtection="1">
      <protection locked="0"/>
    </xf>
    <xf numFmtId="173" fontId="1" fillId="0" borderId="0" xfId="0" applyNumberFormat="1" applyFont="1" applyFill="1" applyBorder="1" applyAlignment="1">
      <alignment horizontal="left"/>
    </xf>
    <xf numFmtId="172" fontId="1" fillId="0" borderId="1" xfId="0" applyNumberFormat="1" applyFont="1" applyFill="1" applyBorder="1" applyAlignment="1">
      <alignment horizontal="right"/>
    </xf>
    <xf numFmtId="175" fontId="1" fillId="0" borderId="2" xfId="0" applyNumberFormat="1" applyFont="1" applyFill="1" applyBorder="1"/>
    <xf numFmtId="172" fontId="1" fillId="0" borderId="2" xfId="0" applyNumberFormat="1" applyFont="1" applyFill="1" applyBorder="1" applyAlignment="1">
      <alignment horizontal="right"/>
    </xf>
    <xf numFmtId="174" fontId="1" fillId="0" borderId="2" xfId="0" applyNumberFormat="1" applyFont="1" applyFill="1" applyBorder="1" applyAlignment="1">
      <alignment horizontal="right"/>
    </xf>
    <xf numFmtId="175" fontId="1" fillId="0" borderId="2" xfId="0" applyNumberFormat="1" applyFont="1" applyFill="1" applyBorder="1" applyAlignment="1">
      <alignment horizontal="right"/>
    </xf>
    <xf numFmtId="17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71" fontId="3" fillId="0" borderId="0" xfId="0" applyNumberFormat="1" applyFont="1" applyFill="1" applyBorder="1"/>
    <xf numFmtId="165" fontId="1" fillId="0" borderId="21" xfId="0" applyNumberFormat="1" applyFont="1" applyFill="1" applyBorder="1" applyAlignment="1">
      <alignment horizontal="center"/>
    </xf>
    <xf numFmtId="172" fontId="3" fillId="0" borderId="0" xfId="0" applyNumberFormat="1" applyFont="1" applyFill="1" applyBorder="1" applyAlignment="1">
      <alignment horizontal="right"/>
    </xf>
    <xf numFmtId="5" fontId="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/>
    <xf numFmtId="174" fontId="1" fillId="0" borderId="0" xfId="0" applyNumberFormat="1" applyFont="1" applyFill="1"/>
    <xf numFmtId="0" fontId="8" fillId="0" borderId="0" xfId="0" applyFont="1" applyFill="1" applyAlignment="1">
      <alignment horizontal="centerContinuous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1" fontId="1" fillId="0" borderId="0" xfId="0" applyNumberFormat="1" applyFont="1" applyFill="1" applyBorder="1"/>
    <xf numFmtId="0" fontId="2" fillId="0" borderId="0" xfId="0" applyFont="1" applyFill="1" applyAlignment="1"/>
    <xf numFmtId="168" fontId="4" fillId="0" borderId="0" xfId="0" applyNumberFormat="1" applyFont="1" applyFill="1" applyBorder="1"/>
    <xf numFmtId="0" fontId="1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164" fontId="8" fillId="0" borderId="0" xfId="0" applyNumberFormat="1" applyFont="1" applyFill="1"/>
    <xf numFmtId="168" fontId="8" fillId="0" borderId="0" xfId="0" applyNumberFormat="1" applyFont="1" applyFill="1"/>
    <xf numFmtId="166" fontId="8" fillId="0" borderId="0" xfId="0" applyNumberFormat="1" applyFont="1" applyFill="1"/>
    <xf numFmtId="169" fontId="1" fillId="0" borderId="0" xfId="0" applyNumberFormat="1" applyFont="1" applyFill="1"/>
    <xf numFmtId="3" fontId="9" fillId="0" borderId="0" xfId="0" applyNumberFormat="1" applyFont="1" applyFill="1"/>
    <xf numFmtId="164" fontId="3" fillId="0" borderId="0" xfId="0" applyNumberFormat="1" applyFont="1" applyFill="1"/>
    <xf numFmtId="164" fontId="8" fillId="0" borderId="0" xfId="0" applyNumberFormat="1" applyFont="1" applyFill="1" applyBorder="1"/>
    <xf numFmtId="168" fontId="7" fillId="0" borderId="0" xfId="0" applyNumberFormat="1" applyFont="1" applyFill="1" applyBorder="1"/>
    <xf numFmtId="169" fontId="8" fillId="0" borderId="0" xfId="0" applyNumberFormat="1" applyFont="1" applyFill="1"/>
    <xf numFmtId="168" fontId="7" fillId="0" borderId="0" xfId="0" applyNumberFormat="1" applyFont="1" applyFill="1"/>
    <xf numFmtId="165" fontId="8" fillId="0" borderId="2" xfId="0" applyNumberFormat="1" applyFont="1" applyFill="1" applyBorder="1"/>
    <xf numFmtId="164" fontId="8" fillId="0" borderId="2" xfId="0" applyNumberFormat="1" applyFont="1" applyFill="1" applyBorder="1"/>
    <xf numFmtId="168" fontId="1" fillId="0" borderId="0" xfId="0" applyNumberFormat="1" applyFont="1" applyFill="1" applyBorder="1"/>
    <xf numFmtId="164" fontId="5" fillId="0" borderId="6" xfId="0" applyNumberFormat="1" applyFont="1" applyFill="1" applyBorder="1"/>
    <xf numFmtId="10" fontId="5" fillId="0" borderId="5" xfId="0" applyNumberFormat="1" applyFont="1" applyFill="1" applyBorder="1"/>
    <xf numFmtId="0" fontId="10" fillId="0" borderId="0" xfId="0" quotePrefix="1" applyFont="1" applyFill="1" applyAlignment="1">
      <alignment horizontal="center" vertical="top"/>
    </xf>
    <xf numFmtId="0" fontId="1" fillId="0" borderId="0" xfId="0" quotePrefix="1" applyFont="1" applyFill="1" applyAlignment="1">
      <alignment horizontal="left"/>
    </xf>
    <xf numFmtId="0" fontId="1" fillId="0" borderId="0" xfId="0" applyFont="1" applyFill="1" applyAlignment="1">
      <alignment vertical="top" wrapText="1"/>
    </xf>
    <xf numFmtId="3" fontId="12" fillId="0" borderId="0" xfId="0" applyNumberFormat="1" applyFont="1" applyFill="1"/>
    <xf numFmtId="0" fontId="1" fillId="0" borderId="3" xfId="0" applyFont="1" applyFill="1" applyBorder="1"/>
    <xf numFmtId="3" fontId="8" fillId="0" borderId="1" xfId="0" applyNumberFormat="1" applyFont="1" applyFill="1" applyBorder="1"/>
    <xf numFmtId="0" fontId="10" fillId="0" borderId="0" xfId="0" quotePrefix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8" fillId="0" borderId="0" xfId="0" applyFont="1" applyFill="1" applyAlignment="1"/>
    <xf numFmtId="0" fontId="15" fillId="0" borderId="0" xfId="0" applyFont="1" applyFill="1"/>
    <xf numFmtId="168" fontId="6" fillId="0" borderId="0" xfId="0" applyNumberFormat="1" applyFont="1" applyFill="1"/>
    <xf numFmtId="42" fontId="1" fillId="0" borderId="0" xfId="0" applyNumberFormat="1" applyFont="1" applyFill="1"/>
    <xf numFmtId="9" fontId="8" fillId="0" borderId="0" xfId="0" applyNumberFormat="1" applyFont="1" applyFill="1"/>
    <xf numFmtId="0" fontId="12" fillId="0" borderId="0" xfId="0" applyFont="1" applyFill="1"/>
    <xf numFmtId="0" fontId="1" fillId="0" borderId="0" xfId="0" applyFont="1" applyFill="1" applyAlignment="1">
      <alignment horizontal="left" indent="1"/>
    </xf>
    <xf numFmtId="42" fontId="12" fillId="0" borderId="0" xfId="0" applyNumberFormat="1" applyFont="1" applyFill="1" applyBorder="1"/>
    <xf numFmtId="168" fontId="12" fillId="0" borderId="0" xfId="0" applyNumberFormat="1" applyFont="1" applyFill="1" applyBorder="1"/>
    <xf numFmtId="168" fontId="6" fillId="0" borderId="0" xfId="0" applyNumberFormat="1" applyFont="1" applyFill="1" applyBorder="1"/>
    <xf numFmtId="42" fontId="1" fillId="0" borderId="2" xfId="0" applyNumberFormat="1" applyFont="1" applyFill="1" applyBorder="1"/>
    <xf numFmtId="164" fontId="4" fillId="0" borderId="0" xfId="0" applyNumberFormat="1" applyFont="1" applyFill="1"/>
    <xf numFmtId="164" fontId="4" fillId="0" borderId="0" xfId="0" applyNumberFormat="1" applyFont="1" applyFill="1" applyBorder="1"/>
    <xf numFmtId="0" fontId="2" fillId="0" borderId="0" xfId="0" applyFont="1" applyFill="1" applyAlignment="1">
      <alignment wrapText="1"/>
    </xf>
    <xf numFmtId="170" fontId="1" fillId="0" borderId="0" xfId="0" applyNumberFormat="1" applyFont="1" applyFill="1" applyBorder="1"/>
    <xf numFmtId="174" fontId="1" fillId="0" borderId="0" xfId="0" applyNumberFormat="1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"/>
    </xf>
    <xf numFmtId="0" fontId="2" fillId="0" borderId="16" xfId="0" applyFont="1" applyFill="1" applyBorder="1"/>
    <xf numFmtId="172" fontId="1" fillId="0" borderId="21" xfId="0" applyNumberFormat="1" applyFont="1" applyFill="1" applyBorder="1" applyAlignment="1">
      <alignment horizontal="right"/>
    </xf>
    <xf numFmtId="5" fontId="1" fillId="0" borderId="1" xfId="0" applyNumberFormat="1" applyFont="1" applyFill="1" applyBorder="1"/>
    <xf numFmtId="5" fontId="7" fillId="0" borderId="0" xfId="0" applyNumberFormat="1" applyFont="1" applyFill="1"/>
    <xf numFmtId="41" fontId="7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/>
    <xf numFmtId="172" fontId="1" fillId="0" borderId="0" xfId="0" applyNumberFormat="1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2" fillId="0" borderId="0" xfId="0" applyFont="1"/>
    <xf numFmtId="3" fontId="1" fillId="0" borderId="0" xfId="0" applyNumberFormat="1" applyFont="1" applyBorder="1"/>
    <xf numFmtId="174" fontId="1" fillId="0" borderId="0" xfId="0" applyNumberFormat="1" applyFont="1"/>
    <xf numFmtId="174" fontId="1" fillId="0" borderId="0" xfId="0" applyNumberFormat="1" applyFont="1" applyBorder="1"/>
    <xf numFmtId="172" fontId="1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4" fontId="1" fillId="0" borderId="3" xfId="0" applyNumberFormat="1" applyFont="1" applyBorder="1" applyAlignment="1">
      <alignment horizontal="centerContinuous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Continuous"/>
    </xf>
    <xf numFmtId="174" fontId="1" fillId="0" borderId="1" xfId="0" applyNumberFormat="1" applyFont="1" applyBorder="1" applyAlignment="1">
      <alignment horizontal="left"/>
    </xf>
    <xf numFmtId="174" fontId="1" fillId="0" borderId="15" xfId="0" applyNumberFormat="1" applyFont="1" applyBorder="1" applyAlignment="1">
      <alignment horizontal="centerContinuous"/>
    </xf>
    <xf numFmtId="174" fontId="1" fillId="0" borderId="0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4" fontId="1" fillId="0" borderId="2" xfId="0" applyNumberFormat="1" applyFont="1" applyBorder="1" applyAlignment="1">
      <alignment horizontal="center"/>
    </xf>
    <xf numFmtId="173" fontId="1" fillId="0" borderId="17" xfId="0" applyNumberFormat="1" applyFont="1" applyBorder="1" applyAlignment="1">
      <alignment horizontal="center"/>
    </xf>
    <xf numFmtId="173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72" fontId="1" fillId="0" borderId="0" xfId="0" applyNumberFormat="1" applyFont="1" applyBorder="1" applyAlignment="1">
      <alignment horizontal="right"/>
    </xf>
    <xf numFmtId="0" fontId="2" fillId="0" borderId="18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0" borderId="3" xfId="0" applyFont="1" applyBorder="1"/>
    <xf numFmtId="3" fontId="1" fillId="0" borderId="3" xfId="0" applyNumberFormat="1" applyFont="1" applyBorder="1"/>
    <xf numFmtId="172" fontId="1" fillId="0" borderId="3" xfId="0" applyNumberFormat="1" applyFont="1" applyBorder="1"/>
    <xf numFmtId="165" fontId="1" fillId="0" borderId="15" xfId="0" applyNumberFormat="1" applyFont="1" applyBorder="1" applyAlignment="1">
      <alignment horizontal="right"/>
    </xf>
    <xf numFmtId="0" fontId="1" fillId="0" borderId="20" xfId="0" applyFont="1" applyBorder="1"/>
    <xf numFmtId="3" fontId="1" fillId="0" borderId="0" xfId="0" applyNumberFormat="1" applyFont="1" applyBorder="1" applyProtection="1">
      <protection locked="0"/>
    </xf>
    <xf numFmtId="172" fontId="1" fillId="0" borderId="0" xfId="0" applyNumberFormat="1" applyFont="1" applyBorder="1"/>
    <xf numFmtId="165" fontId="1" fillId="0" borderId="21" xfId="0" applyNumberFormat="1" applyFont="1" applyBorder="1" applyAlignment="1">
      <alignment horizontal="right"/>
    </xf>
    <xf numFmtId="174" fontId="6" fillId="0" borderId="0" xfId="0" applyNumberFormat="1" applyFont="1" applyFill="1" applyBorder="1"/>
    <xf numFmtId="165" fontId="1" fillId="0" borderId="21" xfId="0" applyNumberFormat="1" applyFont="1" applyBorder="1"/>
    <xf numFmtId="172" fontId="12" fillId="0" borderId="10" xfId="0" applyNumberFormat="1" applyFont="1" applyFill="1" applyBorder="1" applyAlignment="1">
      <alignment horizontal="center"/>
    </xf>
    <xf numFmtId="172" fontId="1" fillId="0" borderId="10" xfId="0" applyNumberFormat="1" applyFont="1" applyBorder="1" applyAlignment="1">
      <alignment horizontal="center"/>
    </xf>
    <xf numFmtId="0" fontId="2" fillId="0" borderId="20" xfId="0" applyFont="1" applyBorder="1"/>
    <xf numFmtId="0" fontId="1" fillId="0" borderId="0" xfId="0" applyFont="1" applyBorder="1" applyProtection="1">
      <protection locked="0"/>
    </xf>
    <xf numFmtId="172" fontId="1" fillId="0" borderId="1" xfId="0" applyNumberFormat="1" applyFont="1" applyBorder="1"/>
    <xf numFmtId="165" fontId="1" fillId="0" borderId="19" xfId="0" applyNumberFormat="1" applyFont="1" applyBorder="1"/>
    <xf numFmtId="172" fontId="1" fillId="0" borderId="5" xfId="0" applyNumberFormat="1" applyFont="1" applyBorder="1" applyAlignment="1">
      <alignment horizontal="center"/>
    </xf>
    <xf numFmtId="0" fontId="2" fillId="0" borderId="0" xfId="0" applyFont="1" applyBorder="1"/>
    <xf numFmtId="172" fontId="2" fillId="0" borderId="0" xfId="0" applyNumberFormat="1" applyFont="1" applyBorder="1"/>
    <xf numFmtId="173" fontId="1" fillId="0" borderId="0" xfId="0" applyNumberFormat="1" applyFont="1" applyBorder="1"/>
    <xf numFmtId="0" fontId="1" fillId="0" borderId="20" xfId="0" applyFont="1" applyBorder="1" applyProtection="1">
      <protection locked="0"/>
    </xf>
    <xf numFmtId="10" fontId="12" fillId="0" borderId="0" xfId="0" applyNumberFormat="1" applyFont="1" applyBorder="1" applyAlignment="1">
      <alignment horizontal="center"/>
    </xf>
    <xf numFmtId="0" fontId="2" fillId="0" borderId="3" xfId="0" applyFont="1" applyFill="1" applyBorder="1" applyProtection="1">
      <protection locked="0"/>
    </xf>
    <xf numFmtId="165" fontId="1" fillId="0" borderId="15" xfId="0" applyNumberFormat="1" applyFont="1" applyBorder="1"/>
    <xf numFmtId="0" fontId="1" fillId="0" borderId="0" xfId="0" applyFont="1" applyBorder="1" applyAlignment="1">
      <alignment horizontal="center"/>
    </xf>
    <xf numFmtId="172" fontId="1" fillId="0" borderId="0" xfId="0" applyNumberFormat="1" applyFont="1" applyBorder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180" fontId="1" fillId="0" borderId="0" xfId="0" applyNumberFormat="1" applyFont="1" applyFill="1" applyAlignment="1">
      <alignment horizontal="center"/>
    </xf>
    <xf numFmtId="180" fontId="1" fillId="0" borderId="0" xfId="0" applyNumberFormat="1" applyFont="1" applyFill="1"/>
    <xf numFmtId="3" fontId="1" fillId="0" borderId="0" xfId="0" applyNumberFormat="1" applyFont="1" applyBorder="1" applyAlignment="1" applyProtection="1">
      <alignment horizontal="center"/>
      <protection locked="0"/>
    </xf>
    <xf numFmtId="176" fontId="1" fillId="0" borderId="0" xfId="0" applyNumberFormat="1" applyFont="1" applyBorder="1" applyAlignment="1">
      <alignment horizontal="right"/>
    </xf>
    <xf numFmtId="0" fontId="2" fillId="0" borderId="16" xfId="0" applyFont="1" applyBorder="1"/>
    <xf numFmtId="0" fontId="2" fillId="0" borderId="2" xfId="0" applyFont="1" applyBorder="1"/>
    <xf numFmtId="172" fontId="2" fillId="0" borderId="2" xfId="0" applyNumberFormat="1" applyFont="1" applyBorder="1"/>
    <xf numFmtId="3" fontId="1" fillId="0" borderId="2" xfId="0" applyNumberFormat="1" applyFont="1" applyBorder="1"/>
    <xf numFmtId="0" fontId="1" fillId="0" borderId="2" xfId="0" applyFont="1" applyBorder="1"/>
    <xf numFmtId="174" fontId="1" fillId="0" borderId="2" xfId="0" applyNumberFormat="1" applyFont="1" applyBorder="1"/>
    <xf numFmtId="165" fontId="1" fillId="0" borderId="17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/>
    <xf numFmtId="172" fontId="1" fillId="0" borderId="0" xfId="0" applyNumberFormat="1" applyFont="1"/>
    <xf numFmtId="165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/>
    <xf numFmtId="172" fontId="1" fillId="0" borderId="13" xfId="0" applyNumberFormat="1" applyFont="1" applyFill="1" applyBorder="1"/>
    <xf numFmtId="0" fontId="16" fillId="0" borderId="0" xfId="0" applyFont="1" applyFill="1"/>
    <xf numFmtId="173" fontId="1" fillId="0" borderId="0" xfId="0" applyNumberFormat="1" applyFont="1" applyAlignment="1">
      <alignment horizontal="left"/>
    </xf>
    <xf numFmtId="173" fontId="1" fillId="0" borderId="0" xfId="0" applyNumberFormat="1" applyFont="1"/>
    <xf numFmtId="17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173" fontId="1" fillId="0" borderId="0" xfId="0" applyNumberFormat="1" applyFont="1" applyAlignment="1">
      <alignment horizontal="centerContinuous"/>
    </xf>
    <xf numFmtId="173" fontId="1" fillId="0" borderId="0" xfId="0" applyNumberFormat="1" applyFont="1" applyBorder="1" applyAlignment="1">
      <alignment horizontal="centerContinuous"/>
    </xf>
    <xf numFmtId="0" fontId="1" fillId="0" borderId="0" xfId="0" applyFont="1" applyAlignment="1"/>
    <xf numFmtId="174" fontId="1" fillId="0" borderId="0" xfId="0" applyNumberFormat="1" applyFont="1" applyAlignment="1"/>
    <xf numFmtId="165" fontId="1" fillId="0" borderId="0" xfId="0" applyNumberFormat="1" applyFont="1" applyAlignment="1"/>
    <xf numFmtId="165" fontId="1" fillId="0" borderId="17" xfId="0" applyNumberFormat="1" applyFont="1" applyBorder="1" applyAlignment="1">
      <alignment horizontal="center"/>
    </xf>
    <xf numFmtId="173" fontId="1" fillId="0" borderId="0" xfId="0" applyNumberFormat="1" applyFont="1" applyBorder="1" applyAlignment="1">
      <alignment horizontal="left"/>
    </xf>
    <xf numFmtId="17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3" xfId="0" applyFont="1" applyBorder="1" applyProtection="1">
      <protection locked="0"/>
    </xf>
    <xf numFmtId="3" fontId="1" fillId="0" borderId="3" xfId="0" applyNumberFormat="1" applyFont="1" applyFill="1" applyBorder="1"/>
    <xf numFmtId="165" fontId="1" fillId="0" borderId="0" xfId="0" applyNumberFormat="1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174" fontId="1" fillId="0" borderId="0" xfId="0" applyNumberFormat="1" applyFont="1" applyBorder="1" applyAlignment="1">
      <alignment horizontal="right"/>
    </xf>
    <xf numFmtId="10" fontId="12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2" xfId="0" applyFont="1" applyBorder="1" applyProtection="1">
      <protection locked="0"/>
    </xf>
    <xf numFmtId="172" fontId="1" fillId="0" borderId="2" xfId="0" applyNumberFormat="1" applyFont="1" applyBorder="1"/>
    <xf numFmtId="165" fontId="1" fillId="0" borderId="17" xfId="0" applyNumberFormat="1" applyFont="1" applyBorder="1"/>
    <xf numFmtId="165" fontId="1" fillId="0" borderId="0" xfId="0" applyNumberFormat="1" applyFont="1" applyBorder="1"/>
    <xf numFmtId="165" fontId="1" fillId="0" borderId="21" xfId="0" applyNumberFormat="1" applyFont="1" applyBorder="1" applyAlignment="1">
      <alignment horizontal="center"/>
    </xf>
    <xf numFmtId="168" fontId="1" fillId="0" borderId="0" xfId="0" applyNumberFormat="1" applyFont="1" applyBorder="1"/>
    <xf numFmtId="172" fontId="1" fillId="0" borderId="1" xfId="0" applyNumberFormat="1" applyFont="1" applyBorder="1" applyAlignment="1">
      <alignment horizontal="right"/>
    </xf>
    <xf numFmtId="8" fontId="1" fillId="0" borderId="0" xfId="0" applyNumberFormat="1" applyFont="1" applyBorder="1"/>
    <xf numFmtId="175" fontId="1" fillId="0" borderId="0" xfId="0" applyNumberFormat="1" applyFont="1" applyAlignment="1">
      <alignment horizontal="center"/>
    </xf>
    <xf numFmtId="172" fontId="1" fillId="0" borderId="2" xfId="0" applyNumberFormat="1" applyFont="1" applyBorder="1" applyAlignment="1">
      <alignment horizontal="center"/>
    </xf>
    <xf numFmtId="179" fontId="1" fillId="0" borderId="0" xfId="0" applyNumberFormat="1" applyFont="1"/>
    <xf numFmtId="179" fontId="1" fillId="0" borderId="0" xfId="0" applyNumberFormat="1" applyFont="1" applyBorder="1"/>
    <xf numFmtId="179" fontId="1" fillId="0" borderId="0" xfId="0" applyNumberFormat="1" applyFont="1" applyAlignment="1">
      <alignment horizontal="left"/>
    </xf>
    <xf numFmtId="3" fontId="1" fillId="0" borderId="0" xfId="0" applyNumberFormat="1" applyFont="1"/>
    <xf numFmtId="166" fontId="1" fillId="0" borderId="1" xfId="0" applyNumberFormat="1" applyFont="1" applyBorder="1"/>
    <xf numFmtId="179" fontId="1" fillId="0" borderId="1" xfId="0" applyNumberFormat="1" applyFont="1" applyBorder="1"/>
    <xf numFmtId="172" fontId="1" fillId="0" borderId="13" xfId="0" applyNumberFormat="1" applyFont="1" applyBorder="1"/>
    <xf numFmtId="175" fontId="1" fillId="0" borderId="0" xfId="0" applyNumberFormat="1" applyFont="1" applyAlignment="1">
      <alignment horizontal="centerContinuous"/>
    </xf>
    <xf numFmtId="0" fontId="5" fillId="0" borderId="0" xfId="0" applyFont="1" applyBorder="1" applyAlignment="1">
      <alignment horizontal="left"/>
    </xf>
    <xf numFmtId="175" fontId="1" fillId="0" borderId="0" xfId="0" applyNumberFormat="1" applyFont="1" applyBorder="1"/>
    <xf numFmtId="173" fontId="1" fillId="0" borderId="0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175" fontId="1" fillId="0" borderId="2" xfId="0" applyNumberFormat="1" applyFont="1" applyBorder="1" applyAlignment="1">
      <alignment horizontal="center"/>
    </xf>
    <xf numFmtId="173" fontId="1" fillId="0" borderId="21" xfId="0" applyNumberFormat="1" applyFont="1" applyBorder="1" applyAlignment="1">
      <alignment horizontal="right"/>
    </xf>
    <xf numFmtId="175" fontId="1" fillId="0" borderId="3" xfId="0" applyNumberFormat="1" applyFont="1" applyBorder="1"/>
    <xf numFmtId="3" fontId="1" fillId="0" borderId="3" xfId="0" applyNumberFormat="1" applyFont="1" applyFill="1" applyBorder="1" applyProtection="1">
      <protection locked="0"/>
    </xf>
    <xf numFmtId="174" fontId="1" fillId="0" borderId="3" xfId="0" applyNumberFormat="1" applyFont="1" applyFill="1" applyBorder="1"/>
    <xf numFmtId="174" fontId="1" fillId="0" borderId="3" xfId="0" applyNumberFormat="1" applyFont="1" applyBorder="1" applyAlignment="1">
      <alignment horizontal="right"/>
    </xf>
    <xf numFmtId="10" fontId="1" fillId="0" borderId="0" xfId="0" applyNumberFormat="1" applyFont="1" applyBorder="1" applyAlignment="1">
      <alignment horizontal="center"/>
    </xf>
    <xf numFmtId="7" fontId="1" fillId="0" borderId="0" xfId="0" applyNumberFormat="1" applyFont="1"/>
    <xf numFmtId="17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5" fontId="1" fillId="0" borderId="2" xfId="0" applyNumberFormat="1" applyFont="1" applyBorder="1"/>
    <xf numFmtId="174" fontId="1" fillId="0" borderId="2" xfId="0" applyNumberFormat="1" applyFont="1" applyBorder="1" applyAlignment="1">
      <alignment horizontal="right"/>
    </xf>
    <xf numFmtId="172" fontId="1" fillId="0" borderId="3" xfId="0" applyNumberFormat="1" applyFont="1" applyFill="1" applyBorder="1"/>
    <xf numFmtId="174" fontId="1" fillId="0" borderId="3" xfId="0" applyNumberFormat="1" applyFont="1" applyFill="1" applyBorder="1" applyAlignment="1">
      <alignment horizontal="right"/>
    </xf>
    <xf numFmtId="172" fontId="1" fillId="0" borderId="3" xfId="0" applyNumberFormat="1" applyFont="1" applyFill="1" applyBorder="1" applyAlignment="1">
      <alignment horizontal="right"/>
    </xf>
    <xf numFmtId="174" fontId="3" fillId="0" borderId="0" xfId="0" applyNumberFormat="1" applyFont="1" applyBorder="1" applyAlignment="1">
      <alignment horizontal="right"/>
    </xf>
    <xf numFmtId="175" fontId="1" fillId="0" borderId="0" xfId="0" applyNumberFormat="1" applyFont="1" applyBorder="1" applyAlignment="1">
      <alignment horizontal="center"/>
    </xf>
    <xf numFmtId="10" fontId="8" fillId="0" borderId="4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72" fontId="7" fillId="0" borderId="1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10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Protection="1">
      <protection locked="0"/>
    </xf>
    <xf numFmtId="165" fontId="1" fillId="0" borderId="15" xfId="0" applyNumberFormat="1" applyFont="1" applyFill="1" applyBorder="1" applyAlignment="1">
      <alignment horizontal="right"/>
    </xf>
    <xf numFmtId="5" fontId="1" fillId="0" borderId="0" xfId="0" applyNumberFormat="1" applyFont="1" applyBorder="1"/>
    <xf numFmtId="5" fontId="1" fillId="0" borderId="1" xfId="0" applyNumberFormat="1" applyFont="1" applyBorder="1"/>
    <xf numFmtId="5" fontId="1" fillId="0" borderId="0" xfId="0" applyNumberFormat="1" applyFont="1"/>
    <xf numFmtId="41" fontId="1" fillId="0" borderId="0" xfId="0" applyNumberFormat="1" applyFont="1"/>
    <xf numFmtId="42" fontId="1" fillId="0" borderId="0" xfId="0" applyNumberFormat="1" applyFont="1"/>
    <xf numFmtId="42" fontId="7" fillId="0" borderId="0" xfId="0" applyNumberFormat="1" applyFont="1"/>
    <xf numFmtId="175" fontId="1" fillId="0" borderId="0" xfId="0" applyNumberFormat="1" applyFont="1"/>
    <xf numFmtId="0" fontId="8" fillId="0" borderId="22" xfId="0" applyFont="1" applyBorder="1"/>
    <xf numFmtId="0" fontId="1" fillId="0" borderId="23" xfId="0" applyFont="1" applyBorder="1"/>
    <xf numFmtId="164" fontId="1" fillId="0" borderId="23" xfId="0" applyNumberFormat="1" applyFont="1" applyFill="1" applyBorder="1"/>
    <xf numFmtId="172" fontId="1" fillId="0" borderId="24" xfId="0" applyNumberFormat="1" applyFont="1" applyBorder="1"/>
    <xf numFmtId="0" fontId="8" fillId="0" borderId="25" xfId="0" applyFont="1" applyBorder="1"/>
    <xf numFmtId="0" fontId="1" fillId="0" borderId="26" xfId="0" applyFont="1" applyBorder="1"/>
    <xf numFmtId="164" fontId="1" fillId="0" borderId="26" xfId="0" applyNumberFormat="1" applyFont="1" applyFill="1" applyBorder="1"/>
    <xf numFmtId="172" fontId="1" fillId="0" borderId="27" xfId="0" applyNumberFormat="1" applyFont="1" applyBorder="1"/>
    <xf numFmtId="173" fontId="1" fillId="0" borderId="0" xfId="0" applyNumberFormat="1" applyFont="1" applyAlignment="1">
      <alignment horizontal="right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/>
    <xf numFmtId="0" fontId="2" fillId="0" borderId="14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174" fontId="2" fillId="0" borderId="1" xfId="0" applyNumberFormat="1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74" fontId="2" fillId="0" borderId="2" xfId="0" applyNumberFormat="1" applyFont="1" applyFill="1" applyBorder="1" applyAlignment="1">
      <alignment horizontal="center" wrapText="1"/>
    </xf>
    <xf numFmtId="174" fontId="17" fillId="0" borderId="2" xfId="0" applyNumberFormat="1" applyFont="1" applyFill="1" applyBorder="1" applyAlignment="1">
      <alignment horizontal="center" wrapText="1"/>
    </xf>
    <xf numFmtId="174" fontId="2" fillId="0" borderId="2" xfId="0" applyNumberFormat="1" applyFont="1" applyFill="1" applyBorder="1" applyAlignment="1">
      <alignment horizontal="center" vertical="center" wrapText="1"/>
    </xf>
    <xf numFmtId="174" fontId="2" fillId="0" borderId="2" xfId="0" applyNumberFormat="1" applyFont="1" applyFill="1" applyBorder="1" applyAlignment="1">
      <alignment horizontal="center"/>
    </xf>
    <xf numFmtId="174" fontId="16" fillId="0" borderId="2" xfId="0" applyNumberFormat="1" applyFont="1" applyFill="1" applyBorder="1" applyAlignment="1">
      <alignment horizontal="center" wrapText="1"/>
    </xf>
    <xf numFmtId="174" fontId="2" fillId="0" borderId="17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74" fontId="1" fillId="0" borderId="2" xfId="0" applyNumberFormat="1" applyFont="1" applyFill="1" applyBorder="1" applyAlignment="1">
      <alignment horizontal="center" wrapText="1"/>
    </xf>
    <xf numFmtId="174" fontId="18" fillId="0" borderId="2" xfId="0" applyNumberFormat="1" applyFont="1" applyFill="1" applyBorder="1" applyAlignment="1">
      <alignment horizontal="center" wrapText="1"/>
    </xf>
    <xf numFmtId="174" fontId="1" fillId="0" borderId="17" xfId="0" applyNumberFormat="1" applyFont="1" applyFill="1" applyBorder="1" applyAlignment="1">
      <alignment horizontal="center"/>
    </xf>
    <xf numFmtId="0" fontId="2" fillId="0" borderId="14" xfId="0" applyFont="1" applyFill="1" applyBorder="1"/>
    <xf numFmtId="0" fontId="17" fillId="0" borderId="1" xfId="0" applyFont="1" applyFill="1" applyBorder="1"/>
    <xf numFmtId="3" fontId="18" fillId="0" borderId="1" xfId="0" applyNumberFormat="1" applyFont="1" applyFill="1" applyBorder="1"/>
    <xf numFmtId="172" fontId="16" fillId="0" borderId="1" xfId="0" applyNumberFormat="1" applyFont="1" applyFill="1" applyBorder="1"/>
    <xf numFmtId="174" fontId="1" fillId="0" borderId="1" xfId="0" applyNumberFormat="1" applyFont="1" applyFill="1" applyBorder="1" applyAlignment="1">
      <alignment horizontal="center"/>
    </xf>
    <xf numFmtId="172" fontId="1" fillId="0" borderId="1" xfId="0" applyNumberFormat="1" applyFont="1" applyFill="1" applyBorder="1" applyAlignment="1">
      <alignment horizontal="center"/>
    </xf>
    <xf numFmtId="172" fontId="1" fillId="0" borderId="19" xfId="0" applyNumberFormat="1" applyFont="1" applyFill="1" applyBorder="1"/>
    <xf numFmtId="0" fontId="18" fillId="0" borderId="0" xfId="0" applyFont="1" applyFill="1" applyBorder="1"/>
    <xf numFmtId="175" fontId="16" fillId="0" borderId="0" xfId="0" applyNumberFormat="1" applyFont="1" applyFill="1" applyBorder="1"/>
    <xf numFmtId="175" fontId="1" fillId="0" borderId="21" xfId="0" applyNumberFormat="1" applyFont="1" applyFill="1" applyBorder="1"/>
    <xf numFmtId="0" fontId="18" fillId="0" borderId="2" xfId="0" applyFont="1" applyFill="1" applyBorder="1"/>
    <xf numFmtId="0" fontId="1" fillId="0" borderId="2" xfId="0" applyFont="1" applyFill="1" applyBorder="1" applyAlignment="1">
      <alignment horizontal="right"/>
    </xf>
    <xf numFmtId="172" fontId="18" fillId="0" borderId="2" xfId="0" applyNumberFormat="1" applyFont="1" applyFill="1" applyBorder="1"/>
    <xf numFmtId="176" fontId="1" fillId="0" borderId="2" xfId="0" applyNumberFormat="1" applyFont="1" applyFill="1" applyBorder="1"/>
    <xf numFmtId="174" fontId="1" fillId="0" borderId="17" xfId="0" applyNumberFormat="1" applyFont="1" applyFill="1" applyBorder="1"/>
    <xf numFmtId="176" fontId="1" fillId="0" borderId="0" xfId="0" applyNumberFormat="1" applyFont="1" applyFill="1" applyBorder="1"/>
    <xf numFmtId="174" fontId="1" fillId="0" borderId="21" xfId="0" applyNumberFormat="1" applyFont="1" applyFill="1" applyBorder="1"/>
    <xf numFmtId="0" fontId="2" fillId="0" borderId="14" xfId="0" applyFont="1" applyFill="1" applyBorder="1" applyProtection="1">
      <protection locked="0"/>
    </xf>
    <xf numFmtId="0" fontId="18" fillId="0" borderId="1" xfId="0" applyFont="1" applyFill="1" applyBorder="1"/>
    <xf numFmtId="172" fontId="1" fillId="0" borderId="21" xfId="0" applyNumberFormat="1" applyFont="1" applyFill="1" applyBorder="1"/>
    <xf numFmtId="174" fontId="18" fillId="0" borderId="0" xfId="0" applyNumberFormat="1" applyFont="1" applyFill="1" applyBorder="1"/>
    <xf numFmtId="172" fontId="18" fillId="0" borderId="0" xfId="0" applyNumberFormat="1" applyFont="1" applyFill="1" applyBorder="1"/>
    <xf numFmtId="175" fontId="18" fillId="0" borderId="0" xfId="0" applyNumberFormat="1" applyFont="1" applyFill="1" applyBorder="1"/>
    <xf numFmtId="172" fontId="18" fillId="0" borderId="1" xfId="0" applyNumberFormat="1" applyFont="1" applyFill="1" applyBorder="1"/>
    <xf numFmtId="172" fontId="16" fillId="0" borderId="2" xfId="0" applyNumberFormat="1" applyFont="1" applyFill="1" applyBorder="1"/>
    <xf numFmtId="172" fontId="2" fillId="0" borderId="1" xfId="0" applyNumberFormat="1" applyFont="1" applyFill="1" applyBorder="1"/>
    <xf numFmtId="172" fontId="2" fillId="0" borderId="19" xfId="0" applyNumberFormat="1" applyFont="1" applyFill="1" applyBorder="1"/>
    <xf numFmtId="177" fontId="18" fillId="0" borderId="2" xfId="0" applyNumberFormat="1" applyFont="1" applyFill="1" applyBorder="1"/>
    <xf numFmtId="177" fontId="1" fillId="0" borderId="2" xfId="0" applyNumberFormat="1" applyFont="1" applyFill="1" applyBorder="1"/>
    <xf numFmtId="172" fontId="1" fillId="0" borderId="17" xfId="0" applyNumberFormat="1" applyFont="1" applyFill="1" applyBorder="1"/>
    <xf numFmtId="0" fontId="17" fillId="0" borderId="3" xfId="0" applyFont="1" applyFill="1" applyBorder="1" applyProtection="1">
      <protection locked="0"/>
    </xf>
    <xf numFmtId="0" fontId="18" fillId="0" borderId="3" xfId="0" applyFont="1" applyFill="1" applyBorder="1"/>
    <xf numFmtId="0" fontId="1" fillId="0" borderId="15" xfId="0" applyFont="1" applyFill="1" applyBorder="1"/>
    <xf numFmtId="0" fontId="17" fillId="0" borderId="0" xfId="0" applyFont="1" applyFill="1" applyBorder="1"/>
    <xf numFmtId="172" fontId="16" fillId="0" borderId="0" xfId="0" applyNumberFormat="1" applyFont="1" applyFill="1"/>
    <xf numFmtId="0" fontId="18" fillId="0" borderId="0" xfId="0" applyFont="1" applyFill="1" applyBorder="1" applyProtection="1">
      <protection locked="0"/>
    </xf>
    <xf numFmtId="3" fontId="18" fillId="0" borderId="0" xfId="0" applyNumberFormat="1" applyFont="1" applyFill="1" applyBorder="1"/>
    <xf numFmtId="0" fontId="17" fillId="0" borderId="2" xfId="0" applyFont="1" applyFill="1" applyBorder="1"/>
    <xf numFmtId="0" fontId="1" fillId="0" borderId="18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1" xfId="0" applyFont="1" applyFill="1" applyBorder="1"/>
    <xf numFmtId="0" fontId="1" fillId="0" borderId="17" xfId="0" applyFont="1" applyFill="1" applyBorder="1"/>
    <xf numFmtId="172" fontId="2" fillId="0" borderId="21" xfId="0" applyNumberFormat="1" applyFont="1" applyFill="1" applyBorder="1"/>
    <xf numFmtId="172" fontId="18" fillId="0" borderId="1" xfId="0" applyNumberFormat="1" applyFont="1" applyFill="1" applyBorder="1" applyAlignment="1">
      <alignment horizontal="right"/>
    </xf>
    <xf numFmtId="175" fontId="1" fillId="0" borderId="3" xfId="0" applyNumberFormat="1" applyFont="1" applyFill="1" applyBorder="1"/>
    <xf numFmtId="172" fontId="18" fillId="0" borderId="0" xfId="0" applyNumberFormat="1" applyFont="1" applyFill="1" applyBorder="1" applyAlignment="1">
      <alignment horizontal="right"/>
    </xf>
    <xf numFmtId="3" fontId="18" fillId="0" borderId="2" xfId="0" applyNumberFormat="1" applyFont="1" applyFill="1" applyBorder="1"/>
    <xf numFmtId="0" fontId="2" fillId="0" borderId="20" xfId="0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172" fontId="2" fillId="0" borderId="21" xfId="0" applyNumberFormat="1" applyFont="1" applyFill="1" applyBorder="1" applyAlignment="1">
      <alignment horizontal="right"/>
    </xf>
    <xf numFmtId="174" fontId="8" fillId="0" borderId="0" xfId="0" applyNumberFormat="1" applyFont="1" applyFill="1" applyBorder="1" applyAlignment="1">
      <alignment horizontal="right"/>
    </xf>
    <xf numFmtId="10" fontId="8" fillId="0" borderId="0" xfId="0" applyNumberFormat="1" applyFont="1" applyFill="1"/>
    <xf numFmtId="10" fontId="16" fillId="0" borderId="0" xfId="0" applyNumberFormat="1" applyFont="1" applyFill="1"/>
    <xf numFmtId="10" fontId="8" fillId="0" borderId="2" xfId="0" applyNumberFormat="1" applyFont="1" applyFill="1" applyBorder="1"/>
    <xf numFmtId="10" fontId="16" fillId="0" borderId="2" xfId="0" applyNumberFormat="1" applyFont="1" applyFill="1" applyBorder="1"/>
    <xf numFmtId="181" fontId="8" fillId="0" borderId="0" xfId="0" applyNumberFormat="1" applyFont="1" applyFill="1"/>
    <xf numFmtId="181" fontId="16" fillId="0" borderId="0" xfId="0" applyNumberFormat="1" applyFont="1" applyFill="1"/>
    <xf numFmtId="172" fontId="16" fillId="0" borderId="0" xfId="0" applyNumberFormat="1" applyFont="1" applyFill="1" applyBorder="1" applyAlignment="1">
      <alignment horizontal="right"/>
    </xf>
    <xf numFmtId="181" fontId="6" fillId="0" borderId="0" xfId="0" applyNumberFormat="1" applyFont="1" applyFill="1"/>
    <xf numFmtId="0" fontId="2" fillId="0" borderId="18" xfId="0" applyFont="1" applyFill="1" applyBorder="1"/>
    <xf numFmtId="0" fontId="17" fillId="0" borderId="3" xfId="0" applyFont="1" applyFill="1" applyBorder="1"/>
    <xf numFmtId="172" fontId="18" fillId="0" borderId="3" xfId="0" applyNumberFormat="1" applyFont="1" applyFill="1" applyBorder="1"/>
    <xf numFmtId="172" fontId="16" fillId="0" borderId="3" xfId="0" applyNumberFormat="1" applyFont="1" applyFill="1" applyBorder="1"/>
    <xf numFmtId="0" fontId="17" fillId="0" borderId="0" xfId="0" applyFont="1" applyFill="1"/>
    <xf numFmtId="166" fontId="18" fillId="0" borderId="0" xfId="0" applyNumberFormat="1" applyFont="1" applyFill="1" applyBorder="1"/>
    <xf numFmtId="174" fontId="18" fillId="0" borderId="0" xfId="0" applyNumberFormat="1" applyFont="1" applyFill="1"/>
    <xf numFmtId="164" fontId="18" fillId="0" borderId="0" xfId="0" applyNumberFormat="1" applyFont="1" applyFill="1" applyBorder="1"/>
    <xf numFmtId="166" fontId="18" fillId="0" borderId="1" xfId="0" applyNumberFormat="1" applyFont="1" applyFill="1" applyBorder="1"/>
    <xf numFmtId="164" fontId="18" fillId="0" borderId="1" xfId="0" applyNumberFormat="1" applyFont="1" applyFill="1" applyBorder="1"/>
    <xf numFmtId="166" fontId="18" fillId="0" borderId="0" xfId="0" applyNumberFormat="1" applyFont="1" applyFill="1"/>
    <xf numFmtId="164" fontId="18" fillId="0" borderId="0" xfId="0" applyNumberFormat="1" applyFont="1" applyFill="1"/>
    <xf numFmtId="164" fontId="17" fillId="0" borderId="0" xfId="0" applyNumberFormat="1" applyFont="1" applyFill="1"/>
    <xf numFmtId="164" fontId="19" fillId="0" borderId="0" xfId="0" applyNumberFormat="1" applyFont="1" applyFill="1"/>
    <xf numFmtId="164" fontId="20" fillId="0" borderId="0" xfId="0" applyNumberFormat="1" applyFont="1" applyFill="1"/>
    <xf numFmtId="164" fontId="20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Fill="1"/>
    <xf numFmtId="3" fontId="6" fillId="0" borderId="2" xfId="0" applyNumberFormat="1" applyFont="1" applyFill="1" applyBorder="1"/>
    <xf numFmtId="0" fontId="1" fillId="0" borderId="0" xfId="0" quotePrefix="1" applyFont="1" applyFill="1" applyAlignment="1">
      <alignment vertical="top"/>
    </xf>
    <xf numFmtId="0" fontId="21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Fill="1" applyBorder="1" applyAlignment="1">
      <alignment horizontal="centerContinuous"/>
    </xf>
    <xf numFmtId="0" fontId="23" fillId="0" borderId="0" xfId="0" applyFont="1"/>
    <xf numFmtId="0" fontId="24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3" fillId="0" borderId="0" xfId="0" applyFont="1" applyFill="1" applyBorder="1" applyAlignment="1">
      <alignment horizontal="centerContinuous"/>
    </xf>
    <xf numFmtId="7" fontId="23" fillId="0" borderId="0" xfId="0" applyNumberFormat="1" applyFont="1"/>
    <xf numFmtId="37" fontId="23" fillId="0" borderId="0" xfId="0" applyNumberFormat="1" applyFont="1"/>
    <xf numFmtId="37" fontId="23" fillId="0" borderId="0" xfId="0" applyNumberFormat="1" applyFont="1" applyFill="1"/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37" fontId="23" fillId="0" borderId="0" xfId="0" applyNumberFormat="1" applyFont="1" applyAlignment="1">
      <alignment horizontal="center" vertical="center"/>
    </xf>
    <xf numFmtId="37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5" fillId="0" borderId="0" xfId="0" applyFont="1" applyFill="1" applyAlignment="1">
      <alignment horizontal="center"/>
    </xf>
    <xf numFmtId="37" fontId="24" fillId="0" borderId="0" xfId="0" applyNumberFormat="1" applyFont="1" applyBorder="1" applyAlignment="1">
      <alignment horizontal="center" vertical="center"/>
    </xf>
    <xf numFmtId="9" fontId="30" fillId="0" borderId="0" xfId="0" applyNumberFormat="1" applyFont="1"/>
    <xf numFmtId="0" fontId="23" fillId="0" borderId="0" xfId="0" applyFont="1" applyBorder="1"/>
    <xf numFmtId="0" fontId="23" fillId="0" borderId="0" xfId="0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7" fontId="23" fillId="0" borderId="0" xfId="0" applyNumberFormat="1" applyFont="1" applyAlignment="1">
      <alignment horizontal="center" vertical="center"/>
    </xf>
    <xf numFmtId="37" fontId="24" fillId="0" borderId="0" xfId="0" applyNumberFormat="1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37" fontId="23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7" fontId="24" fillId="0" borderId="0" xfId="0" applyNumberFormat="1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7" fontId="23" fillId="0" borderId="2" xfId="0" applyNumberFormat="1" applyFont="1" applyBorder="1" applyAlignment="1">
      <alignment horizontal="center" vertical="center"/>
    </xf>
    <xf numFmtId="37" fontId="23" fillId="0" borderId="2" xfId="0" applyNumberFormat="1" applyFont="1" applyFill="1" applyBorder="1" applyAlignment="1">
      <alignment horizontal="center" vertical="center"/>
    </xf>
    <xf numFmtId="37" fontId="23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7" fontId="23" fillId="0" borderId="0" xfId="0" applyNumberFormat="1" applyFont="1" applyBorder="1" applyAlignment="1">
      <alignment horizontal="center" vertical="center" wrapText="1"/>
    </xf>
    <xf numFmtId="37" fontId="23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0" xfId="0" applyFont="1" applyFill="1" applyAlignment="1">
      <alignment horizontal="left" vertical="center"/>
    </xf>
    <xf numFmtId="9" fontId="28" fillId="0" borderId="0" xfId="0" applyNumberFormat="1" applyFont="1"/>
    <xf numFmtId="9" fontId="28" fillId="0" borderId="0" xfId="0" applyNumberFormat="1" applyFont="1" applyBorder="1"/>
    <xf numFmtId="166" fontId="29" fillId="0" borderId="0" xfId="0" applyNumberFormat="1" applyFont="1"/>
    <xf numFmtId="9" fontId="23" fillId="0" borderId="0" xfId="0" applyNumberFormat="1" applyFont="1"/>
    <xf numFmtId="9" fontId="30" fillId="0" borderId="0" xfId="0" applyNumberFormat="1" applyFont="1"/>
    <xf numFmtId="44" fontId="30" fillId="0" borderId="0" xfId="0" applyNumberFormat="1" applyFont="1" applyFill="1"/>
    <xf numFmtId="182" fontId="30" fillId="0" borderId="0" xfId="0" applyNumberFormat="1" applyFont="1" applyFill="1"/>
    <xf numFmtId="9" fontId="30" fillId="0" borderId="0" xfId="0" applyNumberFormat="1" applyFont="1" applyBorder="1"/>
    <xf numFmtId="164" fontId="23" fillId="0" borderId="0" xfId="0" applyNumberFormat="1" applyFont="1"/>
    <xf numFmtId="164" fontId="23" fillId="0" borderId="0" xfId="0" applyNumberFormat="1" applyFont="1" applyFill="1"/>
    <xf numFmtId="44" fontId="23" fillId="0" borderId="0" xfId="0" applyNumberFormat="1" applyFont="1"/>
    <xf numFmtId="182" fontId="23" fillId="0" borderId="0" xfId="0" applyNumberFormat="1" applyFont="1"/>
    <xf numFmtId="9" fontId="23" fillId="0" borderId="0" xfId="0" applyNumberFormat="1" applyFont="1" applyBorder="1"/>
    <xf numFmtId="9" fontId="23" fillId="0" borderId="0" xfId="0" applyNumberFormat="1" applyFont="1"/>
    <xf numFmtId="9" fontId="23" fillId="0" borderId="0" xfId="0" applyNumberFormat="1" applyFont="1" applyBorder="1"/>
    <xf numFmtId="43" fontId="23" fillId="0" borderId="0" xfId="0" applyNumberFormat="1" applyFont="1"/>
    <xf numFmtId="0" fontId="23" fillId="0" borderId="0" xfId="0" applyFont="1" applyFill="1"/>
    <xf numFmtId="166" fontId="23" fillId="0" borderId="0" xfId="0" applyNumberFormat="1" applyFont="1"/>
    <xf numFmtId="9" fontId="23" fillId="0" borderId="0" xfId="0" applyNumberFormat="1" applyFont="1"/>
    <xf numFmtId="37" fontId="24" fillId="0" borderId="2" xfId="0" applyNumberFormat="1" applyFont="1" applyBorder="1"/>
    <xf numFmtId="37" fontId="23" fillId="0" borderId="2" xfId="0" applyNumberFormat="1" applyFont="1" applyFill="1" applyBorder="1"/>
    <xf numFmtId="0" fontId="23" fillId="0" borderId="2" xfId="0" applyFont="1" applyBorder="1"/>
    <xf numFmtId="164" fontId="24" fillId="0" borderId="2" xfId="0" applyNumberFormat="1" applyFont="1" applyBorder="1"/>
    <xf numFmtId="164" fontId="24" fillId="0" borderId="2" xfId="0" applyNumberFormat="1" applyFont="1" applyFill="1" applyBorder="1"/>
    <xf numFmtId="37" fontId="24" fillId="0" borderId="0" xfId="0" applyNumberFormat="1" applyFont="1"/>
    <xf numFmtId="164" fontId="24" fillId="0" borderId="0" xfId="0" applyNumberFormat="1" applyFont="1" applyFill="1"/>
    <xf numFmtId="0" fontId="23" fillId="0" borderId="0" xfId="0" applyFont="1" applyAlignment="1">
      <alignment horizontal="center" wrapText="1"/>
    </xf>
    <xf numFmtId="166" fontId="29" fillId="0" borderId="0" xfId="0" applyNumberFormat="1" applyFont="1" applyFill="1"/>
    <xf numFmtId="168" fontId="30" fillId="0" borderId="0" xfId="0" applyNumberFormat="1" applyFont="1" applyFill="1"/>
    <xf numFmtId="168" fontId="23" fillId="0" borderId="0" xfId="0" applyNumberFormat="1" applyFont="1"/>
    <xf numFmtId="164" fontId="24" fillId="0" borderId="0" xfId="0" applyNumberFormat="1" applyFont="1"/>
    <xf numFmtId="164" fontId="23" fillId="0" borderId="0" xfId="0" applyNumberFormat="1" applyFont="1"/>
    <xf numFmtId="164" fontId="23" fillId="0" borderId="0" xfId="0" applyNumberFormat="1" applyFont="1" applyFill="1"/>
    <xf numFmtId="37" fontId="24" fillId="0" borderId="18" xfId="0" applyNumberFormat="1" applyFont="1" applyBorder="1"/>
    <xf numFmtId="37" fontId="23" fillId="0" borderId="3" xfId="0" applyNumberFormat="1" applyFont="1" applyFill="1" applyBorder="1"/>
    <xf numFmtId="0" fontId="23" fillId="0" borderId="3" xfId="0" applyFont="1" applyBorder="1"/>
    <xf numFmtId="0" fontId="23" fillId="0" borderId="3" xfId="0" applyFont="1" applyFill="1" applyBorder="1"/>
    <xf numFmtId="164" fontId="24" fillId="0" borderId="3" xfId="0" applyNumberFormat="1" applyFont="1" applyFill="1" applyBorder="1"/>
    <xf numFmtId="164" fontId="24" fillId="0" borderId="15" xfId="0" applyNumberFormat="1" applyFont="1" applyFill="1" applyBorder="1"/>
    <xf numFmtId="43" fontId="32" fillId="0" borderId="0" xfId="0" applyNumberFormat="1" applyFont="1" applyFill="1"/>
    <xf numFmtId="43" fontId="25" fillId="0" borderId="0" xfId="0" applyNumberFormat="1" applyFont="1" applyFill="1"/>
    <xf numFmtId="0" fontId="26" fillId="0" borderId="0" xfId="0" quotePrefix="1" applyFont="1" applyFill="1" applyAlignment="1">
      <alignment horizontal="center" vertical="top"/>
    </xf>
    <xf numFmtId="0" fontId="23" fillId="0" borderId="0" xfId="0" quotePrefix="1" applyFont="1" applyFill="1" applyAlignment="1">
      <alignment horizontal="left"/>
    </xf>
    <xf numFmtId="0" fontId="23" fillId="0" borderId="0" xfId="0" applyFont="1" applyFill="1" applyBorder="1"/>
    <xf numFmtId="0" fontId="3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4" fillId="0" borderId="2" xfId="0" quotePrefix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37" fillId="0" borderId="0" xfId="0" applyNumberFormat="1" applyFont="1"/>
    <xf numFmtId="168" fontId="0" fillId="0" borderId="0" xfId="0" applyNumberFormat="1"/>
    <xf numFmtId="42" fontId="0" fillId="0" borderId="0" xfId="0" applyNumberFormat="1"/>
    <xf numFmtId="42" fontId="33" fillId="0" borderId="0" xfId="0" applyNumberFormat="1" applyFont="1"/>
    <xf numFmtId="10" fontId="0" fillId="0" borderId="0" xfId="0" applyNumberFormat="1" applyFont="1"/>
    <xf numFmtId="42" fontId="34" fillId="0" borderId="0" xfId="0" applyNumberFormat="1" applyFont="1"/>
    <xf numFmtId="168" fontId="0" fillId="0" borderId="2" xfId="0" applyNumberFormat="1" applyBorder="1"/>
    <xf numFmtId="3" fontId="0" fillId="0" borderId="1" xfId="0" applyNumberFormat="1" applyBorder="1"/>
    <xf numFmtId="42" fontId="0" fillId="0" borderId="1" xfId="0" applyNumberFormat="1" applyBorder="1"/>
    <xf numFmtId="42" fontId="33" fillId="0" borderId="1" xfId="0" applyNumberFormat="1" applyFont="1" applyBorder="1"/>
    <xf numFmtId="10" fontId="0" fillId="0" borderId="1" xfId="0" applyNumberFormat="1" applyFont="1" applyBorder="1"/>
    <xf numFmtId="3" fontId="0" fillId="0" borderId="0" xfId="0" applyNumberFormat="1"/>
    <xf numFmtId="10" fontId="0" fillId="0" borderId="0" xfId="0" applyNumberFormat="1"/>
    <xf numFmtId="0" fontId="38" fillId="0" borderId="0" xfId="0" applyFont="1" applyBorder="1" applyAlignment="1">
      <alignment horizontal="left"/>
    </xf>
    <xf numFmtId="0" fontId="39" fillId="0" borderId="0" xfId="0" applyFont="1" applyAlignment="1">
      <alignment horizontal="left"/>
    </xf>
    <xf numFmtId="3" fontId="40" fillId="0" borderId="0" xfId="0" applyNumberFormat="1" applyFont="1" applyBorder="1"/>
    <xf numFmtId="42" fontId="40" fillId="0" borderId="0" xfId="0" applyNumberFormat="1" applyFont="1" applyBorder="1"/>
    <xf numFmtId="0" fontId="40" fillId="0" borderId="0" xfId="0" applyFont="1"/>
    <xf numFmtId="42" fontId="40" fillId="0" borderId="0" xfId="0" applyNumberFormat="1" applyFont="1"/>
    <xf numFmtId="10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66" fontId="40" fillId="0" borderId="0" xfId="0" applyNumberFormat="1" applyFont="1" applyFill="1"/>
    <xf numFmtId="164" fontId="40" fillId="0" borderId="0" xfId="0" applyNumberFormat="1" applyFont="1" applyFill="1"/>
    <xf numFmtId="0" fontId="40" fillId="0" borderId="0" xfId="0" applyFont="1" applyFill="1" applyBorder="1" applyAlignment="1">
      <alignment horizontal="left" vertical="center" textRotation="180"/>
    </xf>
    <xf numFmtId="0" fontId="40" fillId="0" borderId="0" xfId="0" applyFont="1" applyFill="1" applyBorder="1" applyAlignment="1">
      <alignment horizontal="left"/>
    </xf>
    <xf numFmtId="0" fontId="40" fillId="0" borderId="0" xfId="0" applyFont="1" applyBorder="1" applyAlignment="1">
      <alignment horizontal="left"/>
    </xf>
    <xf numFmtId="166" fontId="40" fillId="0" borderId="1" xfId="0" applyNumberFormat="1" applyFont="1" applyFill="1" applyBorder="1"/>
    <xf numFmtId="164" fontId="40" fillId="0" borderId="1" xfId="0" applyNumberFormat="1" applyFont="1" applyFill="1" applyBorder="1"/>
    <xf numFmtId="168" fontId="0" fillId="0" borderId="1" xfId="0" applyNumberFormat="1" applyBorder="1"/>
    <xf numFmtId="0" fontId="40" fillId="0" borderId="0" xfId="0" applyFont="1" applyFill="1"/>
    <xf numFmtId="0" fontId="40" fillId="0" borderId="0" xfId="0" applyFont="1" applyBorder="1"/>
    <xf numFmtId="44" fontId="40" fillId="0" borderId="0" xfId="0" applyNumberFormat="1" applyFont="1"/>
    <xf numFmtId="0" fontId="33" fillId="0" borderId="0" xfId="0" applyFont="1" applyFill="1" applyAlignment="1">
      <alignment horizontal="centerContinuous"/>
    </xf>
    <xf numFmtId="0" fontId="33" fillId="0" borderId="0" xfId="0" applyFont="1"/>
    <xf numFmtId="0" fontId="33" fillId="0" borderId="0" xfId="0" applyFont="1" applyBorder="1"/>
    <xf numFmtId="0" fontId="33" fillId="0" borderId="0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0" xfId="0" applyFont="1" applyBorder="1" applyAlignment="1">
      <alignment horizontal="left"/>
    </xf>
    <xf numFmtId="0" fontId="33" fillId="0" borderId="2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42" fillId="0" borderId="0" xfId="0" applyFont="1"/>
    <xf numFmtId="183" fontId="33" fillId="0" borderId="0" xfId="0" applyNumberFormat="1" applyFont="1"/>
    <xf numFmtId="0" fontId="42" fillId="0" borderId="0" xfId="0" applyFont="1" applyBorder="1"/>
    <xf numFmtId="44" fontId="42" fillId="0" borderId="0" xfId="0" applyNumberFormat="1" applyFont="1" applyBorder="1"/>
    <xf numFmtId="44" fontId="33" fillId="0" borderId="0" xfId="0" applyNumberFormat="1" applyFont="1"/>
    <xf numFmtId="44" fontId="33" fillId="0" borderId="1" xfId="0" applyNumberFormat="1" applyFont="1" applyBorder="1"/>
    <xf numFmtId="44" fontId="42" fillId="0" borderId="0" xfId="0" applyNumberFormat="1" applyFont="1"/>
    <xf numFmtId="167" fontId="37" fillId="0" borderId="0" xfId="0" applyNumberFormat="1" applyFont="1"/>
    <xf numFmtId="167" fontId="42" fillId="0" borderId="0" xfId="0" applyNumberFormat="1" applyFont="1" applyBorder="1"/>
    <xf numFmtId="167" fontId="33" fillId="0" borderId="0" xfId="0" applyNumberFormat="1" applyFont="1"/>
    <xf numFmtId="167" fontId="37" fillId="0" borderId="0" xfId="0" applyNumberFormat="1" applyFont="1" applyFill="1"/>
    <xf numFmtId="167" fontId="0" fillId="0" borderId="0" xfId="0" applyNumberFormat="1" applyFont="1"/>
    <xf numFmtId="167" fontId="33" fillId="0" borderId="1" xfId="0" applyNumberFormat="1" applyFont="1" applyBorder="1"/>
    <xf numFmtId="167" fontId="0" fillId="0" borderId="0" xfId="0" applyNumberFormat="1" applyFont="1" applyFill="1"/>
    <xf numFmtId="183" fontId="33" fillId="0" borderId="1" xfId="0" applyNumberFormat="1" applyFont="1" applyBorder="1"/>
    <xf numFmtId="167" fontId="33" fillId="0" borderId="0" xfId="0" applyNumberFormat="1" applyFont="1" applyBorder="1"/>
    <xf numFmtId="44" fontId="33" fillId="0" borderId="0" xfId="0" applyNumberFormat="1" applyFont="1" applyBorder="1"/>
    <xf numFmtId="165" fontId="33" fillId="0" borderId="0" xfId="0" applyNumberFormat="1" applyFont="1"/>
    <xf numFmtId="165" fontId="33" fillId="0" borderId="0" xfId="0" applyNumberFormat="1" applyFont="1" applyBorder="1"/>
    <xf numFmtId="10" fontId="33" fillId="0" borderId="0" xfId="0" applyNumberFormat="1" applyFont="1"/>
    <xf numFmtId="0" fontId="33" fillId="0" borderId="0" xfId="0" applyFont="1" applyFill="1" applyAlignment="1"/>
    <xf numFmtId="0" fontId="33" fillId="0" borderId="0" xfId="0" applyFont="1" applyAlignment="1"/>
    <xf numFmtId="0" fontId="0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2" xfId="0" applyFont="1" applyFill="1" applyBorder="1" applyAlignment="1">
      <alignment horizontal="center"/>
    </xf>
    <xf numFmtId="168" fontId="34" fillId="0" borderId="0" xfId="0" applyNumberFormat="1" applyFont="1"/>
    <xf numFmtId="168" fontId="37" fillId="0" borderId="0" xfId="0" applyNumberFormat="1" applyFont="1"/>
    <xf numFmtId="164" fontId="0" fillId="0" borderId="0" xfId="0" applyNumberFormat="1" applyFont="1"/>
    <xf numFmtId="164" fontId="33" fillId="0" borderId="0" xfId="0" applyNumberFormat="1" applyFont="1"/>
    <xf numFmtId="3" fontId="33" fillId="0" borderId="0" xfId="0" applyNumberFormat="1" applyFont="1"/>
    <xf numFmtId="168" fontId="34" fillId="0" borderId="0" xfId="0" applyNumberFormat="1" applyFont="1" applyBorder="1"/>
    <xf numFmtId="168" fontId="37" fillId="0" borderId="0" xfId="0" applyNumberFormat="1" applyFont="1" applyBorder="1"/>
    <xf numFmtId="3" fontId="33" fillId="0" borderId="1" xfId="0" applyNumberFormat="1" applyFont="1" applyFill="1" applyBorder="1"/>
    <xf numFmtId="164" fontId="0" fillId="0" borderId="1" xfId="0" applyNumberFormat="1" applyFont="1" applyBorder="1"/>
    <xf numFmtId="3" fontId="33" fillId="0" borderId="0" xfId="0" applyNumberFormat="1" applyFont="1" applyFill="1"/>
    <xf numFmtId="8" fontId="33" fillId="0" borderId="0" xfId="0" applyNumberFormat="1" applyFont="1"/>
    <xf numFmtId="168" fontId="34" fillId="0" borderId="0" xfId="0" applyNumberFormat="1" applyFont="1" applyFill="1"/>
    <xf numFmtId="3" fontId="33" fillId="0" borderId="2" xfId="0" applyNumberFormat="1" applyFont="1" applyBorder="1"/>
    <xf numFmtId="168" fontId="34" fillId="0" borderId="2" xfId="0" applyNumberFormat="1" applyFont="1" applyFill="1" applyBorder="1"/>
    <xf numFmtId="164" fontId="0" fillId="0" borderId="2" xfId="0" applyNumberFormat="1" applyFont="1" applyBorder="1"/>
    <xf numFmtId="164" fontId="0" fillId="0" borderId="0" xfId="0" applyNumberFormat="1" applyFont="1" applyBorder="1"/>
    <xf numFmtId="3" fontId="33" fillId="0" borderId="1" xfId="0" applyNumberFormat="1" applyFont="1" applyBorder="1"/>
    <xf numFmtId="0" fontId="33" fillId="0" borderId="0" xfId="0" applyFont="1" applyFill="1" applyBorder="1"/>
    <xf numFmtId="164" fontId="33" fillId="0" borderId="0" xfId="0" applyNumberFormat="1" applyFont="1" applyBorder="1"/>
    <xf numFmtId="0" fontId="33" fillId="0" borderId="0" xfId="0" applyFont="1" applyFill="1"/>
    <xf numFmtId="0" fontId="33" fillId="0" borderId="0" xfId="0" quotePrefix="1" applyFont="1" applyAlignment="1">
      <alignment vertical="top"/>
    </xf>
    <xf numFmtId="0" fontId="43" fillId="0" borderId="0" xfId="0" applyFont="1"/>
    <xf numFmtId="0" fontId="43" fillId="0" borderId="0" xfId="0" applyFont="1" applyFill="1"/>
    <xf numFmtId="41" fontId="33" fillId="0" borderId="0" xfId="0" quotePrefix="1" applyNumberFormat="1" applyFont="1" applyAlignment="1">
      <alignment horizontal="right"/>
    </xf>
    <xf numFmtId="0" fontId="33" fillId="0" borderId="0" xfId="0" applyFont="1" applyFill="1" applyBorder="1" applyAlignment="1">
      <alignment horizontal="left"/>
    </xf>
    <xf numFmtId="3" fontId="33" fillId="0" borderId="0" xfId="0" applyNumberFormat="1" applyFont="1" applyFill="1" applyBorder="1"/>
    <xf numFmtId="3" fontId="34" fillId="0" borderId="0" xfId="0" applyNumberFormat="1" applyFont="1"/>
    <xf numFmtId="44" fontId="34" fillId="0" borderId="0" xfId="0" applyNumberFormat="1" applyFont="1"/>
    <xf numFmtId="167" fontId="34" fillId="0" borderId="0" xfId="0" applyNumberFormat="1" applyFont="1"/>
    <xf numFmtId="167" fontId="34" fillId="0" borderId="0" xfId="0" applyNumberFormat="1" applyFont="1" applyFill="1"/>
    <xf numFmtId="0" fontId="34" fillId="0" borderId="2" xfId="0" applyFont="1" applyFill="1" applyBorder="1" applyAlignment="1">
      <alignment horizontal="center"/>
    </xf>
    <xf numFmtId="3" fontId="34" fillId="0" borderId="0" xfId="0" applyNumberFormat="1" applyFont="1" applyFill="1"/>
    <xf numFmtId="3" fontId="34" fillId="0" borderId="0" xfId="0" quotePrefix="1" applyNumberFormat="1" applyFont="1" applyFill="1"/>
    <xf numFmtId="0" fontId="1" fillId="0" borderId="0" xfId="0" applyFont="1" applyFill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174" fontId="1" fillId="0" borderId="3" xfId="0" applyNumberFormat="1" applyFont="1" applyBorder="1" applyAlignment="1">
      <alignment horizontal="center"/>
    </xf>
    <xf numFmtId="174" fontId="1" fillId="0" borderId="15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8080"/>
      <color rgb="FFFFCCFF"/>
      <color rgb="FF0099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2"/>
  <sheetViews>
    <sheetView tabSelected="1" zoomScale="90" zoomScaleNormal="90" workbookViewId="0">
      <pane ySplit="8" topLeftCell="A9" activePane="bottomLeft" state="frozen"/>
      <selection pane="bottomLeft" activeCell="M10" sqref="M10"/>
    </sheetView>
  </sheetViews>
  <sheetFormatPr defaultColWidth="8.85546875" defaultRowHeight="12.75" x14ac:dyDescent="0.2"/>
  <cols>
    <col min="1" max="1" width="2.5703125" style="48" customWidth="1"/>
    <col min="2" max="2" width="4.5703125" style="48" customWidth="1"/>
    <col min="3" max="3" width="2.85546875" style="48" customWidth="1"/>
    <col min="4" max="4" width="26.7109375" style="48" customWidth="1"/>
    <col min="5" max="5" width="8.85546875" style="48" customWidth="1"/>
    <col min="6" max="6" width="13.5703125" style="48" bestFit="1" customWidth="1"/>
    <col min="7" max="7" width="15.42578125" style="48" bestFit="1" customWidth="1"/>
    <col min="8" max="8" width="8" style="48" bestFit="1" customWidth="1"/>
    <col min="9" max="9" width="13.28515625" style="48" customWidth="1"/>
    <col min="10" max="10" width="12.5703125" style="48" customWidth="1"/>
    <col min="11" max="11" width="13.42578125" style="48" customWidth="1"/>
    <col min="12" max="12" width="15.28515625" style="48" bestFit="1" customWidth="1"/>
    <col min="13" max="13" width="10" style="48" customWidth="1"/>
    <col min="14" max="14" width="14.5703125" style="48" customWidth="1"/>
    <col min="15" max="15" width="10.5703125" style="48" customWidth="1"/>
    <col min="16" max="16384" width="8.85546875" style="48"/>
  </cols>
  <sheetData>
    <row r="1" spans="2:15" ht="15" customHeight="1" x14ac:dyDescent="0.2">
      <c r="B1" s="148" t="s">
        <v>12</v>
      </c>
      <c r="C1" s="148"/>
      <c r="D1" s="148"/>
      <c r="E1" s="148"/>
      <c r="F1" s="148"/>
      <c r="G1" s="148"/>
      <c r="H1" s="148"/>
      <c r="I1" s="148"/>
      <c r="J1" s="148"/>
      <c r="K1" s="148"/>
      <c r="L1" s="38"/>
    </row>
    <row r="2" spans="2:15" s="47" customFormat="1" ht="15" customHeight="1" x14ac:dyDescent="0.2">
      <c r="B2" s="148" t="s">
        <v>178</v>
      </c>
      <c r="C2" s="148"/>
      <c r="D2" s="148"/>
      <c r="E2" s="148"/>
      <c r="F2" s="148"/>
      <c r="G2" s="148"/>
      <c r="H2" s="148"/>
      <c r="I2" s="156"/>
      <c r="J2" s="156"/>
      <c r="K2" s="156"/>
      <c r="L2" s="64"/>
    </row>
    <row r="3" spans="2:15" s="47" customFormat="1" ht="15" customHeight="1" x14ac:dyDescent="0.2">
      <c r="B3" s="64" t="s">
        <v>174</v>
      </c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2:15" s="47" customFormat="1" ht="15" customHeight="1" x14ac:dyDescent="0.2">
      <c r="B4" s="64" t="s">
        <v>175</v>
      </c>
      <c r="C4" s="64"/>
      <c r="D4" s="64"/>
      <c r="E4" s="64"/>
      <c r="F4" s="64"/>
      <c r="G4" s="64"/>
      <c r="H4" s="64"/>
      <c r="I4" s="74"/>
      <c r="J4" s="74"/>
      <c r="K4" s="74"/>
      <c r="L4" s="64"/>
    </row>
    <row r="5" spans="2:15" s="47" customFormat="1" x14ac:dyDescent="0.2">
      <c r="J5" s="155"/>
    </row>
    <row r="6" spans="2:15" s="47" customFormat="1" x14ac:dyDescent="0.2">
      <c r="F6" s="157">
        <v>2022</v>
      </c>
      <c r="G6" s="49">
        <f>+F6</f>
        <v>2022</v>
      </c>
      <c r="H6" s="155"/>
      <c r="I6" s="155" t="s">
        <v>38</v>
      </c>
      <c r="J6" s="155" t="s">
        <v>26</v>
      </c>
      <c r="K6" s="155"/>
    </row>
    <row r="7" spans="2:15" s="47" customFormat="1" x14ac:dyDescent="0.2">
      <c r="E7" s="155" t="s">
        <v>11</v>
      </c>
      <c r="F7" s="155" t="s">
        <v>10</v>
      </c>
      <c r="G7" s="49" t="s">
        <v>37</v>
      </c>
      <c r="H7" s="155" t="s">
        <v>9</v>
      </c>
      <c r="I7" s="155" t="s">
        <v>6</v>
      </c>
      <c r="J7" s="155" t="s">
        <v>177</v>
      </c>
      <c r="K7" s="155" t="s">
        <v>27</v>
      </c>
    </row>
    <row r="8" spans="2:15" s="47" customFormat="1" ht="14.25" x14ac:dyDescent="0.2">
      <c r="B8" s="83" t="s">
        <v>36</v>
      </c>
      <c r="C8" s="5" t="s">
        <v>25</v>
      </c>
      <c r="D8" s="5"/>
      <c r="E8" s="22" t="s">
        <v>7</v>
      </c>
      <c r="F8" s="22" t="s">
        <v>65</v>
      </c>
      <c r="G8" s="22" t="s">
        <v>66</v>
      </c>
      <c r="H8" s="22" t="s">
        <v>35</v>
      </c>
      <c r="I8" s="22" t="s">
        <v>34</v>
      </c>
      <c r="J8" s="22" t="s">
        <v>74</v>
      </c>
      <c r="K8" s="22" t="s">
        <v>6</v>
      </c>
    </row>
    <row r="9" spans="2:15" s="47" customFormat="1" x14ac:dyDescent="0.2">
      <c r="B9" s="155">
        <v>1</v>
      </c>
      <c r="C9" s="47" t="s">
        <v>5</v>
      </c>
      <c r="E9" s="155" t="s">
        <v>24</v>
      </c>
      <c r="F9" s="7">
        <f>'Margin Revenue'!N9</f>
        <v>605484515.28218365</v>
      </c>
      <c r="G9" s="55">
        <f>+'Margin Revenue'!O9</f>
        <v>437040010.90154654</v>
      </c>
      <c r="H9" s="54">
        <f>G9/$G$47</f>
        <v>0.69003955409875761</v>
      </c>
      <c r="I9" s="158">
        <f>$I$49*H9</f>
        <v>9663643.3636086881</v>
      </c>
      <c r="J9" s="159">
        <f>ROUND(I9/F9,5)</f>
        <v>1.5959999999999998E-2</v>
      </c>
      <c r="K9" s="158">
        <f>F9*(J9)</f>
        <v>9663532.863903651</v>
      </c>
      <c r="L9" s="160"/>
      <c r="M9" s="161"/>
      <c r="N9" s="46"/>
      <c r="O9" s="58"/>
    </row>
    <row r="10" spans="2:15" s="47" customFormat="1" x14ac:dyDescent="0.2">
      <c r="B10" s="155"/>
      <c r="E10" s="155"/>
      <c r="F10" s="162"/>
      <c r="G10" s="163"/>
      <c r="H10" s="54"/>
      <c r="I10" s="158"/>
      <c r="J10" s="159"/>
      <c r="K10" s="158"/>
      <c r="M10" s="161"/>
      <c r="N10" s="46"/>
      <c r="O10" s="58"/>
    </row>
    <row r="11" spans="2:15" s="47" customFormat="1" x14ac:dyDescent="0.2">
      <c r="B11" s="155">
        <v>2</v>
      </c>
      <c r="C11" s="47" t="s">
        <v>23</v>
      </c>
      <c r="E11" s="155" t="s">
        <v>33</v>
      </c>
      <c r="F11" s="7">
        <f>'Margin Revenue'!N12</f>
        <v>241041941.4711673</v>
      </c>
      <c r="G11" s="55">
        <f>+'Margin Revenue'!O12</f>
        <v>149375574.7045255</v>
      </c>
      <c r="H11" s="54">
        <f>G11/$G$47</f>
        <v>0.23584809717931407</v>
      </c>
      <c r="I11" s="158">
        <f>$I$49*H11</f>
        <v>3302929.354685117</v>
      </c>
      <c r="J11" s="159">
        <f>ROUND(I11/F11,5)</f>
        <v>1.37E-2</v>
      </c>
      <c r="K11" s="158">
        <f>F11*(J11)</f>
        <v>3302274.5981549919</v>
      </c>
      <c r="L11" s="160"/>
      <c r="M11" s="161"/>
      <c r="N11" s="46"/>
      <c r="O11" s="58"/>
    </row>
    <row r="12" spans="2:15" s="47" customFormat="1" x14ac:dyDescent="0.2">
      <c r="B12" s="155"/>
      <c r="E12" s="155"/>
      <c r="F12" s="162"/>
      <c r="G12" s="28"/>
      <c r="H12" s="54"/>
      <c r="I12" s="158"/>
      <c r="J12" s="159"/>
      <c r="K12" s="158"/>
      <c r="M12" s="161"/>
      <c r="N12" s="46"/>
      <c r="O12" s="58"/>
    </row>
    <row r="13" spans="2:15" s="47" customFormat="1" x14ac:dyDescent="0.2">
      <c r="B13" s="155">
        <v>3</v>
      </c>
      <c r="C13" s="47" t="s">
        <v>22</v>
      </c>
      <c r="E13" s="155" t="s">
        <v>32</v>
      </c>
      <c r="F13" s="7">
        <f>'Margin Revenue'!N14</f>
        <v>88992709.206235796</v>
      </c>
      <c r="G13" s="55">
        <f>+'Margin Revenue'!O14</f>
        <v>27046126.84174931</v>
      </c>
      <c r="H13" s="54">
        <f>G13/G$47</f>
        <v>4.2702949021716424E-2</v>
      </c>
      <c r="I13" s="164">
        <f>$I$49*H13</f>
        <v>598032.48591916193</v>
      </c>
      <c r="J13" s="159">
        <f>ROUND(I13/F13,5)</f>
        <v>6.7200000000000003E-3</v>
      </c>
      <c r="K13" s="158">
        <f>F13*(J13)</f>
        <v>598031.00586590462</v>
      </c>
      <c r="L13" s="31"/>
      <c r="M13" s="161"/>
      <c r="N13" s="46"/>
      <c r="O13" s="58"/>
    </row>
    <row r="14" spans="2:15" s="47" customFormat="1" x14ac:dyDescent="0.2">
      <c r="B14" s="155"/>
      <c r="E14" s="155"/>
      <c r="F14" s="39"/>
      <c r="G14" s="55"/>
      <c r="H14" s="54"/>
      <c r="I14" s="164"/>
      <c r="J14" s="159"/>
      <c r="K14" s="158"/>
      <c r="M14" s="161"/>
      <c r="N14" s="46"/>
      <c r="O14" s="58"/>
    </row>
    <row r="15" spans="2:15" s="47" customFormat="1" x14ac:dyDescent="0.2">
      <c r="B15" s="155">
        <v>4</v>
      </c>
      <c r="C15" s="47" t="s">
        <v>4</v>
      </c>
      <c r="E15" s="155">
        <v>85</v>
      </c>
      <c r="F15" s="7"/>
      <c r="G15" s="55"/>
      <c r="H15" s="54"/>
      <c r="I15" s="164"/>
      <c r="J15" s="159"/>
      <c r="K15" s="158"/>
      <c r="M15" s="161"/>
      <c r="N15" s="46"/>
      <c r="O15" s="58"/>
    </row>
    <row r="16" spans="2:15" s="47" customFormat="1" x14ac:dyDescent="0.2">
      <c r="B16" s="155">
        <v>5</v>
      </c>
      <c r="D16" s="47" t="s">
        <v>18</v>
      </c>
      <c r="E16" s="155"/>
      <c r="F16" s="7">
        <f>'Sch 85 87 Rate Calc'!G10</f>
        <v>8773235.6159016266</v>
      </c>
      <c r="G16" s="55"/>
      <c r="H16" s="54"/>
      <c r="I16" s="28"/>
      <c r="J16" s="165">
        <f>'Sch 85 87 Rate Calc'!L10</f>
        <v>4.8300000000000001E-3</v>
      </c>
      <c r="K16" s="158"/>
      <c r="L16" s="39"/>
      <c r="M16" s="161"/>
      <c r="N16" s="46"/>
      <c r="O16" s="58"/>
    </row>
    <row r="17" spans="2:15" s="47" customFormat="1" x14ac:dyDescent="0.2">
      <c r="B17" s="155">
        <v>6</v>
      </c>
      <c r="D17" s="47" t="s">
        <v>17</v>
      </c>
      <c r="E17" s="155"/>
      <c r="F17" s="7">
        <f>'Sch 85 87 Rate Calc'!G11</f>
        <v>5145080.8254322344</v>
      </c>
      <c r="G17" s="55"/>
      <c r="H17" s="54"/>
      <c r="I17" s="28"/>
      <c r="J17" s="165">
        <f>'Sch 85 87 Rate Calc'!L11</f>
        <v>2.9499999999999999E-3</v>
      </c>
      <c r="K17" s="158"/>
      <c r="M17" s="161"/>
      <c r="N17" s="46"/>
      <c r="O17" s="58"/>
    </row>
    <row r="18" spans="2:15" s="47" customFormat="1" x14ac:dyDescent="0.2">
      <c r="B18" s="155">
        <v>7</v>
      </c>
      <c r="D18" s="47" t="s">
        <v>21</v>
      </c>
      <c r="E18" s="155"/>
      <c r="F18" s="6">
        <f>'Sch 85 87 Rate Calc'!G16</f>
        <v>6953676.5056259399</v>
      </c>
      <c r="G18" s="55"/>
      <c r="H18" s="54"/>
      <c r="I18" s="28"/>
      <c r="J18" s="165">
        <f>'Sch 85 87 Rate Calc'!L16</f>
        <v>1.6100000000000001E-3</v>
      </c>
      <c r="K18" s="158"/>
      <c r="M18" s="161"/>
      <c r="N18" s="46"/>
      <c r="O18" s="58"/>
    </row>
    <row r="19" spans="2:15" s="47" customFormat="1" x14ac:dyDescent="0.2">
      <c r="B19" s="155">
        <v>8</v>
      </c>
      <c r="D19" s="47" t="s">
        <v>0</v>
      </c>
      <c r="E19" s="155"/>
      <c r="F19" s="39">
        <f>SUM(F16:F18)</f>
        <v>20871992.946959801</v>
      </c>
      <c r="G19" s="55">
        <f>+'Margin Revenue'!O19</f>
        <v>2772547.3863477181</v>
      </c>
      <c r="H19" s="54">
        <f>G19/G$47</f>
        <v>4.3775565496771886E-3</v>
      </c>
      <c r="I19" s="164">
        <f>$I$49*H19</f>
        <v>61305.391913889238</v>
      </c>
      <c r="J19" s="159"/>
      <c r="K19" s="55">
        <f>'Sch 85 87 Rate Calc'!M17</f>
        <v>68748.135633887709</v>
      </c>
      <c r="M19" s="161"/>
      <c r="N19" s="46"/>
      <c r="O19" s="58"/>
    </row>
    <row r="20" spans="2:15" s="47" customFormat="1" x14ac:dyDescent="0.2">
      <c r="B20" s="155"/>
      <c r="E20" s="155"/>
      <c r="F20" s="39"/>
      <c r="G20" s="163"/>
      <c r="H20" s="54"/>
      <c r="I20" s="164"/>
      <c r="J20" s="159"/>
      <c r="K20" s="158"/>
      <c r="M20" s="161"/>
      <c r="N20" s="46"/>
      <c r="O20" s="58"/>
    </row>
    <row r="21" spans="2:15" s="47" customFormat="1" x14ac:dyDescent="0.2">
      <c r="B21" s="155">
        <v>9</v>
      </c>
      <c r="C21" s="47" t="s">
        <v>4</v>
      </c>
      <c r="E21" s="155" t="s">
        <v>31</v>
      </c>
      <c r="F21" s="34">
        <f>'Margin Revenue'!N16</f>
        <v>7836608.9315861296</v>
      </c>
      <c r="G21" s="55">
        <f>'Margin Revenue'!O16</f>
        <v>1764614.9821489167</v>
      </c>
      <c r="H21" s="54">
        <f>G21/G$47</f>
        <v>2.7861388089529646E-3</v>
      </c>
      <c r="I21" s="164">
        <f>$I$49*H21</f>
        <v>39018.418076621681</v>
      </c>
      <c r="J21" s="159">
        <f>ROUND(I21/F21,5)</f>
        <v>4.9800000000000001E-3</v>
      </c>
      <c r="K21" s="158">
        <f>F21*(J21)</f>
        <v>39026.312479298926</v>
      </c>
      <c r="M21" s="161"/>
      <c r="N21" s="46"/>
      <c r="O21" s="58"/>
    </row>
    <row r="22" spans="2:15" s="47" customFormat="1" x14ac:dyDescent="0.2">
      <c r="B22" s="155"/>
      <c r="E22" s="155"/>
      <c r="F22" s="39"/>
      <c r="G22" s="55"/>
      <c r="H22" s="54"/>
      <c r="I22" s="164"/>
      <c r="J22" s="159"/>
      <c r="K22" s="158"/>
      <c r="M22" s="161"/>
      <c r="N22" s="46"/>
      <c r="O22" s="58"/>
    </row>
    <row r="23" spans="2:15" s="47" customFormat="1" x14ac:dyDescent="0.2">
      <c r="B23" s="155">
        <v>10</v>
      </c>
      <c r="C23" s="47" t="s">
        <v>4</v>
      </c>
      <c r="E23" s="155">
        <v>87</v>
      </c>
      <c r="F23" s="39"/>
      <c r="G23" s="55"/>
      <c r="H23" s="54"/>
      <c r="I23" s="164"/>
      <c r="J23" s="159"/>
      <c r="K23" s="158"/>
      <c r="M23" s="161"/>
      <c r="N23" s="46"/>
      <c r="O23" s="58"/>
    </row>
    <row r="24" spans="2:15" s="47" customFormat="1" x14ac:dyDescent="0.2">
      <c r="B24" s="155">
        <v>11</v>
      </c>
      <c r="D24" s="47" t="s">
        <v>18</v>
      </c>
      <c r="E24" s="155"/>
      <c r="F24" s="7">
        <f>'Sch 85 87 Rate Calc'!G20</f>
        <v>1184420.7770205315</v>
      </c>
      <c r="G24" s="55"/>
      <c r="H24" s="54"/>
      <c r="I24" s="164"/>
      <c r="J24" s="165">
        <f>'Sch 85 87 Rate Calc'!L20</f>
        <v>4.8300000000000001E-3</v>
      </c>
      <c r="K24" s="158"/>
      <c r="M24" s="161"/>
      <c r="N24" s="46"/>
      <c r="O24" s="58"/>
    </row>
    <row r="25" spans="2:15" s="47" customFormat="1" x14ac:dyDescent="0.2">
      <c r="B25" s="155">
        <v>12</v>
      </c>
      <c r="D25" s="47" t="s">
        <v>17</v>
      </c>
      <c r="E25" s="155"/>
      <c r="F25" s="7">
        <f>'Sch 85 87 Rate Calc'!G21</f>
        <v>1184420.7770205315</v>
      </c>
      <c r="G25" s="55"/>
      <c r="H25" s="54"/>
      <c r="I25" s="164"/>
      <c r="J25" s="165">
        <f>'Sch 85 87 Rate Calc'!L21</f>
        <v>2.9499999999999999E-3</v>
      </c>
      <c r="K25" s="158"/>
      <c r="M25" s="161"/>
      <c r="N25" s="46"/>
      <c r="O25" s="58"/>
    </row>
    <row r="26" spans="2:15" s="47" customFormat="1" x14ac:dyDescent="0.2">
      <c r="B26" s="155">
        <v>13</v>
      </c>
      <c r="D26" s="47" t="s">
        <v>16</v>
      </c>
      <c r="E26" s="155"/>
      <c r="F26" s="7">
        <f>'Sch 85 87 Rate Calc'!G22</f>
        <v>2219741.7315431475</v>
      </c>
      <c r="G26" s="55"/>
      <c r="H26" s="54"/>
      <c r="I26" s="164"/>
      <c r="J26" s="165">
        <f>'Sch 85 87 Rate Calc'!L22</f>
        <v>1.9E-3</v>
      </c>
      <c r="K26" s="158"/>
      <c r="M26" s="161"/>
      <c r="N26" s="46"/>
      <c r="O26" s="58"/>
    </row>
    <row r="27" spans="2:15" s="47" customFormat="1" x14ac:dyDescent="0.2">
      <c r="B27" s="155">
        <v>14</v>
      </c>
      <c r="D27" s="47" t="s">
        <v>15</v>
      </c>
      <c r="E27" s="155"/>
      <c r="F27" s="7">
        <f>'Sch 85 87 Rate Calc'!G23</f>
        <v>3104713.2996480921</v>
      </c>
      <c r="G27" s="55"/>
      <c r="H27" s="54"/>
      <c r="I27" s="164"/>
      <c r="J27" s="165">
        <f>'Sch 85 87 Rate Calc'!L23</f>
        <v>1.25E-3</v>
      </c>
      <c r="K27" s="158"/>
      <c r="M27" s="161"/>
      <c r="N27" s="46"/>
      <c r="O27" s="58"/>
    </row>
    <row r="28" spans="2:15" s="47" customFormat="1" x14ac:dyDescent="0.2">
      <c r="B28" s="155">
        <v>15</v>
      </c>
      <c r="D28" s="47" t="s">
        <v>14</v>
      </c>
      <c r="E28" s="155"/>
      <c r="F28" s="7">
        <f>'Sch 85 87 Rate Calc'!G24</f>
        <v>3787707.5666823532</v>
      </c>
      <c r="G28" s="55"/>
      <c r="H28" s="54"/>
      <c r="I28" s="164"/>
      <c r="J28" s="165">
        <f>'Sch 85 87 Rate Calc'!L24</f>
        <v>9.2000000000000003E-4</v>
      </c>
      <c r="K28" s="158"/>
      <c r="M28" s="161"/>
      <c r="N28" s="46"/>
      <c r="O28" s="58"/>
    </row>
    <row r="29" spans="2:15" s="47" customFormat="1" x14ac:dyDescent="0.2">
      <c r="B29" s="155">
        <v>16</v>
      </c>
      <c r="D29" s="47" t="s">
        <v>19</v>
      </c>
      <c r="E29" s="155"/>
      <c r="F29" s="6">
        <f>'Sch 85 87 Rate Calc'!G25</f>
        <v>10059914.389264509</v>
      </c>
      <c r="G29" s="55"/>
      <c r="H29" s="54"/>
      <c r="I29" s="164"/>
      <c r="J29" s="165">
        <f>'Sch 85 87 Rate Calc'!L25</f>
        <v>5.9999999999999995E-4</v>
      </c>
      <c r="K29" s="158"/>
      <c r="M29" s="161"/>
      <c r="N29" s="46"/>
      <c r="O29" s="58"/>
    </row>
    <row r="30" spans="2:15" s="47" customFormat="1" x14ac:dyDescent="0.2">
      <c r="B30" s="155">
        <v>17</v>
      </c>
      <c r="D30" s="47" t="s">
        <v>0</v>
      </c>
      <c r="E30" s="155"/>
      <c r="F30" s="39">
        <f>SUM(F24:F29)</f>
        <v>21540918.541179165</v>
      </c>
      <c r="G30" s="55">
        <f>+'Margin Revenue'!O20</f>
        <v>1671039.2619916026</v>
      </c>
      <c r="H30" s="54">
        <f>G30/G$47</f>
        <v>2.6383927294152511E-3</v>
      </c>
      <c r="I30" s="164">
        <f>$I$49*H30</f>
        <v>36949.311439845485</v>
      </c>
      <c r="J30" s="159"/>
      <c r="K30" s="55">
        <f>'Sch 85 87 Rate Calc'!M26</f>
        <v>26833.8341546183</v>
      </c>
      <c r="M30" s="161"/>
      <c r="N30" s="46"/>
      <c r="O30" s="58"/>
    </row>
    <row r="31" spans="2:15" s="47" customFormat="1" x14ac:dyDescent="0.2">
      <c r="B31" s="155"/>
      <c r="E31" s="155"/>
      <c r="F31" s="39"/>
      <c r="G31" s="163"/>
      <c r="H31" s="54"/>
      <c r="I31" s="164"/>
      <c r="J31" s="159"/>
      <c r="K31" s="55"/>
      <c r="M31" s="166"/>
      <c r="N31" s="46"/>
      <c r="O31" s="58"/>
    </row>
    <row r="32" spans="2:15" s="47" customFormat="1" x14ac:dyDescent="0.2">
      <c r="B32" s="155">
        <f>B30+1</f>
        <v>18</v>
      </c>
      <c r="C32" s="47" t="s">
        <v>20</v>
      </c>
      <c r="E32" s="155" t="s">
        <v>3</v>
      </c>
      <c r="F32" s="39"/>
      <c r="G32" s="163"/>
      <c r="H32" s="54"/>
      <c r="I32" s="164"/>
      <c r="J32" s="159"/>
      <c r="K32" s="55"/>
      <c r="M32" s="166"/>
      <c r="N32" s="46"/>
      <c r="O32" s="58"/>
    </row>
    <row r="33" spans="2:15" s="47" customFormat="1" x14ac:dyDescent="0.2">
      <c r="B33" s="155">
        <f>B32+1</f>
        <v>19</v>
      </c>
      <c r="D33" s="47" t="s">
        <v>18</v>
      </c>
      <c r="E33" s="155"/>
      <c r="F33" s="7">
        <f>'Sch 85 87 Rate Calc'!G29</f>
        <v>23538157.823504049</v>
      </c>
      <c r="G33" s="163"/>
      <c r="H33" s="54"/>
      <c r="I33" s="164"/>
      <c r="J33" s="167">
        <f>'Sch 85 87 Rate Calc'!L29</f>
        <v>4.8300000000000001E-3</v>
      </c>
      <c r="K33" s="55"/>
      <c r="M33" s="166"/>
      <c r="N33" s="46"/>
      <c r="O33" s="58"/>
    </row>
    <row r="34" spans="2:15" s="47" customFormat="1" x14ac:dyDescent="0.2">
      <c r="B34" s="155">
        <f>B33+1</f>
        <v>20</v>
      </c>
      <c r="D34" s="47" t="s">
        <v>17</v>
      </c>
      <c r="E34" s="155"/>
      <c r="F34" s="7">
        <f>'Sch 85 87 Rate Calc'!G30</f>
        <v>16225318.148222974</v>
      </c>
      <c r="G34" s="163"/>
      <c r="H34" s="54"/>
      <c r="I34" s="164"/>
      <c r="J34" s="167">
        <f>'Sch 85 87 Rate Calc'!L30</f>
        <v>2.9499999999999999E-3</v>
      </c>
      <c r="K34" s="55"/>
      <c r="M34" s="166"/>
      <c r="N34" s="46"/>
      <c r="O34" s="58"/>
    </row>
    <row r="35" spans="2:15" s="47" customFormat="1" x14ac:dyDescent="0.2">
      <c r="B35" s="155">
        <f>B34+1</f>
        <v>21</v>
      </c>
      <c r="D35" s="47" t="s">
        <v>21</v>
      </c>
      <c r="E35" s="155"/>
      <c r="F35" s="6">
        <f>'Sch 85 87 Rate Calc'!G35</f>
        <v>27102814.730147038</v>
      </c>
      <c r="G35" s="163"/>
      <c r="H35" s="54"/>
      <c r="I35" s="164"/>
      <c r="J35" s="167">
        <f>'Sch 85 87 Rate Calc'!L35</f>
        <v>1.6100000000000001E-3</v>
      </c>
      <c r="K35" s="55"/>
      <c r="M35" s="166"/>
      <c r="N35" s="46"/>
      <c r="O35" s="58"/>
    </row>
    <row r="36" spans="2:15" s="47" customFormat="1" x14ac:dyDescent="0.2">
      <c r="B36" s="155">
        <f>B35+1</f>
        <v>22</v>
      </c>
      <c r="D36" s="47" t="s">
        <v>0</v>
      </c>
      <c r="E36" s="155"/>
      <c r="F36" s="39">
        <f>SUM(F33:F35)</f>
        <v>66866290.701874062</v>
      </c>
      <c r="G36" s="55">
        <f>+'Margin Revenue'!O24</f>
        <v>8283860.6493457118</v>
      </c>
      <c r="H36" s="54">
        <f>G36/G$47</f>
        <v>1.3079332249006521E-2</v>
      </c>
      <c r="I36" s="164">
        <f>$I$49*H36</f>
        <v>183169.2133266546</v>
      </c>
      <c r="J36" s="159"/>
      <c r="K36" s="55">
        <f>'Sch 85 87 Rate Calc'!M36</f>
        <v>205189.52254031907</v>
      </c>
      <c r="M36" s="161"/>
      <c r="N36" s="46"/>
      <c r="O36" s="58"/>
    </row>
    <row r="37" spans="2:15" s="47" customFormat="1" x14ac:dyDescent="0.2">
      <c r="B37" s="155"/>
      <c r="E37" s="155"/>
      <c r="F37" s="39"/>
      <c r="G37" s="163"/>
      <c r="H37" s="54"/>
      <c r="I37" s="164"/>
      <c r="J37" s="159"/>
      <c r="K37" s="55"/>
      <c r="M37" s="166"/>
      <c r="N37" s="46"/>
      <c r="O37" s="58"/>
    </row>
    <row r="38" spans="2:15" s="47" customFormat="1" x14ac:dyDescent="0.2">
      <c r="B38" s="155">
        <f>B36+1</f>
        <v>23</v>
      </c>
      <c r="C38" s="47" t="s">
        <v>20</v>
      </c>
      <c r="E38" s="155" t="s">
        <v>2</v>
      </c>
      <c r="F38" s="39"/>
      <c r="G38" s="163"/>
      <c r="H38" s="54"/>
      <c r="I38" s="164"/>
      <c r="J38" s="159"/>
      <c r="K38" s="55"/>
      <c r="M38" s="166"/>
      <c r="N38" s="46"/>
      <c r="O38" s="58"/>
    </row>
    <row r="39" spans="2:15" s="47" customFormat="1" x14ac:dyDescent="0.2">
      <c r="B39" s="155">
        <f t="shared" ref="B39:B45" si="0">B38+1</f>
        <v>24</v>
      </c>
      <c r="D39" s="47" t="s">
        <v>18</v>
      </c>
      <c r="E39" s="155"/>
      <c r="F39" s="7">
        <f>'Sch 85 87 Rate Calc'!G39</f>
        <v>3035477.9696629848</v>
      </c>
      <c r="G39" s="163"/>
      <c r="H39" s="54"/>
      <c r="I39" s="164"/>
      <c r="J39" s="167">
        <f>'Sch 85 87 Rate Calc'!L39</f>
        <v>4.8300000000000001E-3</v>
      </c>
      <c r="K39" s="55"/>
      <c r="M39" s="166"/>
      <c r="N39" s="46"/>
      <c r="O39" s="58"/>
    </row>
    <row r="40" spans="2:15" s="47" customFormat="1" x14ac:dyDescent="0.2">
      <c r="B40" s="155">
        <f t="shared" si="0"/>
        <v>25</v>
      </c>
      <c r="D40" s="47" t="s">
        <v>17</v>
      </c>
      <c r="E40" s="155"/>
      <c r="F40" s="7">
        <f>'Sch 85 87 Rate Calc'!G40</f>
        <v>3035477.9696629848</v>
      </c>
      <c r="G40" s="163"/>
      <c r="H40" s="54"/>
      <c r="I40" s="164"/>
      <c r="J40" s="167">
        <f>'Sch 85 87 Rate Calc'!L40</f>
        <v>2.9499999999999999E-3</v>
      </c>
      <c r="K40" s="55"/>
      <c r="M40" s="166"/>
      <c r="N40" s="46"/>
      <c r="O40" s="58"/>
    </row>
    <row r="41" spans="2:15" s="47" customFormat="1" x14ac:dyDescent="0.2">
      <c r="B41" s="155">
        <f t="shared" si="0"/>
        <v>26</v>
      </c>
      <c r="D41" s="47" t="s">
        <v>16</v>
      </c>
      <c r="E41" s="155"/>
      <c r="F41" s="7">
        <f>'Sch 85 87 Rate Calc'!G41</f>
        <v>6070955.9393259697</v>
      </c>
      <c r="G41" s="163"/>
      <c r="H41" s="54"/>
      <c r="I41" s="164"/>
      <c r="J41" s="167">
        <f>'Sch 85 87 Rate Calc'!L41</f>
        <v>1.9E-3</v>
      </c>
      <c r="K41" s="55"/>
      <c r="M41" s="166"/>
      <c r="N41" s="46"/>
      <c r="O41" s="58"/>
    </row>
    <row r="42" spans="2:15" s="47" customFormat="1" x14ac:dyDescent="0.2">
      <c r="B42" s="155">
        <f t="shared" si="0"/>
        <v>27</v>
      </c>
      <c r="D42" s="47" t="s">
        <v>15</v>
      </c>
      <c r="E42" s="155"/>
      <c r="F42" s="7">
        <f>'Sch 85 87 Rate Calc'!G42</f>
        <v>11401705.21902379</v>
      </c>
      <c r="G42" s="163"/>
      <c r="H42" s="54"/>
      <c r="I42" s="164"/>
      <c r="J42" s="167">
        <f>'Sch 85 87 Rate Calc'!L42</f>
        <v>1.25E-3</v>
      </c>
      <c r="K42" s="55"/>
      <c r="M42" s="166"/>
      <c r="N42" s="46"/>
      <c r="O42" s="58"/>
    </row>
    <row r="43" spans="2:15" s="47" customFormat="1" x14ac:dyDescent="0.2">
      <c r="B43" s="155">
        <f t="shared" si="0"/>
        <v>28</v>
      </c>
      <c r="D43" s="47" t="s">
        <v>14</v>
      </c>
      <c r="E43" s="155"/>
      <c r="F43" s="7">
        <f>'Sch 85 87 Rate Calc'!G43</f>
        <v>25825983.289942399</v>
      </c>
      <c r="G43" s="163"/>
      <c r="H43" s="54"/>
      <c r="I43" s="164"/>
      <c r="J43" s="167">
        <f>'Sch 85 87 Rate Calc'!L43</f>
        <v>9.2000000000000003E-4</v>
      </c>
      <c r="K43" s="55"/>
      <c r="M43" s="166"/>
      <c r="N43" s="46"/>
      <c r="O43" s="58"/>
    </row>
    <row r="44" spans="2:15" s="47" customFormat="1" x14ac:dyDescent="0.2">
      <c r="B44" s="155">
        <f t="shared" si="0"/>
        <v>29</v>
      </c>
      <c r="D44" s="47" t="s">
        <v>19</v>
      </c>
      <c r="E44" s="155"/>
      <c r="F44" s="6">
        <f>'Sch 85 87 Rate Calc'!G44</f>
        <v>45874903.066759773</v>
      </c>
      <c r="G44" s="163"/>
      <c r="H44" s="54"/>
      <c r="I44" s="164"/>
      <c r="J44" s="167">
        <f>'Sch 85 87 Rate Calc'!L44</f>
        <v>5.9999999999999995E-4</v>
      </c>
      <c r="K44" s="55"/>
      <c r="M44" s="166"/>
      <c r="N44" s="46"/>
      <c r="O44" s="58"/>
    </row>
    <row r="45" spans="2:15" s="47" customFormat="1" x14ac:dyDescent="0.2">
      <c r="B45" s="155">
        <f t="shared" si="0"/>
        <v>30</v>
      </c>
      <c r="D45" s="47" t="s">
        <v>0</v>
      </c>
      <c r="E45" s="155"/>
      <c r="F45" s="39">
        <f>SUM(F39:F44)</f>
        <v>95244503.45437789</v>
      </c>
      <c r="G45" s="55">
        <f>+'Margin Revenue'!O25</f>
        <v>5401238.4822074901</v>
      </c>
      <c r="H45" s="54">
        <f>G45/G$47</f>
        <v>8.5279793631597624E-3</v>
      </c>
      <c r="I45" s="164">
        <f>$I$49*H45</f>
        <v>119429.89454485108</v>
      </c>
      <c r="J45" s="159"/>
      <c r="K45" s="55">
        <f>'Sch 85 87 Rate Calc'!M45</f>
        <v>100687.81287927998</v>
      </c>
      <c r="M45" s="161"/>
      <c r="N45" s="46"/>
      <c r="O45" s="58"/>
    </row>
    <row r="46" spans="2:15" s="47" customFormat="1" x14ac:dyDescent="0.2">
      <c r="B46" s="155"/>
      <c r="F46" s="85"/>
      <c r="G46" s="83"/>
      <c r="H46" s="168"/>
      <c r="I46" s="169"/>
      <c r="J46" s="45"/>
      <c r="K46" s="169"/>
      <c r="L46" s="83"/>
      <c r="M46" s="161"/>
      <c r="N46" s="170"/>
      <c r="O46" s="58"/>
    </row>
    <row r="47" spans="2:15" s="47" customFormat="1" x14ac:dyDescent="0.2">
      <c r="B47" s="155">
        <f>B45+1</f>
        <v>31</v>
      </c>
      <c r="D47" s="47" t="s">
        <v>0</v>
      </c>
      <c r="F47" s="20">
        <f>F9+F11+F13+F19+F21+F30+F36+F45</f>
        <v>1147879480.5355639</v>
      </c>
      <c r="G47" s="16">
        <f>G9+G11+G13+G19+G21+G30+G36+G45</f>
        <v>633355013.20986295</v>
      </c>
      <c r="H47" s="54">
        <f>SUM(H9:H46)</f>
        <v>0.99999999999999978</v>
      </c>
      <c r="I47" s="16">
        <f>I9+I11+I13+I19+I21+I30+I36+I45</f>
        <v>14004477.43351483</v>
      </c>
      <c r="J47" s="159">
        <f>ROUND(K47/F47,5)</f>
        <v>1.2200000000000001E-2</v>
      </c>
      <c r="K47" s="16">
        <f>K9+K11+K13+K19+K21+K30+K36+K45</f>
        <v>14004324.085611952</v>
      </c>
      <c r="L47" s="171">
        <f>K47-I47</f>
        <v>-153.34790287725627</v>
      </c>
      <c r="M47" s="161"/>
      <c r="N47" s="46"/>
      <c r="O47" s="58"/>
    </row>
    <row r="48" spans="2:15" s="47" customFormat="1" x14ac:dyDescent="0.2">
      <c r="B48" s="155"/>
      <c r="F48" s="50"/>
      <c r="G48" s="12"/>
      <c r="H48" s="50"/>
      <c r="I48" s="50"/>
      <c r="J48" s="50"/>
      <c r="K48" s="50"/>
      <c r="L48" s="172">
        <f>L47/I47</f>
        <v>-1.0949919667139567E-5</v>
      </c>
      <c r="N48" s="59"/>
    </row>
    <row r="49" spans="2:14" s="47" customFormat="1" ht="15" customHeight="1" x14ac:dyDescent="0.2">
      <c r="B49" s="155">
        <f>B47+1</f>
        <v>32</v>
      </c>
      <c r="D49" s="47" t="s">
        <v>319</v>
      </c>
      <c r="F49" s="50"/>
      <c r="G49" s="12"/>
      <c r="H49" s="50"/>
      <c r="I49" s="55">
        <f>'Revenue Requirement'!V46</f>
        <v>14004477.433514832</v>
      </c>
      <c r="J49" s="50"/>
      <c r="K49" s="11"/>
      <c r="L49" s="50"/>
    </row>
    <row r="50" spans="2:14" s="47" customFormat="1" x14ac:dyDescent="0.2">
      <c r="I50" s="28"/>
      <c r="N50" s="59"/>
    </row>
    <row r="51" spans="2:14" s="47" customFormat="1" ht="15" customHeight="1" x14ac:dyDescent="0.2">
      <c r="B51" s="173" t="s">
        <v>30</v>
      </c>
      <c r="C51" s="174" t="str">
        <f>'Margin Revenue'!C37</f>
        <v>Weather normalized volume for the year ending December 31, 2022 from the 2022 Commission Basis Report (CBR).</v>
      </c>
      <c r="D51" s="175"/>
      <c r="E51" s="175"/>
      <c r="F51" s="175"/>
      <c r="G51" s="175"/>
      <c r="H51" s="175"/>
      <c r="I51" s="175"/>
      <c r="J51" s="175"/>
      <c r="K51" s="175"/>
    </row>
    <row r="52" spans="2:14" s="47" customFormat="1" ht="15" customHeight="1" x14ac:dyDescent="0.2">
      <c r="B52" s="173" t="s">
        <v>29</v>
      </c>
      <c r="C52" s="464" t="str">
        <f>'Margin Revenue'!$C$38</f>
        <v>Weather normalized margin revenue for 12 months ending December 31, 2022, given 2022 volume, priced at current rates effective May 1, 2023.</v>
      </c>
      <c r="D52" s="464"/>
      <c r="E52" s="464"/>
      <c r="F52" s="464"/>
      <c r="G52" s="464"/>
      <c r="H52" s="464"/>
      <c r="I52" s="464"/>
      <c r="J52" s="464"/>
      <c r="K52" s="464"/>
      <c r="L52" s="15"/>
    </row>
    <row r="53" spans="2:14" x14ac:dyDescent="0.2">
      <c r="B53" s="41"/>
      <c r="D53" s="42"/>
      <c r="E53" s="42"/>
      <c r="F53" s="42"/>
      <c r="G53" s="42"/>
      <c r="H53" s="42"/>
    </row>
    <row r="54" spans="2:14" x14ac:dyDescent="0.2">
      <c r="C54" s="50"/>
      <c r="D54" s="50"/>
      <c r="H54" s="42"/>
    </row>
    <row r="55" spans="2:14" x14ac:dyDescent="0.2">
      <c r="C55" s="50"/>
      <c r="D55" s="43"/>
      <c r="E55" s="40"/>
      <c r="F55" s="40"/>
      <c r="H55" s="42"/>
    </row>
    <row r="56" spans="2:14" x14ac:dyDescent="0.2">
      <c r="C56" s="50"/>
      <c r="D56" s="40"/>
      <c r="E56" s="50"/>
      <c r="F56" s="50"/>
      <c r="G56" s="42"/>
      <c r="H56" s="42"/>
    </row>
    <row r="57" spans="2:14" x14ac:dyDescent="0.2">
      <c r="C57" s="50"/>
      <c r="D57" s="40"/>
      <c r="E57" s="51"/>
      <c r="F57" s="44"/>
      <c r="H57" s="42"/>
    </row>
    <row r="58" spans="2:14" x14ac:dyDescent="0.2">
      <c r="C58" s="42"/>
      <c r="D58" s="42"/>
      <c r="E58" s="51"/>
      <c r="F58" s="44"/>
      <c r="H58" s="42"/>
    </row>
    <row r="59" spans="2:14" x14ac:dyDescent="0.2">
      <c r="E59" s="51"/>
      <c r="F59" s="44"/>
    </row>
    <row r="60" spans="2:14" x14ac:dyDescent="0.2">
      <c r="E60" s="40"/>
      <c r="F60" s="40"/>
    </row>
    <row r="61" spans="2:14" x14ac:dyDescent="0.2">
      <c r="E61" s="40"/>
      <c r="F61" s="40"/>
    </row>
    <row r="62" spans="2:14" x14ac:dyDescent="0.2">
      <c r="E62" s="40"/>
      <c r="F62" s="40"/>
    </row>
  </sheetData>
  <mergeCells count="1">
    <mergeCell ref="C8:D8"/>
  </mergeCells>
  <printOptions horizontalCentered="1"/>
  <pageMargins left="0.75" right="0.75" top="1" bottom="1" header="0.5" footer="0.5"/>
  <pageSetup scale="76" orientation="portrait" blackAndWhite="1" horizontalDpi="300" verticalDpi="300" r:id="rId1"/>
  <headerFooter alignWithMargins="0">
    <oddFooter>&amp;L&amp;F 
&amp;A&amp;C&amp;P&amp;R&amp;D</oddFooter>
  </headerFooter>
  <customProperties>
    <customPr name="_pios_id" r:id="rId2"/>
  </customProperties>
  <ignoredErrors>
    <ignoredError sqref="H47 J4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R34" sqref="R34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90" zoomScaleNormal="90" zoomScaleSheetLayoutView="100" workbookViewId="0">
      <pane ySplit="8" topLeftCell="A9" activePane="bottomLeft" state="frozen"/>
      <selection activeCell="G42" sqref="G42"/>
      <selection pane="bottomLeft" activeCell="K42" sqref="K42"/>
    </sheetView>
  </sheetViews>
  <sheetFormatPr defaultColWidth="9.140625" defaultRowHeight="12.75" x14ac:dyDescent="0.2"/>
  <cols>
    <col min="1" max="1" width="2.42578125" style="48" customWidth="1"/>
    <col min="2" max="2" width="31.7109375" style="211" customWidth="1"/>
    <col min="3" max="3" width="9.7109375" style="211" customWidth="1"/>
    <col min="4" max="4" width="15.28515625" style="47" bestFit="1" customWidth="1"/>
    <col min="5" max="5" width="10.42578125" style="47" customWidth="1"/>
    <col min="6" max="6" width="13.7109375" style="211" bestFit="1" customWidth="1"/>
    <col min="7" max="7" width="2.85546875" style="212" customWidth="1"/>
    <col min="8" max="8" width="10.42578125" style="48" bestFit="1" customWidth="1"/>
    <col min="9" max="9" width="13.28515625" style="213" customWidth="1"/>
    <col min="10" max="10" width="2.85546875" style="214" customWidth="1"/>
    <col min="11" max="11" width="13.28515625" style="48" customWidth="1"/>
    <col min="12" max="12" width="10.42578125" style="215" customWidth="1"/>
    <col min="13" max="13" width="2.85546875" style="215" customWidth="1"/>
    <col min="14" max="14" width="14.5703125" style="48" customWidth="1"/>
    <col min="15" max="16384" width="9.140625" style="48"/>
  </cols>
  <sheetData>
    <row r="1" spans="2:23" x14ac:dyDescent="0.2">
      <c r="B1" s="206" t="s">
        <v>12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7"/>
      <c r="N1" s="38"/>
    </row>
    <row r="2" spans="2:23" x14ac:dyDescent="0.2">
      <c r="B2" s="208" t="s">
        <v>310</v>
      </c>
      <c r="C2" s="209"/>
      <c r="D2" s="74"/>
      <c r="E2" s="74"/>
      <c r="F2" s="209"/>
      <c r="G2" s="209"/>
      <c r="H2" s="209"/>
      <c r="I2" s="209"/>
      <c r="J2" s="209"/>
      <c r="K2" s="209"/>
      <c r="L2" s="209"/>
      <c r="M2" s="207"/>
      <c r="N2" s="38"/>
    </row>
    <row r="3" spans="2:23" x14ac:dyDescent="0.2">
      <c r="B3" s="208" t="s">
        <v>311</v>
      </c>
      <c r="C3" s="209"/>
      <c r="D3" s="74"/>
      <c r="E3" s="74"/>
      <c r="F3" s="209"/>
      <c r="G3" s="209"/>
      <c r="H3" s="209"/>
      <c r="I3" s="209"/>
      <c r="J3" s="209"/>
      <c r="K3" s="209"/>
      <c r="L3" s="209"/>
      <c r="M3" s="207"/>
      <c r="N3" s="38"/>
    </row>
    <row r="4" spans="2:23" x14ac:dyDescent="0.2">
      <c r="B4" s="208" t="s">
        <v>110</v>
      </c>
      <c r="C4" s="209"/>
      <c r="D4" s="74"/>
      <c r="E4" s="74"/>
      <c r="F4" s="209"/>
      <c r="G4" s="209"/>
      <c r="H4" s="209"/>
      <c r="I4" s="209"/>
      <c r="J4" s="209"/>
      <c r="K4" s="209"/>
      <c r="L4" s="209"/>
      <c r="M4" s="207"/>
      <c r="N4" s="38"/>
    </row>
    <row r="5" spans="2:23" x14ac:dyDescent="0.2">
      <c r="B5" s="208" t="s">
        <v>312</v>
      </c>
      <c r="C5" s="209"/>
      <c r="D5" s="74"/>
      <c r="E5" s="74"/>
      <c r="F5" s="209"/>
      <c r="G5" s="209"/>
      <c r="H5" s="209"/>
      <c r="I5" s="209"/>
      <c r="J5" s="209"/>
      <c r="K5" s="209"/>
      <c r="L5" s="209"/>
      <c r="M5" s="207"/>
      <c r="N5" s="210"/>
    </row>
    <row r="6" spans="2:23" x14ac:dyDescent="0.2">
      <c r="N6" s="40"/>
    </row>
    <row r="7" spans="2:23" ht="15" customHeight="1" x14ac:dyDescent="0.2">
      <c r="B7" s="216"/>
      <c r="C7" s="217"/>
      <c r="D7" s="75" t="s">
        <v>77</v>
      </c>
      <c r="E7" s="76" t="s">
        <v>179</v>
      </c>
      <c r="F7" s="218"/>
      <c r="G7" s="219"/>
      <c r="H7" s="220" t="s">
        <v>180</v>
      </c>
      <c r="I7" s="218"/>
      <c r="J7" s="221"/>
      <c r="K7" s="218" t="s">
        <v>111</v>
      </c>
      <c r="L7" s="222"/>
      <c r="M7" s="223"/>
      <c r="N7" s="224" t="s">
        <v>79</v>
      </c>
    </row>
    <row r="8" spans="2:23" x14ac:dyDescent="0.2">
      <c r="B8" s="225" t="s">
        <v>80</v>
      </c>
      <c r="C8" s="226" t="s">
        <v>81</v>
      </c>
      <c r="D8" s="203" t="s">
        <v>82</v>
      </c>
      <c r="E8" s="203" t="s">
        <v>74</v>
      </c>
      <c r="F8" s="227" t="s">
        <v>83</v>
      </c>
      <c r="G8" s="226"/>
      <c r="H8" s="226" t="s">
        <v>74</v>
      </c>
      <c r="I8" s="227" t="s">
        <v>83</v>
      </c>
      <c r="J8" s="227"/>
      <c r="K8" s="227" t="s">
        <v>112</v>
      </c>
      <c r="L8" s="228" t="s">
        <v>113</v>
      </c>
      <c r="M8" s="229"/>
      <c r="N8" s="230" t="s">
        <v>114</v>
      </c>
    </row>
    <row r="9" spans="2:23" x14ac:dyDescent="0.2">
      <c r="B9" s="40"/>
      <c r="C9" s="40"/>
      <c r="D9" s="50"/>
      <c r="E9" s="50"/>
      <c r="F9" s="40"/>
      <c r="H9" s="40"/>
      <c r="I9" s="214"/>
      <c r="K9" s="40"/>
      <c r="L9" s="231"/>
      <c r="M9" s="231"/>
      <c r="N9" s="40"/>
    </row>
    <row r="10" spans="2:23" x14ac:dyDescent="0.2">
      <c r="B10" s="232" t="s">
        <v>115</v>
      </c>
      <c r="C10" s="233"/>
      <c r="D10" s="177"/>
      <c r="E10" s="177"/>
      <c r="F10" s="234"/>
      <c r="G10" s="235"/>
      <c r="H10" s="177"/>
      <c r="I10" s="236"/>
      <c r="J10" s="236"/>
      <c r="K10" s="236"/>
      <c r="L10" s="237"/>
      <c r="M10" s="231"/>
      <c r="N10" s="40"/>
    </row>
    <row r="11" spans="2:23" x14ac:dyDescent="0.2">
      <c r="B11" s="238"/>
      <c r="C11" s="40"/>
      <c r="D11" s="50"/>
      <c r="E11" s="50"/>
      <c r="F11" s="40"/>
      <c r="G11" s="239"/>
      <c r="H11" s="50"/>
      <c r="I11" s="240"/>
      <c r="J11" s="240"/>
      <c r="K11" s="240"/>
      <c r="L11" s="241"/>
      <c r="M11" s="231"/>
      <c r="N11" s="224" t="s">
        <v>181</v>
      </c>
    </row>
    <row r="12" spans="2:23" x14ac:dyDescent="0.2">
      <c r="B12" s="78" t="s">
        <v>84</v>
      </c>
      <c r="C12" s="79" t="s">
        <v>85</v>
      </c>
      <c r="D12" s="44">
        <v>9634497.6315792762</v>
      </c>
      <c r="E12" s="95">
        <v>11.52</v>
      </c>
      <c r="F12" s="240">
        <f>SUM(+D12*E12)</f>
        <v>110989412.71579325</v>
      </c>
      <c r="H12" s="242">
        <v>12.5</v>
      </c>
      <c r="I12" s="240">
        <f>SUM(+D12*H12)</f>
        <v>120431220.39474095</v>
      </c>
      <c r="J12" s="240"/>
      <c r="K12" s="240">
        <f>I12-F12</f>
        <v>9441807.6789477021</v>
      </c>
      <c r="L12" s="243">
        <f>IFERROR(ROUND(K12/F12,5), )</f>
        <v>8.5070000000000007E-2</v>
      </c>
      <c r="M12" s="231"/>
      <c r="N12" s="244">
        <v>403617221.39551479</v>
      </c>
    </row>
    <row r="13" spans="2:23" x14ac:dyDescent="0.2">
      <c r="B13" s="238" t="s">
        <v>86</v>
      </c>
      <c r="C13" s="40" t="s">
        <v>87</v>
      </c>
      <c r="D13" s="212">
        <v>620836684.05687141</v>
      </c>
      <c r="E13" s="81">
        <v>0.41964000000000001</v>
      </c>
      <c r="F13" s="240">
        <f>ROUND(D13*E13,2)</f>
        <v>260527906.09999999</v>
      </c>
      <c r="H13" s="115">
        <f>ROUND((N12-I12-I20-I32)/D13, 5)</f>
        <v>0.45612999999999998</v>
      </c>
      <c r="I13" s="240">
        <f>ROUND(D13*H13,2)</f>
        <v>283182236.69999999</v>
      </c>
      <c r="J13" s="240"/>
      <c r="K13" s="240">
        <f>I13-F13</f>
        <v>22654330.599999994</v>
      </c>
      <c r="L13" s="243">
        <f>IFERROR(ROUND(K13/F13,5), )</f>
        <v>8.6959999999999996E-2</v>
      </c>
      <c r="M13" s="40"/>
      <c r="N13" s="245" t="s">
        <v>116</v>
      </c>
    </row>
    <row r="14" spans="2:23" x14ac:dyDescent="0.2">
      <c r="B14" s="246"/>
      <c r="C14" s="247"/>
      <c r="D14" s="44"/>
      <c r="E14" s="50"/>
      <c r="F14" s="248">
        <f>SUM(F12:F13)</f>
        <v>371517318.81579328</v>
      </c>
      <c r="H14" s="50"/>
      <c r="I14" s="248">
        <f>SUM(I12:I13)</f>
        <v>403613457.09474093</v>
      </c>
      <c r="J14" s="240"/>
      <c r="K14" s="248">
        <f>SUM(K12:K13)</f>
        <v>32096138.278947696</v>
      </c>
      <c r="L14" s="249">
        <f>IFERROR(ROUND(K14/F14,5), )</f>
        <v>8.6389999999999995E-2</v>
      </c>
      <c r="M14" s="40"/>
      <c r="N14" s="250">
        <f>I37-N12</f>
        <v>1468.8492261171341</v>
      </c>
    </row>
    <row r="15" spans="2:23" x14ac:dyDescent="0.2">
      <c r="B15" s="246"/>
      <c r="C15" s="251"/>
      <c r="D15" s="50"/>
      <c r="E15" s="81"/>
      <c r="F15" s="252"/>
      <c r="H15" s="50"/>
      <c r="I15" s="240"/>
      <c r="J15" s="240"/>
      <c r="K15" s="240"/>
      <c r="L15" s="241"/>
      <c r="M15" s="253"/>
    </row>
    <row r="16" spans="2:23" x14ac:dyDescent="0.2">
      <c r="B16" s="254" t="s">
        <v>182</v>
      </c>
      <c r="C16" s="247"/>
      <c r="D16" s="212"/>
      <c r="E16" s="50"/>
      <c r="F16" s="248">
        <f>F14</f>
        <v>371517318.81579328</v>
      </c>
      <c r="H16" s="50"/>
      <c r="I16" s="248">
        <f>I14</f>
        <v>403613457.09474093</v>
      </c>
      <c r="J16" s="240"/>
      <c r="K16" s="248">
        <f>K14</f>
        <v>32096138.278947696</v>
      </c>
      <c r="L16" s="249">
        <f>IFERROR(ROUND(K16/F16,5), )</f>
        <v>8.6389999999999995E-2</v>
      </c>
      <c r="M16" s="253"/>
      <c r="N16" s="255">
        <v>8.0480791636416082E-2</v>
      </c>
      <c r="O16" s="40"/>
      <c r="W16" s="40"/>
    </row>
    <row r="17" spans="1:23" s="47" customFormat="1" x14ac:dyDescent="0.2">
      <c r="B17" s="82"/>
      <c r="C17" s="83"/>
      <c r="D17" s="83"/>
      <c r="E17" s="83"/>
      <c r="F17" s="84"/>
      <c r="G17" s="85"/>
      <c r="H17" s="83"/>
      <c r="I17" s="84"/>
      <c r="J17" s="84"/>
      <c r="K17" s="84"/>
      <c r="L17" s="86"/>
      <c r="M17" s="50"/>
      <c r="N17" s="50"/>
      <c r="O17" s="50"/>
      <c r="W17" s="50"/>
    </row>
    <row r="18" spans="1:23" x14ac:dyDescent="0.2">
      <c r="A18" s="47"/>
      <c r="B18" s="90" t="s">
        <v>118</v>
      </c>
      <c r="C18" s="256"/>
      <c r="D18" s="177"/>
      <c r="E18" s="177"/>
      <c r="F18" s="236"/>
      <c r="G18" s="235"/>
      <c r="H18" s="177"/>
      <c r="I18" s="236"/>
      <c r="J18" s="236"/>
      <c r="K18" s="236"/>
      <c r="L18" s="257"/>
      <c r="M18" s="40"/>
      <c r="N18" s="40"/>
      <c r="O18" s="40"/>
      <c r="W18" s="40"/>
    </row>
    <row r="19" spans="1:23" s="47" customFormat="1" x14ac:dyDescent="0.2">
      <c r="B19" s="91"/>
      <c r="C19" s="50"/>
      <c r="D19" s="50"/>
      <c r="E19" s="50"/>
      <c r="F19" s="88"/>
      <c r="G19" s="92"/>
      <c r="H19" s="50"/>
      <c r="I19" s="88"/>
      <c r="J19" s="88"/>
      <c r="K19" s="88"/>
      <c r="L19" s="93"/>
      <c r="M19" s="94"/>
      <c r="N19" s="258"/>
      <c r="O19" s="50"/>
      <c r="W19" s="50"/>
    </row>
    <row r="20" spans="1:23" s="47" customFormat="1" ht="13.5" customHeight="1" x14ac:dyDescent="0.2">
      <c r="B20" s="78" t="s">
        <v>84</v>
      </c>
      <c r="C20" s="79" t="s">
        <v>85</v>
      </c>
      <c r="D20" s="44">
        <v>0</v>
      </c>
      <c r="E20" s="95">
        <v>11.52</v>
      </c>
      <c r="F20" s="88">
        <f>SUM(+D20*E20)</f>
        <v>0</v>
      </c>
      <c r="G20" s="44"/>
      <c r="H20" s="242">
        <f>H12</f>
        <v>12.5</v>
      </c>
      <c r="I20" s="88">
        <f>SUM(+D20*H20)</f>
        <v>0</v>
      </c>
      <c r="J20" s="88"/>
      <c r="K20" s="88">
        <f>I20-F20</f>
        <v>0</v>
      </c>
      <c r="L20" s="243">
        <f t="shared" ref="L20:L21" si="0">IFERROR(ROUND(K20/F20,5), )</f>
        <v>0</v>
      </c>
      <c r="M20" s="94"/>
      <c r="N20" s="122"/>
      <c r="O20" s="50"/>
      <c r="W20" s="50"/>
    </row>
    <row r="21" spans="1:23" s="47" customFormat="1" ht="13.5" customHeight="1" x14ac:dyDescent="0.2">
      <c r="B21" s="238" t="s">
        <v>86</v>
      </c>
      <c r="C21" s="40" t="s">
        <v>87</v>
      </c>
      <c r="D21" s="44">
        <v>0</v>
      </c>
      <c r="E21" s="81">
        <v>0.41964000000000001</v>
      </c>
      <c r="F21" s="88">
        <f>ROUND(D21*E21,2)</f>
        <v>0</v>
      </c>
      <c r="G21" s="44"/>
      <c r="H21" s="115">
        <f>H13</f>
        <v>0.45612999999999998</v>
      </c>
      <c r="I21" s="88">
        <f>ROUND(D21*H21,2)</f>
        <v>0</v>
      </c>
      <c r="J21" s="88"/>
      <c r="K21" s="88">
        <f>I21-F21</f>
        <v>0</v>
      </c>
      <c r="L21" s="243">
        <f t="shared" si="0"/>
        <v>0</v>
      </c>
      <c r="M21" s="94"/>
      <c r="N21" s="259"/>
      <c r="O21" s="50"/>
      <c r="W21" s="50"/>
    </row>
    <row r="22" spans="1:23" s="47" customFormat="1" ht="13.5" customHeight="1" x14ac:dyDescent="0.2">
      <c r="B22" s="254" t="s">
        <v>119</v>
      </c>
      <c r="C22" s="79"/>
      <c r="D22" s="44"/>
      <c r="E22" s="50"/>
      <c r="F22" s="248">
        <f>SUM(F20:F21)</f>
        <v>0</v>
      </c>
      <c r="G22" s="44"/>
      <c r="H22" s="50"/>
      <c r="I22" s="248">
        <f>SUM(I20:I21)</f>
        <v>0</v>
      </c>
      <c r="J22" s="88"/>
      <c r="K22" s="248">
        <f>SUM(K20:K21)</f>
        <v>0</v>
      </c>
      <c r="L22" s="249">
        <f>IFERROR(ROUND(K22/F22,5), )</f>
        <v>0</v>
      </c>
      <c r="M22" s="50"/>
      <c r="N22" s="259"/>
      <c r="O22" s="50"/>
      <c r="W22" s="50"/>
    </row>
    <row r="23" spans="1:23" s="47" customFormat="1" ht="13.5" customHeight="1" x14ac:dyDescent="0.2">
      <c r="B23" s="97"/>
      <c r="C23" s="151"/>
      <c r="D23" s="50"/>
      <c r="E23" s="50"/>
      <c r="F23" s="98"/>
      <c r="G23" s="44"/>
      <c r="H23" s="50"/>
      <c r="I23" s="88"/>
      <c r="J23" s="88"/>
      <c r="K23" s="88"/>
      <c r="L23" s="93"/>
      <c r="M23" s="50"/>
      <c r="N23" s="260"/>
      <c r="O23" s="50"/>
      <c r="W23" s="50"/>
    </row>
    <row r="24" spans="1:23" s="47" customFormat="1" ht="13.5" customHeight="1" x14ac:dyDescent="0.2">
      <c r="B24" s="78" t="s">
        <v>182</v>
      </c>
      <c r="C24" s="79"/>
      <c r="D24" s="50"/>
      <c r="E24" s="50"/>
      <c r="F24" s="248">
        <f>F22</f>
        <v>0</v>
      </c>
      <c r="G24" s="44"/>
      <c r="H24" s="50"/>
      <c r="I24" s="248">
        <f>I22</f>
        <v>0</v>
      </c>
      <c r="J24" s="88"/>
      <c r="K24" s="248">
        <f>K22</f>
        <v>0</v>
      </c>
      <c r="L24" s="249">
        <f>IFERROR(ROUND(K24/F24,5), )</f>
        <v>0</v>
      </c>
      <c r="M24" s="50"/>
      <c r="N24" s="261"/>
      <c r="O24" s="50"/>
      <c r="W24" s="50"/>
    </row>
    <row r="25" spans="1:23" s="47" customFormat="1" ht="13.5" customHeight="1" x14ac:dyDescent="0.2">
      <c r="B25" s="82"/>
      <c r="C25" s="83"/>
      <c r="D25" s="83"/>
      <c r="E25" s="83"/>
      <c r="F25" s="84"/>
      <c r="G25" s="83"/>
      <c r="H25" s="83"/>
      <c r="I25" s="84"/>
      <c r="J25" s="84"/>
      <c r="K25" s="84"/>
      <c r="L25" s="86"/>
      <c r="M25" s="50"/>
      <c r="N25" s="262"/>
      <c r="O25" s="50"/>
      <c r="W25" s="50"/>
    </row>
    <row r="26" spans="1:23" ht="13.5" customHeight="1" x14ac:dyDescent="0.2">
      <c r="B26" s="90" t="s">
        <v>120</v>
      </c>
      <c r="C26" s="233"/>
      <c r="D26" s="177"/>
      <c r="E26" s="177"/>
      <c r="F26" s="236"/>
      <c r="G26" s="235"/>
      <c r="H26" s="234"/>
      <c r="I26" s="236"/>
      <c r="J26" s="236"/>
      <c r="K26" s="236"/>
      <c r="L26" s="257"/>
      <c r="M26" s="40"/>
      <c r="N26" s="47"/>
      <c r="O26" s="40"/>
      <c r="W26" s="40"/>
    </row>
    <row r="27" spans="1:23" ht="13.5" customHeight="1" x14ac:dyDescent="0.2">
      <c r="B27" s="246"/>
      <c r="C27" s="251"/>
      <c r="D27" s="50"/>
      <c r="E27" s="50"/>
      <c r="F27" s="240"/>
      <c r="G27" s="263"/>
      <c r="H27" s="40"/>
      <c r="I27" s="240"/>
      <c r="J27" s="240"/>
      <c r="K27" s="240"/>
      <c r="L27" s="241"/>
      <c r="M27" s="231"/>
      <c r="N27" s="47"/>
      <c r="O27" s="40"/>
      <c r="W27" s="40"/>
    </row>
    <row r="28" spans="1:23" ht="13.5" customHeight="1" x14ac:dyDescent="0.2">
      <c r="B28" s="91" t="s">
        <v>121</v>
      </c>
      <c r="C28" s="102" t="s">
        <v>88</v>
      </c>
      <c r="D28" s="44">
        <v>431.06668421052632</v>
      </c>
      <c r="E28" s="95">
        <v>11.24</v>
      </c>
      <c r="F28" s="240">
        <f>ROUND(D28*E28,2)</f>
        <v>4845.1899999999996</v>
      </c>
      <c r="H28" s="242">
        <f>ROUND(E28*(1+N16), 2)</f>
        <v>12.14</v>
      </c>
      <c r="I28" s="240">
        <f>ROUND(D28*H28,2)</f>
        <v>5233.1499999999996</v>
      </c>
      <c r="J28" s="240"/>
      <c r="K28" s="240">
        <f>I28-F28</f>
        <v>387.96000000000004</v>
      </c>
      <c r="L28" s="243">
        <f>IFERROR(ROUND(K28/F28,5), )</f>
        <v>8.0070000000000002E-2</v>
      </c>
      <c r="M28" s="264"/>
      <c r="N28" s="47"/>
      <c r="O28" s="40"/>
      <c r="W28" s="40"/>
    </row>
    <row r="29" spans="1:23" ht="13.5" customHeight="1" x14ac:dyDescent="0.2">
      <c r="B29" s="238"/>
      <c r="C29" s="40"/>
      <c r="D29" s="50"/>
      <c r="E29" s="50"/>
      <c r="F29" s="240"/>
      <c r="G29" s="40"/>
      <c r="H29" s="40"/>
      <c r="I29" s="240"/>
      <c r="J29" s="240"/>
      <c r="K29" s="240"/>
      <c r="L29" s="243"/>
      <c r="M29" s="264"/>
      <c r="N29" s="47"/>
      <c r="O29" s="40"/>
      <c r="W29" s="40"/>
    </row>
    <row r="30" spans="1:23" ht="13.5" customHeight="1" x14ac:dyDescent="0.2">
      <c r="B30" s="254" t="s">
        <v>122</v>
      </c>
      <c r="C30" s="247"/>
      <c r="D30" s="44">
        <v>8190.2669999999998</v>
      </c>
      <c r="E30" s="44"/>
      <c r="F30" s="252"/>
      <c r="H30" s="40"/>
      <c r="I30" s="240"/>
      <c r="J30" s="240"/>
      <c r="K30" s="240"/>
      <c r="L30" s="241"/>
      <c r="M30" s="264"/>
      <c r="N30" s="47"/>
      <c r="O30" s="40"/>
      <c r="W30" s="40"/>
    </row>
    <row r="31" spans="1:23" ht="13.5" customHeight="1" x14ac:dyDescent="0.2">
      <c r="B31" s="238"/>
      <c r="C31" s="40"/>
      <c r="D31" s="50"/>
      <c r="E31" s="50"/>
      <c r="F31" s="88"/>
      <c r="G31" s="44"/>
      <c r="H31" s="50"/>
      <c r="I31" s="88"/>
      <c r="J31" s="240"/>
      <c r="K31" s="240"/>
      <c r="L31" s="241"/>
      <c r="M31" s="253"/>
      <c r="N31" s="47"/>
      <c r="O31" s="40"/>
      <c r="W31" s="40"/>
    </row>
    <row r="32" spans="1:23" ht="13.5" customHeight="1" x14ac:dyDescent="0.2">
      <c r="B32" s="238" t="s">
        <v>182</v>
      </c>
      <c r="C32" s="40"/>
      <c r="D32" s="50"/>
      <c r="E32" s="50"/>
      <c r="F32" s="248">
        <f>F28</f>
        <v>4845.1899999999996</v>
      </c>
      <c r="H32" s="40"/>
      <c r="I32" s="248">
        <f>I28</f>
        <v>5233.1499999999996</v>
      </c>
      <c r="J32" s="240"/>
      <c r="K32" s="248">
        <f>K28</f>
        <v>387.96000000000004</v>
      </c>
      <c r="L32" s="249">
        <f>IFERROR(ROUND(K32/F32,5), )</f>
        <v>8.0070000000000002E-2</v>
      </c>
      <c r="M32" s="231"/>
      <c r="N32" s="47"/>
      <c r="O32" s="40"/>
      <c r="W32" s="40"/>
    </row>
    <row r="33" spans="2:23" ht="13.5" customHeight="1" x14ac:dyDescent="0.2">
      <c r="B33" s="265"/>
      <c r="C33" s="266"/>
      <c r="D33" s="83"/>
      <c r="E33" s="83"/>
      <c r="F33" s="267"/>
      <c r="G33" s="268"/>
      <c r="H33" s="269"/>
      <c r="I33" s="270"/>
      <c r="J33" s="270"/>
      <c r="K33" s="269"/>
      <c r="L33" s="271"/>
      <c r="M33" s="259"/>
      <c r="N33" s="47"/>
      <c r="O33" s="40"/>
      <c r="W33" s="40"/>
    </row>
    <row r="34" spans="2:23" ht="13.5" customHeight="1" x14ac:dyDescent="0.2">
      <c r="B34" s="48"/>
      <c r="K34" s="40"/>
      <c r="L34" s="272"/>
      <c r="M34" s="253"/>
      <c r="O34" s="40"/>
      <c r="W34" s="40"/>
    </row>
    <row r="35" spans="2:23" x14ac:dyDescent="0.2">
      <c r="B35" s="211" t="s">
        <v>123</v>
      </c>
      <c r="K35" s="40"/>
      <c r="L35" s="272"/>
      <c r="M35" s="259"/>
      <c r="O35" s="40"/>
      <c r="W35" s="40"/>
    </row>
    <row r="36" spans="2:23" x14ac:dyDescent="0.2">
      <c r="B36" s="48"/>
      <c r="D36" s="103" t="s">
        <v>87</v>
      </c>
      <c r="F36" s="226" t="s">
        <v>78</v>
      </c>
      <c r="I36" s="227" t="s">
        <v>26</v>
      </c>
      <c r="K36" s="227" t="s">
        <v>73</v>
      </c>
      <c r="L36" s="272"/>
      <c r="O36" s="40"/>
      <c r="W36" s="40"/>
    </row>
    <row r="37" spans="2:23" x14ac:dyDescent="0.2">
      <c r="B37" s="48" t="s">
        <v>183</v>
      </c>
      <c r="D37" s="273">
        <f>D13+D21+D30</f>
        <v>620844874.32387137</v>
      </c>
      <c r="F37" s="274">
        <f>F14+F22+F28</f>
        <v>371522164.00579327</v>
      </c>
      <c r="G37" s="274"/>
      <c r="H37" s="274"/>
      <c r="I37" s="274">
        <f>I14+I22+I28</f>
        <v>403618690.2447409</v>
      </c>
      <c r="J37" s="274"/>
      <c r="K37" s="240">
        <f>I37-F37</f>
        <v>32096526.23894763</v>
      </c>
      <c r="L37" s="275">
        <f>K37/F37</f>
        <v>8.6391955443194335E-2</v>
      </c>
    </row>
    <row r="38" spans="2:23" ht="13.5" thickBot="1" x14ac:dyDescent="0.25">
      <c r="B38" s="48"/>
      <c r="D38" s="39"/>
      <c r="F38" s="240"/>
      <c r="I38" s="240"/>
      <c r="K38" s="240"/>
      <c r="L38" s="275"/>
    </row>
    <row r="39" spans="2:23" ht="13.5" thickBot="1" x14ac:dyDescent="0.25">
      <c r="B39" s="276" t="s">
        <v>13</v>
      </c>
      <c r="C39" s="277" t="s">
        <v>184</v>
      </c>
      <c r="D39" s="278">
        <v>373297420.99925822</v>
      </c>
      <c r="E39" s="104" t="s">
        <v>185</v>
      </c>
      <c r="F39" s="279">
        <f>D39-F37</f>
        <v>1775256.9934649467</v>
      </c>
      <c r="K39" s="40"/>
      <c r="L39" s="272"/>
      <c r="N39" s="274"/>
    </row>
    <row r="40" spans="2:23" x14ac:dyDescent="0.2">
      <c r="B40" s="48"/>
      <c r="F40" s="48"/>
      <c r="L40" s="272"/>
    </row>
    <row r="41" spans="2:23" x14ac:dyDescent="0.2">
      <c r="B41" s="280"/>
      <c r="L41" s="272"/>
    </row>
    <row r="42" spans="2:23" x14ac:dyDescent="0.2">
      <c r="B42" s="48"/>
      <c r="C42" s="48"/>
      <c r="D42" s="48"/>
      <c r="F42" s="48"/>
      <c r="G42" s="48"/>
      <c r="I42" s="48"/>
      <c r="J42" s="48"/>
      <c r="L42" s="275"/>
      <c r="M42" s="48"/>
    </row>
    <row r="43" spans="2:23" x14ac:dyDescent="0.2">
      <c r="L43" s="272"/>
    </row>
    <row r="44" spans="2:23" x14ac:dyDescent="0.2">
      <c r="L44" s="272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&amp;R&amp;A
 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zoomScale="90" zoomScaleNormal="90" zoomScaleSheetLayoutView="100" workbookViewId="0">
      <pane ySplit="8" topLeftCell="A58" activePane="bottomLeft" state="frozen"/>
      <selection activeCell="G42" sqref="G42"/>
      <selection pane="bottomLeft" activeCell="G42" sqref="G42"/>
    </sheetView>
  </sheetViews>
  <sheetFormatPr defaultColWidth="9.140625" defaultRowHeight="12.75" x14ac:dyDescent="0.2"/>
  <cols>
    <col min="1" max="1" width="2.42578125" style="48" customWidth="1"/>
    <col min="2" max="2" width="31.7109375" style="48" customWidth="1"/>
    <col min="3" max="3" width="9.7109375" style="48" customWidth="1"/>
    <col min="4" max="4" width="14.5703125" style="48" bestFit="1" customWidth="1"/>
    <col min="5" max="5" width="10.42578125" style="48" customWidth="1"/>
    <col min="6" max="6" width="14.7109375" style="213" bestFit="1" customWidth="1"/>
    <col min="7" max="7" width="2.85546875" style="39" customWidth="1"/>
    <col min="8" max="8" width="10.42578125" style="47" customWidth="1"/>
    <col min="9" max="9" width="15" style="213" customWidth="1"/>
    <col min="10" max="10" width="2.85546875" style="213" customWidth="1"/>
    <col min="11" max="11" width="13.28515625" style="213" customWidth="1"/>
    <col min="12" max="12" width="10.42578125" style="275" customWidth="1"/>
    <col min="13" max="13" width="2.85546875" style="281" customWidth="1"/>
    <col min="14" max="14" width="2" style="282" customWidth="1"/>
    <col min="15" max="15" width="14.5703125" style="48" customWidth="1"/>
    <col min="16" max="16" width="15" style="48" bestFit="1" customWidth="1"/>
    <col min="17" max="16384" width="9.140625" style="48"/>
  </cols>
  <sheetData>
    <row r="1" spans="1:15" x14ac:dyDescent="0.2">
      <c r="B1" s="206" t="s">
        <v>12</v>
      </c>
    </row>
    <row r="2" spans="1:15" x14ac:dyDescent="0.2">
      <c r="B2" s="208" t="s">
        <v>310</v>
      </c>
      <c r="C2" s="38"/>
      <c r="D2" s="38"/>
      <c r="E2" s="38"/>
      <c r="F2" s="283"/>
      <c r="G2" s="105"/>
      <c r="H2" s="64"/>
      <c r="I2" s="283"/>
      <c r="J2" s="283"/>
      <c r="K2" s="283"/>
      <c r="L2" s="284"/>
      <c r="M2" s="285"/>
      <c r="N2" s="285"/>
      <c r="O2" s="38"/>
    </row>
    <row r="3" spans="1:15" x14ac:dyDescent="0.2">
      <c r="B3" s="208" t="s">
        <v>311</v>
      </c>
      <c r="C3" s="38"/>
      <c r="D3" s="38"/>
      <c r="E3" s="38"/>
      <c r="F3" s="38"/>
      <c r="G3" s="64"/>
      <c r="H3" s="64"/>
      <c r="I3" s="38"/>
      <c r="J3" s="38"/>
      <c r="K3" s="38"/>
      <c r="L3" s="284"/>
      <c r="M3" s="38"/>
      <c r="N3" s="285"/>
      <c r="O3" s="38"/>
    </row>
    <row r="4" spans="1:15" x14ac:dyDescent="0.2">
      <c r="B4" s="208" t="s">
        <v>125</v>
      </c>
      <c r="C4" s="38"/>
      <c r="D4" s="38"/>
      <c r="E4" s="38"/>
      <c r="F4" s="38"/>
      <c r="G4" s="64"/>
      <c r="H4" s="64"/>
      <c r="I4" s="38"/>
      <c r="J4" s="38"/>
      <c r="K4" s="38"/>
      <c r="L4" s="284"/>
      <c r="M4" s="38"/>
      <c r="N4" s="285"/>
      <c r="O4" s="38"/>
    </row>
    <row r="5" spans="1:15" x14ac:dyDescent="0.2">
      <c r="B5" s="208" t="s">
        <v>312</v>
      </c>
      <c r="C5" s="38"/>
      <c r="D5" s="38"/>
      <c r="E5" s="38"/>
      <c r="F5" s="38"/>
      <c r="G5" s="64"/>
      <c r="H5" s="64"/>
      <c r="I5" s="38"/>
      <c r="J5" s="38"/>
      <c r="K5" s="38"/>
      <c r="L5" s="284"/>
      <c r="M5" s="38"/>
      <c r="N5" s="286"/>
      <c r="O5" s="210"/>
    </row>
    <row r="6" spans="1:15" ht="13.5" customHeight="1" x14ac:dyDescent="0.2">
      <c r="B6" s="287"/>
      <c r="C6" s="287"/>
      <c r="D6" s="287"/>
      <c r="E6" s="287"/>
      <c r="F6" s="288"/>
      <c r="G6" s="106"/>
      <c r="H6" s="15"/>
      <c r="I6" s="288"/>
      <c r="J6" s="288"/>
      <c r="K6" s="288"/>
      <c r="L6" s="289"/>
      <c r="N6" s="253"/>
      <c r="O6" s="40"/>
    </row>
    <row r="7" spans="1:15" ht="12" customHeight="1" x14ac:dyDescent="0.2">
      <c r="B7" s="216"/>
      <c r="C7" s="217"/>
      <c r="D7" s="75" t="s">
        <v>77</v>
      </c>
      <c r="E7" s="76" t="s">
        <v>179</v>
      </c>
      <c r="F7" s="218"/>
      <c r="G7" s="49"/>
      <c r="H7" s="220" t="s">
        <v>180</v>
      </c>
      <c r="I7" s="218"/>
      <c r="J7" s="221"/>
      <c r="K7" s="667" t="s">
        <v>111</v>
      </c>
      <c r="L7" s="668"/>
      <c r="M7" s="223"/>
      <c r="N7" s="286"/>
      <c r="O7" s="224" t="s">
        <v>79</v>
      </c>
    </row>
    <row r="8" spans="1:15" x14ac:dyDescent="0.2">
      <c r="B8" s="225" t="s">
        <v>80</v>
      </c>
      <c r="C8" s="226" t="s">
        <v>81</v>
      </c>
      <c r="D8" s="203" t="s">
        <v>82</v>
      </c>
      <c r="E8" s="226" t="s">
        <v>74</v>
      </c>
      <c r="F8" s="227" t="s">
        <v>83</v>
      </c>
      <c r="G8" s="203"/>
      <c r="H8" s="203" t="s">
        <v>74</v>
      </c>
      <c r="I8" s="227" t="s">
        <v>83</v>
      </c>
      <c r="J8" s="227"/>
      <c r="K8" s="227" t="s">
        <v>112</v>
      </c>
      <c r="L8" s="290" t="s">
        <v>113</v>
      </c>
      <c r="M8" s="291"/>
      <c r="N8" s="229"/>
      <c r="O8" s="230" t="s">
        <v>114</v>
      </c>
    </row>
    <row r="9" spans="1:15" x14ac:dyDescent="0.2">
      <c r="A9" s="40"/>
      <c r="B9" s="258"/>
      <c r="C9" s="258"/>
      <c r="D9" s="258"/>
      <c r="E9" s="258"/>
      <c r="F9" s="292"/>
      <c r="G9" s="49"/>
      <c r="H9" s="49"/>
      <c r="I9" s="292"/>
      <c r="J9" s="292"/>
      <c r="K9" s="292"/>
      <c r="L9" s="293"/>
      <c r="M9" s="291"/>
      <c r="N9" s="229"/>
      <c r="O9" s="40"/>
    </row>
    <row r="10" spans="1:15" x14ac:dyDescent="0.2">
      <c r="B10" s="232" t="s">
        <v>126</v>
      </c>
      <c r="C10" s="294"/>
      <c r="D10" s="234"/>
      <c r="E10" s="234"/>
      <c r="F10" s="236"/>
      <c r="G10" s="295"/>
      <c r="H10" s="177"/>
      <c r="I10" s="236"/>
      <c r="J10" s="236"/>
      <c r="K10" s="236"/>
      <c r="L10" s="257"/>
      <c r="M10" s="296"/>
      <c r="N10" s="253"/>
      <c r="O10" s="40"/>
    </row>
    <row r="11" spans="1:15" x14ac:dyDescent="0.2">
      <c r="B11" s="238"/>
      <c r="C11" s="40"/>
      <c r="D11" s="212"/>
      <c r="E11" s="40"/>
      <c r="F11" s="240"/>
      <c r="G11" s="44"/>
      <c r="H11" s="50"/>
      <c r="I11" s="240"/>
      <c r="J11" s="240"/>
      <c r="K11" s="240"/>
      <c r="L11" s="243"/>
      <c r="M11" s="296"/>
      <c r="N11" s="253"/>
      <c r="O11" s="297" t="s">
        <v>127</v>
      </c>
    </row>
    <row r="12" spans="1:15" x14ac:dyDescent="0.2">
      <c r="B12" s="78" t="s">
        <v>84</v>
      </c>
      <c r="C12" s="79" t="s">
        <v>85</v>
      </c>
      <c r="D12" s="44">
        <v>698499.36081828561</v>
      </c>
      <c r="E12" s="95">
        <v>33.840000000000003</v>
      </c>
      <c r="F12" s="240">
        <f>ROUND(D12*E12,2)</f>
        <v>23637218.370000001</v>
      </c>
      <c r="G12" s="44"/>
      <c r="H12" s="242">
        <v>38.89</v>
      </c>
      <c r="I12" s="88">
        <f>ROUND(D12*H12,2)</f>
        <v>27164640.140000001</v>
      </c>
      <c r="J12" s="240"/>
      <c r="K12" s="240">
        <f>I12-F12</f>
        <v>3527421.7699999996</v>
      </c>
      <c r="L12" s="243">
        <f>IFERROR(ROUND(K12/F12,5), )</f>
        <v>0.14923</v>
      </c>
      <c r="M12" s="296"/>
      <c r="N12" s="253"/>
      <c r="O12" s="80">
        <v>122144166.5837137</v>
      </c>
    </row>
    <row r="13" spans="1:15" x14ac:dyDescent="0.2">
      <c r="B13" s="238" t="s">
        <v>86</v>
      </c>
      <c r="C13" s="40" t="s">
        <v>87</v>
      </c>
      <c r="D13" s="44">
        <v>222166912.14539161</v>
      </c>
      <c r="E13" s="81">
        <v>0.37956000000000001</v>
      </c>
      <c r="F13" s="240">
        <f>ROUND(D13*E13,2)</f>
        <v>84325673.170000002</v>
      </c>
      <c r="G13" s="44"/>
      <c r="H13" s="115">
        <f>ROUND((O12-I12-I14-I22)/D32,5)</f>
        <v>0.41249000000000002</v>
      </c>
      <c r="I13" s="88">
        <f>ROUND(D13*H13,2)</f>
        <v>91641629.590000004</v>
      </c>
      <c r="J13" s="240"/>
      <c r="K13" s="240">
        <f>I13-F13</f>
        <v>7315956.4200000018</v>
      </c>
      <c r="L13" s="243">
        <f>IFERROR(ROUND(K13/F13,5), )</f>
        <v>8.6760000000000004E-2</v>
      </c>
      <c r="M13" s="296"/>
      <c r="N13" s="253"/>
      <c r="O13" s="245" t="s">
        <v>116</v>
      </c>
    </row>
    <row r="14" spans="1:15" x14ac:dyDescent="0.2">
      <c r="B14" s="238" t="s">
        <v>89</v>
      </c>
      <c r="C14" s="40"/>
      <c r="D14" s="44">
        <f>D13</f>
        <v>222166912.14539161</v>
      </c>
      <c r="E14" s="81">
        <v>1.371E-2</v>
      </c>
      <c r="F14" s="240">
        <f>ROUND(D14*E14,2)</f>
        <v>3045908.37</v>
      </c>
      <c r="G14" s="44"/>
      <c r="H14" s="115">
        <v>1.4919999999999999E-2</v>
      </c>
      <c r="I14" s="240">
        <f>ROUND(D14*H14,2)</f>
        <v>3314730.33</v>
      </c>
      <c r="J14" s="298"/>
      <c r="K14" s="240">
        <f>I14-F14</f>
        <v>268821.95999999996</v>
      </c>
      <c r="L14" s="243">
        <f>IFERROR(ROUND(K14/F14,5), )</f>
        <v>8.8260000000000005E-2</v>
      </c>
      <c r="M14" s="291"/>
      <c r="N14" s="291"/>
      <c r="O14" s="107">
        <f>I36-O12</f>
        <v>815.4562863111496</v>
      </c>
    </row>
    <row r="15" spans="1:15" x14ac:dyDescent="0.2">
      <c r="B15" s="254" t="s">
        <v>119</v>
      </c>
      <c r="C15" s="247"/>
      <c r="D15" s="44"/>
      <c r="E15" s="50"/>
      <c r="F15" s="248">
        <f>SUM(F12:F14)</f>
        <v>111008799.91000001</v>
      </c>
      <c r="G15" s="44"/>
      <c r="H15" s="44"/>
      <c r="I15" s="108">
        <f>SUM(I12:I14)</f>
        <v>122121000.06</v>
      </c>
      <c r="J15" s="240"/>
      <c r="K15" s="248">
        <f>SUM(K12:K14)</f>
        <v>11112200.150000002</v>
      </c>
      <c r="L15" s="249">
        <f>IFERROR(ROUND(K15/F15,5), )</f>
        <v>0.10009999999999999</v>
      </c>
      <c r="M15" s="296"/>
      <c r="N15" s="253"/>
      <c r="O15" s="109"/>
    </row>
    <row r="16" spans="1:15" x14ac:dyDescent="0.2">
      <c r="B16" s="238"/>
      <c r="C16" s="40"/>
      <c r="D16" s="50"/>
      <c r="E16" s="50"/>
      <c r="F16" s="240"/>
      <c r="G16" s="44"/>
      <c r="H16" s="44"/>
      <c r="I16" s="88"/>
      <c r="J16" s="240"/>
      <c r="K16" s="240"/>
      <c r="L16" s="243"/>
      <c r="M16" s="296"/>
      <c r="N16" s="253"/>
      <c r="O16" s="299">
        <v>9.5490287038700439E-2</v>
      </c>
    </row>
    <row r="17" spans="1:15" x14ac:dyDescent="0.2">
      <c r="B17" s="254" t="s">
        <v>182</v>
      </c>
      <c r="C17" s="40"/>
      <c r="D17" s="50"/>
      <c r="E17" s="40"/>
      <c r="F17" s="248">
        <f>F15</f>
        <v>111008799.91000001</v>
      </c>
      <c r="G17" s="110"/>
      <c r="H17" s="111"/>
      <c r="I17" s="108">
        <f>I15</f>
        <v>122121000.06</v>
      </c>
      <c r="J17" s="240"/>
      <c r="K17" s="108">
        <f>K15</f>
        <v>11112200.150000002</v>
      </c>
      <c r="L17" s="249">
        <f>ROUND(K17/F17,5)</f>
        <v>0.10009999999999999</v>
      </c>
      <c r="M17" s="296"/>
      <c r="N17" s="253"/>
      <c r="O17" s="258"/>
    </row>
    <row r="18" spans="1:15" x14ac:dyDescent="0.2">
      <c r="B18" s="300"/>
      <c r="C18" s="301"/>
      <c r="D18" s="83"/>
      <c r="E18" s="112"/>
      <c r="F18" s="113"/>
      <c r="G18" s="83"/>
      <c r="H18" s="114"/>
      <c r="I18" s="84"/>
      <c r="J18" s="302"/>
      <c r="K18" s="302"/>
      <c r="L18" s="303"/>
      <c r="M18" s="296"/>
      <c r="N18" s="253"/>
      <c r="O18" s="40"/>
    </row>
    <row r="19" spans="1:15" x14ac:dyDescent="0.2">
      <c r="A19" s="40"/>
      <c r="B19" s="40"/>
      <c r="C19" s="40"/>
      <c r="D19" s="50"/>
      <c r="E19" s="40"/>
      <c r="F19" s="231"/>
      <c r="G19" s="110"/>
      <c r="H19" s="111"/>
      <c r="I19" s="231"/>
      <c r="J19" s="231"/>
      <c r="K19" s="240"/>
      <c r="L19" s="304"/>
      <c r="M19" s="296"/>
      <c r="N19" s="253"/>
      <c r="O19" s="40"/>
    </row>
    <row r="20" spans="1:15" x14ac:dyDescent="0.2">
      <c r="A20" s="40"/>
      <c r="B20" s="90" t="s">
        <v>128</v>
      </c>
      <c r="C20" s="294"/>
      <c r="D20" s="234"/>
      <c r="E20" s="234"/>
      <c r="F20" s="236"/>
      <c r="G20" s="295"/>
      <c r="H20" s="177"/>
      <c r="I20" s="236"/>
      <c r="J20" s="236"/>
      <c r="K20" s="236"/>
      <c r="L20" s="257"/>
      <c r="M20" s="296"/>
      <c r="N20" s="253"/>
      <c r="O20" s="40"/>
    </row>
    <row r="21" spans="1:15" x14ac:dyDescent="0.2">
      <c r="A21" s="40"/>
      <c r="B21" s="238"/>
      <c r="C21" s="40"/>
      <c r="D21" s="212"/>
      <c r="E21" s="40"/>
      <c r="F21" s="240"/>
      <c r="G21" s="44"/>
      <c r="H21" s="50"/>
      <c r="I21" s="240"/>
      <c r="J21" s="240"/>
      <c r="K21" s="240"/>
      <c r="L21" s="243"/>
      <c r="M21" s="296"/>
      <c r="N21" s="253"/>
      <c r="O21" s="40"/>
    </row>
    <row r="22" spans="1:15" x14ac:dyDescent="0.2">
      <c r="A22" s="40"/>
      <c r="B22" s="78" t="s">
        <v>84</v>
      </c>
      <c r="C22" s="79" t="s">
        <v>85</v>
      </c>
      <c r="D22" s="44">
        <v>24</v>
      </c>
      <c r="E22" s="95">
        <v>364.04</v>
      </c>
      <c r="F22" s="240">
        <f>ROUND(D22*E22,2)</f>
        <v>8736.9599999999991</v>
      </c>
      <c r="G22" s="44"/>
      <c r="H22" s="242">
        <f>E22</f>
        <v>364.04</v>
      </c>
      <c r="I22" s="88">
        <f>ROUND(D22*H22,2)</f>
        <v>8736.9599999999991</v>
      </c>
      <c r="J22" s="240"/>
      <c r="K22" s="240">
        <f>I22-F22</f>
        <v>0</v>
      </c>
      <c r="L22" s="243">
        <f>IFERROR(ROUND(K22/F22,5), )</f>
        <v>0</v>
      </c>
      <c r="M22" s="296"/>
      <c r="N22" s="253"/>
      <c r="O22" s="40"/>
    </row>
    <row r="23" spans="1:15" x14ac:dyDescent="0.2">
      <c r="A23" s="40"/>
      <c r="B23" s="238" t="s">
        <v>86</v>
      </c>
      <c r="C23" s="40" t="s">
        <v>87</v>
      </c>
      <c r="D23" s="44">
        <v>36958.529999999992</v>
      </c>
      <c r="E23" s="81">
        <v>0.37956000000000001</v>
      </c>
      <c r="F23" s="240">
        <f>ROUND(D23*E23,2)</f>
        <v>14027.98</v>
      </c>
      <c r="G23" s="44"/>
      <c r="H23" s="115">
        <f>H13</f>
        <v>0.41249000000000002</v>
      </c>
      <c r="I23" s="88">
        <f>ROUND(D23*H23,2)</f>
        <v>15245.02</v>
      </c>
      <c r="J23" s="240"/>
      <c r="K23" s="240">
        <f>I23-F23</f>
        <v>1217.0400000000009</v>
      </c>
      <c r="L23" s="243">
        <f>IFERROR(ROUND(K23/F23,5), )</f>
        <v>8.6760000000000004E-2</v>
      </c>
      <c r="M23" s="296"/>
      <c r="N23" s="253"/>
      <c r="O23" s="40"/>
    </row>
    <row r="24" spans="1:15" x14ac:dyDescent="0.2">
      <c r="A24" s="40"/>
      <c r="B24" s="254" t="s">
        <v>119</v>
      </c>
      <c r="C24" s="247"/>
      <c r="D24" s="44"/>
      <c r="E24" s="50"/>
      <c r="F24" s="248">
        <f>SUM(F22:F23)</f>
        <v>22764.94</v>
      </c>
      <c r="G24" s="44"/>
      <c r="H24" s="44"/>
      <c r="I24" s="108">
        <f>SUM(I22:I23)</f>
        <v>23981.98</v>
      </c>
      <c r="J24" s="240"/>
      <c r="K24" s="108">
        <f>SUM(K22:K23)</f>
        <v>1217.0400000000009</v>
      </c>
      <c r="L24" s="249">
        <f>IFERROR(ROUND(K24/F24,5), )</f>
        <v>5.3460000000000001E-2</v>
      </c>
      <c r="M24" s="296"/>
      <c r="N24" s="253"/>
      <c r="O24" s="40"/>
    </row>
    <row r="25" spans="1:15" x14ac:dyDescent="0.2">
      <c r="A25" s="40"/>
      <c r="B25" s="238"/>
      <c r="C25" s="40"/>
      <c r="D25" s="40"/>
      <c r="E25" s="40"/>
      <c r="F25" s="214"/>
      <c r="G25" s="44"/>
      <c r="H25" s="50"/>
      <c r="I25" s="214"/>
      <c r="J25" s="214"/>
      <c r="K25" s="214"/>
      <c r="L25" s="243"/>
      <c r="M25" s="296"/>
      <c r="N25" s="253"/>
      <c r="O25" s="40"/>
    </row>
    <row r="26" spans="1:15" x14ac:dyDescent="0.2">
      <c r="A26" s="40"/>
      <c r="B26" s="254" t="s">
        <v>182</v>
      </c>
      <c r="C26" s="40"/>
      <c r="D26" s="50"/>
      <c r="E26" s="40"/>
      <c r="F26" s="248">
        <f>F24</f>
        <v>22764.94</v>
      </c>
      <c r="G26" s="110"/>
      <c r="H26" s="111"/>
      <c r="I26" s="248">
        <f>I24</f>
        <v>23981.98</v>
      </c>
      <c r="J26" s="240"/>
      <c r="K26" s="248">
        <v>1223.6925354000009</v>
      </c>
      <c r="L26" s="249">
        <f>ROUND(K26/F26,5)</f>
        <v>5.3749999999999999E-2</v>
      </c>
      <c r="M26" s="296"/>
      <c r="N26" s="253"/>
      <c r="O26" s="40"/>
    </row>
    <row r="27" spans="1:15" x14ac:dyDescent="0.2">
      <c r="A27" s="40"/>
      <c r="B27" s="300"/>
      <c r="C27" s="301"/>
      <c r="D27" s="83"/>
      <c r="E27" s="112"/>
      <c r="F27" s="113"/>
      <c r="G27" s="83"/>
      <c r="H27" s="114"/>
      <c r="I27" s="84"/>
      <c r="J27" s="302"/>
      <c r="K27" s="302"/>
      <c r="L27" s="303"/>
      <c r="M27" s="296"/>
      <c r="N27" s="253"/>
      <c r="O27" s="40"/>
    </row>
    <row r="28" spans="1:15" x14ac:dyDescent="0.2">
      <c r="A28" s="40"/>
      <c r="B28" s="40"/>
      <c r="C28" s="40"/>
      <c r="D28" s="50"/>
      <c r="E28" s="40"/>
      <c r="F28" s="231"/>
      <c r="G28" s="110"/>
      <c r="H28" s="111"/>
      <c r="I28" s="231"/>
      <c r="J28" s="231"/>
      <c r="K28" s="240"/>
      <c r="L28" s="304"/>
      <c r="M28" s="296"/>
      <c r="N28" s="253"/>
      <c r="O28" s="40"/>
    </row>
    <row r="29" spans="1:15" x14ac:dyDescent="0.2">
      <c r="A29" s="40"/>
      <c r="B29" s="232" t="s">
        <v>129</v>
      </c>
      <c r="C29" s="294"/>
      <c r="D29" s="234"/>
      <c r="E29" s="234"/>
      <c r="F29" s="236"/>
      <c r="G29" s="295"/>
      <c r="H29" s="177"/>
      <c r="I29" s="236"/>
      <c r="J29" s="236"/>
      <c r="K29" s="236"/>
      <c r="L29" s="257"/>
      <c r="M29" s="296"/>
      <c r="N29" s="253"/>
      <c r="O29" s="40"/>
    </row>
    <row r="30" spans="1:15" x14ac:dyDescent="0.2">
      <c r="A30" s="40"/>
      <c r="B30" s="238"/>
      <c r="C30" s="40"/>
      <c r="D30" s="212"/>
      <c r="E30" s="40"/>
      <c r="F30" s="240"/>
      <c r="G30" s="44"/>
      <c r="H30" s="50"/>
      <c r="I30" s="240"/>
      <c r="J30" s="240"/>
      <c r="K30" s="240"/>
      <c r="L30" s="243"/>
      <c r="M30" s="296"/>
      <c r="N30" s="253"/>
      <c r="O30" s="40"/>
    </row>
    <row r="31" spans="1:15" x14ac:dyDescent="0.2">
      <c r="A31" s="40"/>
      <c r="B31" s="78" t="s">
        <v>84</v>
      </c>
      <c r="C31" s="79" t="s">
        <v>85</v>
      </c>
      <c r="D31" s="44">
        <f>D12+D22</f>
        <v>698523.36081828561</v>
      </c>
      <c r="E31" s="95"/>
      <c r="F31" s="240">
        <f>F12+F22</f>
        <v>23645955.330000002</v>
      </c>
      <c r="G31" s="44"/>
      <c r="H31" s="116"/>
      <c r="I31" s="240">
        <f>I12+I22</f>
        <v>27173377.100000001</v>
      </c>
      <c r="J31" s="240"/>
      <c r="K31" s="240">
        <f>I31-F31</f>
        <v>3527421.7699999996</v>
      </c>
      <c r="L31" s="243">
        <f>IFERROR(ROUND(K31/F31,5), )</f>
        <v>0.14918000000000001</v>
      </c>
      <c r="M31" s="296"/>
      <c r="N31" s="253"/>
      <c r="O31" s="40"/>
    </row>
    <row r="32" spans="1:15" x14ac:dyDescent="0.2">
      <c r="A32" s="40"/>
      <c r="B32" s="238" t="s">
        <v>86</v>
      </c>
      <c r="C32" s="40" t="s">
        <v>87</v>
      </c>
      <c r="D32" s="44">
        <f>D13+D23</f>
        <v>222203870.67539161</v>
      </c>
      <c r="E32" s="81"/>
      <c r="F32" s="240">
        <f>F13+F23</f>
        <v>84339701.150000006</v>
      </c>
      <c r="G32" s="44"/>
      <c r="H32" s="99"/>
      <c r="I32" s="240">
        <f>I13+I23</f>
        <v>91656874.609999999</v>
      </c>
      <c r="J32" s="240"/>
      <c r="K32" s="240">
        <f>I32-F32</f>
        <v>7317173.4599999934</v>
      </c>
      <c r="L32" s="243">
        <f>IFERROR(ROUND(K32/F32,5), )</f>
        <v>8.6760000000000004E-2</v>
      </c>
      <c r="M32" s="296"/>
      <c r="N32" s="253"/>
      <c r="O32" s="40"/>
    </row>
    <row r="33" spans="1:15" x14ac:dyDescent="0.2">
      <c r="A33" s="40"/>
      <c r="B33" s="238" t="s">
        <v>89</v>
      </c>
      <c r="C33" s="40" t="s">
        <v>87</v>
      </c>
      <c r="D33" s="44">
        <f>D14</f>
        <v>222166912.14539161</v>
      </c>
      <c r="E33" s="81"/>
      <c r="F33" s="240">
        <f>F14</f>
        <v>3045908.37</v>
      </c>
      <c r="G33" s="44"/>
      <c r="H33" s="99"/>
      <c r="I33" s="240">
        <f>I14</f>
        <v>3314730.33</v>
      </c>
      <c r="J33" s="240"/>
      <c r="K33" s="240">
        <f>I33-F33</f>
        <v>268821.95999999996</v>
      </c>
      <c r="L33" s="243">
        <f>IFERROR(ROUND(K33/F33,5), )</f>
        <v>8.8260000000000005E-2</v>
      </c>
      <c r="M33" s="296"/>
      <c r="N33" s="253"/>
      <c r="O33" s="40"/>
    </row>
    <row r="34" spans="1:15" x14ac:dyDescent="0.2">
      <c r="A34" s="40"/>
      <c r="B34" s="254" t="s">
        <v>119</v>
      </c>
      <c r="C34" s="247"/>
      <c r="D34" s="44"/>
      <c r="E34" s="50"/>
      <c r="F34" s="248">
        <f>SUM(F31:F33)</f>
        <v>111031564.85000001</v>
      </c>
      <c r="G34" s="44"/>
      <c r="H34" s="44"/>
      <c r="I34" s="248">
        <f>SUM(I31:I33)</f>
        <v>122144982.04000001</v>
      </c>
      <c r="J34" s="240"/>
      <c r="K34" s="248">
        <f>SUM(K31:K33)</f>
        <v>11113417.189999994</v>
      </c>
      <c r="L34" s="249">
        <f>IFERROR(ROUND(K34/F34,5), )</f>
        <v>0.10009</v>
      </c>
      <c r="M34" s="296"/>
      <c r="N34" s="253"/>
      <c r="O34" s="40"/>
    </row>
    <row r="35" spans="1:15" x14ac:dyDescent="0.2">
      <c r="A35" s="40"/>
      <c r="B35" s="254"/>
      <c r="C35" s="247"/>
      <c r="D35" s="44"/>
      <c r="E35" s="50"/>
      <c r="F35" s="240"/>
      <c r="G35" s="44"/>
      <c r="H35" s="44"/>
      <c r="I35" s="240"/>
      <c r="J35" s="240"/>
      <c r="K35" s="240"/>
      <c r="L35" s="243"/>
      <c r="M35" s="296"/>
      <c r="N35" s="253"/>
      <c r="O35" s="40"/>
    </row>
    <row r="36" spans="1:15" x14ac:dyDescent="0.2">
      <c r="A36" s="40"/>
      <c r="B36" s="254" t="s">
        <v>182</v>
      </c>
      <c r="C36" s="40"/>
      <c r="D36" s="50"/>
      <c r="E36" s="40"/>
      <c r="F36" s="248">
        <f>F34</f>
        <v>111031564.85000001</v>
      </c>
      <c r="G36" s="110"/>
      <c r="H36" s="111"/>
      <c r="I36" s="248">
        <f>I34</f>
        <v>122144982.04000001</v>
      </c>
      <c r="J36" s="240"/>
      <c r="K36" s="248">
        <f>K34</f>
        <v>11113417.189999994</v>
      </c>
      <c r="L36" s="249">
        <f>ROUND(K36/F36,5)</f>
        <v>0.10009</v>
      </c>
      <c r="M36" s="296"/>
      <c r="N36" s="253"/>
      <c r="O36" s="40"/>
    </row>
    <row r="37" spans="1:15" x14ac:dyDescent="0.2">
      <c r="A37" s="40"/>
      <c r="B37" s="300"/>
      <c r="C37" s="301"/>
      <c r="D37" s="83"/>
      <c r="E37" s="112"/>
      <c r="F37" s="113"/>
      <c r="G37" s="83"/>
      <c r="H37" s="114"/>
      <c r="I37" s="84"/>
      <c r="J37" s="302"/>
      <c r="K37" s="302"/>
      <c r="L37" s="303"/>
      <c r="M37" s="296"/>
      <c r="N37" s="253"/>
      <c r="O37" s="40"/>
    </row>
    <row r="38" spans="1:15" x14ac:dyDescent="0.2">
      <c r="A38" s="40"/>
      <c r="B38" s="40"/>
      <c r="C38" s="40"/>
      <c r="D38" s="50"/>
      <c r="E38" s="40"/>
      <c r="F38" s="231"/>
      <c r="G38" s="110"/>
      <c r="H38" s="111"/>
      <c r="I38" s="231"/>
      <c r="J38" s="231"/>
      <c r="K38" s="240"/>
      <c r="L38" s="304"/>
      <c r="M38" s="296"/>
      <c r="N38" s="253"/>
      <c r="O38" s="40"/>
    </row>
    <row r="39" spans="1:15" x14ac:dyDescent="0.2">
      <c r="B39" s="90" t="s">
        <v>130</v>
      </c>
      <c r="C39" s="294"/>
      <c r="D39" s="177"/>
      <c r="E39" s="234"/>
      <c r="F39" s="236"/>
      <c r="G39" s="177"/>
      <c r="H39" s="177"/>
      <c r="I39" s="236"/>
      <c r="J39" s="236"/>
      <c r="K39" s="236"/>
      <c r="L39" s="257"/>
      <c r="M39" s="296"/>
      <c r="N39" s="253"/>
    </row>
    <row r="40" spans="1:15" x14ac:dyDescent="0.2">
      <c r="B40" s="91"/>
      <c r="C40" s="40"/>
      <c r="D40" s="50"/>
      <c r="E40" s="50"/>
      <c r="F40" s="240"/>
      <c r="G40" s="92"/>
      <c r="H40" s="50"/>
      <c r="I40" s="240"/>
      <c r="J40" s="240"/>
      <c r="K40" s="240"/>
      <c r="L40" s="243"/>
      <c r="M40" s="296"/>
      <c r="N40" s="253"/>
      <c r="O40" s="117" t="s">
        <v>131</v>
      </c>
    </row>
    <row r="41" spans="1:15" x14ac:dyDescent="0.2">
      <c r="B41" s="78" t="s">
        <v>84</v>
      </c>
      <c r="C41" s="79" t="s">
        <v>85</v>
      </c>
      <c r="D41" s="44">
        <v>14991.599999999999</v>
      </c>
      <c r="E41" s="95">
        <v>113.4</v>
      </c>
      <c r="F41" s="240">
        <f>ROUND(D41*E41,2)</f>
        <v>1700047.44</v>
      </c>
      <c r="G41" s="44"/>
      <c r="H41" s="242">
        <v>130.33000000000001</v>
      </c>
      <c r="I41" s="240">
        <f>ROUND(D41*H41,2)</f>
        <v>1953855.23</v>
      </c>
      <c r="J41" s="240"/>
      <c r="K41" s="240">
        <f>I41-F41</f>
        <v>253807.79000000004</v>
      </c>
      <c r="L41" s="241">
        <f t="shared" ref="L41:L43" si="0">IFERROR(ROUND(K41/F41,5), )</f>
        <v>0.14929000000000001</v>
      </c>
      <c r="M41" s="296"/>
      <c r="N41" s="253"/>
      <c r="O41" s="80">
        <v>22261666.953032859</v>
      </c>
    </row>
    <row r="42" spans="1:15" x14ac:dyDescent="0.2">
      <c r="B42" s="91" t="s">
        <v>91</v>
      </c>
      <c r="C42" s="79" t="s">
        <v>85</v>
      </c>
      <c r="D42" s="44">
        <f>D41</f>
        <v>14991.599999999999</v>
      </c>
      <c r="E42" s="95">
        <v>123.82</v>
      </c>
      <c r="F42" s="231">
        <f>D42*E42</f>
        <v>1856259.9119999998</v>
      </c>
      <c r="G42" s="44"/>
      <c r="H42" s="242">
        <f>ROUND(H46*900,2)</f>
        <v>126.28</v>
      </c>
      <c r="I42" s="231">
        <f>ROUND(D42*H42,2)</f>
        <v>1893139.25</v>
      </c>
      <c r="J42" s="231"/>
      <c r="K42" s="240">
        <f>I42-F42</f>
        <v>36879.338000000222</v>
      </c>
      <c r="L42" s="241">
        <f t="shared" si="0"/>
        <v>1.9869999999999999E-2</v>
      </c>
      <c r="M42" s="296"/>
      <c r="N42" s="229"/>
      <c r="O42" s="118" t="s">
        <v>116</v>
      </c>
    </row>
    <row r="43" spans="1:15" x14ac:dyDescent="0.2">
      <c r="B43" s="91" t="s">
        <v>92</v>
      </c>
      <c r="C43" s="40" t="s">
        <v>90</v>
      </c>
      <c r="D43" s="44">
        <v>4828804.7110000001</v>
      </c>
      <c r="E43" s="95">
        <v>1.25</v>
      </c>
      <c r="F43" s="231">
        <f>ROUND(D43*E43,2)</f>
        <v>6036005.8899999997</v>
      </c>
      <c r="G43" s="44"/>
      <c r="H43" s="242">
        <f>ROUND(E43*(1+$O$45),2)</f>
        <v>1.37</v>
      </c>
      <c r="I43" s="231">
        <f>ROUND(D43*H43,2)</f>
        <v>6615462.4500000002</v>
      </c>
      <c r="J43" s="231"/>
      <c r="K43" s="240">
        <f>I43-F43</f>
        <v>579456.56000000052</v>
      </c>
      <c r="L43" s="241">
        <f t="shared" si="0"/>
        <v>9.6000000000000002E-2</v>
      </c>
      <c r="M43" s="296"/>
      <c r="N43" s="229"/>
      <c r="O43" s="107">
        <f>I86-O41</f>
        <v>130.10030537843704</v>
      </c>
    </row>
    <row r="44" spans="1:15" x14ac:dyDescent="0.2">
      <c r="B44" s="91"/>
      <c r="C44" s="40"/>
      <c r="D44" s="44"/>
      <c r="E44" s="95"/>
      <c r="F44" s="298"/>
      <c r="G44" s="44"/>
      <c r="H44" s="95"/>
      <c r="I44" s="231"/>
      <c r="J44" s="231"/>
      <c r="K44" s="259"/>
      <c r="L44" s="305"/>
      <c r="M44" s="296"/>
      <c r="N44" s="229"/>
      <c r="O44" s="119"/>
    </row>
    <row r="45" spans="1:15" x14ac:dyDescent="0.2">
      <c r="B45" s="91" t="s">
        <v>93</v>
      </c>
      <c r="C45" s="40"/>
      <c r="D45" s="44"/>
      <c r="E45" s="95"/>
      <c r="F45" s="231"/>
      <c r="G45" s="44"/>
      <c r="H45" s="95"/>
      <c r="I45" s="231"/>
      <c r="J45" s="231"/>
      <c r="K45" s="259"/>
      <c r="L45" s="305"/>
      <c r="M45" s="296"/>
      <c r="N45" s="229"/>
      <c r="O45" s="299">
        <v>9.5490287038700439E-2</v>
      </c>
    </row>
    <row r="46" spans="1:15" x14ac:dyDescent="0.2">
      <c r="B46" s="91" t="s">
        <v>94</v>
      </c>
      <c r="C46" s="40" t="s">
        <v>87</v>
      </c>
      <c r="D46" s="44">
        <v>12213411.474000001</v>
      </c>
      <c r="E46" s="81">
        <v>0.13758000000000001</v>
      </c>
      <c r="F46" s="240" t="s">
        <v>95</v>
      </c>
      <c r="G46" s="44"/>
      <c r="H46" s="115">
        <f>H47</f>
        <v>0.14030999999999999</v>
      </c>
      <c r="I46" s="240" t="s">
        <v>95</v>
      </c>
      <c r="J46" s="240"/>
      <c r="K46" s="240"/>
      <c r="L46" s="243"/>
      <c r="M46" s="296"/>
      <c r="N46" s="253"/>
    </row>
    <row r="47" spans="1:15" x14ac:dyDescent="0.2">
      <c r="B47" s="91" t="s">
        <v>96</v>
      </c>
      <c r="C47" s="40" t="s">
        <v>87</v>
      </c>
      <c r="D47" s="44">
        <v>27469287.989699997</v>
      </c>
      <c r="E47" s="81">
        <v>0.13758000000000001</v>
      </c>
      <c r="F47" s="240">
        <f>ROUND(D47*E47,2)</f>
        <v>3779224.64</v>
      </c>
      <c r="G47" s="44"/>
      <c r="H47" s="115">
        <v>0.14030999999999999</v>
      </c>
      <c r="I47" s="240">
        <f>ROUND(D47*H47,2)</f>
        <v>3854215.8</v>
      </c>
      <c r="J47" s="240"/>
      <c r="K47" s="240">
        <f>I47-F47</f>
        <v>74991.159999999683</v>
      </c>
      <c r="L47" s="241">
        <f t="shared" ref="L47:L48" si="1">IFERROR(ROUND(K47/F47,5), )</f>
        <v>1.984E-2</v>
      </c>
      <c r="M47" s="296"/>
      <c r="N47" s="253"/>
    </row>
    <row r="48" spans="1:15" x14ac:dyDescent="0.2">
      <c r="B48" s="91" t="s">
        <v>97</v>
      </c>
      <c r="C48" s="40" t="s">
        <v>87</v>
      </c>
      <c r="D48" s="44">
        <v>22835291.693248168</v>
      </c>
      <c r="E48" s="81">
        <v>0.11074000000000001</v>
      </c>
      <c r="F48" s="240">
        <f>ROUND(D48*E48,2)</f>
        <v>2528780.2000000002</v>
      </c>
      <c r="G48" s="44"/>
      <c r="H48" s="115">
        <f>ROUND(E48*(1+$O$45),5)</f>
        <v>0.12131</v>
      </c>
      <c r="I48" s="240">
        <f>ROUND(D48*H48,2)</f>
        <v>2770149.24</v>
      </c>
      <c r="J48" s="240"/>
      <c r="K48" s="240">
        <f>I48-F48</f>
        <v>241369.04000000004</v>
      </c>
      <c r="L48" s="241">
        <f t="shared" si="1"/>
        <v>9.5449999999999993E-2</v>
      </c>
      <c r="M48" s="296"/>
      <c r="N48" s="253"/>
      <c r="O48" s="88"/>
    </row>
    <row r="49" spans="1:16" s="47" customFormat="1" x14ac:dyDescent="0.2">
      <c r="A49" s="50"/>
      <c r="B49" s="78" t="s">
        <v>98</v>
      </c>
      <c r="C49" s="247"/>
      <c r="D49" s="20">
        <f>SUM(D46:D48)</f>
        <v>62517991.156948164</v>
      </c>
      <c r="E49" s="212"/>
      <c r="F49" s="231"/>
      <c r="G49" s="44"/>
      <c r="H49" s="44"/>
      <c r="I49" s="50"/>
      <c r="J49" s="50"/>
      <c r="K49" s="50"/>
      <c r="L49" s="96"/>
      <c r="M49" s="120"/>
      <c r="N49" s="100"/>
      <c r="O49" s="50"/>
    </row>
    <row r="50" spans="1:16" s="47" customFormat="1" x14ac:dyDescent="0.2">
      <c r="A50" s="50"/>
      <c r="B50" s="78" t="s">
        <v>89</v>
      </c>
      <c r="C50" s="40" t="s">
        <v>87</v>
      </c>
      <c r="D50" s="44">
        <f>D49</f>
        <v>62517991.156948164</v>
      </c>
      <c r="E50" s="306">
        <v>1.005E-2</v>
      </c>
      <c r="F50" s="231">
        <f>D50*E50</f>
        <v>628305.81112732901</v>
      </c>
      <c r="G50" s="44"/>
      <c r="H50" s="115">
        <v>1.119E-2</v>
      </c>
      <c r="I50" s="231">
        <f>D50*H50</f>
        <v>699576.32104624994</v>
      </c>
      <c r="J50" s="231"/>
      <c r="K50" s="240">
        <f>I50-F50</f>
        <v>71270.509918920929</v>
      </c>
      <c r="L50" s="241">
        <f>IFERROR(ROUND(K50/F50,5), )</f>
        <v>0.11343</v>
      </c>
      <c r="M50" s="120"/>
      <c r="N50" s="100"/>
      <c r="O50" s="50"/>
      <c r="P50" s="28"/>
    </row>
    <row r="51" spans="1:16" x14ac:dyDescent="0.2">
      <c r="B51" s="254" t="s">
        <v>119</v>
      </c>
      <c r="C51" s="247"/>
      <c r="D51" s="20"/>
      <c r="E51" s="212"/>
      <c r="F51" s="307">
        <f>SUM(F41:F50)</f>
        <v>16528623.893127328</v>
      </c>
      <c r="G51" s="44"/>
      <c r="H51" s="44"/>
      <c r="I51" s="307">
        <f>SUM(I41:I43,I47:I50)</f>
        <v>17786398.291046247</v>
      </c>
      <c r="J51" s="231"/>
      <c r="K51" s="307">
        <f>SUM(K41:K50)</f>
        <v>1257774.3979189214</v>
      </c>
      <c r="L51" s="249">
        <f>ROUND(K51/F51,5)</f>
        <v>7.6100000000000001E-2</v>
      </c>
      <c r="M51" s="296"/>
      <c r="N51" s="253"/>
      <c r="O51" s="101"/>
    </row>
    <row r="52" spans="1:16" x14ac:dyDescent="0.2">
      <c r="B52" s="78"/>
      <c r="C52" s="247"/>
      <c r="D52" s="44"/>
      <c r="E52" s="40"/>
      <c r="F52" s="240"/>
      <c r="G52" s="44"/>
      <c r="H52" s="44"/>
      <c r="I52" s="231"/>
      <c r="J52" s="231"/>
      <c r="K52" s="240"/>
      <c r="L52" s="243"/>
      <c r="M52" s="296"/>
      <c r="N52" s="253"/>
      <c r="O52" s="121"/>
    </row>
    <row r="53" spans="1:16" x14ac:dyDescent="0.2">
      <c r="B53" s="78" t="s">
        <v>182</v>
      </c>
      <c r="C53" s="247"/>
      <c r="D53" s="50"/>
      <c r="E53" s="44"/>
      <c r="F53" s="307">
        <f>+F51</f>
        <v>16528623.893127328</v>
      </c>
      <c r="G53" s="44"/>
      <c r="H53" s="44"/>
      <c r="I53" s="307">
        <f>+I51</f>
        <v>17786398.291046247</v>
      </c>
      <c r="J53" s="231"/>
      <c r="K53" s="248">
        <f>K51</f>
        <v>1257774.3979189214</v>
      </c>
      <c r="L53" s="249">
        <f>ROUND(K53/F53,5)</f>
        <v>7.6100000000000001E-2</v>
      </c>
      <c r="M53" s="296"/>
      <c r="N53" s="253"/>
      <c r="O53" s="50"/>
    </row>
    <row r="54" spans="1:16" s="47" customFormat="1" x14ac:dyDescent="0.2">
      <c r="B54" s="82"/>
      <c r="C54" s="83"/>
      <c r="D54" s="83"/>
      <c r="E54" s="83"/>
      <c r="F54" s="84"/>
      <c r="G54" s="83"/>
      <c r="H54" s="83"/>
      <c r="I54" s="113"/>
      <c r="J54" s="113"/>
      <c r="K54" s="84"/>
      <c r="L54" s="86"/>
      <c r="M54" s="120"/>
      <c r="N54" s="100"/>
      <c r="O54" s="50"/>
    </row>
    <row r="55" spans="1:16" s="47" customFormat="1" x14ac:dyDescent="0.2">
      <c r="A55" s="50"/>
      <c r="B55" s="50"/>
      <c r="C55" s="50"/>
      <c r="D55" s="50"/>
      <c r="E55" s="50"/>
      <c r="F55" s="88"/>
      <c r="G55" s="50"/>
      <c r="H55" s="50"/>
      <c r="I55" s="122"/>
      <c r="J55" s="122"/>
      <c r="K55" s="88"/>
      <c r="L55" s="89"/>
      <c r="M55" s="120"/>
      <c r="N55" s="100"/>
      <c r="O55" s="50"/>
    </row>
    <row r="56" spans="1:16" s="47" customFormat="1" x14ac:dyDescent="0.2">
      <c r="A56" s="50"/>
      <c r="B56" s="90" t="s">
        <v>132</v>
      </c>
      <c r="C56" s="294"/>
      <c r="D56" s="177"/>
      <c r="E56" s="234"/>
      <c r="F56" s="236"/>
      <c r="G56" s="177"/>
      <c r="H56" s="177"/>
      <c r="I56" s="236"/>
      <c r="J56" s="236"/>
      <c r="K56" s="236"/>
      <c r="L56" s="257"/>
      <c r="M56" s="120"/>
      <c r="N56" s="100"/>
      <c r="O56" s="50"/>
    </row>
    <row r="57" spans="1:16" s="47" customFormat="1" x14ac:dyDescent="0.2">
      <c r="A57" s="50"/>
      <c r="B57" s="91"/>
      <c r="C57" s="40"/>
      <c r="D57" s="50"/>
      <c r="E57" s="50"/>
      <c r="F57" s="240"/>
      <c r="G57" s="92"/>
      <c r="H57" s="50"/>
      <c r="I57" s="240"/>
      <c r="J57" s="240"/>
      <c r="K57" s="240"/>
      <c r="L57" s="243"/>
      <c r="M57" s="120"/>
      <c r="N57" s="100"/>
      <c r="O57" s="50"/>
    </row>
    <row r="58" spans="1:16" s="47" customFormat="1" x14ac:dyDescent="0.2">
      <c r="A58" s="50"/>
      <c r="B58" s="78" t="s">
        <v>84</v>
      </c>
      <c r="C58" s="79" t="s">
        <v>85</v>
      </c>
      <c r="D58" s="44">
        <v>1040</v>
      </c>
      <c r="E58" s="95">
        <v>422.79</v>
      </c>
      <c r="F58" s="240">
        <f>ROUND(D58*E58,2)</f>
        <v>439701.6</v>
      </c>
      <c r="G58" s="44"/>
      <c r="H58" s="242">
        <f>E58</f>
        <v>422.79</v>
      </c>
      <c r="I58" s="240">
        <f>ROUND(D58*H58,2)</f>
        <v>439701.6</v>
      </c>
      <c r="J58" s="240"/>
      <c r="K58" s="240">
        <f>I58-F58</f>
        <v>0</v>
      </c>
      <c r="L58" s="241">
        <f t="shared" ref="L58:L60" si="2">IFERROR(ROUND(K58/F58,5), )</f>
        <v>0</v>
      </c>
      <c r="M58" s="120"/>
      <c r="N58" s="100"/>
      <c r="O58" s="79"/>
    </row>
    <row r="59" spans="1:16" s="47" customFormat="1" x14ac:dyDescent="0.2">
      <c r="A59" s="50"/>
      <c r="B59" s="91" t="s">
        <v>91</v>
      </c>
      <c r="C59" s="79" t="s">
        <v>85</v>
      </c>
      <c r="D59" s="44">
        <f>D58</f>
        <v>1040</v>
      </c>
      <c r="E59" s="95">
        <v>123.82</v>
      </c>
      <c r="F59" s="231">
        <f>D59*E59</f>
        <v>128772.79999999999</v>
      </c>
      <c r="G59" s="44"/>
      <c r="H59" s="242">
        <f>H42</f>
        <v>126.28</v>
      </c>
      <c r="I59" s="231">
        <f>ROUND(D59*H59,2)</f>
        <v>131331.20000000001</v>
      </c>
      <c r="J59" s="231"/>
      <c r="K59" s="240">
        <f>I59-F59</f>
        <v>2558.4000000000233</v>
      </c>
      <c r="L59" s="241">
        <f t="shared" si="2"/>
        <v>1.9869999999999999E-2</v>
      </c>
      <c r="M59" s="120"/>
      <c r="N59" s="100"/>
      <c r="O59" s="50"/>
    </row>
    <row r="60" spans="1:16" s="47" customFormat="1" x14ac:dyDescent="0.2">
      <c r="A60" s="50"/>
      <c r="B60" s="91" t="s">
        <v>92</v>
      </c>
      <c r="C60" s="40" t="s">
        <v>90</v>
      </c>
      <c r="D60" s="44">
        <v>1163206.9669999999</v>
      </c>
      <c r="E60" s="95">
        <v>1.25</v>
      </c>
      <c r="F60" s="231">
        <f>ROUND(D60*E60,2)</f>
        <v>1454008.71</v>
      </c>
      <c r="G60" s="44"/>
      <c r="H60" s="242">
        <f>H43</f>
        <v>1.37</v>
      </c>
      <c r="I60" s="231">
        <f>ROUND(D60*H60,2)</f>
        <v>1593593.54</v>
      </c>
      <c r="J60" s="50"/>
      <c r="K60" s="240">
        <f>I60-F60</f>
        <v>139584.83000000007</v>
      </c>
      <c r="L60" s="241">
        <f t="shared" si="2"/>
        <v>9.6000000000000002E-2</v>
      </c>
      <c r="M60" s="120"/>
      <c r="N60" s="100"/>
      <c r="O60" s="50"/>
    </row>
    <row r="61" spans="1:16" s="47" customFormat="1" x14ac:dyDescent="0.2">
      <c r="A61" s="50"/>
      <c r="B61" s="91"/>
      <c r="C61" s="40"/>
      <c r="D61" s="44"/>
      <c r="E61" s="95"/>
      <c r="F61" s="231"/>
      <c r="G61" s="44"/>
      <c r="H61" s="95"/>
      <c r="I61" s="231"/>
      <c r="J61" s="231"/>
      <c r="K61" s="259"/>
      <c r="L61" s="305"/>
      <c r="M61" s="120"/>
      <c r="N61" s="100"/>
      <c r="O61" s="50"/>
    </row>
    <row r="62" spans="1:16" s="47" customFormat="1" x14ac:dyDescent="0.2">
      <c r="A62" s="50"/>
      <c r="B62" s="91" t="s">
        <v>93</v>
      </c>
      <c r="C62" s="40"/>
      <c r="D62" s="44"/>
      <c r="E62" s="95"/>
      <c r="F62" s="240"/>
      <c r="G62" s="44"/>
      <c r="H62" s="95"/>
      <c r="I62" s="231"/>
      <c r="J62" s="231"/>
      <c r="K62" s="259"/>
      <c r="L62" s="305"/>
      <c r="M62" s="120"/>
      <c r="N62" s="100"/>
      <c r="O62" s="50"/>
    </row>
    <row r="63" spans="1:16" s="47" customFormat="1" x14ac:dyDescent="0.2">
      <c r="A63" s="50"/>
      <c r="B63" s="91" t="s">
        <v>94</v>
      </c>
      <c r="C63" s="40" t="s">
        <v>87</v>
      </c>
      <c r="D63" s="44">
        <v>1057148.28</v>
      </c>
      <c r="E63" s="81">
        <v>0.13758000000000001</v>
      </c>
      <c r="F63" s="240" t="s">
        <v>95</v>
      </c>
      <c r="G63" s="44"/>
      <c r="H63" s="115">
        <f>H46</f>
        <v>0.14030999999999999</v>
      </c>
      <c r="I63" s="240" t="s">
        <v>95</v>
      </c>
      <c r="J63" s="240"/>
      <c r="K63" s="240"/>
      <c r="L63" s="243"/>
      <c r="M63" s="120"/>
      <c r="N63" s="100"/>
      <c r="O63" s="50"/>
    </row>
    <row r="64" spans="1:16" s="47" customFormat="1" x14ac:dyDescent="0.2">
      <c r="A64" s="50"/>
      <c r="B64" s="91" t="s">
        <v>96</v>
      </c>
      <c r="C64" s="40" t="s">
        <v>87</v>
      </c>
      <c r="D64" s="44">
        <v>3901926.5700000003</v>
      </c>
      <c r="E64" s="81">
        <v>0.13758000000000001</v>
      </c>
      <c r="F64" s="240">
        <f>D64*E64</f>
        <v>536827.05750060012</v>
      </c>
      <c r="G64" s="44"/>
      <c r="H64" s="115">
        <f>H47</f>
        <v>0.14030999999999999</v>
      </c>
      <c r="I64" s="240">
        <f>H64*D64</f>
        <v>547479.31703669997</v>
      </c>
      <c r="J64" s="240"/>
      <c r="K64" s="240">
        <f>I64-F64</f>
        <v>10652.259536099853</v>
      </c>
      <c r="L64" s="241">
        <f t="shared" ref="L64:L65" si="3">IFERROR(ROUND(K64/F64,5), )</f>
        <v>1.984E-2</v>
      </c>
      <c r="M64" s="120"/>
      <c r="N64" s="100"/>
      <c r="O64" s="50"/>
    </row>
    <row r="65" spans="1:15" s="47" customFormat="1" x14ac:dyDescent="0.2">
      <c r="A65" s="50"/>
      <c r="B65" s="91" t="s">
        <v>97</v>
      </c>
      <c r="C65" s="40" t="s">
        <v>87</v>
      </c>
      <c r="D65" s="44">
        <v>14535430.758019032</v>
      </c>
      <c r="E65" s="81">
        <v>0.11074000000000001</v>
      </c>
      <c r="F65" s="240">
        <f>D65*E65</f>
        <v>1609653.6021430276</v>
      </c>
      <c r="G65" s="44"/>
      <c r="H65" s="115">
        <f>H48</f>
        <v>0.12131</v>
      </c>
      <c r="I65" s="240">
        <f>H65*D65</f>
        <v>1763293.1052552888</v>
      </c>
      <c r="J65" s="240"/>
      <c r="K65" s="240">
        <f>I65-F65</f>
        <v>153639.50311226118</v>
      </c>
      <c r="L65" s="241">
        <f t="shared" si="3"/>
        <v>9.5449999999999993E-2</v>
      </c>
      <c r="M65" s="120"/>
      <c r="N65" s="100"/>
      <c r="O65" s="50"/>
    </row>
    <row r="66" spans="1:15" s="47" customFormat="1" x14ac:dyDescent="0.2">
      <c r="A66" s="50"/>
      <c r="B66" s="78" t="s">
        <v>98</v>
      </c>
      <c r="C66" s="247"/>
      <c r="D66" s="20">
        <f>SUM(D63:D65)</f>
        <v>19494505.608019032</v>
      </c>
      <c r="E66" s="212"/>
      <c r="F66" s="231"/>
      <c r="G66" s="44"/>
      <c r="H66" s="44"/>
      <c r="I66" s="50"/>
      <c r="J66" s="50"/>
      <c r="K66" s="50"/>
      <c r="L66" s="96"/>
      <c r="M66" s="120"/>
      <c r="N66" s="100"/>
      <c r="O66" s="50"/>
    </row>
    <row r="67" spans="1:15" s="47" customFormat="1" x14ac:dyDescent="0.2">
      <c r="A67" s="50"/>
      <c r="B67" s="254" t="s">
        <v>119</v>
      </c>
      <c r="C67" s="247"/>
      <c r="D67" s="44"/>
      <c r="E67" s="212"/>
      <c r="F67" s="307">
        <f>SUM(F58:F66)</f>
        <v>4168963.769643628</v>
      </c>
      <c r="G67" s="44"/>
      <c r="H67" s="44"/>
      <c r="I67" s="307">
        <f>SUM(I58:I66)</f>
        <v>4475398.7622919884</v>
      </c>
      <c r="J67" s="231"/>
      <c r="K67" s="307">
        <f>SUM(K58:K66)</f>
        <v>306434.99264836113</v>
      </c>
      <c r="L67" s="249">
        <f>ROUND(K67/F67,5)</f>
        <v>7.3499999999999996E-2</v>
      </c>
      <c r="M67" s="120"/>
      <c r="N67" s="100"/>
      <c r="O67" s="50"/>
    </row>
    <row r="68" spans="1:15" s="47" customFormat="1" x14ac:dyDescent="0.2">
      <c r="A68" s="50"/>
      <c r="B68" s="78"/>
      <c r="C68" s="247"/>
      <c r="D68" s="44"/>
      <c r="E68" s="212"/>
      <c r="F68" s="231"/>
      <c r="G68" s="44"/>
      <c r="H68" s="44"/>
      <c r="I68" s="231"/>
      <c r="J68" s="231"/>
      <c r="K68" s="240"/>
      <c r="L68" s="243"/>
      <c r="M68" s="120"/>
      <c r="N68" s="100"/>
      <c r="O68" s="308"/>
    </row>
    <row r="69" spans="1:15" s="47" customFormat="1" x14ac:dyDescent="0.2">
      <c r="A69" s="50"/>
      <c r="B69" s="91" t="s">
        <v>182</v>
      </c>
      <c r="C69" s="40"/>
      <c r="D69" s="44"/>
      <c r="E69" s="81"/>
      <c r="F69" s="307">
        <f>F67</f>
        <v>4168963.769643628</v>
      </c>
      <c r="G69" s="50"/>
      <c r="H69" s="95"/>
      <c r="I69" s="307">
        <f>I67</f>
        <v>4475398.7622919884</v>
      </c>
      <c r="J69" s="240"/>
      <c r="K69" s="248">
        <f>K67</f>
        <v>306434.99264836113</v>
      </c>
      <c r="L69" s="249">
        <f>ROUND(K69/F69,5)</f>
        <v>7.3499999999999996E-2</v>
      </c>
      <c r="M69" s="120"/>
      <c r="N69" s="100"/>
      <c r="O69" s="88"/>
    </row>
    <row r="70" spans="1:15" s="47" customFormat="1" x14ac:dyDescent="0.2">
      <c r="A70" s="50"/>
      <c r="B70" s="82"/>
      <c r="C70" s="83"/>
      <c r="D70" s="83"/>
      <c r="E70" s="83"/>
      <c r="F70" s="84"/>
      <c r="G70" s="83"/>
      <c r="H70" s="83"/>
      <c r="I70" s="113"/>
      <c r="J70" s="113"/>
      <c r="K70" s="84"/>
      <c r="L70" s="86"/>
      <c r="M70" s="120"/>
      <c r="N70" s="100"/>
      <c r="O70" s="308"/>
    </row>
    <row r="71" spans="1:15" s="47" customFormat="1" x14ac:dyDescent="0.2">
      <c r="A71" s="50"/>
      <c r="B71" s="50"/>
      <c r="C71" s="50"/>
      <c r="D71" s="50"/>
      <c r="E71" s="50"/>
      <c r="F71" s="88"/>
      <c r="G71" s="50"/>
      <c r="H71" s="50"/>
      <c r="I71" s="122"/>
      <c r="J71" s="122"/>
      <c r="K71" s="88"/>
      <c r="L71" s="89"/>
      <c r="M71" s="120"/>
      <c r="N71" s="100"/>
      <c r="O71" s="308"/>
    </row>
    <row r="72" spans="1:15" s="47" customFormat="1" x14ac:dyDescent="0.2">
      <c r="A72" s="50"/>
      <c r="B72" s="90" t="s">
        <v>133</v>
      </c>
      <c r="C72" s="294"/>
      <c r="D72" s="177"/>
      <c r="E72" s="234"/>
      <c r="F72" s="236"/>
      <c r="G72" s="177"/>
      <c r="H72" s="177"/>
      <c r="I72" s="236"/>
      <c r="J72" s="236"/>
      <c r="K72" s="236"/>
      <c r="L72" s="257"/>
      <c r="M72" s="120"/>
      <c r="N72" s="100"/>
      <c r="O72" s="308"/>
    </row>
    <row r="73" spans="1:15" s="47" customFormat="1" x14ac:dyDescent="0.2">
      <c r="A73" s="50"/>
      <c r="B73" s="238"/>
      <c r="C73" s="40"/>
      <c r="D73" s="50"/>
      <c r="E73" s="50"/>
      <c r="F73" s="240"/>
      <c r="G73" s="92"/>
      <c r="H73" s="50"/>
      <c r="I73" s="240"/>
      <c r="J73" s="240"/>
      <c r="K73" s="240"/>
      <c r="L73" s="243"/>
      <c r="M73" s="120"/>
      <c r="N73" s="100"/>
      <c r="O73" s="308"/>
    </row>
    <row r="74" spans="1:15" s="47" customFormat="1" x14ac:dyDescent="0.2">
      <c r="A74" s="50"/>
      <c r="B74" s="78" t="s">
        <v>84</v>
      </c>
      <c r="C74" s="79" t="s">
        <v>85</v>
      </c>
      <c r="D74" s="44">
        <f>D58+D41</f>
        <v>16031.599999999999</v>
      </c>
      <c r="E74" s="95"/>
      <c r="F74" s="240">
        <f>F58+F41</f>
        <v>2139749.04</v>
      </c>
      <c r="G74" s="44"/>
      <c r="H74" s="116"/>
      <c r="I74" s="240">
        <f>I58+I41</f>
        <v>2393556.83</v>
      </c>
      <c r="J74" s="240"/>
      <c r="K74" s="240">
        <f>K58+K41</f>
        <v>253807.79000000004</v>
      </c>
      <c r="L74" s="241">
        <f t="shared" ref="L74:L76" si="4">IFERROR(ROUND(K74/F74,5), )</f>
        <v>0.11862</v>
      </c>
      <c r="M74" s="120"/>
      <c r="N74" s="100"/>
      <c r="O74" s="308"/>
    </row>
    <row r="75" spans="1:15" s="47" customFormat="1" x14ac:dyDescent="0.2">
      <c r="A75" s="50"/>
      <c r="B75" s="91" t="s">
        <v>91</v>
      </c>
      <c r="C75" s="79" t="s">
        <v>85</v>
      </c>
      <c r="D75" s="44">
        <f>D74</f>
        <v>16031.599999999999</v>
      </c>
      <c r="E75" s="95"/>
      <c r="F75" s="240">
        <f>F59+F42</f>
        <v>1985032.7119999998</v>
      </c>
      <c r="G75" s="44"/>
      <c r="H75" s="95"/>
      <c r="I75" s="240">
        <f>I59+I42</f>
        <v>2024470.45</v>
      </c>
      <c r="J75" s="231"/>
      <c r="K75" s="240">
        <f>K59+K42</f>
        <v>39437.738000000245</v>
      </c>
      <c r="L75" s="241">
        <f t="shared" si="4"/>
        <v>1.9869999999999999E-2</v>
      </c>
      <c r="M75" s="120"/>
      <c r="N75" s="100"/>
      <c r="O75" s="308"/>
    </row>
    <row r="76" spans="1:15" s="47" customFormat="1" x14ac:dyDescent="0.2">
      <c r="A76" s="50"/>
      <c r="B76" s="238" t="s">
        <v>92</v>
      </c>
      <c r="C76" s="40" t="s">
        <v>90</v>
      </c>
      <c r="D76" s="44">
        <f>D60+D43</f>
        <v>5992011.6780000003</v>
      </c>
      <c r="E76" s="95"/>
      <c r="F76" s="240">
        <f>F60+F43</f>
        <v>7490014.5999999996</v>
      </c>
      <c r="G76" s="44"/>
      <c r="H76" s="116"/>
      <c r="I76" s="240">
        <f>I60+I43</f>
        <v>8209055.9900000002</v>
      </c>
      <c r="J76" s="231"/>
      <c r="K76" s="240">
        <f>K60+K43</f>
        <v>719041.3900000006</v>
      </c>
      <c r="L76" s="241">
        <f t="shared" si="4"/>
        <v>9.6000000000000002E-2</v>
      </c>
      <c r="M76" s="120"/>
      <c r="N76" s="100"/>
      <c r="O76" s="308"/>
    </row>
    <row r="77" spans="1:15" s="47" customFormat="1" x14ac:dyDescent="0.2">
      <c r="A77" s="50"/>
      <c r="B77" s="238"/>
      <c r="C77" s="40"/>
      <c r="D77" s="44"/>
      <c r="E77" s="95"/>
      <c r="F77" s="231"/>
      <c r="G77" s="44"/>
      <c r="H77" s="95"/>
      <c r="I77" s="231"/>
      <c r="J77" s="231"/>
      <c r="K77" s="259"/>
      <c r="L77" s="305"/>
      <c r="M77" s="120"/>
      <c r="N77" s="100"/>
      <c r="O77" s="308"/>
    </row>
    <row r="78" spans="1:15" s="47" customFormat="1" x14ac:dyDescent="0.2">
      <c r="A78" s="50"/>
      <c r="B78" s="238" t="s">
        <v>93</v>
      </c>
      <c r="C78" s="40"/>
      <c r="D78" s="44"/>
      <c r="E78" s="95"/>
      <c r="F78" s="240"/>
      <c r="G78" s="44"/>
      <c r="H78" s="95"/>
      <c r="I78" s="231"/>
      <c r="J78" s="231"/>
      <c r="K78" s="259"/>
      <c r="L78" s="305"/>
      <c r="M78" s="120"/>
      <c r="N78" s="100"/>
      <c r="O78" s="308"/>
    </row>
    <row r="79" spans="1:15" s="47" customFormat="1" x14ac:dyDescent="0.2">
      <c r="A79" s="50"/>
      <c r="B79" s="91" t="s">
        <v>94</v>
      </c>
      <c r="C79" s="40" t="s">
        <v>87</v>
      </c>
      <c r="D79" s="44">
        <f>D63+D46</f>
        <v>13270559.754000001</v>
      </c>
      <c r="E79" s="81"/>
      <c r="F79" s="240" t="s">
        <v>95</v>
      </c>
      <c r="G79" s="44"/>
      <c r="H79" s="81"/>
      <c r="I79" s="240" t="s">
        <v>95</v>
      </c>
      <c r="J79" s="240"/>
      <c r="K79" s="240"/>
      <c r="L79" s="243"/>
      <c r="M79" s="120"/>
      <c r="N79" s="100"/>
      <c r="O79" s="308"/>
    </row>
    <row r="80" spans="1:15" s="47" customFormat="1" x14ac:dyDescent="0.2">
      <c r="A80" s="50"/>
      <c r="B80" s="91" t="s">
        <v>96</v>
      </c>
      <c r="C80" s="40" t="s">
        <v>87</v>
      </c>
      <c r="D80" s="44">
        <f>D64+D47</f>
        <v>31371214.559699997</v>
      </c>
      <c r="E80" s="81"/>
      <c r="F80" s="240">
        <f>F64+F47</f>
        <v>4316051.6975006005</v>
      </c>
      <c r="G80" s="44"/>
      <c r="H80" s="81"/>
      <c r="I80" s="240">
        <f>I64+I47</f>
        <v>4401695.1170367002</v>
      </c>
      <c r="J80" s="240"/>
      <c r="K80" s="240">
        <f>K64+K47</f>
        <v>85643.419536099536</v>
      </c>
      <c r="L80" s="241">
        <f t="shared" ref="L80:L81" si="5">IFERROR(ROUND(K80/F80,5), )</f>
        <v>1.984E-2</v>
      </c>
      <c r="M80" s="120"/>
      <c r="N80" s="100"/>
      <c r="O80" s="308"/>
    </row>
    <row r="81" spans="1:15" s="47" customFormat="1" x14ac:dyDescent="0.2">
      <c r="A81" s="50"/>
      <c r="B81" s="91" t="s">
        <v>97</v>
      </c>
      <c r="C81" s="40" t="s">
        <v>87</v>
      </c>
      <c r="D81" s="85">
        <f>D65+D48</f>
        <v>37370722.451267198</v>
      </c>
      <c r="E81" s="81"/>
      <c r="F81" s="240">
        <f>F65+F48</f>
        <v>4138433.802143028</v>
      </c>
      <c r="G81" s="44"/>
      <c r="H81" s="81"/>
      <c r="I81" s="240">
        <f>I65+I48</f>
        <v>4533442.3452552892</v>
      </c>
      <c r="J81" s="240"/>
      <c r="K81" s="240">
        <f>K65+K48</f>
        <v>395008.54311226122</v>
      </c>
      <c r="L81" s="241">
        <f t="shared" si="5"/>
        <v>9.5449999999999993E-2</v>
      </c>
      <c r="M81" s="120"/>
      <c r="N81" s="100"/>
      <c r="O81" s="308"/>
    </row>
    <row r="82" spans="1:15" s="47" customFormat="1" x14ac:dyDescent="0.2">
      <c r="A82" s="50"/>
      <c r="B82" s="254" t="s">
        <v>98</v>
      </c>
      <c r="C82" s="247"/>
      <c r="D82" s="20">
        <f>SUM(D79:D81)</f>
        <v>82012496.764967203</v>
      </c>
      <c r="E82" s="212"/>
      <c r="F82" s="231"/>
      <c r="G82" s="44"/>
      <c r="H82" s="44"/>
      <c r="I82" s="50"/>
      <c r="J82" s="50"/>
      <c r="K82" s="50"/>
      <c r="L82" s="96"/>
      <c r="M82" s="120"/>
      <c r="N82" s="100"/>
      <c r="O82" s="308"/>
    </row>
    <row r="83" spans="1:15" s="47" customFormat="1" x14ac:dyDescent="0.2">
      <c r="A83" s="50"/>
      <c r="B83" s="238" t="s">
        <v>89</v>
      </c>
      <c r="C83" s="40" t="s">
        <v>87</v>
      </c>
      <c r="D83" s="44">
        <f>D50</f>
        <v>62517991.156948164</v>
      </c>
      <c r="E83" s="81"/>
      <c r="F83" s="240">
        <f>F50</f>
        <v>628305.81112732901</v>
      </c>
      <c r="G83" s="44"/>
      <c r="H83" s="99"/>
      <c r="I83" s="240">
        <f>I50</f>
        <v>699576.32104624994</v>
      </c>
      <c r="J83" s="240"/>
      <c r="K83" s="240">
        <f>I83-F83</f>
        <v>71270.509918920929</v>
      </c>
      <c r="L83" s="243">
        <f>IFERROR(ROUND(K83/F83,5), )</f>
        <v>0.11343</v>
      </c>
      <c r="M83" s="120"/>
      <c r="N83" s="100"/>
      <c r="O83" s="308"/>
    </row>
    <row r="84" spans="1:15" s="47" customFormat="1" x14ac:dyDescent="0.2">
      <c r="A84" s="50"/>
      <c r="B84" s="254" t="s">
        <v>119</v>
      </c>
      <c r="C84" s="247"/>
      <c r="D84" s="44"/>
      <c r="E84" s="212"/>
      <c r="F84" s="307">
        <f>SUM(F74:F83)</f>
        <v>20697587.662770957</v>
      </c>
      <c r="G84" s="44"/>
      <c r="H84" s="44"/>
      <c r="I84" s="307">
        <f>SUM(I74:I83)</f>
        <v>22261797.053338237</v>
      </c>
      <c r="J84" s="231"/>
      <c r="K84" s="307">
        <f>SUM(K74:K82)</f>
        <v>1492938.8806483615</v>
      </c>
      <c r="L84" s="249">
        <f>ROUND(K84/F84,5)</f>
        <v>7.213E-2</v>
      </c>
      <c r="M84" s="120"/>
      <c r="N84" s="100"/>
      <c r="O84" s="308"/>
    </row>
    <row r="85" spans="1:15" s="47" customFormat="1" x14ac:dyDescent="0.2">
      <c r="A85" s="50"/>
      <c r="B85" s="254"/>
      <c r="C85" s="247"/>
      <c r="D85" s="44"/>
      <c r="E85" s="212"/>
      <c r="F85" s="231"/>
      <c r="G85" s="44"/>
      <c r="H85" s="44"/>
      <c r="I85" s="231"/>
      <c r="J85" s="231"/>
      <c r="K85" s="240"/>
      <c r="L85" s="243"/>
      <c r="M85" s="120"/>
      <c r="N85" s="100"/>
      <c r="O85" s="308"/>
    </row>
    <row r="86" spans="1:15" s="47" customFormat="1" x14ac:dyDescent="0.2">
      <c r="A86" s="50"/>
      <c r="B86" s="238" t="s">
        <v>182</v>
      </c>
      <c r="C86" s="40"/>
      <c r="D86" s="44"/>
      <c r="E86" s="81"/>
      <c r="F86" s="307">
        <f>F84</f>
        <v>20697587.662770957</v>
      </c>
      <c r="G86" s="50"/>
      <c r="H86" s="95"/>
      <c r="I86" s="307">
        <f>I84</f>
        <v>22261797.053338237</v>
      </c>
      <c r="J86" s="240"/>
      <c r="K86" s="248">
        <f>K84</f>
        <v>1492938.8806483615</v>
      </c>
      <c r="L86" s="249">
        <f>ROUND(K86/F86,5)</f>
        <v>7.213E-2</v>
      </c>
      <c r="M86" s="120"/>
      <c r="N86" s="100"/>
      <c r="O86" s="40"/>
    </row>
    <row r="87" spans="1:15" s="47" customFormat="1" x14ac:dyDescent="0.2">
      <c r="A87" s="50"/>
      <c r="B87" s="82"/>
      <c r="C87" s="83"/>
      <c r="D87" s="83"/>
      <c r="E87" s="83"/>
      <c r="F87" s="84"/>
      <c r="G87" s="83"/>
      <c r="H87" s="83"/>
      <c r="I87" s="113"/>
      <c r="J87" s="113"/>
      <c r="K87" s="84"/>
      <c r="L87" s="86"/>
      <c r="M87" s="120"/>
      <c r="N87" s="100"/>
      <c r="O87" s="40"/>
    </row>
    <row r="88" spans="1:15" s="50" customFormat="1" x14ac:dyDescent="0.2">
      <c r="F88" s="88"/>
      <c r="I88" s="122"/>
      <c r="J88" s="122"/>
      <c r="K88" s="88"/>
      <c r="L88" s="89"/>
      <c r="M88" s="120"/>
      <c r="N88" s="100"/>
      <c r="O88" s="258"/>
    </row>
    <row r="89" spans="1:15" x14ac:dyDescent="0.2">
      <c r="B89" s="40"/>
      <c r="F89" s="274"/>
      <c r="I89" s="274"/>
      <c r="J89" s="274"/>
      <c r="K89" s="274"/>
      <c r="M89" s="296"/>
      <c r="N89" s="253"/>
      <c r="O89" s="258"/>
    </row>
    <row r="90" spans="1:15" x14ac:dyDescent="0.2">
      <c r="B90" s="211" t="s">
        <v>134</v>
      </c>
      <c r="F90" s="274"/>
      <c r="I90" s="274"/>
      <c r="J90" s="274"/>
      <c r="K90" s="274"/>
      <c r="M90" s="296"/>
      <c r="N90" s="253"/>
      <c r="O90" s="309"/>
    </row>
    <row r="91" spans="1:15" x14ac:dyDescent="0.2">
      <c r="D91" s="103" t="s">
        <v>87</v>
      </c>
      <c r="F91" s="310" t="s">
        <v>78</v>
      </c>
      <c r="I91" s="310" t="s">
        <v>26</v>
      </c>
      <c r="J91" s="274"/>
      <c r="K91" s="310" t="s">
        <v>73</v>
      </c>
      <c r="M91" s="296"/>
      <c r="N91" s="253"/>
    </row>
    <row r="92" spans="1:15" x14ac:dyDescent="0.2">
      <c r="B92" s="211" t="s">
        <v>182</v>
      </c>
      <c r="C92" s="311"/>
      <c r="D92" s="212"/>
      <c r="E92" s="311"/>
      <c r="F92" s="311"/>
      <c r="G92" s="123"/>
      <c r="H92" s="123"/>
      <c r="I92" s="311"/>
      <c r="J92" s="311"/>
      <c r="K92" s="312"/>
      <c r="M92" s="313"/>
    </row>
    <row r="93" spans="1:15" x14ac:dyDescent="0.2">
      <c r="B93" s="48" t="s">
        <v>136</v>
      </c>
      <c r="C93" s="311"/>
      <c r="D93" s="212">
        <f>D32</f>
        <v>222203870.67539161</v>
      </c>
      <c r="E93" s="311"/>
      <c r="F93" s="311">
        <f>F15+F24</f>
        <v>111031564.85000001</v>
      </c>
      <c r="G93" s="311"/>
      <c r="H93" s="123"/>
      <c r="I93" s="311">
        <f>I15+I24</f>
        <v>122144982.04000001</v>
      </c>
      <c r="J93" s="311"/>
      <c r="K93" s="312">
        <f>I93-F93</f>
        <v>11113417.189999998</v>
      </c>
      <c r="L93" s="275">
        <f>K93/F93</f>
        <v>0.10009241250462297</v>
      </c>
      <c r="M93" s="313"/>
    </row>
    <row r="94" spans="1:15" x14ac:dyDescent="0.2">
      <c r="B94" s="48" t="s">
        <v>135</v>
      </c>
      <c r="C94" s="311"/>
      <c r="D94" s="314">
        <f>D66</f>
        <v>19494505.608019032</v>
      </c>
      <c r="E94" s="311"/>
      <c r="F94" s="311">
        <f>F51+F67</f>
        <v>20697587.662770957</v>
      </c>
      <c r="G94" s="311"/>
      <c r="H94" s="123"/>
      <c r="I94" s="311">
        <f>I51+I67</f>
        <v>22261797.053338237</v>
      </c>
      <c r="J94" s="311"/>
      <c r="K94" s="312">
        <f>I94-F94</f>
        <v>1564209.3905672804</v>
      </c>
      <c r="L94" s="275">
        <f>K94/F94</f>
        <v>7.5574478342751314E-2</v>
      </c>
      <c r="M94" s="313"/>
    </row>
    <row r="95" spans="1:15" x14ac:dyDescent="0.2">
      <c r="B95" s="48" t="s">
        <v>0</v>
      </c>
      <c r="C95" s="311"/>
      <c r="D95" s="315">
        <f>SUM(D93:D94)</f>
        <v>241698376.28341064</v>
      </c>
      <c r="E95" s="311"/>
      <c r="F95" s="316">
        <f>SUM(F93:F94)</f>
        <v>131729152.51277097</v>
      </c>
      <c r="G95" s="311"/>
      <c r="H95" s="123"/>
      <c r="I95" s="316">
        <f>SUM(I93:I94)</f>
        <v>144406779.09333825</v>
      </c>
      <c r="J95" s="311"/>
      <c r="K95" s="316">
        <f>SUM(K93:K94)</f>
        <v>12677626.580567278</v>
      </c>
      <c r="L95" s="275">
        <f>K95/F95</f>
        <v>9.624009825264912E-2</v>
      </c>
      <c r="M95" s="313"/>
    </row>
    <row r="96" spans="1:15" ht="13.5" thickBot="1" x14ac:dyDescent="0.25">
      <c r="C96" s="311"/>
      <c r="D96" s="314"/>
      <c r="E96" s="311"/>
      <c r="F96" s="311"/>
      <c r="G96" s="311"/>
      <c r="H96" s="311"/>
      <c r="I96" s="311"/>
      <c r="J96" s="311"/>
      <c r="K96" s="311"/>
      <c r="M96" s="313"/>
    </row>
    <row r="97" spans="2:13" ht="13.5" thickBot="1" x14ac:dyDescent="0.25">
      <c r="B97" s="276" t="s">
        <v>13</v>
      </c>
      <c r="C97" s="277" t="s">
        <v>184</v>
      </c>
      <c r="D97" s="278">
        <v>131691503.15920852</v>
      </c>
      <c r="E97" s="277" t="s">
        <v>185</v>
      </c>
      <c r="F97" s="317">
        <f>D97-F95</f>
        <v>-37649.353562444448</v>
      </c>
      <c r="G97" s="123"/>
      <c r="H97" s="123"/>
      <c r="I97" s="311"/>
      <c r="J97" s="311"/>
      <c r="K97" s="311"/>
      <c r="M97" s="313"/>
    </row>
    <row r="98" spans="2:13" x14ac:dyDescent="0.2">
      <c r="C98" s="311"/>
      <c r="D98" s="311"/>
      <c r="E98" s="311"/>
      <c r="F98" s="311"/>
      <c r="G98" s="123"/>
      <c r="H98" s="123"/>
      <c r="I98" s="311"/>
      <c r="J98" s="311"/>
      <c r="K98" s="311"/>
      <c r="M98" s="313"/>
    </row>
    <row r="99" spans="2:13" x14ac:dyDescent="0.2">
      <c r="D99" s="273"/>
      <c r="F99" s="48"/>
      <c r="G99" s="123"/>
      <c r="H99" s="123"/>
      <c r="I99" s="311"/>
      <c r="J99" s="311"/>
      <c r="K99" s="311"/>
      <c r="M99" s="313"/>
    </row>
    <row r="100" spans="2:13" x14ac:dyDescent="0.2">
      <c r="C100" s="311"/>
      <c r="D100" s="311"/>
      <c r="E100" s="311"/>
      <c r="F100" s="311"/>
      <c r="G100" s="123"/>
      <c r="H100" s="123"/>
      <c r="I100" s="311"/>
      <c r="J100" s="311"/>
      <c r="K100" s="311"/>
      <c r="M100" s="313"/>
    </row>
    <row r="101" spans="2:13" x14ac:dyDescent="0.2">
      <c r="C101" s="311"/>
      <c r="D101" s="311"/>
      <c r="E101" s="311"/>
      <c r="F101" s="311"/>
      <c r="G101" s="123"/>
      <c r="H101" s="123"/>
      <c r="I101" s="311"/>
      <c r="J101" s="311"/>
      <c r="K101" s="311"/>
      <c r="M101" s="313"/>
    </row>
    <row r="102" spans="2:13" x14ac:dyDescent="0.2">
      <c r="C102" s="311"/>
      <c r="D102" s="311"/>
      <c r="E102" s="311"/>
      <c r="F102" s="311"/>
      <c r="G102" s="123"/>
      <c r="H102" s="123"/>
      <c r="I102" s="311"/>
      <c r="J102" s="311"/>
      <c r="K102" s="311"/>
      <c r="M102" s="313"/>
    </row>
    <row r="103" spans="2:13" x14ac:dyDescent="0.2">
      <c r="C103" s="311"/>
      <c r="D103" s="311"/>
      <c r="E103" s="311"/>
      <c r="F103" s="311"/>
      <c r="G103" s="123"/>
      <c r="H103" s="123"/>
      <c r="I103" s="311"/>
      <c r="J103" s="311"/>
      <c r="K103" s="311"/>
      <c r="M103" s="313"/>
    </row>
    <row r="104" spans="2:13" x14ac:dyDescent="0.2">
      <c r="C104" s="311"/>
      <c r="D104" s="311"/>
      <c r="E104" s="311"/>
      <c r="F104" s="311"/>
      <c r="G104" s="123"/>
      <c r="H104" s="123"/>
      <c r="I104" s="311"/>
      <c r="J104" s="311"/>
      <c r="K104" s="311"/>
      <c r="M104" s="313"/>
    </row>
    <row r="105" spans="2:13" x14ac:dyDescent="0.2">
      <c r="C105" s="311"/>
      <c r="D105" s="311"/>
      <c r="E105" s="311"/>
      <c r="F105" s="311"/>
      <c r="G105" s="123"/>
      <c r="H105" s="123"/>
      <c r="I105" s="311"/>
      <c r="J105" s="311"/>
      <c r="K105" s="311"/>
      <c r="M105" s="313"/>
    </row>
    <row r="106" spans="2:13" x14ac:dyDescent="0.2">
      <c r="C106" s="311"/>
      <c r="D106" s="311"/>
      <c r="E106" s="311"/>
      <c r="F106" s="311"/>
      <c r="G106" s="123"/>
      <c r="H106" s="123"/>
      <c r="I106" s="311"/>
      <c r="J106" s="311"/>
      <c r="K106" s="311"/>
      <c r="M106" s="313"/>
    </row>
    <row r="107" spans="2:13" x14ac:dyDescent="0.2">
      <c r="C107" s="311"/>
      <c r="D107" s="311"/>
      <c r="E107" s="311"/>
      <c r="F107" s="311"/>
      <c r="G107" s="123"/>
      <c r="H107" s="123"/>
      <c r="I107" s="311"/>
      <c r="J107" s="311"/>
      <c r="K107" s="311"/>
      <c r="M107" s="313"/>
    </row>
    <row r="108" spans="2:13" x14ac:dyDescent="0.2">
      <c r="C108" s="311"/>
      <c r="D108" s="311"/>
      <c r="E108" s="311"/>
      <c r="F108" s="311"/>
      <c r="G108" s="123"/>
      <c r="H108" s="123"/>
      <c r="I108" s="311"/>
      <c r="J108" s="311"/>
      <c r="K108" s="311"/>
      <c r="M108" s="313"/>
    </row>
    <row r="109" spans="2:13" x14ac:dyDescent="0.2">
      <c r="C109" s="311"/>
      <c r="D109" s="311"/>
      <c r="E109" s="311"/>
      <c r="F109" s="311"/>
      <c r="G109" s="123"/>
      <c r="H109" s="123"/>
      <c r="I109" s="311"/>
      <c r="J109" s="311"/>
      <c r="K109" s="311"/>
      <c r="M109" s="313"/>
    </row>
    <row r="110" spans="2:13" x14ac:dyDescent="0.2">
      <c r="C110" s="311"/>
      <c r="D110" s="311"/>
      <c r="E110" s="311"/>
      <c r="F110" s="311"/>
      <c r="G110" s="123"/>
      <c r="H110" s="123"/>
      <c r="I110" s="311"/>
      <c r="J110" s="311"/>
      <c r="K110" s="311"/>
      <c r="M110" s="313"/>
    </row>
    <row r="111" spans="2:13" x14ac:dyDescent="0.2">
      <c r="C111" s="311"/>
      <c r="D111" s="311"/>
      <c r="E111" s="311"/>
      <c r="F111" s="311"/>
      <c r="G111" s="123"/>
      <c r="H111" s="123"/>
      <c r="I111" s="311"/>
      <c r="J111" s="311"/>
      <c r="K111" s="311"/>
      <c r="M111" s="313"/>
    </row>
    <row r="112" spans="2:13" x14ac:dyDescent="0.2">
      <c r="C112" s="311"/>
      <c r="D112" s="311"/>
      <c r="E112" s="311"/>
      <c r="F112" s="311"/>
      <c r="G112" s="123"/>
      <c r="H112" s="123"/>
      <c r="I112" s="311"/>
      <c r="J112" s="311"/>
      <c r="K112" s="311"/>
      <c r="M112" s="313"/>
    </row>
    <row r="113" spans="3:13" x14ac:dyDescent="0.2">
      <c r="C113" s="311"/>
      <c r="D113" s="311"/>
      <c r="E113" s="311"/>
      <c r="F113" s="311"/>
      <c r="G113" s="123"/>
      <c r="H113" s="123"/>
      <c r="I113" s="311"/>
      <c r="J113" s="311"/>
      <c r="K113" s="311"/>
      <c r="M113" s="313"/>
    </row>
    <row r="114" spans="3:13" x14ac:dyDescent="0.2">
      <c r="C114" s="311"/>
      <c r="D114" s="311"/>
      <c r="E114" s="311"/>
      <c r="F114" s="311"/>
      <c r="G114" s="123"/>
      <c r="H114" s="123"/>
      <c r="I114" s="311"/>
      <c r="J114" s="311"/>
      <c r="K114" s="311"/>
      <c r="M114" s="313"/>
    </row>
    <row r="115" spans="3:13" x14ac:dyDescent="0.2">
      <c r="C115" s="311"/>
      <c r="D115" s="311"/>
      <c r="E115" s="311"/>
      <c r="F115" s="311"/>
      <c r="G115" s="123"/>
      <c r="H115" s="123"/>
      <c r="I115" s="311"/>
      <c r="J115" s="311"/>
      <c r="K115" s="311"/>
      <c r="M115" s="313"/>
    </row>
    <row r="116" spans="3:13" x14ac:dyDescent="0.2">
      <c r="C116" s="311"/>
      <c r="D116" s="311"/>
      <c r="E116" s="311"/>
      <c r="F116" s="311"/>
      <c r="G116" s="123"/>
      <c r="H116" s="123"/>
      <c r="I116" s="311"/>
      <c r="J116" s="311"/>
      <c r="K116" s="311"/>
      <c r="M116" s="313"/>
    </row>
    <row r="117" spans="3:13" x14ac:dyDescent="0.2">
      <c r="M117" s="313"/>
    </row>
    <row r="118" spans="3:13" x14ac:dyDescent="0.2">
      <c r="M118" s="313"/>
    </row>
  </sheetData>
  <mergeCells count="1">
    <mergeCell ref="K7:L7"/>
  </mergeCells>
  <printOptions horizontalCentered="1"/>
  <pageMargins left="0.5" right="0.5" top="1" bottom="1" header="0.75" footer="0.5"/>
  <pageSetup scale="65" fitToHeight="8" orientation="landscape" blackAndWhite="1" r:id="rId1"/>
  <headerFooter alignWithMargins="0">
    <oddFooter>&amp;R&amp;A
 Page &amp;P of &amp;N</oddFooter>
  </headerFooter>
  <rowBreaks count="2" manualBreakCount="2">
    <brk id="38" max="16383" man="1"/>
    <brk id="8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zoomScale="90" zoomScaleNormal="90" zoomScaleSheetLayoutView="90" workbookViewId="0">
      <pane ySplit="8" topLeftCell="A107" activePane="bottomLeft" state="frozen"/>
      <selection activeCell="G42" sqref="G42"/>
      <selection pane="bottomLeft" activeCell="G42" sqref="G42"/>
    </sheetView>
  </sheetViews>
  <sheetFormatPr defaultColWidth="9.140625" defaultRowHeight="12.75" x14ac:dyDescent="0.2"/>
  <cols>
    <col min="1" max="1" width="2.42578125" style="48" customWidth="1"/>
    <col min="2" max="2" width="31.7109375" style="48" customWidth="1"/>
    <col min="3" max="3" width="9.7109375" style="48" customWidth="1"/>
    <col min="4" max="4" width="15.140625" style="39" bestFit="1" customWidth="1"/>
    <col min="5" max="5" width="10.42578125" style="355" customWidth="1"/>
    <col min="6" max="6" width="13.5703125" style="213" customWidth="1"/>
    <col min="7" max="7" width="3" style="44" customWidth="1"/>
    <col min="8" max="8" width="10.42578125" style="147" customWidth="1"/>
    <col min="9" max="9" width="14" style="213" bestFit="1" customWidth="1"/>
    <col min="10" max="10" width="2.85546875" style="213" customWidth="1"/>
    <col min="11" max="11" width="13.140625" style="213" customWidth="1"/>
    <col min="12" max="12" width="10.42578125" style="364" customWidth="1"/>
    <col min="13" max="13" width="2.85546875" style="281" customWidth="1"/>
    <col min="14" max="14" width="2.140625" style="321" customWidth="1"/>
    <col min="15" max="15" width="14.5703125" style="48" bestFit="1" customWidth="1"/>
    <col min="16" max="16" width="2.85546875" style="48" customWidth="1"/>
    <col min="17" max="16384" width="9.140625" style="48"/>
  </cols>
  <sheetData>
    <row r="1" spans="1:16" x14ac:dyDescent="0.2">
      <c r="B1" s="206" t="s">
        <v>12</v>
      </c>
      <c r="C1" s="38"/>
      <c r="D1" s="105"/>
      <c r="E1" s="318"/>
      <c r="F1" s="283"/>
      <c r="G1" s="124"/>
      <c r="H1" s="125"/>
      <c r="I1" s="283"/>
      <c r="J1" s="283"/>
      <c r="K1" s="283"/>
      <c r="L1" s="285"/>
      <c r="M1" s="285"/>
      <c r="N1" s="286"/>
      <c r="O1" s="38"/>
      <c r="P1" s="38"/>
    </row>
    <row r="2" spans="1:16" x14ac:dyDescent="0.2">
      <c r="B2" s="208" t="s">
        <v>310</v>
      </c>
      <c r="C2" s="209"/>
      <c r="D2" s="125"/>
      <c r="E2" s="283"/>
      <c r="F2" s="283"/>
      <c r="G2" s="125"/>
      <c r="H2" s="125"/>
      <c r="I2" s="283"/>
      <c r="J2" s="283"/>
      <c r="K2" s="283"/>
      <c r="L2" s="283"/>
      <c r="M2" s="285"/>
      <c r="N2" s="286"/>
      <c r="O2" s="38"/>
      <c r="P2" s="38"/>
    </row>
    <row r="3" spans="1:16" x14ac:dyDescent="0.2">
      <c r="B3" s="208" t="s">
        <v>311</v>
      </c>
      <c r="C3" s="209"/>
      <c r="D3" s="125"/>
      <c r="E3" s="283"/>
      <c r="F3" s="283"/>
      <c r="G3" s="125"/>
      <c r="H3" s="125"/>
      <c r="I3" s="283"/>
      <c r="J3" s="283"/>
      <c r="K3" s="283"/>
      <c r="L3" s="283"/>
      <c r="M3" s="285"/>
      <c r="N3" s="286"/>
      <c r="O3" s="38"/>
      <c r="P3" s="38"/>
    </row>
    <row r="4" spans="1:16" x14ac:dyDescent="0.2">
      <c r="B4" s="208" t="s">
        <v>137</v>
      </c>
      <c r="C4" s="209"/>
      <c r="D4" s="125"/>
      <c r="E4" s="283"/>
      <c r="F4" s="283"/>
      <c r="G4" s="125"/>
      <c r="H4" s="125"/>
      <c r="I4" s="283"/>
      <c r="J4" s="283"/>
      <c r="K4" s="283"/>
      <c r="L4" s="283"/>
      <c r="M4" s="285"/>
      <c r="N4" s="286"/>
      <c r="O4" s="38"/>
      <c r="P4" s="38"/>
    </row>
    <row r="5" spans="1:16" x14ac:dyDescent="0.2">
      <c r="B5" s="208" t="s">
        <v>312</v>
      </c>
      <c r="C5" s="209"/>
      <c r="D5" s="105"/>
      <c r="E5" s="318"/>
      <c r="F5" s="283"/>
      <c r="G5" s="124"/>
      <c r="H5" s="125"/>
      <c r="I5" s="283"/>
      <c r="J5" s="283"/>
      <c r="K5" s="283"/>
      <c r="L5" s="285"/>
      <c r="M5" s="285"/>
      <c r="N5" s="286"/>
      <c r="O5" s="210"/>
      <c r="P5" s="38"/>
    </row>
    <row r="6" spans="1:16" s="40" customFormat="1" x14ac:dyDescent="0.2">
      <c r="B6" s="319"/>
      <c r="C6" s="210"/>
      <c r="D6" s="44"/>
      <c r="E6" s="320"/>
      <c r="F6" s="214"/>
      <c r="G6" s="44"/>
      <c r="H6" s="95"/>
      <c r="I6" s="214"/>
      <c r="J6" s="214"/>
      <c r="K6" s="214"/>
      <c r="L6" s="321"/>
      <c r="M6" s="291"/>
      <c r="N6" s="291"/>
    </row>
    <row r="7" spans="1:16" x14ac:dyDescent="0.2">
      <c r="B7" s="216"/>
      <c r="C7" s="217"/>
      <c r="D7" s="126" t="s">
        <v>77</v>
      </c>
      <c r="E7" s="76" t="s">
        <v>179</v>
      </c>
      <c r="F7" s="218"/>
      <c r="G7" s="49"/>
      <c r="H7" s="220" t="s">
        <v>180</v>
      </c>
      <c r="I7" s="218"/>
      <c r="J7" s="221"/>
      <c r="K7" s="667" t="s">
        <v>111</v>
      </c>
      <c r="L7" s="668"/>
      <c r="M7" s="291"/>
      <c r="N7" s="286"/>
      <c r="O7" s="224" t="s">
        <v>79</v>
      </c>
    </row>
    <row r="8" spans="1:16" x14ac:dyDescent="0.2">
      <c r="B8" s="225" t="s">
        <v>80</v>
      </c>
      <c r="C8" s="322" t="s">
        <v>81</v>
      </c>
      <c r="D8" s="103" t="s">
        <v>82</v>
      </c>
      <c r="E8" s="323" t="s">
        <v>74</v>
      </c>
      <c r="F8" s="227" t="s">
        <v>83</v>
      </c>
      <c r="G8" s="103"/>
      <c r="H8" s="112" t="s">
        <v>74</v>
      </c>
      <c r="I8" s="227" t="s">
        <v>83</v>
      </c>
      <c r="J8" s="227"/>
      <c r="K8" s="227" t="s">
        <v>112</v>
      </c>
      <c r="L8" s="228" t="s">
        <v>113</v>
      </c>
      <c r="M8" s="291"/>
      <c r="N8" s="229"/>
      <c r="O8" s="230" t="s">
        <v>114</v>
      </c>
    </row>
    <row r="9" spans="1:16" x14ac:dyDescent="0.2">
      <c r="A9" s="40"/>
      <c r="B9" s="254"/>
      <c r="C9" s="247"/>
      <c r="D9" s="44"/>
      <c r="E9" s="320"/>
      <c r="F9" s="214"/>
      <c r="G9" s="92"/>
      <c r="H9" s="95"/>
      <c r="I9" s="298"/>
      <c r="J9" s="298"/>
      <c r="K9" s="214"/>
      <c r="L9" s="324"/>
      <c r="M9" s="291"/>
      <c r="O9" s="40"/>
    </row>
    <row r="10" spans="1:16" x14ac:dyDescent="0.2">
      <c r="B10" s="232" t="s">
        <v>138</v>
      </c>
      <c r="C10" s="294"/>
      <c r="D10" s="295"/>
      <c r="E10" s="325"/>
      <c r="F10" s="236"/>
      <c r="G10" s="326"/>
      <c r="H10" s="327"/>
      <c r="I10" s="328"/>
      <c r="J10" s="328"/>
      <c r="K10" s="236"/>
      <c r="L10" s="237"/>
      <c r="M10" s="291"/>
      <c r="N10" s="291"/>
    </row>
    <row r="11" spans="1:16" x14ac:dyDescent="0.2">
      <c r="B11" s="238"/>
      <c r="C11" s="40"/>
      <c r="D11" s="44"/>
      <c r="E11" s="320"/>
      <c r="F11" s="240"/>
      <c r="G11" s="92"/>
      <c r="H11" s="95"/>
      <c r="I11" s="231"/>
      <c r="J11" s="298"/>
      <c r="K11" s="240"/>
      <c r="L11" s="241"/>
      <c r="M11" s="291"/>
      <c r="N11" s="291"/>
      <c r="O11" s="297" t="s">
        <v>139</v>
      </c>
    </row>
    <row r="12" spans="1:16" x14ac:dyDescent="0.2">
      <c r="B12" s="254" t="s">
        <v>84</v>
      </c>
      <c r="C12" s="247" t="s">
        <v>85</v>
      </c>
      <c r="D12" s="44">
        <v>368.56669691470051</v>
      </c>
      <c r="E12" s="95">
        <v>595.08000000000004</v>
      </c>
      <c r="F12" s="240">
        <f>ROUND(D12*E12,2)</f>
        <v>219326.67</v>
      </c>
      <c r="H12" s="242">
        <v>701.68</v>
      </c>
      <c r="I12" s="231">
        <f>ROUND(D12*H12,2)</f>
        <v>258615.88</v>
      </c>
      <c r="J12" s="298"/>
      <c r="K12" s="240">
        <f>I12-F12</f>
        <v>39289.209999999992</v>
      </c>
      <c r="L12" s="241">
        <f>IFERROR(K12/F12, )</f>
        <v>0.17913557890611292</v>
      </c>
      <c r="M12" s="291"/>
      <c r="N12" s="291"/>
      <c r="O12" s="80">
        <v>9611898.688954046</v>
      </c>
    </row>
    <row r="13" spans="1:16" x14ac:dyDescent="0.2">
      <c r="B13" s="238" t="s">
        <v>92</v>
      </c>
      <c r="C13" s="40" t="s">
        <v>90</v>
      </c>
      <c r="D13" s="44">
        <v>96766.635999999999</v>
      </c>
      <c r="E13" s="95">
        <v>1.3</v>
      </c>
      <c r="F13" s="240">
        <f>ROUND(D13*E13,2)</f>
        <v>125796.63</v>
      </c>
      <c r="H13" s="242">
        <f>ROUND(E13*(1+$O$16),2)</f>
        <v>1.44</v>
      </c>
      <c r="I13" s="231">
        <f>ROUND(D13*H13,2)</f>
        <v>139343.96</v>
      </c>
      <c r="J13" s="298"/>
      <c r="K13" s="240">
        <f>I13-F13</f>
        <v>13547.329999999987</v>
      </c>
      <c r="L13" s="241">
        <f t="shared" ref="L13:L15" si="0">IFERROR(K13/F13, )</f>
        <v>0.10769231258420824</v>
      </c>
      <c r="M13" s="291"/>
      <c r="N13" s="291"/>
      <c r="O13" s="245" t="s">
        <v>116</v>
      </c>
    </row>
    <row r="14" spans="1:16" x14ac:dyDescent="0.2">
      <c r="B14" s="238" t="s">
        <v>89</v>
      </c>
      <c r="C14" s="40" t="s">
        <v>87</v>
      </c>
      <c r="D14" s="44">
        <f>D21</f>
        <v>19992939.502740219</v>
      </c>
      <c r="E14" s="81">
        <v>7.0499999999999998E-3</v>
      </c>
      <c r="F14" s="240">
        <f>E14*D14</f>
        <v>140950.22349431855</v>
      </c>
      <c r="H14" s="115">
        <f>ROUND(E14*(1+$O$16),5)</f>
        <v>7.7999999999999996E-3</v>
      </c>
      <c r="I14" s="231">
        <f>ROUND(D14*H14,2)</f>
        <v>155944.93</v>
      </c>
      <c r="J14" s="214"/>
      <c r="K14" s="240">
        <f>I14-F14</f>
        <v>14994.706505681446</v>
      </c>
      <c r="L14" s="241">
        <f t="shared" si="0"/>
        <v>0.10638299205170013</v>
      </c>
      <c r="M14" s="291"/>
      <c r="N14" s="291"/>
      <c r="O14" s="250">
        <f>I54-O12</f>
        <v>91.681045953184366</v>
      </c>
    </row>
    <row r="15" spans="1:16" x14ac:dyDescent="0.2">
      <c r="B15" s="238" t="s">
        <v>99</v>
      </c>
      <c r="C15" s="40"/>
      <c r="D15" s="44"/>
      <c r="E15" s="81"/>
      <c r="F15" s="94">
        <v>9677.49</v>
      </c>
      <c r="H15" s="81"/>
      <c r="I15" s="88">
        <f>F15</f>
        <v>9677.49</v>
      </c>
      <c r="J15" s="214"/>
      <c r="K15" s="240">
        <f>I15-F15</f>
        <v>0</v>
      </c>
      <c r="L15" s="241">
        <f t="shared" si="0"/>
        <v>0</v>
      </c>
      <c r="M15" s="291"/>
      <c r="N15" s="291"/>
      <c r="O15" s="109"/>
    </row>
    <row r="16" spans="1:16" x14ac:dyDescent="0.2">
      <c r="B16" s="238"/>
      <c r="C16" s="40"/>
      <c r="D16" s="44"/>
      <c r="E16" s="81"/>
      <c r="F16" s="88"/>
      <c r="H16" s="81"/>
      <c r="I16" s="94"/>
      <c r="J16" s="298"/>
      <c r="K16" s="240"/>
      <c r="L16" s="241"/>
      <c r="M16" s="291"/>
      <c r="N16" s="291"/>
      <c r="O16" s="299">
        <v>0.10610240784340896</v>
      </c>
    </row>
    <row r="17" spans="2:16" x14ac:dyDescent="0.2">
      <c r="B17" s="238" t="s">
        <v>93</v>
      </c>
      <c r="C17" s="40"/>
      <c r="D17" s="44"/>
      <c r="E17" s="81"/>
      <c r="F17" s="88"/>
      <c r="H17" s="81"/>
      <c r="I17" s="94"/>
      <c r="J17" s="298"/>
      <c r="K17" s="240"/>
      <c r="L17" s="241"/>
      <c r="M17" s="291"/>
      <c r="N17" s="291"/>
      <c r="O17" s="329"/>
    </row>
    <row r="18" spans="2:16" x14ac:dyDescent="0.2">
      <c r="B18" s="238" t="s">
        <v>100</v>
      </c>
      <c r="C18" s="40" t="s">
        <v>87</v>
      </c>
      <c r="D18" s="44">
        <v>8259556.7221568692</v>
      </c>
      <c r="E18" s="81">
        <v>0.1084</v>
      </c>
      <c r="F18" s="88">
        <f>ROUND(D18*E18,2)</f>
        <v>895335.95</v>
      </c>
      <c r="H18" s="115">
        <f>ROUND((O12-SUM(I12:I15,I19:I20, I28:I30,I34:I35))/SUM(D18,D33),5)</f>
        <v>0.12488</v>
      </c>
      <c r="I18" s="94">
        <f>ROUND(D18*H18,2)</f>
        <v>1031453.44</v>
      </c>
      <c r="J18" s="298"/>
      <c r="K18" s="240">
        <f>I18-F18</f>
        <v>136117.49</v>
      </c>
      <c r="L18" s="241">
        <f t="shared" ref="L18:L20" si="1">IFERROR(K18/F18, )</f>
        <v>0.15202951473131399</v>
      </c>
      <c r="M18" s="291"/>
      <c r="N18" s="291"/>
      <c r="O18" s="330"/>
      <c r="P18" s="127"/>
    </row>
    <row r="19" spans="2:16" x14ac:dyDescent="0.2">
      <c r="B19" s="238" t="s">
        <v>101</v>
      </c>
      <c r="C19" s="40" t="s">
        <v>87</v>
      </c>
      <c r="D19" s="44">
        <v>4347559.727</v>
      </c>
      <c r="E19" s="81">
        <v>5.3650000000000003E-2</v>
      </c>
      <c r="F19" s="88">
        <f>ROUND(D19*E19,2)</f>
        <v>233246.58</v>
      </c>
      <c r="H19" s="115">
        <f>ROUND(E19*(1+$O$16),5)</f>
        <v>5.9339999999999997E-2</v>
      </c>
      <c r="I19" s="94">
        <f>ROUND(D19*H19,2)</f>
        <v>257984.19</v>
      </c>
      <c r="J19" s="298"/>
      <c r="K19" s="240">
        <f>I19-F19</f>
        <v>24737.610000000015</v>
      </c>
      <c r="L19" s="241">
        <f t="shared" si="1"/>
        <v>0.10605776084691153</v>
      </c>
      <c r="M19" s="291"/>
      <c r="N19" s="291"/>
      <c r="O19" s="99"/>
      <c r="P19" s="99"/>
    </row>
    <row r="20" spans="2:16" x14ac:dyDescent="0.2">
      <c r="B20" s="238" t="s">
        <v>102</v>
      </c>
      <c r="C20" s="40" t="s">
        <v>87</v>
      </c>
      <c r="D20" s="44">
        <v>7385823.0535833519</v>
      </c>
      <c r="E20" s="81">
        <v>5.1319999999999998E-2</v>
      </c>
      <c r="F20" s="88">
        <f>ROUND(D20*E20,2)</f>
        <v>379040.44</v>
      </c>
      <c r="H20" s="115">
        <f>ROUND(E20*(1+$O$16),5)</f>
        <v>5.6770000000000001E-2</v>
      </c>
      <c r="I20" s="94">
        <f>ROUND(D20*H20,2)</f>
        <v>419293.17</v>
      </c>
      <c r="J20" s="298"/>
      <c r="K20" s="240">
        <f>I20-F20</f>
        <v>40252.729999999981</v>
      </c>
      <c r="L20" s="241">
        <f t="shared" si="1"/>
        <v>0.10619639951874259</v>
      </c>
      <c r="M20" s="291"/>
      <c r="N20" s="291"/>
      <c r="O20" s="99"/>
      <c r="P20" s="99"/>
    </row>
    <row r="21" spans="2:16" x14ac:dyDescent="0.2">
      <c r="B21" s="254" t="s">
        <v>119</v>
      </c>
      <c r="C21" s="247"/>
      <c r="D21" s="20">
        <f>SUM(D18:D20)</f>
        <v>19992939.502740219</v>
      </c>
      <c r="E21" s="214"/>
      <c r="F21" s="134">
        <f>SUM(F12:F20)</f>
        <v>2003373.9834943186</v>
      </c>
      <c r="H21" s="95"/>
      <c r="I21" s="134">
        <f>SUM(I12:I20)</f>
        <v>2272313.06</v>
      </c>
      <c r="J21" s="298"/>
      <c r="K21" s="307">
        <f>SUM(K12:K20)</f>
        <v>268939.07650568138</v>
      </c>
      <c r="L21" s="128">
        <f>IFERROR(K21/F21, )</f>
        <v>0.13424307129944521</v>
      </c>
      <c r="M21" s="291"/>
      <c r="N21" s="291"/>
      <c r="O21" s="101"/>
      <c r="P21" s="204"/>
    </row>
    <row r="22" spans="2:16" ht="12.75" customHeight="1" x14ac:dyDescent="0.2">
      <c r="B22" s="254"/>
      <c r="C22" s="247"/>
      <c r="D22" s="44"/>
      <c r="E22" s="214"/>
      <c r="F22" s="94"/>
      <c r="H22" s="95"/>
      <c r="I22" s="94"/>
      <c r="J22" s="298"/>
      <c r="K22" s="240"/>
      <c r="L22" s="241"/>
      <c r="M22" s="291"/>
      <c r="N22" s="291"/>
      <c r="O22" s="331"/>
      <c r="P22" s="332"/>
    </row>
    <row r="23" spans="2:16" x14ac:dyDescent="0.2">
      <c r="B23" s="238" t="s">
        <v>182</v>
      </c>
      <c r="C23" s="40"/>
      <c r="D23" s="44"/>
      <c r="E23" s="81"/>
      <c r="F23" s="134">
        <f>F21</f>
        <v>2003373.9834943186</v>
      </c>
      <c r="H23" s="95"/>
      <c r="I23" s="134">
        <f>I21</f>
        <v>2272313.06</v>
      </c>
      <c r="J23" s="298"/>
      <c r="K23" s="307">
        <f>K21</f>
        <v>268939.07650568138</v>
      </c>
      <c r="L23" s="128">
        <f>IFERROR(K23/F23, )</f>
        <v>0.13424307129944521</v>
      </c>
      <c r="M23" s="291"/>
      <c r="N23" s="291"/>
    </row>
    <row r="24" spans="2:16" x14ac:dyDescent="0.2">
      <c r="B24" s="300"/>
      <c r="C24" s="269"/>
      <c r="D24" s="85"/>
      <c r="E24" s="333"/>
      <c r="F24" s="84"/>
      <c r="G24" s="85"/>
      <c r="H24" s="129"/>
      <c r="I24" s="84"/>
      <c r="J24" s="334"/>
      <c r="K24" s="302"/>
      <c r="L24" s="303"/>
      <c r="M24" s="291"/>
      <c r="N24" s="291"/>
    </row>
    <row r="25" spans="2:16" x14ac:dyDescent="0.2">
      <c r="B25" s="50"/>
      <c r="C25" s="50"/>
      <c r="D25" s="44"/>
      <c r="E25" s="81"/>
      <c r="F25" s="88"/>
      <c r="H25" s="95"/>
      <c r="I25" s="94"/>
      <c r="J25" s="130"/>
      <c r="K25" s="88"/>
      <c r="L25" s="89"/>
      <c r="M25" s="291"/>
      <c r="N25" s="291"/>
    </row>
    <row r="26" spans="2:16" x14ac:dyDescent="0.2">
      <c r="B26" s="232" t="s">
        <v>140</v>
      </c>
      <c r="C26" s="294"/>
      <c r="D26" s="295"/>
      <c r="E26" s="325"/>
      <c r="F26" s="335"/>
      <c r="G26" s="326"/>
      <c r="H26" s="327"/>
      <c r="I26" s="336"/>
      <c r="J26" s="328"/>
      <c r="K26" s="236"/>
      <c r="L26" s="237"/>
      <c r="M26" s="291"/>
      <c r="N26" s="291"/>
      <c r="O26" s="131"/>
      <c r="P26" s="79"/>
    </row>
    <row r="27" spans="2:16" x14ac:dyDescent="0.2">
      <c r="B27" s="238"/>
      <c r="C27" s="40"/>
      <c r="D27" s="44"/>
      <c r="E27" s="320"/>
      <c r="F27" s="88"/>
      <c r="G27" s="92"/>
      <c r="H27" s="95"/>
      <c r="I27" s="94"/>
      <c r="J27" s="298"/>
      <c r="K27" s="240"/>
      <c r="L27" s="241"/>
      <c r="M27" s="291"/>
      <c r="N27" s="291"/>
      <c r="O27" s="50"/>
      <c r="P27" s="50"/>
    </row>
    <row r="28" spans="2:16" x14ac:dyDescent="0.2">
      <c r="B28" s="254" t="s">
        <v>84</v>
      </c>
      <c r="C28" s="247" t="s">
        <v>85</v>
      </c>
      <c r="D28" s="44">
        <v>884.03333362675562</v>
      </c>
      <c r="E28" s="95">
        <v>903.09</v>
      </c>
      <c r="F28" s="88">
        <f>ROUND(D28*E28,2)</f>
        <v>798361.66</v>
      </c>
      <c r="H28" s="242">
        <f>E28</f>
        <v>903.09</v>
      </c>
      <c r="I28" s="94">
        <f>ROUND(D28*H28,2)</f>
        <v>798361.66</v>
      </c>
      <c r="J28" s="298"/>
      <c r="K28" s="240">
        <f>I28-F28</f>
        <v>0</v>
      </c>
      <c r="L28" s="241">
        <f t="shared" ref="L28:L30" si="2">IFERROR(K28/F28, )</f>
        <v>0</v>
      </c>
      <c r="M28" s="291"/>
      <c r="N28" s="291"/>
      <c r="O28" s="79"/>
      <c r="P28" s="79"/>
    </row>
    <row r="29" spans="2:16" x14ac:dyDescent="0.2">
      <c r="B29" s="238" t="s">
        <v>92</v>
      </c>
      <c r="C29" s="40" t="s">
        <v>90</v>
      </c>
      <c r="D29" s="44">
        <v>651309.33499999996</v>
      </c>
      <c r="E29" s="95">
        <v>1.3</v>
      </c>
      <c r="F29" s="88">
        <f>ROUND(D29*E29,2)</f>
        <v>846702.14</v>
      </c>
      <c r="H29" s="242">
        <f>$H$13</f>
        <v>1.44</v>
      </c>
      <c r="I29" s="94">
        <f>ROUND(D29*H29,2)</f>
        <v>937885.44</v>
      </c>
      <c r="J29" s="298"/>
      <c r="K29" s="240">
        <f>I29-F29</f>
        <v>91183.29999999993</v>
      </c>
      <c r="L29" s="241">
        <f t="shared" si="2"/>
        <v>0.10769229897068634</v>
      </c>
      <c r="M29" s="291"/>
      <c r="N29" s="291"/>
      <c r="O29" s="50"/>
      <c r="P29" s="50"/>
    </row>
    <row r="30" spans="2:16" x14ac:dyDescent="0.2">
      <c r="B30" s="238" t="s">
        <v>99</v>
      </c>
      <c r="C30" s="40"/>
      <c r="D30" s="44"/>
      <c r="E30" s="95"/>
      <c r="F30" s="94">
        <v>-10601.630000000003</v>
      </c>
      <c r="H30" s="242"/>
      <c r="I30" s="94">
        <f>F30</f>
        <v>-10601.630000000003</v>
      </c>
      <c r="J30" s="298"/>
      <c r="K30" s="240">
        <f>I30-F30</f>
        <v>0</v>
      </c>
      <c r="L30" s="241">
        <f t="shared" si="2"/>
        <v>0</v>
      </c>
      <c r="M30" s="291"/>
      <c r="N30" s="291"/>
      <c r="O30" s="50"/>
      <c r="P30" s="50"/>
    </row>
    <row r="31" spans="2:16" x14ac:dyDescent="0.2">
      <c r="B31" s="238"/>
      <c r="C31" s="40"/>
      <c r="D31" s="44"/>
      <c r="E31" s="81"/>
      <c r="F31" s="50"/>
      <c r="H31" s="115"/>
      <c r="I31" s="50"/>
      <c r="J31" s="214"/>
      <c r="K31" s="240"/>
      <c r="L31" s="241"/>
      <c r="M31" s="291"/>
      <c r="N31" s="291"/>
      <c r="O31" s="50"/>
      <c r="P31" s="50"/>
    </row>
    <row r="32" spans="2:16" x14ac:dyDescent="0.2">
      <c r="B32" s="238" t="s">
        <v>93</v>
      </c>
      <c r="C32" s="40"/>
      <c r="D32" s="44"/>
      <c r="E32" s="81"/>
      <c r="F32" s="88"/>
      <c r="H32" s="115"/>
      <c r="I32" s="94"/>
      <c r="J32" s="298"/>
      <c r="K32" s="240"/>
      <c r="L32" s="241"/>
      <c r="M32" s="291"/>
      <c r="N32" s="291"/>
      <c r="O32" s="50"/>
      <c r="P32" s="50"/>
    </row>
    <row r="33" spans="2:16" x14ac:dyDescent="0.2">
      <c r="B33" s="238" t="s">
        <v>100</v>
      </c>
      <c r="C33" s="40" t="s">
        <v>87</v>
      </c>
      <c r="D33" s="44">
        <v>24354615.889999997</v>
      </c>
      <c r="E33" s="81">
        <v>0.1084</v>
      </c>
      <c r="F33" s="88">
        <f>ROUND(D33*E33,2)</f>
        <v>2640040.36</v>
      </c>
      <c r="H33" s="115">
        <f>H18</f>
        <v>0.12488</v>
      </c>
      <c r="I33" s="94">
        <f>ROUND(D33*H33,2)</f>
        <v>3041404.43</v>
      </c>
      <c r="J33" s="298"/>
      <c r="K33" s="240">
        <f>I33-F33</f>
        <v>401364.0700000003</v>
      </c>
      <c r="L33" s="241">
        <f t="shared" ref="L33:L35" si="3">IFERROR(K33/F33, )</f>
        <v>0.1520295204880884</v>
      </c>
      <c r="M33" s="291"/>
      <c r="N33" s="291"/>
      <c r="O33" s="50"/>
      <c r="P33" s="50"/>
    </row>
    <row r="34" spans="2:16" x14ac:dyDescent="0.2">
      <c r="B34" s="238" t="s">
        <v>101</v>
      </c>
      <c r="C34" s="40" t="s">
        <v>87</v>
      </c>
      <c r="D34" s="44">
        <v>17329118.52</v>
      </c>
      <c r="E34" s="81">
        <v>5.3650000000000003E-2</v>
      </c>
      <c r="F34" s="88">
        <f>ROUND(D34*E34,2)</f>
        <v>929707.21</v>
      </c>
      <c r="H34" s="115">
        <f>H19</f>
        <v>5.9339999999999997E-2</v>
      </c>
      <c r="I34" s="94">
        <f>ROUND(D34*H34,2)</f>
        <v>1028309.89</v>
      </c>
      <c r="J34" s="298"/>
      <c r="K34" s="240">
        <f>I34-F34</f>
        <v>98602.680000000051</v>
      </c>
      <c r="L34" s="241">
        <f t="shared" si="3"/>
        <v>0.10605777705004574</v>
      </c>
      <c r="M34" s="291"/>
      <c r="N34" s="291"/>
      <c r="O34" s="50"/>
      <c r="P34" s="50"/>
    </row>
    <row r="35" spans="2:16" x14ac:dyDescent="0.2">
      <c r="B35" s="238" t="s">
        <v>103</v>
      </c>
      <c r="C35" s="40" t="s">
        <v>87</v>
      </c>
      <c r="D35" s="44">
        <v>27203056.60995879</v>
      </c>
      <c r="E35" s="81">
        <v>5.1319999999999998E-2</v>
      </c>
      <c r="F35" s="84">
        <f>ROUND(D35*E35,2)</f>
        <v>1396060.87</v>
      </c>
      <c r="H35" s="115">
        <f>H20</f>
        <v>5.6770000000000001E-2</v>
      </c>
      <c r="I35" s="94">
        <f>ROUND(D35*H35,2)</f>
        <v>1544317.52</v>
      </c>
      <c r="J35" s="298"/>
      <c r="K35" s="240">
        <f>I35-F35</f>
        <v>148256.64999999991</v>
      </c>
      <c r="L35" s="241">
        <f t="shared" si="3"/>
        <v>0.10619640818383506</v>
      </c>
      <c r="M35" s="291"/>
      <c r="N35" s="291"/>
      <c r="O35" s="50"/>
      <c r="P35" s="50"/>
    </row>
    <row r="36" spans="2:16" x14ac:dyDescent="0.2">
      <c r="B36" s="254" t="s">
        <v>119</v>
      </c>
      <c r="C36" s="247"/>
      <c r="D36" s="20">
        <f>SUM(D33:D35)</f>
        <v>68886791.019958794</v>
      </c>
      <c r="E36" s="214"/>
      <c r="F36" s="134">
        <f>SUM(F28:F35)</f>
        <v>6600270.6100000003</v>
      </c>
      <c r="H36" s="95"/>
      <c r="I36" s="134">
        <f>SUM(I28:I35)</f>
        <v>7339677.3100000005</v>
      </c>
      <c r="J36" s="298"/>
      <c r="K36" s="307">
        <f>SUM(K28:K35)</f>
        <v>739406.70000000019</v>
      </c>
      <c r="L36" s="128">
        <f>IFERROR(K36/F36, )</f>
        <v>0.11202672491635918</v>
      </c>
      <c r="M36" s="291"/>
      <c r="N36" s="291"/>
      <c r="O36" s="50"/>
      <c r="P36" s="50"/>
    </row>
    <row r="37" spans="2:16" x14ac:dyDescent="0.2">
      <c r="B37" s="254"/>
      <c r="C37" s="247"/>
      <c r="D37" s="44"/>
      <c r="E37" s="214"/>
      <c r="F37" s="94"/>
      <c r="H37" s="95"/>
      <c r="I37" s="94"/>
      <c r="J37" s="298"/>
      <c r="K37" s="240"/>
      <c r="L37" s="241"/>
      <c r="M37" s="291"/>
      <c r="N37" s="291"/>
      <c r="O37" s="79"/>
      <c r="P37" s="50"/>
    </row>
    <row r="38" spans="2:16" x14ac:dyDescent="0.2">
      <c r="B38" s="254" t="s">
        <v>182</v>
      </c>
      <c r="C38" s="40"/>
      <c r="D38" s="44"/>
      <c r="E38" s="95"/>
      <c r="F38" s="134">
        <f>F36</f>
        <v>6600270.6100000003</v>
      </c>
      <c r="G38" s="50"/>
      <c r="H38" s="95"/>
      <c r="I38" s="134">
        <f>I36</f>
        <v>7339677.3100000005</v>
      </c>
      <c r="J38" s="214"/>
      <c r="K38" s="307">
        <f>K36</f>
        <v>739406.70000000019</v>
      </c>
      <c r="L38" s="128">
        <f>IFERROR(K38/F38, )</f>
        <v>0.11202672491635918</v>
      </c>
      <c r="M38" s="291"/>
      <c r="N38" s="291"/>
      <c r="O38" s="132"/>
      <c r="P38" s="50"/>
    </row>
    <row r="39" spans="2:16" x14ac:dyDescent="0.2">
      <c r="B39" s="300"/>
      <c r="C39" s="269"/>
      <c r="D39" s="85"/>
      <c r="E39" s="333"/>
      <c r="F39" s="84"/>
      <c r="G39" s="85"/>
      <c r="H39" s="129"/>
      <c r="I39" s="136"/>
      <c r="J39" s="334"/>
      <c r="K39" s="302"/>
      <c r="L39" s="303"/>
      <c r="M39" s="291"/>
      <c r="N39" s="291"/>
      <c r="O39" s="50"/>
      <c r="P39" s="50"/>
    </row>
    <row r="40" spans="2:16" x14ac:dyDescent="0.2">
      <c r="B40" s="40"/>
      <c r="C40" s="40"/>
      <c r="D40" s="44"/>
      <c r="E40" s="320"/>
      <c r="F40" s="88"/>
      <c r="H40" s="95"/>
      <c r="I40" s="94"/>
      <c r="J40" s="298"/>
      <c r="K40" s="240"/>
      <c r="L40" s="304"/>
      <c r="M40" s="291"/>
      <c r="N40" s="291"/>
      <c r="O40" s="50"/>
      <c r="P40" s="50"/>
    </row>
    <row r="41" spans="2:16" x14ac:dyDescent="0.2">
      <c r="B41" s="90" t="s">
        <v>141</v>
      </c>
      <c r="C41" s="294"/>
      <c r="D41" s="295"/>
      <c r="E41" s="325"/>
      <c r="F41" s="335"/>
      <c r="G41" s="326"/>
      <c r="H41" s="327"/>
      <c r="I41" s="336"/>
      <c r="J41" s="328"/>
      <c r="K41" s="236"/>
      <c r="L41" s="237"/>
      <c r="M41" s="291"/>
      <c r="N41" s="291"/>
      <c r="O41" s="50"/>
      <c r="P41" s="50"/>
    </row>
    <row r="42" spans="2:16" x14ac:dyDescent="0.2">
      <c r="B42" s="238"/>
      <c r="C42" s="40"/>
      <c r="D42" s="44"/>
      <c r="E42" s="81"/>
      <c r="F42" s="88"/>
      <c r="G42" s="92"/>
      <c r="H42" s="95"/>
      <c r="I42" s="94"/>
      <c r="J42" s="130"/>
      <c r="K42" s="88"/>
      <c r="L42" s="93"/>
      <c r="M42" s="133"/>
      <c r="N42" s="291"/>
      <c r="O42" s="50"/>
      <c r="P42" s="50"/>
    </row>
    <row r="43" spans="2:16" x14ac:dyDescent="0.2">
      <c r="B43" s="254" t="s">
        <v>84</v>
      </c>
      <c r="C43" s="247" t="s">
        <v>85</v>
      </c>
      <c r="D43" s="44">
        <f>D28+D12</f>
        <v>1252.6000305414561</v>
      </c>
      <c r="E43" s="95"/>
      <c r="F43" s="88">
        <f>F12+F28</f>
        <v>1017688.3300000001</v>
      </c>
      <c r="H43" s="95"/>
      <c r="I43" s="88">
        <f>I12+I28</f>
        <v>1056977.54</v>
      </c>
      <c r="J43" s="130"/>
      <c r="K43" s="88">
        <f>I43-F43</f>
        <v>39289.209999999963</v>
      </c>
      <c r="L43" s="93">
        <f t="shared" ref="L43:L46" si="4">IFERROR(K43/F43, )</f>
        <v>3.860632852103154E-2</v>
      </c>
      <c r="M43" s="133"/>
      <c r="N43" s="291"/>
      <c r="O43" s="50"/>
      <c r="P43" s="50"/>
    </row>
    <row r="44" spans="2:16" x14ac:dyDescent="0.2">
      <c r="B44" s="238" t="s">
        <v>92</v>
      </c>
      <c r="C44" s="40" t="s">
        <v>90</v>
      </c>
      <c r="D44" s="44">
        <f>D29+D13</f>
        <v>748075.9709999999</v>
      </c>
      <c r="E44" s="95"/>
      <c r="F44" s="88">
        <f>F13+F29</f>
        <v>972498.77</v>
      </c>
      <c r="H44" s="95"/>
      <c r="I44" s="88">
        <f>I13+I29</f>
        <v>1077229.3999999999</v>
      </c>
      <c r="J44" s="130"/>
      <c r="K44" s="88">
        <f>I44-F44</f>
        <v>104730.62999999989</v>
      </c>
      <c r="L44" s="93">
        <f t="shared" si="4"/>
        <v>0.10769230073165016</v>
      </c>
      <c r="M44" s="133"/>
      <c r="N44" s="291"/>
      <c r="O44" s="50"/>
      <c r="P44" s="50"/>
    </row>
    <row r="45" spans="2:16" x14ac:dyDescent="0.2">
      <c r="B45" s="238" t="s">
        <v>89</v>
      </c>
      <c r="C45" s="40" t="s">
        <v>87</v>
      </c>
      <c r="D45" s="44">
        <f>D30+D14</f>
        <v>19992939.502740219</v>
      </c>
      <c r="E45" s="95"/>
      <c r="F45" s="88">
        <f>F14</f>
        <v>140950.22349431855</v>
      </c>
      <c r="H45" s="95"/>
      <c r="I45" s="88">
        <f>I14</f>
        <v>155944.93</v>
      </c>
      <c r="J45" s="130"/>
      <c r="K45" s="88">
        <f>I45-F45</f>
        <v>14994.706505681446</v>
      </c>
      <c r="L45" s="93">
        <f t="shared" si="4"/>
        <v>0.10638299205170013</v>
      </c>
      <c r="M45" s="133"/>
      <c r="N45" s="291"/>
      <c r="O45" s="50"/>
      <c r="P45" s="50"/>
    </row>
    <row r="46" spans="2:16" x14ac:dyDescent="0.2">
      <c r="B46" s="238" t="s">
        <v>99</v>
      </c>
      <c r="C46" s="40"/>
      <c r="D46" s="44"/>
      <c r="E46" s="95"/>
      <c r="F46" s="94">
        <f>F15+F30</f>
        <v>-924.14000000000306</v>
      </c>
      <c r="H46" s="95"/>
      <c r="I46" s="94">
        <f>I15+I30</f>
        <v>-924.14000000000306</v>
      </c>
      <c r="J46" s="130"/>
      <c r="K46" s="88">
        <f>I46-F46</f>
        <v>0</v>
      </c>
      <c r="L46" s="93">
        <f t="shared" si="4"/>
        <v>0</v>
      </c>
      <c r="M46" s="133"/>
      <c r="N46" s="291"/>
      <c r="O46" s="50"/>
      <c r="P46" s="50"/>
    </row>
    <row r="47" spans="2:16" x14ac:dyDescent="0.2">
      <c r="B47" s="238"/>
      <c r="C47" s="40"/>
      <c r="D47" s="44"/>
      <c r="E47" s="81"/>
      <c r="F47" s="50"/>
      <c r="H47" s="81"/>
      <c r="I47" s="50"/>
      <c r="J47" s="95"/>
      <c r="K47" s="88"/>
      <c r="L47" s="93"/>
      <c r="M47" s="133"/>
      <c r="N47" s="291"/>
      <c r="O47" s="50"/>
      <c r="P47" s="50"/>
    </row>
    <row r="48" spans="2:16" x14ac:dyDescent="0.2">
      <c r="B48" s="238" t="s">
        <v>93</v>
      </c>
      <c r="C48" s="40"/>
      <c r="D48" s="44"/>
      <c r="E48" s="81"/>
      <c r="F48" s="88"/>
      <c r="H48" s="81"/>
      <c r="I48" s="88"/>
      <c r="J48" s="130"/>
      <c r="K48" s="88"/>
      <c r="L48" s="93"/>
      <c r="M48" s="133"/>
      <c r="N48" s="291"/>
      <c r="O48" s="50"/>
      <c r="P48" s="50"/>
    </row>
    <row r="49" spans="1:16" x14ac:dyDescent="0.2">
      <c r="B49" s="238" t="s">
        <v>100</v>
      </c>
      <c r="C49" s="40" t="s">
        <v>87</v>
      </c>
      <c r="D49" s="44">
        <f>D33+D18</f>
        <v>32614172.612156868</v>
      </c>
      <c r="E49" s="81"/>
      <c r="F49" s="88">
        <f>F18+F33</f>
        <v>3535376.3099999996</v>
      </c>
      <c r="H49" s="99"/>
      <c r="I49" s="88">
        <f>I18+I33</f>
        <v>4072857.87</v>
      </c>
      <c r="J49" s="130"/>
      <c r="K49" s="88">
        <f>I49-F49</f>
        <v>537481.56000000052</v>
      </c>
      <c r="L49" s="93">
        <f t="shared" ref="L49:L51" si="5">IFERROR(K49/F49, )</f>
        <v>0.15202951903018228</v>
      </c>
      <c r="M49" s="133"/>
      <c r="N49" s="291"/>
      <c r="O49" s="50"/>
      <c r="P49" s="50"/>
    </row>
    <row r="50" spans="1:16" x14ac:dyDescent="0.2">
      <c r="B50" s="238" t="s">
        <v>101</v>
      </c>
      <c r="C50" s="40" t="s">
        <v>87</v>
      </c>
      <c r="D50" s="44">
        <f>D34+D19</f>
        <v>21676678.247000001</v>
      </c>
      <c r="E50" s="81"/>
      <c r="F50" s="88">
        <f>F19+F34</f>
        <v>1162953.79</v>
      </c>
      <c r="H50" s="99"/>
      <c r="I50" s="88">
        <f>I19+I34</f>
        <v>1286294.08</v>
      </c>
      <c r="J50" s="130"/>
      <c r="K50" s="88">
        <f>I50-F50</f>
        <v>123340.29000000004</v>
      </c>
      <c r="L50" s="93">
        <f t="shared" si="5"/>
        <v>0.10605777380028146</v>
      </c>
      <c r="M50" s="133"/>
      <c r="N50" s="291"/>
      <c r="O50" s="50"/>
      <c r="P50" s="50"/>
    </row>
    <row r="51" spans="1:16" x14ac:dyDescent="0.2">
      <c r="B51" s="238" t="s">
        <v>102</v>
      </c>
      <c r="C51" s="40" t="s">
        <v>87</v>
      </c>
      <c r="D51" s="44">
        <f>D35+D20</f>
        <v>34588879.663542144</v>
      </c>
      <c r="E51" s="81"/>
      <c r="F51" s="84">
        <f>F20+F35</f>
        <v>1775101.31</v>
      </c>
      <c r="H51" s="81"/>
      <c r="I51" s="84">
        <f>I20+I35</f>
        <v>1963610.69</v>
      </c>
      <c r="J51" s="130"/>
      <c r="K51" s="88">
        <f>I51-F51</f>
        <v>188509.37999999989</v>
      </c>
      <c r="L51" s="93">
        <f t="shared" si="5"/>
        <v>0.10619640633356295</v>
      </c>
      <c r="M51" s="133"/>
      <c r="N51" s="291"/>
      <c r="O51" s="50"/>
      <c r="P51" s="50"/>
    </row>
    <row r="52" spans="1:16" x14ac:dyDescent="0.2">
      <c r="B52" s="254" t="s">
        <v>119</v>
      </c>
      <c r="C52" s="247"/>
      <c r="D52" s="20">
        <f>SUM(D49:D51)</f>
        <v>88879730.522699013</v>
      </c>
      <c r="E52" s="95"/>
      <c r="F52" s="134">
        <f>SUM(F43:F51)</f>
        <v>8603644.5934943184</v>
      </c>
      <c r="H52" s="95"/>
      <c r="I52" s="134">
        <f>SUM(I43:I51)</f>
        <v>9611990.3699999992</v>
      </c>
      <c r="J52" s="130"/>
      <c r="K52" s="134">
        <f>SUM(K43:K51)</f>
        <v>1008345.7765056817</v>
      </c>
      <c r="L52" s="128">
        <f>IFERROR(K52/F52, )</f>
        <v>0.11719984078237571</v>
      </c>
      <c r="M52" s="133"/>
      <c r="N52" s="291"/>
      <c r="O52" s="50"/>
      <c r="P52" s="50"/>
    </row>
    <row r="53" spans="1:16" x14ac:dyDescent="0.2">
      <c r="B53" s="254"/>
      <c r="C53" s="247"/>
      <c r="D53" s="44"/>
      <c r="E53" s="95"/>
      <c r="F53" s="94"/>
      <c r="H53" s="95"/>
      <c r="I53" s="94"/>
      <c r="J53" s="130"/>
      <c r="K53" s="88"/>
      <c r="L53" s="93"/>
      <c r="M53" s="133"/>
      <c r="N53" s="291"/>
      <c r="O53" s="50"/>
      <c r="P53" s="50"/>
    </row>
    <row r="54" spans="1:16" x14ac:dyDescent="0.2">
      <c r="B54" s="238" t="s">
        <v>182</v>
      </c>
      <c r="C54" s="40"/>
      <c r="D54" s="44"/>
      <c r="E54" s="95"/>
      <c r="F54" s="134">
        <f>F52</f>
        <v>8603644.5934943184</v>
      </c>
      <c r="H54" s="95"/>
      <c r="I54" s="134">
        <f>I52</f>
        <v>9611990.3699999992</v>
      </c>
      <c r="J54" s="130"/>
      <c r="K54" s="134">
        <f>K52</f>
        <v>1008345.7765056817</v>
      </c>
      <c r="L54" s="128">
        <f>IFERROR(K54/F54, )</f>
        <v>0.11719984078237571</v>
      </c>
      <c r="M54" s="133"/>
      <c r="N54" s="291"/>
    </row>
    <row r="55" spans="1:16" x14ac:dyDescent="0.2">
      <c r="B55" s="300"/>
      <c r="C55" s="269"/>
      <c r="D55" s="85"/>
      <c r="E55" s="135"/>
      <c r="F55" s="84"/>
      <c r="G55" s="85"/>
      <c r="H55" s="129"/>
      <c r="I55" s="136"/>
      <c r="J55" s="137"/>
      <c r="K55" s="84"/>
      <c r="L55" s="86"/>
      <c r="M55" s="133"/>
      <c r="N55" s="291"/>
    </row>
    <row r="56" spans="1:16" x14ac:dyDescent="0.2">
      <c r="A56" s="40"/>
      <c r="B56" s="40"/>
      <c r="C56" s="40"/>
      <c r="D56" s="44"/>
      <c r="E56" s="320"/>
      <c r="F56" s="88"/>
      <c r="H56" s="95"/>
      <c r="I56" s="94"/>
      <c r="J56" s="298"/>
      <c r="K56" s="240"/>
      <c r="L56" s="304"/>
      <c r="M56" s="291"/>
      <c r="N56" s="291"/>
      <c r="O56" s="40"/>
    </row>
    <row r="57" spans="1:16" x14ac:dyDescent="0.2">
      <c r="B57" s="232" t="s">
        <v>142</v>
      </c>
      <c r="C57" s="294"/>
      <c r="D57" s="295"/>
      <c r="E57" s="325"/>
      <c r="F57" s="335"/>
      <c r="G57" s="295"/>
      <c r="H57" s="327"/>
      <c r="I57" s="337"/>
      <c r="J57" s="328"/>
      <c r="K57" s="236"/>
      <c r="L57" s="257"/>
      <c r="M57" s="291"/>
      <c r="N57" s="291"/>
      <c r="O57" s="40"/>
    </row>
    <row r="58" spans="1:16" x14ac:dyDescent="0.2">
      <c r="B58" s="238"/>
      <c r="C58" s="40"/>
      <c r="D58" s="44"/>
      <c r="E58" s="320"/>
      <c r="F58" s="88"/>
      <c r="G58" s="92"/>
      <c r="H58" s="95"/>
      <c r="I58" s="94"/>
      <c r="J58" s="298"/>
      <c r="K58" s="240"/>
      <c r="L58" s="241"/>
      <c r="M58" s="291"/>
      <c r="N58" s="291"/>
      <c r="O58" s="297" t="s">
        <v>143</v>
      </c>
    </row>
    <row r="59" spans="1:16" x14ac:dyDescent="0.2">
      <c r="B59" s="254" t="s">
        <v>84</v>
      </c>
      <c r="C59" s="247" t="s">
        <v>85</v>
      </c>
      <c r="D59" s="44">
        <v>1364.2999596828383</v>
      </c>
      <c r="E59" s="95">
        <v>148.82</v>
      </c>
      <c r="F59" s="88">
        <f>ROUND(D59*E59,2)</f>
        <v>203035.12</v>
      </c>
      <c r="H59" s="242">
        <f>E59</f>
        <v>148.82</v>
      </c>
      <c r="I59" s="94">
        <f>ROUND(D59*H59,2)</f>
        <v>203035.12</v>
      </c>
      <c r="J59" s="298"/>
      <c r="K59" s="240">
        <f>I59-F59</f>
        <v>0</v>
      </c>
      <c r="L59" s="241">
        <f t="shared" ref="L59:L62" si="6">IFERROR(K59/F59, )</f>
        <v>0</v>
      </c>
      <c r="M59" s="291"/>
      <c r="N59" s="291"/>
      <c r="O59" s="80">
        <v>1560028.5146650348</v>
      </c>
    </row>
    <row r="60" spans="1:16" x14ac:dyDescent="0.2">
      <c r="B60" s="238" t="s">
        <v>92</v>
      </c>
      <c r="C60" s="40" t="s">
        <v>90</v>
      </c>
      <c r="D60" s="44">
        <v>39087.972999999998</v>
      </c>
      <c r="E60" s="95">
        <v>1.35</v>
      </c>
      <c r="F60" s="88">
        <f>ROUND(D60*E60,2)</f>
        <v>52768.76</v>
      </c>
      <c r="H60" s="242">
        <f>E60</f>
        <v>1.35</v>
      </c>
      <c r="I60" s="94">
        <f>ROUND(D60*H60,2)</f>
        <v>52768.76</v>
      </c>
      <c r="J60" s="298"/>
      <c r="K60" s="240">
        <f>I60-F60</f>
        <v>0</v>
      </c>
      <c r="L60" s="241">
        <f t="shared" si="6"/>
        <v>0</v>
      </c>
      <c r="M60" s="291"/>
      <c r="N60" s="291"/>
      <c r="O60" s="245" t="s">
        <v>116</v>
      </c>
    </row>
    <row r="61" spans="1:16" x14ac:dyDescent="0.2">
      <c r="B61" s="238" t="s">
        <v>89</v>
      </c>
      <c r="C61" s="40" t="s">
        <v>87</v>
      </c>
      <c r="D61" s="44">
        <f>D67</f>
        <v>5773170.4876905456</v>
      </c>
      <c r="E61" s="81">
        <v>1.222E-2</v>
      </c>
      <c r="F61" s="88">
        <f>ROUND(D61*E61,2)</f>
        <v>70548.14</v>
      </c>
      <c r="H61" s="115">
        <f>E61</f>
        <v>1.222E-2</v>
      </c>
      <c r="I61" s="94">
        <f>ROUND(D67*H61,2)</f>
        <v>70548.14</v>
      </c>
      <c r="J61" s="298"/>
      <c r="K61" s="240">
        <f>I61-F61</f>
        <v>0</v>
      </c>
      <c r="L61" s="241">
        <f t="shared" si="6"/>
        <v>0</v>
      </c>
      <c r="M61" s="291"/>
      <c r="N61" s="291"/>
      <c r="O61" s="250">
        <f>I98-O59</f>
        <v>2.5053349651861936</v>
      </c>
    </row>
    <row r="62" spans="1:16" x14ac:dyDescent="0.2">
      <c r="B62" s="238" t="s">
        <v>99</v>
      </c>
      <c r="C62" s="40"/>
      <c r="D62" s="44"/>
      <c r="E62" s="81"/>
      <c r="F62" s="94">
        <v>7612.77</v>
      </c>
      <c r="H62" s="115"/>
      <c r="I62" s="94">
        <f>F62</f>
        <v>7612.77</v>
      </c>
      <c r="J62" s="338"/>
      <c r="K62" s="240">
        <f>I62-F62</f>
        <v>0</v>
      </c>
      <c r="L62" s="241">
        <f t="shared" si="6"/>
        <v>0</v>
      </c>
      <c r="M62" s="291"/>
      <c r="N62" s="291"/>
      <c r="O62" s="329"/>
    </row>
    <row r="63" spans="1:16" x14ac:dyDescent="0.2">
      <c r="B63" s="238"/>
      <c r="C63" s="40"/>
      <c r="D63" s="44"/>
      <c r="E63" s="81"/>
      <c r="F63" s="88"/>
      <c r="H63" s="115"/>
      <c r="I63" s="94"/>
      <c r="J63" s="298"/>
      <c r="K63" s="240"/>
      <c r="L63" s="241"/>
      <c r="M63" s="291"/>
      <c r="N63" s="291"/>
      <c r="O63" s="299">
        <v>4.2429683015157149E-2</v>
      </c>
      <c r="P63" s="332"/>
    </row>
    <row r="64" spans="1:16" x14ac:dyDescent="0.2">
      <c r="B64" s="238" t="s">
        <v>93</v>
      </c>
      <c r="C64" s="40"/>
      <c r="D64" s="44"/>
      <c r="E64" s="81"/>
      <c r="F64" s="88"/>
      <c r="H64" s="115"/>
      <c r="I64" s="94"/>
      <c r="J64" s="298"/>
      <c r="K64" s="240"/>
      <c r="L64" s="241"/>
      <c r="M64" s="291"/>
      <c r="N64" s="291"/>
      <c r="O64" s="339"/>
      <c r="P64" s="258"/>
    </row>
    <row r="65" spans="1:16" x14ac:dyDescent="0.2">
      <c r="B65" s="91" t="s">
        <v>104</v>
      </c>
      <c r="C65" s="50" t="s">
        <v>87</v>
      </c>
      <c r="D65" s="44">
        <v>1063981.5778999999</v>
      </c>
      <c r="E65" s="81">
        <v>0.18382000000000001</v>
      </c>
      <c r="F65" s="88">
        <f>ROUND(D65*E65,2)</f>
        <v>195581.09</v>
      </c>
      <c r="H65" s="115">
        <f>ROUND(E65*(1+$O$65),5)</f>
        <v>0.1951</v>
      </c>
      <c r="I65" s="94">
        <f>ROUND(D65*H65,2)</f>
        <v>207582.81</v>
      </c>
      <c r="J65" s="298"/>
      <c r="K65" s="240">
        <f>I65-F65</f>
        <v>12001.720000000001</v>
      </c>
      <c r="L65" s="241">
        <f t="shared" ref="L65:L66" si="7">IFERROR(K65/F65, )</f>
        <v>6.1364419228873313E-2</v>
      </c>
      <c r="M65" s="291"/>
      <c r="N65" s="291"/>
      <c r="O65" s="340">
        <f>(O59-SUM(I88:I91))/SUM(F94:F95)-1</f>
        <v>6.1383682309006371E-2</v>
      </c>
      <c r="P65" s="332"/>
    </row>
    <row r="66" spans="1:16" ht="12.75" customHeight="1" x14ac:dyDescent="0.2">
      <c r="B66" s="91" t="s">
        <v>105</v>
      </c>
      <c r="C66" s="50" t="s">
        <v>87</v>
      </c>
      <c r="D66" s="44">
        <v>4709188.9097905457</v>
      </c>
      <c r="E66" s="81">
        <v>0.13031000000000001</v>
      </c>
      <c r="F66" s="88">
        <f>ROUND(D66*E66,2)</f>
        <v>613654.41</v>
      </c>
      <c r="H66" s="115">
        <f>ROUND(E66*(1+$O$65),5)</f>
        <v>0.13830999999999999</v>
      </c>
      <c r="I66" s="94">
        <f>ROUND(D66*H66,2)</f>
        <v>651327.92000000004</v>
      </c>
      <c r="J66" s="298"/>
      <c r="K66" s="240">
        <f>I66-F66</f>
        <v>37673.510000000009</v>
      </c>
      <c r="L66" s="241">
        <f t="shared" si="7"/>
        <v>6.1392062675798269E-2</v>
      </c>
      <c r="M66" s="291"/>
      <c r="N66" s="291"/>
      <c r="O66" s="339"/>
      <c r="P66" s="332"/>
    </row>
    <row r="67" spans="1:16" ht="12.75" customHeight="1" x14ac:dyDescent="0.2">
      <c r="B67" s="254" t="s">
        <v>119</v>
      </c>
      <c r="C67" s="40" t="s">
        <v>87</v>
      </c>
      <c r="D67" s="20">
        <f>SUM(D65:D66)</f>
        <v>5773170.4876905456</v>
      </c>
      <c r="E67" s="320"/>
      <c r="F67" s="134">
        <f>SUM(F59:F66)</f>
        <v>1143200.29</v>
      </c>
      <c r="H67" s="95"/>
      <c r="I67" s="134">
        <f>SUM(I59:I66)</f>
        <v>1192875.52</v>
      </c>
      <c r="J67" s="298"/>
      <c r="K67" s="307">
        <f>SUM(K59:K66)</f>
        <v>49675.23000000001</v>
      </c>
      <c r="L67" s="341">
        <f>IFERROR(K67/F67, )</f>
        <v>4.3452779390040226E-2</v>
      </c>
      <c r="M67" s="291"/>
      <c r="N67" s="291"/>
      <c r="O67" s="309"/>
      <c r="P67" s="332"/>
    </row>
    <row r="68" spans="1:16" x14ac:dyDescent="0.2">
      <c r="B68" s="254"/>
      <c r="C68" s="247"/>
      <c r="D68" s="44"/>
      <c r="E68" s="320"/>
      <c r="F68" s="94"/>
      <c r="H68" s="95"/>
      <c r="I68" s="94"/>
      <c r="J68" s="298"/>
      <c r="K68" s="240"/>
      <c r="L68" s="243"/>
      <c r="M68" s="291"/>
      <c r="N68" s="120"/>
      <c r="O68" s="331"/>
      <c r="P68" s="332"/>
    </row>
    <row r="69" spans="1:16" s="40" customFormat="1" x14ac:dyDescent="0.2">
      <c r="B69" s="238" t="s">
        <v>182</v>
      </c>
      <c r="D69" s="44"/>
      <c r="E69" s="214"/>
      <c r="F69" s="134">
        <f>F67</f>
        <v>1143200.29</v>
      </c>
      <c r="G69" s="44"/>
      <c r="H69" s="95"/>
      <c r="I69" s="134">
        <f>I67</f>
        <v>1192875.52</v>
      </c>
      <c r="J69" s="298"/>
      <c r="K69" s="307">
        <f>K67</f>
        <v>49675.23000000001</v>
      </c>
      <c r="L69" s="341">
        <f>IFERROR(K69/F69, )</f>
        <v>4.3452779390040226E-2</v>
      </c>
      <c r="M69" s="291"/>
      <c r="N69" s="291"/>
    </row>
    <row r="70" spans="1:16" x14ac:dyDescent="0.2">
      <c r="A70" s="40"/>
      <c r="B70" s="300"/>
      <c r="C70" s="269"/>
      <c r="D70" s="85"/>
      <c r="E70" s="138"/>
      <c r="F70" s="84"/>
      <c r="G70" s="85"/>
      <c r="H70" s="129"/>
      <c r="I70" s="136"/>
      <c r="J70" s="334"/>
      <c r="K70" s="302"/>
      <c r="L70" s="271"/>
      <c r="M70" s="291"/>
      <c r="N70" s="291"/>
    </row>
    <row r="71" spans="1:16" s="40" customFormat="1" x14ac:dyDescent="0.2">
      <c r="D71" s="44"/>
      <c r="E71" s="139"/>
      <c r="F71" s="88"/>
      <c r="G71" s="44"/>
      <c r="H71" s="95"/>
      <c r="I71" s="94"/>
      <c r="J71" s="298"/>
      <c r="K71" s="240"/>
      <c r="L71" s="342"/>
      <c r="M71" s="291"/>
      <c r="N71" s="291"/>
    </row>
    <row r="72" spans="1:16" x14ac:dyDescent="0.2">
      <c r="A72" s="40"/>
      <c r="B72" s="232" t="s">
        <v>144</v>
      </c>
      <c r="C72" s="294"/>
      <c r="D72" s="295"/>
      <c r="E72" s="325"/>
      <c r="F72" s="335"/>
      <c r="G72" s="295"/>
      <c r="H72" s="327"/>
      <c r="I72" s="337"/>
      <c r="J72" s="328"/>
      <c r="K72" s="236"/>
      <c r="L72" s="257"/>
      <c r="M72" s="291"/>
      <c r="N72" s="291"/>
    </row>
    <row r="73" spans="1:16" x14ac:dyDescent="0.2">
      <c r="A73" s="40"/>
      <c r="B73" s="238"/>
      <c r="C73" s="40"/>
      <c r="D73" s="44"/>
      <c r="E73" s="320"/>
      <c r="F73" s="88"/>
      <c r="G73" s="92"/>
      <c r="H73" s="95"/>
      <c r="I73" s="94"/>
      <c r="J73" s="298"/>
      <c r="K73" s="240"/>
      <c r="L73" s="241"/>
      <c r="M73" s="291"/>
      <c r="N73" s="291"/>
    </row>
    <row r="74" spans="1:16" x14ac:dyDescent="0.2">
      <c r="A74" s="40"/>
      <c r="B74" s="254" t="s">
        <v>84</v>
      </c>
      <c r="C74" s="247" t="s">
        <v>85</v>
      </c>
      <c r="D74" s="44">
        <v>135.03332221112262</v>
      </c>
      <c r="E74" s="95">
        <v>457.76</v>
      </c>
      <c r="F74" s="88">
        <f>ROUND(D74*E74,2)</f>
        <v>61812.85</v>
      </c>
      <c r="H74" s="242">
        <f>E74</f>
        <v>457.76</v>
      </c>
      <c r="I74" s="94">
        <f>ROUND(D74*H74,2)</f>
        <v>61812.85</v>
      </c>
      <c r="J74" s="298"/>
      <c r="K74" s="240">
        <f>I74-F74</f>
        <v>0</v>
      </c>
      <c r="L74" s="241">
        <f t="shared" ref="L74:L76" si="8">IFERROR(K74/F74, )</f>
        <v>0</v>
      </c>
      <c r="M74" s="291"/>
      <c r="N74" s="291"/>
    </row>
    <row r="75" spans="1:16" x14ac:dyDescent="0.2">
      <c r="A75" s="40"/>
      <c r="B75" s="238" t="s">
        <v>92</v>
      </c>
      <c r="C75" s="40" t="s">
        <v>90</v>
      </c>
      <c r="D75" s="44">
        <v>43385</v>
      </c>
      <c r="E75" s="95">
        <v>1.35</v>
      </c>
      <c r="F75" s="88">
        <f>ROUND(D75*E75,2)</f>
        <v>58569.75</v>
      </c>
      <c r="H75" s="242">
        <f>H60</f>
        <v>1.35</v>
      </c>
      <c r="I75" s="94">
        <f>ROUND(D75*H75,2)</f>
        <v>58569.75</v>
      </c>
      <c r="J75" s="298"/>
      <c r="K75" s="240">
        <f>I75-F75</f>
        <v>0</v>
      </c>
      <c r="L75" s="241">
        <f t="shared" si="8"/>
        <v>0</v>
      </c>
      <c r="M75" s="291"/>
      <c r="N75" s="291"/>
    </row>
    <row r="76" spans="1:16" x14ac:dyDescent="0.2">
      <c r="A76" s="40"/>
      <c r="B76" s="238" t="s">
        <v>99</v>
      </c>
      <c r="C76" s="40"/>
      <c r="D76" s="44"/>
      <c r="E76" s="81"/>
      <c r="F76" s="94">
        <v>0</v>
      </c>
      <c r="H76" s="115"/>
      <c r="I76" s="94">
        <f>F76</f>
        <v>0</v>
      </c>
      <c r="J76" s="338"/>
      <c r="K76" s="240">
        <f>I76-F76</f>
        <v>0</v>
      </c>
      <c r="L76" s="241">
        <f t="shared" si="8"/>
        <v>0</v>
      </c>
      <c r="M76" s="291"/>
      <c r="N76" s="291"/>
    </row>
    <row r="77" spans="1:16" x14ac:dyDescent="0.2">
      <c r="A77" s="40"/>
      <c r="B77" s="238"/>
      <c r="C77" s="40"/>
      <c r="D77" s="44"/>
      <c r="E77" s="81"/>
      <c r="F77" s="88"/>
      <c r="H77" s="115"/>
      <c r="I77" s="94"/>
      <c r="J77" s="298"/>
      <c r="K77" s="240"/>
      <c r="L77" s="241"/>
      <c r="M77" s="291"/>
      <c r="N77" s="291"/>
    </row>
    <row r="78" spans="1:16" x14ac:dyDescent="0.2">
      <c r="A78" s="40"/>
      <c r="B78" s="238" t="s">
        <v>93</v>
      </c>
      <c r="C78" s="40"/>
      <c r="D78" s="44"/>
      <c r="E78" s="81"/>
      <c r="F78" s="88"/>
      <c r="H78" s="115"/>
      <c r="I78" s="94"/>
      <c r="J78" s="298"/>
      <c r="K78" s="240"/>
      <c r="L78" s="241"/>
      <c r="M78" s="291"/>
      <c r="N78" s="291"/>
    </row>
    <row r="79" spans="1:16" x14ac:dyDescent="0.2">
      <c r="A79" s="40"/>
      <c r="B79" s="91" t="s">
        <v>104</v>
      </c>
      <c r="C79" s="50" t="s">
        <v>87</v>
      </c>
      <c r="D79" s="44">
        <v>160051.62</v>
      </c>
      <c r="E79" s="81">
        <v>0.18382000000000001</v>
      </c>
      <c r="F79" s="88">
        <f>ROUND(D79*E79,2)</f>
        <v>29420.69</v>
      </c>
      <c r="H79" s="115">
        <f>H65</f>
        <v>0.1951</v>
      </c>
      <c r="I79" s="94">
        <f>ROUND(D79*H79,2)</f>
        <v>31226.07</v>
      </c>
      <c r="J79" s="298"/>
      <c r="K79" s="240">
        <f>I79-F79</f>
        <v>1805.380000000001</v>
      </c>
      <c r="L79" s="241">
        <f t="shared" ref="L79:L80" si="9">IFERROR(K79/F79, )</f>
        <v>6.1364298390010605E-2</v>
      </c>
      <c r="M79" s="291"/>
      <c r="N79" s="291"/>
    </row>
    <row r="80" spans="1:16" x14ac:dyDescent="0.2">
      <c r="A80" s="40"/>
      <c r="B80" s="91" t="s">
        <v>105</v>
      </c>
      <c r="C80" s="50" t="s">
        <v>87</v>
      </c>
      <c r="D80" s="44">
        <v>1558432.7200000002</v>
      </c>
      <c r="E80" s="81">
        <v>0.13031000000000001</v>
      </c>
      <c r="F80" s="88">
        <f>ROUND(D80*E80,2)</f>
        <v>203079.37</v>
      </c>
      <c r="H80" s="115">
        <f>H66</f>
        <v>0.13830999999999999</v>
      </c>
      <c r="I80" s="94">
        <f>ROUND(D80*H80,2)</f>
        <v>215546.83</v>
      </c>
      <c r="J80" s="298"/>
      <c r="K80" s="240">
        <f>I80-F80</f>
        <v>12467.459999999992</v>
      </c>
      <c r="L80" s="241">
        <f t="shared" si="9"/>
        <v>6.1392055726783044E-2</v>
      </c>
      <c r="M80" s="291"/>
      <c r="N80" s="291"/>
    </row>
    <row r="81" spans="1:14" x14ac:dyDescent="0.2">
      <c r="A81" s="40"/>
      <c r="B81" s="254" t="s">
        <v>119</v>
      </c>
      <c r="C81" s="40" t="s">
        <v>87</v>
      </c>
      <c r="D81" s="20">
        <f>SUM(D79:D80)</f>
        <v>1718484.3400000003</v>
      </c>
      <c r="E81" s="320"/>
      <c r="F81" s="134">
        <f>SUM(F74:F80)</f>
        <v>352882.66000000003</v>
      </c>
      <c r="H81" s="95"/>
      <c r="I81" s="134">
        <f>SUM(I74:I80)</f>
        <v>367155.5</v>
      </c>
      <c r="J81" s="298"/>
      <c r="K81" s="307">
        <f>SUM(K74:K80)</f>
        <v>14272.839999999993</v>
      </c>
      <c r="L81" s="341">
        <f>IFERROR(K81/F81, )</f>
        <v>4.044641921481773E-2</v>
      </c>
      <c r="M81" s="291"/>
      <c r="N81" s="291"/>
    </row>
    <row r="82" spans="1:14" x14ac:dyDescent="0.2">
      <c r="A82" s="40"/>
      <c r="B82" s="254"/>
      <c r="C82" s="247"/>
      <c r="D82" s="44"/>
      <c r="E82" s="320"/>
      <c r="F82" s="94"/>
      <c r="H82" s="95"/>
      <c r="I82" s="94"/>
      <c r="J82" s="298"/>
      <c r="K82" s="240"/>
      <c r="L82" s="243"/>
      <c r="M82" s="291"/>
      <c r="N82" s="291"/>
    </row>
    <row r="83" spans="1:14" x14ac:dyDescent="0.2">
      <c r="A83" s="40"/>
      <c r="B83" s="254" t="s">
        <v>182</v>
      </c>
      <c r="C83" s="40"/>
      <c r="D83" s="44"/>
      <c r="E83" s="95"/>
      <c r="F83" s="134">
        <f>+F81</f>
        <v>352882.66000000003</v>
      </c>
      <c r="G83" s="134"/>
      <c r="H83" s="95"/>
      <c r="I83" s="134">
        <f>+I81</f>
        <v>367155.5</v>
      </c>
      <c r="J83" s="214"/>
      <c r="K83" s="307">
        <f>+K81</f>
        <v>14272.839999999993</v>
      </c>
      <c r="L83" s="341">
        <f>IFERROR(K83/F83, )</f>
        <v>4.044641921481773E-2</v>
      </c>
      <c r="M83" s="291"/>
      <c r="N83" s="291"/>
    </row>
    <row r="84" spans="1:14" x14ac:dyDescent="0.2">
      <c r="A84" s="40"/>
      <c r="B84" s="300"/>
      <c r="C84" s="269"/>
      <c r="D84" s="85"/>
      <c r="E84" s="333"/>
      <c r="F84" s="84"/>
      <c r="G84" s="85"/>
      <c r="H84" s="129"/>
      <c r="I84" s="136"/>
      <c r="J84" s="334"/>
      <c r="K84" s="302"/>
      <c r="L84" s="303"/>
      <c r="M84" s="291"/>
      <c r="N84" s="291"/>
    </row>
    <row r="85" spans="1:14" s="40" customFormat="1" x14ac:dyDescent="0.2">
      <c r="D85" s="44"/>
      <c r="E85" s="139"/>
      <c r="F85" s="88"/>
      <c r="G85" s="44"/>
      <c r="H85" s="95"/>
      <c r="I85" s="94"/>
      <c r="J85" s="298"/>
      <c r="K85" s="240"/>
      <c r="L85" s="342"/>
      <c r="M85" s="291"/>
      <c r="N85" s="291"/>
    </row>
    <row r="86" spans="1:14" x14ac:dyDescent="0.2">
      <c r="A86" s="40"/>
      <c r="B86" s="232" t="s">
        <v>145</v>
      </c>
      <c r="C86" s="294"/>
      <c r="D86" s="295"/>
      <c r="E86" s="325"/>
      <c r="F86" s="335"/>
      <c r="G86" s="295"/>
      <c r="H86" s="327"/>
      <c r="I86" s="337"/>
      <c r="J86" s="328"/>
      <c r="K86" s="236"/>
      <c r="L86" s="257"/>
      <c r="M86" s="291"/>
      <c r="N86" s="291"/>
    </row>
    <row r="87" spans="1:14" x14ac:dyDescent="0.2">
      <c r="A87" s="40"/>
      <c r="B87" s="238"/>
      <c r="C87" s="40"/>
      <c r="D87" s="44"/>
      <c r="E87" s="320"/>
      <c r="F87" s="88"/>
      <c r="G87" s="92"/>
      <c r="H87" s="95"/>
      <c r="I87" s="94"/>
      <c r="J87" s="298"/>
      <c r="K87" s="240"/>
      <c r="L87" s="241"/>
      <c r="M87" s="291"/>
      <c r="N87" s="291"/>
    </row>
    <row r="88" spans="1:14" x14ac:dyDescent="0.2">
      <c r="A88" s="40"/>
      <c r="B88" s="254" t="s">
        <v>84</v>
      </c>
      <c r="C88" s="247" t="s">
        <v>85</v>
      </c>
      <c r="D88" s="44">
        <f>D59+D74</f>
        <v>1499.3332818939609</v>
      </c>
      <c r="E88" s="95"/>
      <c r="F88" s="88">
        <f>F59+F74</f>
        <v>264847.96999999997</v>
      </c>
      <c r="H88" s="116"/>
      <c r="I88" s="88">
        <f>I59+I74</f>
        <v>264847.96999999997</v>
      </c>
      <c r="J88" s="298"/>
      <c r="K88" s="240">
        <f>I88-F88</f>
        <v>0</v>
      </c>
      <c r="L88" s="241">
        <f t="shared" ref="L88:L91" si="10">IFERROR(K88/F88, )</f>
        <v>0</v>
      </c>
      <c r="M88" s="291"/>
      <c r="N88" s="291"/>
    </row>
    <row r="89" spans="1:14" x14ac:dyDescent="0.2">
      <c r="A89" s="40"/>
      <c r="B89" s="238" t="s">
        <v>92</v>
      </c>
      <c r="C89" s="40" t="s">
        <v>90</v>
      </c>
      <c r="D89" s="44">
        <f>D60+D75</f>
        <v>82472.972999999998</v>
      </c>
      <c r="E89" s="95"/>
      <c r="F89" s="88">
        <f>F60+F75</f>
        <v>111338.51000000001</v>
      </c>
      <c r="H89" s="116"/>
      <c r="I89" s="88">
        <f>I60+I75</f>
        <v>111338.51000000001</v>
      </c>
      <c r="J89" s="298"/>
      <c r="K89" s="240">
        <f>I89-F89</f>
        <v>0</v>
      </c>
      <c r="L89" s="241">
        <f t="shared" si="10"/>
        <v>0</v>
      </c>
      <c r="M89" s="291"/>
      <c r="N89" s="291"/>
    </row>
    <row r="90" spans="1:14" x14ac:dyDescent="0.2">
      <c r="A90" s="40"/>
      <c r="B90" s="238" t="s">
        <v>89</v>
      </c>
      <c r="C90" s="40" t="s">
        <v>87</v>
      </c>
      <c r="D90" s="44">
        <f>D61</f>
        <v>5773170.4876905456</v>
      </c>
      <c r="E90" s="81"/>
      <c r="F90" s="88">
        <f>F61</f>
        <v>70548.14</v>
      </c>
      <c r="H90" s="99"/>
      <c r="I90" s="88">
        <f>I61</f>
        <v>70548.14</v>
      </c>
      <c r="J90" s="298"/>
      <c r="K90" s="240">
        <f>I90-F90</f>
        <v>0</v>
      </c>
      <c r="L90" s="241">
        <f t="shared" si="10"/>
        <v>0</v>
      </c>
      <c r="M90" s="291"/>
      <c r="N90" s="291"/>
    </row>
    <row r="91" spans="1:14" x14ac:dyDescent="0.2">
      <c r="A91" s="40"/>
      <c r="B91" s="238" t="s">
        <v>99</v>
      </c>
      <c r="C91" s="40"/>
      <c r="D91" s="44"/>
      <c r="E91" s="81"/>
      <c r="F91" s="94">
        <f>F62+F76</f>
        <v>7612.77</v>
      </c>
      <c r="H91" s="81"/>
      <c r="I91" s="94">
        <f>I62+I76</f>
        <v>7612.77</v>
      </c>
      <c r="J91" s="338"/>
      <c r="K91" s="240">
        <f>I91-F91</f>
        <v>0</v>
      </c>
      <c r="L91" s="241">
        <f t="shared" si="10"/>
        <v>0</v>
      </c>
      <c r="M91" s="291"/>
      <c r="N91" s="291"/>
    </row>
    <row r="92" spans="1:14" x14ac:dyDescent="0.2">
      <c r="A92" s="40"/>
      <c r="B92" s="238"/>
      <c r="C92" s="40"/>
      <c r="D92" s="44"/>
      <c r="E92" s="81"/>
      <c r="F92" s="88"/>
      <c r="H92" s="81"/>
      <c r="I92" s="88"/>
      <c r="J92" s="298"/>
      <c r="K92" s="240"/>
      <c r="L92" s="241"/>
      <c r="M92" s="291"/>
      <c r="N92" s="291"/>
    </row>
    <row r="93" spans="1:14" x14ac:dyDescent="0.2">
      <c r="A93" s="40"/>
      <c r="B93" s="238" t="s">
        <v>93</v>
      </c>
      <c r="C93" s="40"/>
      <c r="D93" s="44"/>
      <c r="E93" s="81"/>
      <c r="F93" s="88"/>
      <c r="H93" s="81"/>
      <c r="I93" s="88"/>
      <c r="J93" s="298"/>
      <c r="K93" s="240"/>
      <c r="L93" s="241"/>
      <c r="M93" s="291"/>
      <c r="N93" s="291"/>
    </row>
    <row r="94" spans="1:14" x14ac:dyDescent="0.2">
      <c r="A94" s="40"/>
      <c r="B94" s="91" t="s">
        <v>104</v>
      </c>
      <c r="C94" s="50" t="s">
        <v>87</v>
      </c>
      <c r="D94" s="44">
        <f>D65+D79</f>
        <v>1224033.1979</v>
      </c>
      <c r="E94" s="81"/>
      <c r="F94" s="88">
        <f>F65+F79</f>
        <v>225001.78</v>
      </c>
      <c r="H94" s="81"/>
      <c r="I94" s="88">
        <f>I65+I79</f>
        <v>238808.88</v>
      </c>
      <c r="J94" s="298"/>
      <c r="K94" s="240">
        <f>I94-F94</f>
        <v>13807.100000000006</v>
      </c>
      <c r="L94" s="241">
        <f t="shared" ref="L94:L95" si="11">IFERROR(K94/F94, )</f>
        <v>6.1364403428275129E-2</v>
      </c>
      <c r="M94" s="291"/>
      <c r="N94" s="291"/>
    </row>
    <row r="95" spans="1:14" x14ac:dyDescent="0.2">
      <c r="A95" s="40"/>
      <c r="B95" s="91" t="s">
        <v>105</v>
      </c>
      <c r="C95" s="50" t="s">
        <v>87</v>
      </c>
      <c r="D95" s="44">
        <f>D66+D80</f>
        <v>6267621.6297905464</v>
      </c>
      <c r="E95" s="81"/>
      <c r="F95" s="88">
        <f>F66+F80</f>
        <v>816733.78</v>
      </c>
      <c r="H95" s="81"/>
      <c r="I95" s="88">
        <f>I66+I80</f>
        <v>866874.75</v>
      </c>
      <c r="J95" s="298"/>
      <c r="K95" s="240">
        <f>I95-F95</f>
        <v>50140.969999999972</v>
      </c>
      <c r="L95" s="241">
        <f t="shared" si="11"/>
        <v>6.1392060947938226E-2</v>
      </c>
      <c r="M95" s="291"/>
      <c r="N95" s="291"/>
    </row>
    <row r="96" spans="1:14" x14ac:dyDescent="0.2">
      <c r="A96" s="40"/>
      <c r="B96" s="254" t="s">
        <v>119</v>
      </c>
      <c r="C96" s="40" t="s">
        <v>87</v>
      </c>
      <c r="D96" s="20">
        <f>SUM(D94:D95)</f>
        <v>7491654.8276905464</v>
      </c>
      <c r="E96" s="320"/>
      <c r="F96" s="134">
        <f>SUM(F88:F95)</f>
        <v>1496082.9500000002</v>
      </c>
      <c r="H96" s="95"/>
      <c r="I96" s="134">
        <f>SUM(I88:I95)</f>
        <v>1560031.02</v>
      </c>
      <c r="J96" s="298"/>
      <c r="K96" s="307">
        <f>SUM(K88:K95)</f>
        <v>63948.069999999978</v>
      </c>
      <c r="L96" s="341">
        <f>IFERROR(K96/F96, )</f>
        <v>4.2743666051404415E-2</v>
      </c>
      <c r="M96" s="291"/>
      <c r="N96" s="291"/>
    </row>
    <row r="97" spans="1:16" x14ac:dyDescent="0.2">
      <c r="A97" s="40"/>
      <c r="B97" s="254"/>
      <c r="C97" s="247"/>
      <c r="D97" s="44"/>
      <c r="E97" s="320"/>
      <c r="F97" s="94"/>
      <c r="H97" s="95"/>
      <c r="I97" s="94"/>
      <c r="J97" s="298"/>
      <c r="K97" s="240"/>
      <c r="L97" s="243"/>
      <c r="M97" s="291"/>
      <c r="N97" s="291"/>
    </row>
    <row r="98" spans="1:16" x14ac:dyDescent="0.2">
      <c r="A98" s="40"/>
      <c r="B98" s="254" t="s">
        <v>182</v>
      </c>
      <c r="C98" s="247"/>
      <c r="D98" s="50"/>
      <c r="E98" s="214"/>
      <c r="F98" s="134">
        <f>F96</f>
        <v>1496082.9500000002</v>
      </c>
      <c r="G98" s="50"/>
      <c r="H98" s="95"/>
      <c r="I98" s="134">
        <f>I96</f>
        <v>1560031.02</v>
      </c>
      <c r="J98" s="298"/>
      <c r="K98" s="307">
        <f>K96</f>
        <v>63948.069999999978</v>
      </c>
      <c r="L98" s="341">
        <f>IFERROR(K98/F98, )</f>
        <v>4.2743666051404415E-2</v>
      </c>
      <c r="M98" s="291"/>
      <c r="N98" s="291"/>
    </row>
    <row r="99" spans="1:16" x14ac:dyDescent="0.2">
      <c r="A99" s="40"/>
      <c r="B99" s="300"/>
      <c r="C99" s="269"/>
      <c r="D99" s="85"/>
      <c r="E99" s="333"/>
      <c r="F99" s="84"/>
      <c r="G99" s="85"/>
      <c r="H99" s="129"/>
      <c r="I99" s="136"/>
      <c r="J99" s="334"/>
      <c r="K99" s="302"/>
      <c r="L99" s="271"/>
      <c r="M99" s="291"/>
      <c r="N99" s="291"/>
    </row>
    <row r="100" spans="1:16" s="40" customFormat="1" x14ac:dyDescent="0.2">
      <c r="B100" s="50"/>
      <c r="C100" s="50"/>
      <c r="D100" s="44"/>
      <c r="E100" s="139"/>
      <c r="F100" s="88"/>
      <c r="G100" s="44"/>
      <c r="H100" s="95"/>
      <c r="I100" s="94"/>
      <c r="J100" s="130"/>
      <c r="K100" s="88"/>
      <c r="L100" s="140"/>
      <c r="M100" s="291"/>
      <c r="N100" s="291"/>
    </row>
    <row r="101" spans="1:16" s="40" customFormat="1" x14ac:dyDescent="0.2">
      <c r="B101" s="50"/>
      <c r="C101" s="50"/>
      <c r="D101" s="44"/>
      <c r="E101" s="81"/>
      <c r="F101" s="88"/>
      <c r="G101" s="44"/>
      <c r="H101" s="95"/>
      <c r="I101" s="94"/>
      <c r="J101" s="130"/>
      <c r="K101" s="88"/>
      <c r="L101" s="140"/>
      <c r="M101" s="291"/>
      <c r="N101" s="291"/>
    </row>
    <row r="102" spans="1:16" x14ac:dyDescent="0.2">
      <c r="B102" s="232" t="s">
        <v>146</v>
      </c>
      <c r="C102" s="294"/>
      <c r="D102" s="295"/>
      <c r="E102" s="325"/>
      <c r="F102" s="335"/>
      <c r="G102" s="295"/>
      <c r="H102" s="327"/>
      <c r="I102" s="337"/>
      <c r="J102" s="328"/>
      <c r="K102" s="236"/>
      <c r="L102" s="237"/>
      <c r="M102" s="291"/>
      <c r="N102" s="291"/>
      <c r="O102" s="40"/>
    </row>
    <row r="103" spans="1:16" x14ac:dyDescent="0.2">
      <c r="B103" s="238"/>
      <c r="C103" s="40"/>
      <c r="D103" s="44"/>
      <c r="E103" s="320"/>
      <c r="F103" s="88"/>
      <c r="H103" s="95"/>
      <c r="I103" s="94"/>
      <c r="J103" s="298"/>
      <c r="K103" s="240"/>
      <c r="L103" s="241"/>
      <c r="M103" s="291"/>
      <c r="N103" s="291"/>
      <c r="O103" s="224" t="s">
        <v>147</v>
      </c>
    </row>
    <row r="104" spans="1:16" x14ac:dyDescent="0.2">
      <c r="B104" s="254" t="s">
        <v>84</v>
      </c>
      <c r="C104" s="247" t="s">
        <v>85</v>
      </c>
      <c r="D104" s="44">
        <v>61</v>
      </c>
      <c r="E104" s="95">
        <v>606.5</v>
      </c>
      <c r="F104" s="88">
        <f>ROUND(D104*E104,2)</f>
        <v>36996.5</v>
      </c>
      <c r="H104" s="242">
        <v>715.15</v>
      </c>
      <c r="I104" s="94">
        <f>ROUND(D104*H104,2)</f>
        <v>43624.15</v>
      </c>
      <c r="J104" s="298"/>
      <c r="K104" s="240">
        <f>I104-F104</f>
        <v>6627.6500000000015</v>
      </c>
      <c r="L104" s="241">
        <f t="shared" ref="L104:L107" si="12">IFERROR(K104/F104, )</f>
        <v>0.17914262159934052</v>
      </c>
      <c r="M104" s="291"/>
      <c r="N104" s="291"/>
      <c r="O104" s="343">
        <v>6299755.2809057441</v>
      </c>
    </row>
    <row r="105" spans="1:16" x14ac:dyDescent="0.2">
      <c r="B105" s="238" t="s">
        <v>92</v>
      </c>
      <c r="C105" s="40" t="s">
        <v>90</v>
      </c>
      <c r="D105" s="44">
        <v>0</v>
      </c>
      <c r="E105" s="95">
        <v>1.45</v>
      </c>
      <c r="F105" s="88">
        <f>ROUND(D105*E105,2)</f>
        <v>0</v>
      </c>
      <c r="H105" s="242">
        <f>E105</f>
        <v>1.45</v>
      </c>
      <c r="I105" s="94">
        <f>ROUND(D105*H105,2)</f>
        <v>0</v>
      </c>
      <c r="J105" s="298"/>
      <c r="K105" s="240">
        <f>I105-F105</f>
        <v>0</v>
      </c>
      <c r="L105" s="241">
        <f>IFERROR(K105/F105, )</f>
        <v>0</v>
      </c>
      <c r="M105" s="291"/>
      <c r="N105" s="291"/>
      <c r="O105" s="245" t="s">
        <v>116</v>
      </c>
    </row>
    <row r="106" spans="1:16" x14ac:dyDescent="0.2">
      <c r="B106" s="238" t="s">
        <v>89</v>
      </c>
      <c r="C106" s="40"/>
      <c r="D106" s="44">
        <f>D116</f>
        <v>21819455.762355208</v>
      </c>
      <c r="E106" s="81">
        <v>8.43E-3</v>
      </c>
      <c r="F106" s="88">
        <f>ROUND(D106*E106,2)</f>
        <v>183938.01</v>
      </c>
      <c r="H106" s="115">
        <f>ROUND(E106*(1+$O$108),5)</f>
        <v>9.3200000000000002E-3</v>
      </c>
      <c r="I106" s="88">
        <f>ROUND(D106*H106,2)</f>
        <v>203357.33</v>
      </c>
      <c r="J106" s="298"/>
      <c r="K106" s="240">
        <f>I106-F106</f>
        <v>19419.319999999978</v>
      </c>
      <c r="L106" s="241">
        <f t="shared" si="12"/>
        <v>0.10557535117401769</v>
      </c>
      <c r="M106" s="291"/>
      <c r="N106" s="291"/>
      <c r="O106" s="250">
        <f>I155-O104</f>
        <v>151.2490942561999</v>
      </c>
    </row>
    <row r="107" spans="1:16" x14ac:dyDescent="0.2">
      <c r="B107" s="91" t="s">
        <v>99</v>
      </c>
      <c r="C107" s="50"/>
      <c r="D107" s="44"/>
      <c r="E107" s="95"/>
      <c r="F107" s="94">
        <v>51086.770000000004</v>
      </c>
      <c r="H107" s="81" t="s">
        <v>106</v>
      </c>
      <c r="I107" s="94">
        <f>F107</f>
        <v>51086.770000000004</v>
      </c>
      <c r="J107" s="298"/>
      <c r="K107" s="240">
        <f>I107-F107</f>
        <v>0</v>
      </c>
      <c r="L107" s="241">
        <f t="shared" si="12"/>
        <v>0</v>
      </c>
      <c r="M107" s="291"/>
      <c r="N107" s="291"/>
      <c r="O107" s="344"/>
    </row>
    <row r="108" spans="1:16" x14ac:dyDescent="0.2">
      <c r="B108" s="238"/>
      <c r="C108" s="40"/>
      <c r="D108" s="44"/>
      <c r="E108" s="214"/>
      <c r="F108" s="88"/>
      <c r="H108" s="81"/>
      <c r="I108" s="94"/>
      <c r="J108" s="298"/>
      <c r="K108" s="259"/>
      <c r="L108" s="305"/>
      <c r="M108" s="291"/>
      <c r="N108" s="291"/>
      <c r="O108" s="345">
        <v>0.10610240784340896</v>
      </c>
    </row>
    <row r="109" spans="1:16" x14ac:dyDescent="0.2">
      <c r="B109" s="238" t="s">
        <v>93</v>
      </c>
      <c r="C109" s="40"/>
      <c r="D109" s="44"/>
      <c r="E109" s="214"/>
      <c r="F109" s="88"/>
      <c r="H109" s="81"/>
      <c r="I109" s="94"/>
      <c r="J109" s="298"/>
      <c r="K109" s="259"/>
      <c r="L109" s="305"/>
      <c r="M109" s="291"/>
      <c r="N109" s="291"/>
      <c r="O109" s="346">
        <f>(O104-SUM(I141:I144,I152))/SUM(F147:F151)-1</f>
        <v>0.18370474105037182</v>
      </c>
      <c r="P109" s="332"/>
    </row>
    <row r="110" spans="1:16" x14ac:dyDescent="0.2">
      <c r="B110" s="238" t="s">
        <v>100</v>
      </c>
      <c r="C110" s="40" t="s">
        <v>87</v>
      </c>
      <c r="D110" s="44">
        <v>1512193</v>
      </c>
      <c r="E110" s="81">
        <v>0.17533000000000001</v>
      </c>
      <c r="F110" s="88">
        <f t="shared" ref="F110:F115" si="13">ROUND(D110*E110,2)</f>
        <v>265132.79999999999</v>
      </c>
      <c r="H110" s="115">
        <f>ROUND(E110*(1+$O$109),5)</f>
        <v>0.20754</v>
      </c>
      <c r="I110" s="94">
        <f t="shared" ref="I110:I115" si="14">ROUND(D110*H110,2)</f>
        <v>313840.53999999998</v>
      </c>
      <c r="J110" s="298"/>
      <c r="K110" s="240">
        <f t="shared" ref="K110:K116" si="15">I110-F110</f>
        <v>48707.739999999991</v>
      </c>
      <c r="L110" s="241">
        <f t="shared" ref="L110:L115" si="16">IFERROR(K110/F110, )</f>
        <v>0.18371072911386291</v>
      </c>
      <c r="M110" s="291"/>
      <c r="N110" s="291"/>
      <c r="O110" s="346">
        <f>O108*0.33</f>
        <v>3.5013794588324959E-2</v>
      </c>
      <c r="P110" s="258"/>
    </row>
    <row r="111" spans="1:16" x14ac:dyDescent="0.2">
      <c r="B111" s="238" t="s">
        <v>101</v>
      </c>
      <c r="C111" s="40" t="s">
        <v>87</v>
      </c>
      <c r="D111" s="44">
        <v>1398016.115</v>
      </c>
      <c r="E111" s="81">
        <v>0.10595</v>
      </c>
      <c r="F111" s="88">
        <f t="shared" si="13"/>
        <v>148119.81</v>
      </c>
      <c r="H111" s="115">
        <f t="shared" ref="H111:H114" si="17">ROUND(E111*(1+$O$109),5)</f>
        <v>0.12540999999999999</v>
      </c>
      <c r="I111" s="94">
        <f t="shared" si="14"/>
        <v>175325.2</v>
      </c>
      <c r="J111" s="298"/>
      <c r="K111" s="240">
        <f t="shared" si="15"/>
        <v>27205.390000000014</v>
      </c>
      <c r="L111" s="241">
        <f t="shared" si="16"/>
        <v>0.18367151564669179</v>
      </c>
      <c r="M111" s="291"/>
      <c r="N111" s="291"/>
      <c r="O111" s="122"/>
      <c r="P111" s="40"/>
    </row>
    <row r="112" spans="1:16" x14ac:dyDescent="0.2">
      <c r="B112" s="238" t="s">
        <v>103</v>
      </c>
      <c r="C112" s="40" t="s">
        <v>87</v>
      </c>
      <c r="D112" s="44">
        <v>2316890.0959999999</v>
      </c>
      <c r="E112" s="81">
        <v>6.7419999999999994E-2</v>
      </c>
      <c r="F112" s="88">
        <f t="shared" si="13"/>
        <v>156204.73000000001</v>
      </c>
      <c r="H112" s="115">
        <f t="shared" si="17"/>
        <v>7.9810000000000006E-2</v>
      </c>
      <c r="I112" s="94">
        <f t="shared" si="14"/>
        <v>184911</v>
      </c>
      <c r="J112" s="298"/>
      <c r="K112" s="240">
        <f t="shared" si="15"/>
        <v>28706.26999999999</v>
      </c>
      <c r="L112" s="241">
        <f t="shared" si="16"/>
        <v>0.18377337229160723</v>
      </c>
      <c r="M112" s="291"/>
      <c r="N112" s="291"/>
      <c r="O112" s="247"/>
      <c r="P112" s="247"/>
    </row>
    <row r="113" spans="1:16" x14ac:dyDescent="0.2">
      <c r="B113" s="238" t="s">
        <v>15</v>
      </c>
      <c r="C113" s="40" t="s">
        <v>87</v>
      </c>
      <c r="D113" s="44">
        <v>3045256.8779999996</v>
      </c>
      <c r="E113" s="81">
        <v>4.3229999999999998E-2</v>
      </c>
      <c r="F113" s="88">
        <f t="shared" si="13"/>
        <v>131646.45000000001</v>
      </c>
      <c r="H113" s="115">
        <f t="shared" si="17"/>
        <v>5.117E-2</v>
      </c>
      <c r="I113" s="94">
        <f t="shared" si="14"/>
        <v>155825.79</v>
      </c>
      <c r="J113" s="298"/>
      <c r="K113" s="240">
        <f t="shared" si="15"/>
        <v>24179.339999999997</v>
      </c>
      <c r="L113" s="241">
        <f t="shared" si="16"/>
        <v>0.18366875825364068</v>
      </c>
      <c r="M113" s="291"/>
      <c r="N113" s="291"/>
      <c r="O113" s="40"/>
      <c r="P113" s="40"/>
    </row>
    <row r="114" spans="1:16" x14ac:dyDescent="0.2">
      <c r="B114" s="238" t="s">
        <v>14</v>
      </c>
      <c r="C114" s="40" t="s">
        <v>87</v>
      </c>
      <c r="D114" s="44">
        <v>3792042.2029999997</v>
      </c>
      <c r="E114" s="81">
        <v>3.1109999999999999E-2</v>
      </c>
      <c r="F114" s="88">
        <f t="shared" si="13"/>
        <v>117970.43</v>
      </c>
      <c r="H114" s="115">
        <f t="shared" si="17"/>
        <v>3.6830000000000002E-2</v>
      </c>
      <c r="I114" s="94">
        <f t="shared" si="14"/>
        <v>139660.91</v>
      </c>
      <c r="J114" s="298"/>
      <c r="K114" s="240">
        <f t="shared" si="15"/>
        <v>21690.48000000001</v>
      </c>
      <c r="L114" s="241">
        <f t="shared" si="16"/>
        <v>0.18386370211586084</v>
      </c>
      <c r="M114" s="291"/>
      <c r="N114" s="291"/>
      <c r="P114" s="40"/>
    </row>
    <row r="115" spans="1:16" x14ac:dyDescent="0.2">
      <c r="B115" s="238" t="s">
        <v>107</v>
      </c>
      <c r="C115" s="40" t="s">
        <v>87</v>
      </c>
      <c r="D115" s="44">
        <v>9755057.4703552071</v>
      </c>
      <c r="E115" s="81">
        <v>2.3990000000000001E-2</v>
      </c>
      <c r="F115" s="88">
        <f t="shared" si="13"/>
        <v>234023.83</v>
      </c>
      <c r="H115" s="115">
        <f>ROUND(E115*(1+$O$110),5)</f>
        <v>2.4830000000000001E-2</v>
      </c>
      <c r="I115" s="94">
        <f t="shared" si="14"/>
        <v>242218.08</v>
      </c>
      <c r="J115" s="298"/>
      <c r="K115" s="240">
        <f t="shared" si="15"/>
        <v>8194.25</v>
      </c>
      <c r="L115" s="241">
        <f t="shared" si="16"/>
        <v>3.501459659044124E-2</v>
      </c>
      <c r="M115" s="291"/>
      <c r="N115" s="291"/>
      <c r="O115" s="40"/>
      <c r="P115" s="247"/>
    </row>
    <row r="116" spans="1:16" x14ac:dyDescent="0.2">
      <c r="B116" s="254" t="s">
        <v>119</v>
      </c>
      <c r="C116" s="40" t="s">
        <v>87</v>
      </c>
      <c r="D116" s="20">
        <f>SUM(D110:D115)</f>
        <v>21819455.762355208</v>
      </c>
      <c r="E116" s="320"/>
      <c r="F116" s="134">
        <f>SUM(F104:F115)</f>
        <v>1325119.33</v>
      </c>
      <c r="H116" s="95"/>
      <c r="I116" s="134">
        <f>SUM(I104:I115)</f>
        <v>1509849.77</v>
      </c>
      <c r="J116" s="298"/>
      <c r="K116" s="307">
        <f t="shared" si="15"/>
        <v>184730.43999999994</v>
      </c>
      <c r="L116" s="341">
        <f>IFERROR(K116/F116, )</f>
        <v>0.13940664498494632</v>
      </c>
      <c r="M116" s="291"/>
      <c r="N116" s="291"/>
      <c r="O116" s="40"/>
      <c r="P116" s="304"/>
    </row>
    <row r="117" spans="1:16" x14ac:dyDescent="0.2">
      <c r="B117" s="254"/>
      <c r="C117" s="247"/>
      <c r="D117" s="44"/>
      <c r="E117" s="320"/>
      <c r="F117" s="88"/>
      <c r="H117" s="95"/>
      <c r="I117" s="94"/>
      <c r="J117" s="298"/>
      <c r="K117" s="240"/>
      <c r="L117" s="243"/>
      <c r="M117" s="291"/>
      <c r="N117" s="120"/>
      <c r="O117" s="141"/>
      <c r="P117" s="40"/>
    </row>
    <row r="118" spans="1:16" x14ac:dyDescent="0.2">
      <c r="B118" s="238" t="s">
        <v>182</v>
      </c>
      <c r="C118" s="40"/>
      <c r="D118" s="44"/>
      <c r="E118" s="214"/>
      <c r="F118" s="134">
        <f>F116</f>
        <v>1325119.33</v>
      </c>
      <c r="H118" s="95"/>
      <c r="I118" s="134">
        <f>I116</f>
        <v>1509849.77</v>
      </c>
      <c r="J118" s="298"/>
      <c r="K118" s="307">
        <f>K116</f>
        <v>184730.43999999994</v>
      </c>
      <c r="L118" s="341">
        <f>IFERROR(K118/F118, )</f>
        <v>0.13940664498494632</v>
      </c>
      <c r="M118" s="291"/>
      <c r="N118" s="291"/>
      <c r="O118" s="40"/>
      <c r="P118" s="40"/>
    </row>
    <row r="119" spans="1:16" x14ac:dyDescent="0.2">
      <c r="A119" s="40"/>
      <c r="B119" s="300"/>
      <c r="C119" s="269"/>
      <c r="D119" s="85"/>
      <c r="E119" s="135"/>
      <c r="F119" s="84"/>
      <c r="G119" s="85"/>
      <c r="H119" s="129"/>
      <c r="I119" s="136"/>
      <c r="J119" s="334"/>
      <c r="K119" s="302"/>
      <c r="L119" s="271"/>
      <c r="M119" s="291"/>
      <c r="N119" s="291"/>
      <c r="O119" s="247"/>
      <c r="P119" s="40"/>
    </row>
    <row r="120" spans="1:16" x14ac:dyDescent="0.2">
      <c r="A120" s="40"/>
      <c r="B120" s="40"/>
      <c r="C120" s="40"/>
      <c r="D120" s="44"/>
      <c r="E120" s="81"/>
      <c r="F120" s="88"/>
      <c r="H120" s="95"/>
      <c r="I120" s="94"/>
      <c r="J120" s="298"/>
      <c r="K120" s="240"/>
      <c r="L120" s="342"/>
      <c r="M120" s="291"/>
      <c r="N120" s="291"/>
      <c r="O120" s="40"/>
      <c r="P120" s="40"/>
    </row>
    <row r="121" spans="1:16" x14ac:dyDescent="0.2">
      <c r="A121" s="40"/>
      <c r="B121" s="232" t="s">
        <v>148</v>
      </c>
      <c r="C121" s="294"/>
      <c r="D121" s="295"/>
      <c r="E121" s="325"/>
      <c r="F121" s="335"/>
      <c r="G121" s="295"/>
      <c r="H121" s="327"/>
      <c r="I121" s="337"/>
      <c r="J121" s="328"/>
      <c r="K121" s="236"/>
      <c r="L121" s="237"/>
      <c r="M121" s="291"/>
      <c r="N121" s="291"/>
      <c r="O121" s="40"/>
      <c r="P121" s="40"/>
    </row>
    <row r="122" spans="1:16" x14ac:dyDescent="0.2">
      <c r="A122" s="40"/>
      <c r="B122" s="238"/>
      <c r="C122" s="40"/>
      <c r="D122" s="44"/>
      <c r="E122" s="320"/>
      <c r="F122" s="88"/>
      <c r="H122" s="95"/>
      <c r="I122" s="94"/>
      <c r="J122" s="298"/>
      <c r="K122" s="240"/>
      <c r="L122" s="241"/>
      <c r="M122" s="291"/>
      <c r="N122" s="291"/>
      <c r="O122" s="40"/>
      <c r="P122" s="40"/>
    </row>
    <row r="123" spans="1:16" x14ac:dyDescent="0.2">
      <c r="A123" s="40"/>
      <c r="B123" s="254" t="s">
        <v>84</v>
      </c>
      <c r="C123" s="247" t="s">
        <v>85</v>
      </c>
      <c r="D123" s="44">
        <v>120.00000000000001</v>
      </c>
      <c r="E123" s="95">
        <v>918.31</v>
      </c>
      <c r="F123" s="88">
        <f>ROUND(D123*E123,2)</f>
        <v>110197.2</v>
      </c>
      <c r="H123" s="242">
        <v>1082.81</v>
      </c>
      <c r="I123" s="94">
        <f>ROUND(D123*H123,2)</f>
        <v>129937.2</v>
      </c>
      <c r="J123" s="298"/>
      <c r="K123" s="240">
        <f>I123-F123</f>
        <v>19740</v>
      </c>
      <c r="L123" s="241">
        <f t="shared" ref="L123:L124" si="18">IFERROR(K123/F123, )</f>
        <v>0.179133408108373</v>
      </c>
      <c r="M123" s="291"/>
      <c r="N123" s="291"/>
      <c r="O123" s="40"/>
      <c r="P123" s="40"/>
    </row>
    <row r="124" spans="1:16" x14ac:dyDescent="0.2">
      <c r="A124" s="40"/>
      <c r="B124" s="238" t="s">
        <v>92</v>
      </c>
      <c r="C124" s="40" t="s">
        <v>90</v>
      </c>
      <c r="D124" s="44">
        <v>296082</v>
      </c>
      <c r="E124" s="95">
        <v>1.45</v>
      </c>
      <c r="F124" s="88">
        <f>ROUND(D124*E124,2)</f>
        <v>429318.9</v>
      </c>
      <c r="H124" s="242">
        <f>H105</f>
        <v>1.45</v>
      </c>
      <c r="I124" s="94">
        <f>ROUND(D124*H124,2)</f>
        <v>429318.9</v>
      </c>
      <c r="J124" s="298"/>
      <c r="K124" s="240">
        <f>I124-F124</f>
        <v>0</v>
      </c>
      <c r="L124" s="241">
        <f t="shared" si="18"/>
        <v>0</v>
      </c>
      <c r="M124" s="291"/>
      <c r="N124" s="291"/>
    </row>
    <row r="125" spans="1:16" x14ac:dyDescent="0.2">
      <c r="A125" s="40"/>
      <c r="B125" s="238" t="s">
        <v>99</v>
      </c>
      <c r="C125" s="40"/>
      <c r="D125" s="44"/>
      <c r="E125" s="95"/>
      <c r="F125" s="94">
        <v>19447.379999999997</v>
      </c>
      <c r="H125" s="242"/>
      <c r="I125" s="94">
        <f>F125</f>
        <v>19447.379999999997</v>
      </c>
      <c r="J125" s="298"/>
      <c r="K125" s="259"/>
      <c r="L125" s="241">
        <f>IFERROR(K125/F125, )</f>
        <v>0</v>
      </c>
      <c r="M125" s="291"/>
      <c r="N125" s="291"/>
    </row>
    <row r="126" spans="1:16" x14ac:dyDescent="0.2">
      <c r="A126" s="40"/>
      <c r="B126" s="91"/>
      <c r="C126" s="40"/>
      <c r="D126" s="44"/>
      <c r="E126" s="81"/>
      <c r="F126" s="88"/>
      <c r="H126" s="115"/>
      <c r="I126" s="94"/>
      <c r="J126" s="298"/>
      <c r="K126" s="259"/>
      <c r="L126" s="305"/>
      <c r="M126" s="291"/>
      <c r="N126" s="291"/>
    </row>
    <row r="127" spans="1:16" x14ac:dyDescent="0.2">
      <c r="A127" s="40"/>
      <c r="B127" s="238" t="s">
        <v>93</v>
      </c>
      <c r="C127" s="40"/>
      <c r="D127" s="44"/>
      <c r="E127" s="214"/>
      <c r="F127" s="88"/>
      <c r="H127" s="115"/>
      <c r="I127" s="94"/>
      <c r="J127" s="298"/>
      <c r="K127" s="259"/>
      <c r="L127" s="305"/>
      <c r="M127" s="291"/>
      <c r="N127" s="291"/>
    </row>
    <row r="128" spans="1:16" x14ac:dyDescent="0.2">
      <c r="A128" s="40"/>
      <c r="B128" s="238" t="s">
        <v>100</v>
      </c>
      <c r="C128" s="40" t="s">
        <v>87</v>
      </c>
      <c r="D128" s="44">
        <v>2998789.67</v>
      </c>
      <c r="E128" s="81">
        <v>0.17533000000000001</v>
      </c>
      <c r="F128" s="88">
        <f t="shared" ref="F128:F133" si="19">ROUND(D128*E128,2)</f>
        <v>525777.79</v>
      </c>
      <c r="H128" s="115">
        <f t="shared" ref="H128:H133" si="20">H110</f>
        <v>0.20754</v>
      </c>
      <c r="I128" s="94">
        <f t="shared" ref="I128:I133" si="21">ROUND(D128*H128,2)</f>
        <v>622368.81000000006</v>
      </c>
      <c r="J128" s="298"/>
      <c r="K128" s="240">
        <f t="shared" ref="K128:K133" si="22">I128-F128</f>
        <v>96591.020000000019</v>
      </c>
      <c r="L128" s="241">
        <f t="shared" ref="L128:L133" si="23">IFERROR(K128/F128, )</f>
        <v>0.18371072692134829</v>
      </c>
      <c r="M128" s="291"/>
      <c r="N128" s="291"/>
    </row>
    <row r="129" spans="1:15" x14ac:dyDescent="0.2">
      <c r="A129" s="40"/>
      <c r="B129" s="238" t="s">
        <v>101</v>
      </c>
      <c r="C129" s="40" t="s">
        <v>87</v>
      </c>
      <c r="D129" s="44">
        <v>3000000</v>
      </c>
      <c r="E129" s="81">
        <v>0.10595</v>
      </c>
      <c r="F129" s="88">
        <f t="shared" si="19"/>
        <v>317850</v>
      </c>
      <c r="H129" s="115">
        <f t="shared" si="20"/>
        <v>0.12540999999999999</v>
      </c>
      <c r="I129" s="94">
        <f t="shared" si="21"/>
        <v>376230</v>
      </c>
      <c r="J129" s="298"/>
      <c r="K129" s="240">
        <f t="shared" si="22"/>
        <v>58380</v>
      </c>
      <c r="L129" s="241">
        <f t="shared" si="23"/>
        <v>0.18367154318074563</v>
      </c>
      <c r="M129" s="291"/>
      <c r="N129" s="291"/>
    </row>
    <row r="130" spans="1:15" x14ac:dyDescent="0.2">
      <c r="A130" s="40"/>
      <c r="B130" s="238" t="s">
        <v>103</v>
      </c>
      <c r="C130" s="40" t="s">
        <v>87</v>
      </c>
      <c r="D130" s="44">
        <v>6000000</v>
      </c>
      <c r="E130" s="81">
        <v>6.7419999999999994E-2</v>
      </c>
      <c r="F130" s="88">
        <f t="shared" si="19"/>
        <v>404520</v>
      </c>
      <c r="H130" s="115">
        <f t="shared" si="20"/>
        <v>7.9810000000000006E-2</v>
      </c>
      <c r="I130" s="94">
        <f t="shared" si="21"/>
        <v>478860</v>
      </c>
      <c r="J130" s="298"/>
      <c r="K130" s="240">
        <f t="shared" si="22"/>
        <v>74340</v>
      </c>
      <c r="L130" s="241">
        <f t="shared" si="23"/>
        <v>0.18377336102046871</v>
      </c>
      <c r="M130" s="291"/>
      <c r="N130" s="291"/>
    </row>
    <row r="131" spans="1:15" x14ac:dyDescent="0.2">
      <c r="A131" s="40"/>
      <c r="B131" s="238" t="s">
        <v>15</v>
      </c>
      <c r="C131" s="40" t="s">
        <v>87</v>
      </c>
      <c r="D131" s="44">
        <v>11463691.02</v>
      </c>
      <c r="E131" s="81">
        <v>4.3229999999999998E-2</v>
      </c>
      <c r="F131" s="88">
        <f t="shared" si="19"/>
        <v>495575.36</v>
      </c>
      <c r="H131" s="115">
        <f t="shared" si="20"/>
        <v>5.117E-2</v>
      </c>
      <c r="I131" s="94">
        <f t="shared" si="21"/>
        <v>586597.06999999995</v>
      </c>
      <c r="J131" s="298"/>
      <c r="K131" s="240">
        <f t="shared" si="22"/>
        <v>91021.709999999963</v>
      </c>
      <c r="L131" s="241">
        <f t="shared" si="23"/>
        <v>0.18366875625131962</v>
      </c>
      <c r="M131" s="291"/>
      <c r="N131" s="291"/>
    </row>
    <row r="132" spans="1:15" x14ac:dyDescent="0.2">
      <c r="A132" s="40"/>
      <c r="B132" s="238" t="s">
        <v>14</v>
      </c>
      <c r="C132" s="40" t="s">
        <v>87</v>
      </c>
      <c r="D132" s="44">
        <v>25744602.149999999</v>
      </c>
      <c r="E132" s="81">
        <v>3.1109999999999999E-2</v>
      </c>
      <c r="F132" s="88">
        <f t="shared" si="19"/>
        <v>800914.57</v>
      </c>
      <c r="H132" s="115">
        <f t="shared" si="20"/>
        <v>3.6830000000000002E-2</v>
      </c>
      <c r="I132" s="94">
        <f t="shared" si="21"/>
        <v>948173.7</v>
      </c>
      <c r="J132" s="298"/>
      <c r="K132" s="240">
        <f t="shared" si="22"/>
        <v>147259.13</v>
      </c>
      <c r="L132" s="241">
        <f t="shared" si="23"/>
        <v>0.18386371720020028</v>
      </c>
      <c r="M132" s="291"/>
      <c r="N132" s="291"/>
    </row>
    <row r="133" spans="1:15" x14ac:dyDescent="0.2">
      <c r="A133" s="40"/>
      <c r="B133" s="238" t="s">
        <v>107</v>
      </c>
      <c r="C133" s="40" t="s">
        <v>87</v>
      </c>
      <c r="D133" s="44">
        <v>48293342.805479579</v>
      </c>
      <c r="E133" s="81">
        <v>2.3990000000000001E-2</v>
      </c>
      <c r="F133" s="88">
        <f t="shared" si="19"/>
        <v>1158557.29</v>
      </c>
      <c r="H133" s="115">
        <f t="shared" si="20"/>
        <v>2.4830000000000001E-2</v>
      </c>
      <c r="I133" s="94">
        <f t="shared" si="21"/>
        <v>1199123.7</v>
      </c>
      <c r="J133" s="298"/>
      <c r="K133" s="240">
        <f t="shared" si="22"/>
        <v>40566.409999999916</v>
      </c>
      <c r="L133" s="241">
        <f t="shared" si="23"/>
        <v>3.501459129397038E-2</v>
      </c>
      <c r="M133" s="291"/>
      <c r="N133" s="291"/>
    </row>
    <row r="134" spans="1:15" x14ac:dyDescent="0.2">
      <c r="A134" s="40"/>
      <c r="B134" s="254" t="s">
        <v>119</v>
      </c>
      <c r="C134" s="40"/>
      <c r="D134" s="20">
        <f>SUM(D128:D133)</f>
        <v>97500425.645479575</v>
      </c>
      <c r="E134" s="81"/>
      <c r="F134" s="134">
        <f>SUM(F123:F133)</f>
        <v>4262158.49</v>
      </c>
      <c r="H134" s="81"/>
      <c r="I134" s="134">
        <f>SUM(I123:I133)</f>
        <v>4790056.76</v>
      </c>
      <c r="J134" s="298"/>
      <c r="K134" s="134">
        <f>SUM(K123:K133)</f>
        <v>527898.2699999999</v>
      </c>
      <c r="L134" s="341">
        <f>IFERROR(K134/F134, )</f>
        <v>0.12385702484752037</v>
      </c>
      <c r="M134" s="291"/>
      <c r="N134" s="291"/>
    </row>
    <row r="135" spans="1:15" x14ac:dyDescent="0.2">
      <c r="A135" s="40"/>
      <c r="B135" s="238"/>
      <c r="C135" s="247"/>
      <c r="D135" s="44"/>
      <c r="E135" s="81"/>
      <c r="F135" s="88"/>
      <c r="H135" s="95"/>
      <c r="I135" s="94"/>
      <c r="J135" s="298"/>
      <c r="K135" s="240"/>
      <c r="L135" s="243"/>
      <c r="M135" s="291"/>
      <c r="N135" s="291"/>
    </row>
    <row r="136" spans="1:15" x14ac:dyDescent="0.2">
      <c r="A136" s="40"/>
      <c r="B136" s="238" t="s">
        <v>182</v>
      </c>
      <c r="C136" s="40"/>
      <c r="D136" s="44"/>
      <c r="E136" s="214"/>
      <c r="F136" s="134">
        <f>F134</f>
        <v>4262158.49</v>
      </c>
      <c r="H136" s="95"/>
      <c r="I136" s="134">
        <f>I134</f>
        <v>4790056.76</v>
      </c>
      <c r="J136" s="298"/>
      <c r="K136" s="307">
        <f>K134</f>
        <v>527898.2699999999</v>
      </c>
      <c r="L136" s="341">
        <f>IFERROR(K136/F136, )</f>
        <v>0.12385702484752037</v>
      </c>
      <c r="M136" s="291"/>
      <c r="N136" s="291"/>
      <c r="O136" s="274"/>
    </row>
    <row r="137" spans="1:15" s="40" customFormat="1" x14ac:dyDescent="0.2">
      <c r="B137" s="300"/>
      <c r="C137" s="269"/>
      <c r="D137" s="85"/>
      <c r="E137" s="135"/>
      <c r="F137" s="84"/>
      <c r="G137" s="85"/>
      <c r="H137" s="129"/>
      <c r="I137" s="136"/>
      <c r="J137" s="334"/>
      <c r="K137" s="302"/>
      <c r="L137" s="271"/>
      <c r="M137" s="291"/>
      <c r="N137" s="291"/>
    </row>
    <row r="138" spans="1:15" s="40" customFormat="1" x14ac:dyDescent="0.2">
      <c r="D138" s="44"/>
      <c r="E138" s="81"/>
      <c r="F138" s="88"/>
      <c r="G138" s="44"/>
      <c r="H138" s="95"/>
      <c r="I138" s="94"/>
      <c r="J138" s="298"/>
      <c r="K138" s="240"/>
      <c r="L138" s="342"/>
      <c r="M138" s="291"/>
      <c r="N138" s="291"/>
    </row>
    <row r="139" spans="1:15" x14ac:dyDescent="0.2">
      <c r="A139" s="40"/>
      <c r="B139" s="90" t="s">
        <v>149</v>
      </c>
      <c r="C139" s="347"/>
      <c r="D139" s="295"/>
      <c r="E139" s="30"/>
      <c r="F139" s="335"/>
      <c r="G139" s="295"/>
      <c r="H139" s="327"/>
      <c r="I139" s="337"/>
      <c r="J139" s="336"/>
      <c r="K139" s="335"/>
      <c r="L139" s="348"/>
      <c r="M139" s="291"/>
      <c r="N139" s="291"/>
    </row>
    <row r="140" spans="1:15" x14ac:dyDescent="0.2">
      <c r="A140" s="40"/>
      <c r="B140" s="91"/>
      <c r="C140" s="50"/>
      <c r="D140" s="44"/>
      <c r="E140" s="81"/>
      <c r="F140" s="88"/>
      <c r="H140" s="95"/>
      <c r="I140" s="94"/>
      <c r="J140" s="130"/>
      <c r="K140" s="88"/>
      <c r="L140" s="93"/>
      <c r="M140" s="291"/>
      <c r="N140" s="291"/>
    </row>
    <row r="141" spans="1:15" x14ac:dyDescent="0.2">
      <c r="A141" s="40"/>
      <c r="B141" s="78" t="s">
        <v>84</v>
      </c>
      <c r="C141" s="79" t="s">
        <v>85</v>
      </c>
      <c r="D141" s="44">
        <f>D123+D104</f>
        <v>181</v>
      </c>
      <c r="E141" s="95"/>
      <c r="F141" s="88">
        <f>F123+F104</f>
        <v>147193.70000000001</v>
      </c>
      <c r="H141" s="116"/>
      <c r="I141" s="88">
        <f>I123+I104</f>
        <v>173561.35</v>
      </c>
      <c r="J141" s="130"/>
      <c r="K141" s="94">
        <f>I141-F141</f>
        <v>26367.649999999994</v>
      </c>
      <c r="L141" s="93">
        <f t="shared" ref="L141:L144" si="24">IFERROR(K141/F141, )</f>
        <v>0.17913572387948665</v>
      </c>
      <c r="M141" s="291"/>
      <c r="N141" s="291"/>
    </row>
    <row r="142" spans="1:15" x14ac:dyDescent="0.2">
      <c r="A142" s="40"/>
      <c r="B142" s="91" t="s">
        <v>92</v>
      </c>
      <c r="C142" s="50" t="s">
        <v>90</v>
      </c>
      <c r="D142" s="44">
        <f>D124+D105</f>
        <v>296082</v>
      </c>
      <c r="E142" s="95"/>
      <c r="F142" s="88">
        <f>F124+F105</f>
        <v>429318.9</v>
      </c>
      <c r="H142" s="116"/>
      <c r="I142" s="88">
        <f>I124+I105</f>
        <v>429318.9</v>
      </c>
      <c r="J142" s="130"/>
      <c r="K142" s="94">
        <f>I142-F142</f>
        <v>0</v>
      </c>
      <c r="L142" s="93">
        <f t="shared" si="24"/>
        <v>0</v>
      </c>
      <c r="M142" s="291"/>
      <c r="N142" s="291"/>
    </row>
    <row r="143" spans="1:15" x14ac:dyDescent="0.2">
      <c r="A143" s="40"/>
      <c r="B143" s="91" t="s">
        <v>89</v>
      </c>
      <c r="C143" s="50"/>
      <c r="D143" s="44"/>
      <c r="E143" s="95"/>
      <c r="F143" s="88">
        <f>F106</f>
        <v>183938.01</v>
      </c>
      <c r="H143" s="116"/>
      <c r="I143" s="88">
        <f>I106</f>
        <v>203357.33</v>
      </c>
      <c r="J143" s="130"/>
      <c r="K143" s="94">
        <f>I143-F143</f>
        <v>19419.319999999978</v>
      </c>
      <c r="L143" s="93">
        <f t="shared" si="24"/>
        <v>0.10557535117401769</v>
      </c>
      <c r="M143" s="291"/>
      <c r="N143" s="291"/>
    </row>
    <row r="144" spans="1:15" x14ac:dyDescent="0.2">
      <c r="A144" s="40"/>
      <c r="B144" s="91" t="s">
        <v>99</v>
      </c>
      <c r="C144" s="50"/>
      <c r="D144" s="44"/>
      <c r="E144" s="95"/>
      <c r="F144" s="94">
        <f>F125+F107</f>
        <v>70534.149999999994</v>
      </c>
      <c r="H144" s="95"/>
      <c r="I144" s="94">
        <f>I125+I107</f>
        <v>70534.149999999994</v>
      </c>
      <c r="J144" s="130"/>
      <c r="K144" s="94">
        <f>I144-F144</f>
        <v>0</v>
      </c>
      <c r="L144" s="93">
        <f t="shared" si="24"/>
        <v>0</v>
      </c>
      <c r="M144" s="291"/>
      <c r="N144" s="291"/>
    </row>
    <row r="145" spans="1:16" x14ac:dyDescent="0.2">
      <c r="A145" s="40"/>
      <c r="B145" s="91"/>
      <c r="C145" s="50"/>
      <c r="D145" s="44"/>
      <c r="E145" s="95"/>
      <c r="F145" s="94"/>
      <c r="H145" s="81"/>
      <c r="I145" s="143"/>
      <c r="J145" s="130"/>
      <c r="K145" s="94"/>
      <c r="L145" s="142"/>
      <c r="M145" s="291"/>
      <c r="N145" s="291"/>
    </row>
    <row r="146" spans="1:16" ht="12" customHeight="1" x14ac:dyDescent="0.2">
      <c r="A146" s="40"/>
      <c r="B146" s="91" t="s">
        <v>93</v>
      </c>
      <c r="C146" s="50"/>
      <c r="D146" s="44"/>
      <c r="E146" s="95"/>
      <c r="F146" s="88"/>
      <c r="H146" s="81"/>
      <c r="I146" s="88"/>
      <c r="J146" s="130"/>
      <c r="K146" s="94"/>
      <c r="L146" s="142"/>
      <c r="M146" s="291"/>
      <c r="N146" s="291"/>
    </row>
    <row r="147" spans="1:16" x14ac:dyDescent="0.2">
      <c r="A147" s="40"/>
      <c r="B147" s="91" t="s">
        <v>100</v>
      </c>
      <c r="C147" s="50" t="s">
        <v>87</v>
      </c>
      <c r="D147" s="44">
        <f t="shared" ref="D147:D152" si="25">D128+D110</f>
        <v>4510982.67</v>
      </c>
      <c r="E147" s="81"/>
      <c r="F147" s="88">
        <f t="shared" ref="F147:F152" si="26">F128+F110</f>
        <v>790910.59000000008</v>
      </c>
      <c r="H147" s="99"/>
      <c r="I147" s="88">
        <f t="shared" ref="I147:I152" si="27">I128+I110</f>
        <v>936209.35000000009</v>
      </c>
      <c r="J147" s="130"/>
      <c r="K147" s="94">
        <f t="shared" ref="K147:K152" si="28">I147-F147</f>
        <v>145298.76</v>
      </c>
      <c r="L147" s="93">
        <f t="shared" ref="L147:L152" si="29">IFERROR(K147/F147, )</f>
        <v>0.18371072765633342</v>
      </c>
      <c r="M147" s="291"/>
      <c r="N147" s="291"/>
    </row>
    <row r="148" spans="1:16" x14ac:dyDescent="0.2">
      <c r="A148" s="40"/>
      <c r="B148" s="91" t="s">
        <v>101</v>
      </c>
      <c r="C148" s="50" t="s">
        <v>87</v>
      </c>
      <c r="D148" s="44">
        <f t="shared" si="25"/>
        <v>4398016.1150000002</v>
      </c>
      <c r="E148" s="81"/>
      <c r="F148" s="88">
        <f t="shared" si="26"/>
        <v>465969.81</v>
      </c>
      <c r="H148" s="99"/>
      <c r="I148" s="88">
        <f t="shared" si="27"/>
        <v>551555.19999999995</v>
      </c>
      <c r="J148" s="130"/>
      <c r="K148" s="94">
        <f t="shared" si="28"/>
        <v>85585.389999999956</v>
      </c>
      <c r="L148" s="93">
        <f t="shared" si="29"/>
        <v>0.18367153442837844</v>
      </c>
      <c r="M148" s="291"/>
      <c r="N148" s="291"/>
    </row>
    <row r="149" spans="1:16" x14ac:dyDescent="0.2">
      <c r="A149" s="40"/>
      <c r="B149" s="91" t="s">
        <v>103</v>
      </c>
      <c r="C149" s="50" t="s">
        <v>87</v>
      </c>
      <c r="D149" s="44">
        <f t="shared" si="25"/>
        <v>8316890.0959999999</v>
      </c>
      <c r="E149" s="81"/>
      <c r="F149" s="88">
        <f t="shared" si="26"/>
        <v>560724.73</v>
      </c>
      <c r="H149" s="99"/>
      <c r="I149" s="88">
        <f t="shared" si="27"/>
        <v>663771</v>
      </c>
      <c r="J149" s="130"/>
      <c r="K149" s="94">
        <f t="shared" si="28"/>
        <v>103046.27000000002</v>
      </c>
      <c r="L149" s="93">
        <f t="shared" si="29"/>
        <v>0.18377336416034304</v>
      </c>
      <c r="M149" s="291"/>
      <c r="N149" s="291"/>
    </row>
    <row r="150" spans="1:16" x14ac:dyDescent="0.2">
      <c r="A150" s="40"/>
      <c r="B150" s="91" t="s">
        <v>15</v>
      </c>
      <c r="C150" s="50" t="s">
        <v>87</v>
      </c>
      <c r="D150" s="44">
        <f t="shared" si="25"/>
        <v>14508947.897999998</v>
      </c>
      <c r="E150" s="81"/>
      <c r="F150" s="88">
        <f t="shared" si="26"/>
        <v>627221.81000000006</v>
      </c>
      <c r="H150" s="99"/>
      <c r="I150" s="88">
        <f t="shared" si="27"/>
        <v>742422.86</v>
      </c>
      <c r="J150" s="130"/>
      <c r="K150" s="94">
        <f t="shared" si="28"/>
        <v>115201.04999999993</v>
      </c>
      <c r="L150" s="93">
        <f t="shared" si="29"/>
        <v>0.18366875667158308</v>
      </c>
      <c r="M150" s="291"/>
      <c r="N150" s="291"/>
    </row>
    <row r="151" spans="1:16" x14ac:dyDescent="0.2">
      <c r="A151" s="40"/>
      <c r="B151" s="91" t="s">
        <v>14</v>
      </c>
      <c r="C151" s="50" t="s">
        <v>87</v>
      </c>
      <c r="D151" s="44">
        <f t="shared" si="25"/>
        <v>29536644.353</v>
      </c>
      <c r="E151" s="81"/>
      <c r="F151" s="88">
        <f t="shared" si="26"/>
        <v>918885</v>
      </c>
      <c r="H151" s="99"/>
      <c r="I151" s="88">
        <f t="shared" si="27"/>
        <v>1087834.6099999999</v>
      </c>
      <c r="J151" s="130"/>
      <c r="K151" s="94">
        <f t="shared" si="28"/>
        <v>168949.60999999987</v>
      </c>
      <c r="L151" s="93">
        <f t="shared" si="29"/>
        <v>0.18386371526360737</v>
      </c>
      <c r="M151" s="291"/>
      <c r="N151" s="291"/>
    </row>
    <row r="152" spans="1:16" x14ac:dyDescent="0.2">
      <c r="A152" s="40"/>
      <c r="B152" s="91" t="s">
        <v>107</v>
      </c>
      <c r="C152" s="50" t="s">
        <v>87</v>
      </c>
      <c r="D152" s="44">
        <f t="shared" si="25"/>
        <v>58048400.275834784</v>
      </c>
      <c r="E152" s="81"/>
      <c r="F152" s="88">
        <f t="shared" si="26"/>
        <v>1392581.12</v>
      </c>
      <c r="H152" s="99"/>
      <c r="I152" s="88">
        <f t="shared" si="27"/>
        <v>1441341.78</v>
      </c>
      <c r="J152" s="130"/>
      <c r="K152" s="94">
        <f t="shared" si="28"/>
        <v>48760.659999999916</v>
      </c>
      <c r="L152" s="93">
        <f t="shared" si="29"/>
        <v>3.5014592184044485E-2</v>
      </c>
      <c r="M152" s="291"/>
      <c r="N152" s="291"/>
    </row>
    <row r="153" spans="1:16" x14ac:dyDescent="0.2">
      <c r="A153" s="40"/>
      <c r="B153" s="254" t="s">
        <v>119</v>
      </c>
      <c r="C153" s="50" t="s">
        <v>87</v>
      </c>
      <c r="D153" s="20">
        <f>SUM(D147:D152)</f>
        <v>119319881.40783478</v>
      </c>
      <c r="E153" s="81"/>
      <c r="F153" s="108">
        <f>SUM(F141:F152)</f>
        <v>5587277.8200000003</v>
      </c>
      <c r="H153" s="95"/>
      <c r="I153" s="108">
        <f>SUM(I141:I152)</f>
        <v>6299906.5300000003</v>
      </c>
      <c r="J153" s="130"/>
      <c r="K153" s="108">
        <f>SUM(K141:K152)</f>
        <v>712628.70999999973</v>
      </c>
      <c r="L153" s="128">
        <f>IFERROR(K153/F153, )</f>
        <v>0.12754488553425819</v>
      </c>
      <c r="M153" s="291"/>
      <c r="N153" s="291"/>
      <c r="P153" s="304"/>
    </row>
    <row r="154" spans="1:16" x14ac:dyDescent="0.2">
      <c r="A154" s="40"/>
      <c r="B154" s="78"/>
      <c r="C154" s="79"/>
      <c r="D154" s="44"/>
      <c r="E154" s="81"/>
      <c r="F154" s="88"/>
      <c r="H154" s="95"/>
      <c r="I154" s="94"/>
      <c r="J154" s="130"/>
      <c r="K154" s="88"/>
      <c r="L154" s="96"/>
      <c r="M154" s="291"/>
      <c r="N154" s="291"/>
    </row>
    <row r="155" spans="1:16" x14ac:dyDescent="0.2">
      <c r="A155" s="40"/>
      <c r="B155" s="78" t="s">
        <v>182</v>
      </c>
      <c r="C155" s="79"/>
      <c r="D155" s="88"/>
      <c r="E155" s="95"/>
      <c r="F155" s="108">
        <f>F153</f>
        <v>5587277.8200000003</v>
      </c>
      <c r="G155" s="50"/>
      <c r="H155" s="95"/>
      <c r="I155" s="108">
        <f>I153</f>
        <v>6299906.5300000003</v>
      </c>
      <c r="J155" s="95"/>
      <c r="K155" s="108">
        <f>K153</f>
        <v>712628.70999999973</v>
      </c>
      <c r="L155" s="128">
        <f>IFERROR(K155/F155, )</f>
        <v>0.12754488553425819</v>
      </c>
      <c r="M155" s="291"/>
      <c r="N155" s="291"/>
    </row>
    <row r="156" spans="1:16" x14ac:dyDescent="0.2">
      <c r="A156" s="40"/>
      <c r="B156" s="300"/>
      <c r="C156" s="269"/>
      <c r="D156" s="85"/>
      <c r="E156" s="270"/>
      <c r="F156" s="136"/>
      <c r="G156" s="85"/>
      <c r="H156" s="129"/>
      <c r="I156" s="136"/>
      <c r="J156" s="334"/>
      <c r="K156" s="302"/>
      <c r="L156" s="303"/>
      <c r="M156" s="291"/>
      <c r="N156" s="291"/>
    </row>
    <row r="157" spans="1:16" x14ac:dyDescent="0.2">
      <c r="A157" s="40"/>
      <c r="B157" s="40"/>
      <c r="C157" s="40"/>
      <c r="D157" s="44"/>
      <c r="E157" s="81"/>
      <c r="F157" s="88"/>
      <c r="H157" s="95"/>
      <c r="I157" s="94"/>
      <c r="J157" s="298"/>
      <c r="K157" s="240"/>
      <c r="L157" s="342"/>
      <c r="M157" s="291"/>
      <c r="N157" s="291"/>
    </row>
    <row r="158" spans="1:16" x14ac:dyDescent="0.2">
      <c r="B158" s="211" t="s">
        <v>150</v>
      </c>
      <c r="C158" s="40"/>
      <c r="D158" s="44"/>
      <c r="E158" s="320"/>
      <c r="F158" s="95"/>
      <c r="H158" s="81"/>
      <c r="I158" s="95"/>
      <c r="J158" s="214"/>
      <c r="K158" s="214"/>
      <c r="L158" s="304"/>
      <c r="M158" s="291"/>
      <c r="N158" s="291"/>
      <c r="O158" s="109"/>
    </row>
    <row r="159" spans="1:16" x14ac:dyDescent="0.2">
      <c r="C159" s="40"/>
      <c r="D159" s="103" t="s">
        <v>87</v>
      </c>
      <c r="E159" s="320"/>
      <c r="F159" s="113" t="s">
        <v>78</v>
      </c>
      <c r="G159" s="39"/>
      <c r="H159" s="47"/>
      <c r="I159" s="113" t="s">
        <v>26</v>
      </c>
      <c r="J159" s="274"/>
      <c r="K159" s="310" t="s">
        <v>73</v>
      </c>
      <c r="L159" s="304"/>
      <c r="M159" s="291"/>
      <c r="N159" s="291"/>
      <c r="O159" s="109"/>
    </row>
    <row r="160" spans="1:16" x14ac:dyDescent="0.2">
      <c r="B160" s="211" t="s">
        <v>182</v>
      </c>
      <c r="C160" s="40"/>
      <c r="D160" s="212"/>
      <c r="E160" s="320"/>
      <c r="F160" s="144"/>
      <c r="G160" s="144"/>
      <c r="H160" s="144"/>
      <c r="I160" s="144"/>
      <c r="J160" s="349"/>
      <c r="K160" s="349"/>
      <c r="L160" s="304"/>
      <c r="M160" s="291"/>
      <c r="N160" s="291"/>
      <c r="O160" s="109"/>
    </row>
    <row r="161" spans="2:15" x14ac:dyDescent="0.2">
      <c r="B161" s="48" t="s">
        <v>151</v>
      </c>
      <c r="C161" s="40"/>
      <c r="D161" s="212">
        <f>D52</f>
        <v>88879730.522699013</v>
      </c>
      <c r="E161" s="320"/>
      <c r="F161" s="144">
        <f>F21+F36</f>
        <v>8603644.5934943184</v>
      </c>
      <c r="G161" s="144"/>
      <c r="H161" s="144"/>
      <c r="I161" s="144">
        <f>I21+I36</f>
        <v>9611990.370000001</v>
      </c>
      <c r="J161" s="349"/>
      <c r="K161" s="349">
        <f>I161-F161</f>
        <v>1008345.7765056826</v>
      </c>
      <c r="L161" s="342">
        <f t="shared" ref="L161:L163" si="30">IFERROR(K161/F161, )</f>
        <v>0.11719984078237582</v>
      </c>
      <c r="M161" s="291"/>
      <c r="N161" s="291"/>
      <c r="O161" s="109"/>
    </row>
    <row r="162" spans="2:15" x14ac:dyDescent="0.2">
      <c r="B162" s="48" t="s">
        <v>152</v>
      </c>
      <c r="C162" s="40"/>
      <c r="D162" s="212">
        <f>D96</f>
        <v>7491654.8276905464</v>
      </c>
      <c r="E162" s="320"/>
      <c r="F162" s="144">
        <f>F67+F81</f>
        <v>1496082.9500000002</v>
      </c>
      <c r="G162" s="144"/>
      <c r="H162" s="144"/>
      <c r="I162" s="144">
        <f>I67+I81</f>
        <v>1560031.02</v>
      </c>
      <c r="J162" s="349"/>
      <c r="K162" s="349">
        <f>I162-F162</f>
        <v>63948.069999999832</v>
      </c>
      <c r="L162" s="342">
        <f t="shared" si="30"/>
        <v>4.2743666051404318E-2</v>
      </c>
      <c r="M162" s="291"/>
      <c r="N162" s="291"/>
      <c r="O162" s="109"/>
    </row>
    <row r="163" spans="2:15" x14ac:dyDescent="0.2">
      <c r="B163" s="48" t="s">
        <v>153</v>
      </c>
      <c r="C163" s="40"/>
      <c r="D163" s="212">
        <f>D153</f>
        <v>119319881.40783478</v>
      </c>
      <c r="E163" s="320"/>
      <c r="F163" s="144">
        <f>F116+F134</f>
        <v>5587277.8200000003</v>
      </c>
      <c r="G163" s="144"/>
      <c r="H163" s="144"/>
      <c r="I163" s="144">
        <f>I116+I134</f>
        <v>6299906.5299999993</v>
      </c>
      <c r="J163" s="349"/>
      <c r="K163" s="349">
        <f>I163-F163</f>
        <v>712628.70999999903</v>
      </c>
      <c r="L163" s="342">
        <f t="shared" si="30"/>
        <v>0.12754488553425808</v>
      </c>
      <c r="M163" s="291"/>
      <c r="N163" s="291"/>
      <c r="O163" s="109"/>
    </row>
    <row r="164" spans="2:15" x14ac:dyDescent="0.2">
      <c r="B164" s="48" t="s">
        <v>0</v>
      </c>
      <c r="C164" s="40"/>
      <c r="D164" s="20">
        <f>SUM(D161:D163)</f>
        <v>215691266.75822434</v>
      </c>
      <c r="E164" s="320"/>
      <c r="F164" s="200">
        <f>SUM(F161:F163)</f>
        <v>15687005.363494318</v>
      </c>
      <c r="G164" s="144"/>
      <c r="H164" s="144"/>
      <c r="I164" s="200">
        <f>SUM(I161:I163)</f>
        <v>17471927.920000002</v>
      </c>
      <c r="J164" s="349"/>
      <c r="K164" s="350">
        <f>SUM(K161:K163)</f>
        <v>1784922.5565056815</v>
      </c>
      <c r="L164" s="342">
        <f>IFERROR(K164/F164, )</f>
        <v>0.11378351158465376</v>
      </c>
      <c r="M164" s="291"/>
      <c r="N164" s="291"/>
      <c r="O164" s="109"/>
    </row>
    <row r="165" spans="2:15" x14ac:dyDescent="0.2">
      <c r="C165" s="40"/>
      <c r="D165" s="212"/>
      <c r="E165" s="320"/>
      <c r="F165" s="144"/>
      <c r="G165" s="144"/>
      <c r="H165" s="144"/>
      <c r="I165" s="144"/>
      <c r="J165" s="349"/>
      <c r="K165" s="349"/>
      <c r="L165" s="304"/>
      <c r="M165" s="291"/>
      <c r="N165" s="291"/>
      <c r="O165" s="109"/>
    </row>
    <row r="166" spans="2:15" x14ac:dyDescent="0.2">
      <c r="B166" s="211" t="s">
        <v>154</v>
      </c>
      <c r="E166" s="314"/>
      <c r="F166" s="146"/>
      <c r="G166" s="145"/>
      <c r="H166" s="146"/>
      <c r="I166" s="146"/>
      <c r="J166" s="351"/>
      <c r="K166" s="351"/>
      <c r="L166" s="272"/>
      <c r="O166" s="274"/>
    </row>
    <row r="167" spans="2:15" x14ac:dyDescent="0.2">
      <c r="B167" s="213" t="s">
        <v>0</v>
      </c>
      <c r="D167" s="314">
        <f>'Exh JDT-5 (JDT-RES_RD)'!D13+'Exh JDT-5 (JDT-RES_RD)'!D21+'Exh JDT-5 (JDT-RES_RD)'!D30+'Exh JDT-5 (JDT-C&amp;I-RD)'!D32+'Exh JDT-5 (JDT-C&amp;I-RD)'!D82+'Exh JDT-5 (JDT-INTRPL-RD)'!D52+'Exh JDT-5 (JDT-INTRPL-RD)'!D96+'Exh JDT-5 (JDT-INTRPL-RD)'!D153</f>
        <v>1140752508.5224547</v>
      </c>
      <c r="E167" s="44"/>
      <c r="F167" s="146">
        <f>'Exh JDT-5 (JDT-RES_RD)'!F16+'Exh JDT-5 (JDT-RES_RD)'!F24+'Exh JDT-5 (JDT-RES_RD)'!F32+'Exh JDT-5 (JDT-C&amp;I-RD)'!F36+'Exh JDT-5 (JDT-C&amp;I-RD)'!F86+'Exh JDT-5 (JDT-INTRPL-RD)'!F54+'Exh JDT-5 (JDT-INTRPL-RD)'!F98+'Exh JDT-5 (JDT-INTRPL-RD)'!F155</f>
        <v>518938321.8820585</v>
      </c>
      <c r="G167" s="144"/>
      <c r="H167" s="146"/>
      <c r="I167" s="201">
        <f>'Exh JDT-5 (JDT-RES_RD)'!I16+'Exh JDT-5 (JDT-RES_RD)'!I24+'Exh JDT-5 (JDT-RES_RD)'!I32+'Exh JDT-5 (JDT-C&amp;I-RD)'!I36+'Exh JDT-5 (JDT-C&amp;I-RD)'!I86+'Exh JDT-5 (JDT-INTRPL-RD)'!I54+'Exh JDT-5 (JDT-INTRPL-RD)'!I98+'Exh JDT-5 (JDT-INTRPL-RD)'!I155</f>
        <v>565497397.25807917</v>
      </c>
      <c r="J167" s="351"/>
      <c r="K167" s="351">
        <f>I167-F167</f>
        <v>46559075.37602067</v>
      </c>
      <c r="L167" s="272">
        <f t="shared" ref="L167:L168" si="31">IFERROR(K167/F167, )</f>
        <v>8.971986344574176E-2</v>
      </c>
      <c r="O167" s="274"/>
    </row>
    <row r="168" spans="2:15" x14ac:dyDescent="0.2">
      <c r="B168" s="213" t="s">
        <v>155</v>
      </c>
      <c r="D168" s="39">
        <v>32154478.538398605</v>
      </c>
      <c r="E168" s="44"/>
      <c r="F168" s="146">
        <v>1679324.4523564125</v>
      </c>
      <c r="G168" s="144"/>
      <c r="H168" s="146"/>
      <c r="I168" s="202">
        <v>1699064.4523564125</v>
      </c>
      <c r="J168" s="351"/>
      <c r="K168" s="352">
        <f>I168-F168</f>
        <v>19740</v>
      </c>
      <c r="L168" s="272">
        <f t="shared" si="31"/>
        <v>1.1754726713054773E-2</v>
      </c>
      <c r="O168" s="274"/>
    </row>
    <row r="169" spans="2:15" x14ac:dyDescent="0.2">
      <c r="B169" s="213" t="s">
        <v>156</v>
      </c>
      <c r="D169" s="20">
        <f>SUM(D167:D168)</f>
        <v>1172906987.0608532</v>
      </c>
      <c r="E169" s="44"/>
      <c r="F169" s="200">
        <f>SUM(F167:F168)</f>
        <v>520617646.3344149</v>
      </c>
      <c r="G169" s="144"/>
      <c r="H169" s="146"/>
      <c r="I169" s="200">
        <f>SUM(I167:I168)</f>
        <v>567196461.71043563</v>
      </c>
      <c r="J169" s="351"/>
      <c r="K169" s="350">
        <f>SUM(K167:K168)</f>
        <v>46578815.37602067</v>
      </c>
      <c r="L169" s="272">
        <f>IFERROR(K169/F169, )</f>
        <v>8.9468376079786416E-2</v>
      </c>
      <c r="O169" s="274"/>
    </row>
    <row r="170" spans="2:15" x14ac:dyDescent="0.2">
      <c r="B170" s="147"/>
      <c r="C170" s="47"/>
      <c r="E170" s="44"/>
      <c r="F170" s="353"/>
      <c r="G170" s="144"/>
      <c r="H170" s="146"/>
      <c r="I170" s="354"/>
      <c r="J170" s="351"/>
      <c r="K170" s="354"/>
      <c r="L170" s="272"/>
    </row>
    <row r="171" spans="2:15" x14ac:dyDescent="0.2">
      <c r="B171" s="48" t="s">
        <v>124</v>
      </c>
      <c r="E171" s="44"/>
      <c r="F171" s="349"/>
      <c r="G171" s="144"/>
      <c r="H171" s="146"/>
      <c r="I171" s="349"/>
      <c r="J171" s="351"/>
      <c r="K171" s="349"/>
      <c r="L171" s="272"/>
    </row>
    <row r="172" spans="2:15" ht="13.5" thickBot="1" x14ac:dyDescent="0.25">
      <c r="F172" s="349"/>
      <c r="G172" s="144"/>
      <c r="H172" s="146"/>
      <c r="I172" s="349"/>
      <c r="J172" s="351"/>
      <c r="K172" s="349"/>
      <c r="L172" s="272"/>
    </row>
    <row r="173" spans="2:15" x14ac:dyDescent="0.2">
      <c r="B173" s="356" t="s">
        <v>13</v>
      </c>
      <c r="C173" s="357" t="s">
        <v>184</v>
      </c>
      <c r="D173" s="358">
        <v>15675792.294814982</v>
      </c>
      <c r="E173" s="357" t="s">
        <v>185</v>
      </c>
      <c r="F173" s="359">
        <f>D173-F164</f>
        <v>-11213.068679336458</v>
      </c>
      <c r="G173" s="144"/>
      <c r="H173" s="146" t="s">
        <v>13</v>
      </c>
      <c r="I173" s="351">
        <v>567193801.86914253</v>
      </c>
      <c r="J173" s="351"/>
      <c r="K173" s="351">
        <v>44570424.507699192</v>
      </c>
      <c r="L173" s="272"/>
    </row>
    <row r="174" spans="2:15" ht="13.5" thickBot="1" x14ac:dyDescent="0.25">
      <c r="B174" s="360" t="s">
        <v>13</v>
      </c>
      <c r="C174" s="361" t="s">
        <v>184</v>
      </c>
      <c r="D174" s="362">
        <v>522623377.36144328</v>
      </c>
      <c r="E174" s="361" t="s">
        <v>185</v>
      </c>
      <c r="F174" s="363">
        <f>D174-F169</f>
        <v>2005731.0270283818</v>
      </c>
      <c r="H174" s="147" t="s">
        <v>185</v>
      </c>
      <c r="I174" s="274">
        <f>I173-I169</f>
        <v>-2659.8412930965424</v>
      </c>
      <c r="K174" s="274">
        <f>K173-K169</f>
        <v>-2008390.8683214784</v>
      </c>
      <c r="L174" s="272"/>
    </row>
    <row r="175" spans="2:15" x14ac:dyDescent="0.2">
      <c r="L175" s="272"/>
    </row>
    <row r="176" spans="2:15" x14ac:dyDescent="0.2">
      <c r="B176" s="280"/>
      <c r="D176" s="355"/>
      <c r="L176" s="272"/>
    </row>
    <row r="177" spans="12:12" x14ac:dyDescent="0.2">
      <c r="L177" s="272"/>
    </row>
  </sheetData>
  <mergeCells count="1">
    <mergeCell ref="K7:L7"/>
  </mergeCells>
  <printOptions horizontalCentered="1"/>
  <pageMargins left="0.5" right="0.5" top="1" bottom="1" header="0.75" footer="0.5"/>
  <pageSetup scale="60" fitToHeight="2" orientation="landscape" blackAndWhite="1" r:id="rId1"/>
  <headerFooter alignWithMargins="0">
    <oddFooter>&amp;R&amp;A
 Page &amp;P of &amp;N</oddFooter>
  </headerFooter>
  <rowBreaks count="3" manualBreakCount="3">
    <brk id="56" max="16383" man="1"/>
    <brk id="101" max="16383" man="1"/>
    <brk id="153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79"/>
  <sheetViews>
    <sheetView zoomScale="90" zoomScaleNormal="90" zoomScaleSheetLayoutView="90" workbookViewId="0">
      <pane xSplit="2" ySplit="9" topLeftCell="C178" activePane="bottomRight" state="frozen"/>
      <selection activeCell="G42" sqref="G42"/>
      <selection pane="topRight" activeCell="G42" sqref="G42"/>
      <selection pane="bottomLeft" activeCell="G42" sqref="G42"/>
      <selection pane="bottomRight" activeCell="G42" sqref="G42"/>
    </sheetView>
  </sheetViews>
  <sheetFormatPr defaultColWidth="9.140625" defaultRowHeight="12.75" x14ac:dyDescent="0.2"/>
  <cols>
    <col min="1" max="1" width="2.85546875" style="47" customWidth="1"/>
    <col min="2" max="2" width="38.42578125" style="66" customWidth="1"/>
    <col min="3" max="3" width="12.28515625" style="449" customWidth="1"/>
    <col min="4" max="4" width="12.28515625" style="47" customWidth="1"/>
    <col min="5" max="5" width="15.85546875" style="47" bestFit="1" customWidth="1"/>
    <col min="6" max="6" width="14.5703125" style="366" bestFit="1" customWidth="1"/>
    <col min="7" max="7" width="14.5703125" style="147" bestFit="1" customWidth="1"/>
    <col min="8" max="8" width="13.28515625" style="147" bestFit="1" customWidth="1"/>
    <col min="9" max="9" width="14.5703125" style="147" bestFit="1" customWidth="1"/>
    <col min="10" max="10" width="14.5703125" style="147" customWidth="1"/>
    <col min="11" max="11" width="2.85546875" style="95" customWidth="1"/>
    <col min="12" max="12" width="19.140625" style="47" bestFit="1" customWidth="1"/>
    <col min="13" max="13" width="14.5703125" style="366" bestFit="1" customWidth="1"/>
    <col min="14" max="14" width="14.5703125" style="147" bestFit="1" customWidth="1"/>
    <col min="15" max="15" width="14" style="147" bestFit="1" customWidth="1"/>
    <col min="16" max="16" width="14.5703125" style="147" bestFit="1" customWidth="1"/>
    <col min="17" max="17" width="14.5703125" style="147" customWidth="1"/>
    <col min="18" max="18" width="2.85546875" style="95" customWidth="1"/>
    <col min="19" max="19" width="15.85546875" style="47" bestFit="1" customWidth="1"/>
    <col min="20" max="20" width="14.5703125" style="366" bestFit="1" customWidth="1"/>
    <col min="21" max="21" width="14.5703125" style="147" bestFit="1" customWidth="1"/>
    <col min="22" max="22" width="14" style="147" bestFit="1" customWidth="1"/>
    <col min="23" max="23" width="14.5703125" style="147" bestFit="1" customWidth="1"/>
    <col min="24" max="16384" width="9.140625" style="47"/>
  </cols>
  <sheetData>
    <row r="1" spans="2:23" ht="12.95" customHeight="1" x14ac:dyDescent="0.2">
      <c r="B1" s="206" t="s">
        <v>12</v>
      </c>
      <c r="C1" s="365"/>
      <c r="D1" s="64"/>
      <c r="G1" s="125"/>
      <c r="H1" s="125"/>
      <c r="I1" s="125"/>
      <c r="J1" s="125"/>
      <c r="K1" s="196"/>
      <c r="N1" s="125"/>
      <c r="O1" s="125"/>
      <c r="P1" s="125"/>
      <c r="Q1" s="125"/>
      <c r="R1" s="196"/>
      <c r="U1" s="125"/>
      <c r="V1" s="125"/>
      <c r="W1" s="125"/>
    </row>
    <row r="2" spans="2:23" x14ac:dyDescent="0.2">
      <c r="B2" s="208" t="s">
        <v>310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</row>
    <row r="3" spans="2:23" x14ac:dyDescent="0.2">
      <c r="B3" s="208" t="s">
        <v>311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2:23" x14ac:dyDescent="0.2">
      <c r="B4" s="153" t="s">
        <v>186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</row>
    <row r="5" spans="2:23" x14ac:dyDescent="0.2">
      <c r="B5" s="153" t="str">
        <f>'Exh JDT-5 (JDT-RES_RD)'!B5</f>
        <v>Rate Spread and Schedule 141R and 141N Allocation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7" spans="2:23" x14ac:dyDescent="0.2">
      <c r="B7" s="367"/>
      <c r="C7" s="368"/>
      <c r="D7" s="369"/>
      <c r="E7" s="669" t="s">
        <v>187</v>
      </c>
      <c r="F7" s="669"/>
      <c r="G7" s="669"/>
      <c r="H7" s="669"/>
      <c r="I7" s="669"/>
      <c r="J7" s="370"/>
      <c r="K7" s="371"/>
      <c r="L7" s="669" t="s">
        <v>188</v>
      </c>
      <c r="M7" s="669"/>
      <c r="N7" s="669"/>
      <c r="O7" s="669"/>
      <c r="P7" s="669"/>
      <c r="Q7" s="370"/>
      <c r="R7" s="371"/>
      <c r="S7" s="669" t="s">
        <v>189</v>
      </c>
      <c r="T7" s="669"/>
      <c r="U7" s="669"/>
      <c r="V7" s="669"/>
      <c r="W7" s="670"/>
    </row>
    <row r="8" spans="2:23" ht="25.5" x14ac:dyDescent="0.2">
      <c r="B8" s="372" t="s">
        <v>80</v>
      </c>
      <c r="C8" s="373" t="s">
        <v>169</v>
      </c>
      <c r="D8" s="374" t="s">
        <v>108</v>
      </c>
      <c r="E8" s="375" t="s">
        <v>190</v>
      </c>
      <c r="F8" s="376" t="s">
        <v>191</v>
      </c>
      <c r="G8" s="377" t="s">
        <v>192</v>
      </c>
      <c r="H8" s="378" t="s">
        <v>193</v>
      </c>
      <c r="I8" s="378" t="s">
        <v>194</v>
      </c>
      <c r="J8" s="379" t="s">
        <v>195</v>
      </c>
      <c r="K8" s="378"/>
      <c r="L8" s="375" t="s">
        <v>190</v>
      </c>
      <c r="M8" s="376" t="s">
        <v>191</v>
      </c>
      <c r="N8" s="377" t="s">
        <v>192</v>
      </c>
      <c r="O8" s="378" t="s">
        <v>193</v>
      </c>
      <c r="P8" s="378" t="s">
        <v>194</v>
      </c>
      <c r="Q8" s="379" t="s">
        <v>195</v>
      </c>
      <c r="R8" s="378"/>
      <c r="S8" s="375" t="s">
        <v>190</v>
      </c>
      <c r="T8" s="376" t="s">
        <v>191</v>
      </c>
      <c r="U8" s="377" t="s">
        <v>192</v>
      </c>
      <c r="V8" s="378" t="s">
        <v>193</v>
      </c>
      <c r="W8" s="380" t="s">
        <v>194</v>
      </c>
    </row>
    <row r="9" spans="2:23" x14ac:dyDescent="0.2">
      <c r="B9" s="197"/>
      <c r="C9" s="381"/>
      <c r="D9" s="203"/>
      <c r="E9" s="382"/>
      <c r="F9" s="383"/>
      <c r="G9" s="112"/>
      <c r="H9" s="112"/>
      <c r="I9" s="112"/>
      <c r="J9" s="112"/>
      <c r="K9" s="112"/>
      <c r="L9" s="382"/>
      <c r="M9" s="383"/>
      <c r="N9" s="112"/>
      <c r="O9" s="112"/>
      <c r="P9" s="112"/>
      <c r="Q9" s="112"/>
      <c r="R9" s="112"/>
      <c r="S9" s="382"/>
      <c r="T9" s="383"/>
      <c r="U9" s="112"/>
      <c r="V9" s="112"/>
      <c r="W9" s="384"/>
    </row>
    <row r="10" spans="2:23" x14ac:dyDescent="0.2">
      <c r="B10" s="385" t="s">
        <v>196</v>
      </c>
      <c r="C10" s="386"/>
      <c r="D10" s="77"/>
      <c r="E10" s="20">
        <f>E17+E25+E33</f>
        <v>636378193</v>
      </c>
      <c r="F10" s="387"/>
      <c r="G10" s="108"/>
      <c r="H10" s="108">
        <v>-1079184.181982181</v>
      </c>
      <c r="I10" s="108">
        <v>30961477.392113581</v>
      </c>
      <c r="J10" s="388">
        <v>2074672.7347817947</v>
      </c>
      <c r="K10" s="389"/>
      <c r="L10" s="20">
        <f>L17+L25+L33</f>
        <v>639473381</v>
      </c>
      <c r="M10" s="387"/>
      <c r="N10" s="389"/>
      <c r="O10" s="108">
        <v>-19762751.087706525</v>
      </c>
      <c r="P10" s="108">
        <v>63168588.452581286</v>
      </c>
      <c r="Q10" s="388">
        <v>2016093.3139364917</v>
      </c>
      <c r="R10" s="389"/>
      <c r="S10" s="20"/>
      <c r="T10" s="387"/>
      <c r="U10" s="390"/>
      <c r="V10" s="108"/>
      <c r="W10" s="391"/>
    </row>
    <row r="11" spans="2:23" s="50" customFormat="1" x14ac:dyDescent="0.2">
      <c r="B11" s="91"/>
      <c r="C11" s="392"/>
      <c r="F11" s="392"/>
      <c r="G11" s="130" t="s">
        <v>197</v>
      </c>
      <c r="H11" s="81">
        <f>ROUND(H10/E10, 5)</f>
        <v>-1.6999999999999999E-3</v>
      </c>
      <c r="I11" s="81">
        <f>ROUND(I10/E10, 5)</f>
        <v>4.8649999999999999E-2</v>
      </c>
      <c r="J11" s="393">
        <f>ROUND(J10/E10, 5)</f>
        <v>3.2599999999999999E-3</v>
      </c>
      <c r="K11" s="95"/>
      <c r="M11" s="392"/>
      <c r="N11" s="95"/>
      <c r="O11" s="81">
        <f>ROUND(O10/L10, 5)</f>
        <v>-3.09E-2</v>
      </c>
      <c r="P11" s="81">
        <f>ROUND(P10/L10, 5)</f>
        <v>9.8780000000000007E-2</v>
      </c>
      <c r="Q11" s="393">
        <f>ROUND(Q10/L10, 5)</f>
        <v>3.15E-3</v>
      </c>
      <c r="R11" s="95"/>
      <c r="T11" s="392"/>
      <c r="U11" s="95"/>
      <c r="V11" s="81"/>
      <c r="W11" s="394"/>
    </row>
    <row r="12" spans="2:23" s="50" customFormat="1" x14ac:dyDescent="0.2">
      <c r="B12" s="82"/>
      <c r="C12" s="395"/>
      <c r="D12" s="83"/>
      <c r="E12" s="396" t="s">
        <v>182</v>
      </c>
      <c r="F12" s="397">
        <f>F18+F26+F34</f>
        <v>381408517.88003999</v>
      </c>
      <c r="G12" s="84">
        <f>G18+G26+G34</f>
        <v>414358362.31292999</v>
      </c>
      <c r="H12" s="398"/>
      <c r="I12" s="398"/>
      <c r="J12" s="398"/>
      <c r="K12" s="129"/>
      <c r="L12" s="396" t="s">
        <v>182</v>
      </c>
      <c r="M12" s="397">
        <f>M18+M26+M34</f>
        <v>384032148.01235998</v>
      </c>
      <c r="N12" s="84">
        <f>N18+N26+N34</f>
        <v>417207632.91536999</v>
      </c>
      <c r="O12" s="398"/>
      <c r="P12" s="398"/>
      <c r="Q12" s="398"/>
      <c r="R12" s="129"/>
      <c r="S12" s="396"/>
      <c r="T12" s="397"/>
      <c r="U12" s="84"/>
      <c r="V12" s="398"/>
      <c r="W12" s="399"/>
    </row>
    <row r="13" spans="2:23" x14ac:dyDescent="0.2">
      <c r="B13" s="91"/>
      <c r="C13" s="392"/>
      <c r="D13" s="50"/>
      <c r="E13" s="50"/>
      <c r="F13" s="392"/>
      <c r="G13" s="95"/>
      <c r="H13" s="400"/>
      <c r="I13" s="400"/>
      <c r="J13" s="400"/>
      <c r="L13" s="50"/>
      <c r="M13" s="392"/>
      <c r="N13" s="95"/>
      <c r="O13" s="400"/>
      <c r="P13" s="400"/>
      <c r="Q13" s="400"/>
      <c r="S13" s="50"/>
      <c r="T13" s="392"/>
      <c r="U13" s="95"/>
      <c r="V13" s="400"/>
      <c r="W13" s="401"/>
    </row>
    <row r="14" spans="2:23" x14ac:dyDescent="0.2">
      <c r="B14" s="402" t="s">
        <v>115</v>
      </c>
      <c r="C14" s="403"/>
      <c r="D14" s="77"/>
      <c r="E14" s="77"/>
      <c r="F14" s="403"/>
      <c r="G14" s="108"/>
      <c r="H14" s="108"/>
      <c r="I14" s="108"/>
      <c r="J14" s="108"/>
      <c r="K14" s="108"/>
      <c r="L14" s="77"/>
      <c r="M14" s="403"/>
      <c r="N14" s="108"/>
      <c r="O14" s="108"/>
      <c r="P14" s="108"/>
      <c r="Q14" s="108"/>
      <c r="R14" s="108"/>
      <c r="S14" s="77"/>
      <c r="T14" s="403"/>
      <c r="U14" s="108"/>
      <c r="V14" s="108"/>
      <c r="W14" s="391"/>
    </row>
    <row r="15" spans="2:23" x14ac:dyDescent="0.2">
      <c r="B15" s="91"/>
      <c r="C15" s="392"/>
      <c r="D15" s="50"/>
      <c r="E15" s="50"/>
      <c r="F15" s="392"/>
      <c r="G15" s="88"/>
      <c r="H15" s="88"/>
      <c r="I15" s="88"/>
      <c r="J15" s="88"/>
      <c r="K15" s="88"/>
      <c r="L15" s="50"/>
      <c r="M15" s="392"/>
      <c r="N15" s="88"/>
      <c r="O15" s="88"/>
      <c r="P15" s="88"/>
      <c r="Q15" s="88"/>
      <c r="R15" s="88"/>
      <c r="S15" s="50"/>
      <c r="T15" s="392"/>
      <c r="U15" s="88"/>
      <c r="V15" s="88"/>
      <c r="W15" s="404"/>
    </row>
    <row r="16" spans="2:23" x14ac:dyDescent="0.2">
      <c r="B16" s="78" t="s">
        <v>84</v>
      </c>
      <c r="C16" s="405">
        <f>'Exh JDT-5 (JDT-RES_RD)'!$E$12</f>
        <v>11.52</v>
      </c>
      <c r="D16" s="95">
        <f>'Exh JDT-5 (JDT-RES_RD)'!$H$12</f>
        <v>12.5</v>
      </c>
      <c r="E16" s="44">
        <v>9926845</v>
      </c>
      <c r="F16" s="406">
        <f>SUM(+E16*C16)</f>
        <v>114357254.39999999</v>
      </c>
      <c r="G16" s="88">
        <f>SUM(+E16*D16)</f>
        <v>124085562.5</v>
      </c>
      <c r="H16" s="88"/>
      <c r="I16" s="88"/>
      <c r="J16" s="88"/>
      <c r="K16" s="88"/>
      <c r="L16" s="44">
        <v>10041842</v>
      </c>
      <c r="M16" s="406">
        <f>SUM(+L16*C16)</f>
        <v>115682019.83999999</v>
      </c>
      <c r="N16" s="88">
        <f>SUM(+L16*D16)</f>
        <v>125523025</v>
      </c>
      <c r="O16" s="88"/>
      <c r="P16" s="88"/>
      <c r="Q16" s="88"/>
      <c r="R16" s="88"/>
      <c r="S16" s="44"/>
      <c r="T16" s="406"/>
      <c r="U16" s="88"/>
      <c r="V16" s="88"/>
      <c r="W16" s="404"/>
    </row>
    <row r="17" spans="2:25" x14ac:dyDescent="0.2">
      <c r="B17" s="91" t="s">
        <v>86</v>
      </c>
      <c r="C17" s="407">
        <f>'Exh JDT-5 (JDT-RES_RD)'!$E$13</f>
        <v>0.41964000000000001</v>
      </c>
      <c r="D17" s="81">
        <f>'Exh JDT-5 (JDT-RES_RD)'!$H$13</f>
        <v>0.45612999999999998</v>
      </c>
      <c r="E17" s="44">
        <v>636369361</v>
      </c>
      <c r="F17" s="406">
        <f>SUM(+E17*C17)</f>
        <v>267046038.65004</v>
      </c>
      <c r="G17" s="88">
        <f>SUM(+E17*D17)</f>
        <v>290267156.63292998</v>
      </c>
      <c r="H17" s="88"/>
      <c r="I17" s="88"/>
      <c r="J17" s="88"/>
      <c r="K17" s="88"/>
      <c r="L17" s="44">
        <v>639464549</v>
      </c>
      <c r="M17" s="406">
        <f>SUM(+L17*C17)</f>
        <v>268344903.34236002</v>
      </c>
      <c r="N17" s="88">
        <f>SUM(+L17*D17)</f>
        <v>291678964.73536998</v>
      </c>
      <c r="O17" s="88"/>
      <c r="P17" s="88"/>
      <c r="Q17" s="88"/>
      <c r="R17" s="88"/>
      <c r="S17" s="44"/>
      <c r="T17" s="406"/>
      <c r="U17" s="88"/>
      <c r="V17" s="88"/>
      <c r="W17" s="404"/>
    </row>
    <row r="18" spans="2:25" x14ac:dyDescent="0.2">
      <c r="B18" s="97" t="s">
        <v>198</v>
      </c>
      <c r="C18" s="392"/>
      <c r="D18" s="50"/>
      <c r="E18" s="44"/>
      <c r="F18" s="408">
        <f>SUM(F16:F17)</f>
        <v>381403293.05004001</v>
      </c>
      <c r="G18" s="108">
        <f>SUM(G16:G17)</f>
        <v>414352719.13292998</v>
      </c>
      <c r="K18" s="88"/>
      <c r="L18" s="44"/>
      <c r="M18" s="408">
        <f>SUM(M16:M17)</f>
        <v>384026923.18235999</v>
      </c>
      <c r="N18" s="108">
        <f>SUM(N16:N17)</f>
        <v>417201989.73536998</v>
      </c>
      <c r="R18" s="88"/>
      <c r="S18" s="44"/>
      <c r="T18" s="408"/>
      <c r="U18" s="108"/>
      <c r="W18" s="404"/>
      <c r="Y18" s="87"/>
    </row>
    <row r="19" spans="2:25" x14ac:dyDescent="0.2">
      <c r="B19" s="91" t="s">
        <v>199</v>
      </c>
      <c r="C19" s="392"/>
      <c r="D19" s="50"/>
      <c r="E19" s="50"/>
      <c r="F19" s="392"/>
      <c r="G19" s="88"/>
      <c r="H19" s="84">
        <f>H11*E17</f>
        <v>-1081827.9136999999</v>
      </c>
      <c r="I19" s="87">
        <f>I11*E17</f>
        <v>30959369.41265</v>
      </c>
      <c r="J19" s="409">
        <f>J11*E17</f>
        <v>2074564.11686</v>
      </c>
      <c r="K19" s="88"/>
      <c r="L19" s="50"/>
      <c r="M19" s="392"/>
      <c r="N19" s="88"/>
      <c r="O19" s="84">
        <f>O11*L17</f>
        <v>-19759454.564100001</v>
      </c>
      <c r="P19" s="87">
        <f>P11*L17</f>
        <v>63166308.150220007</v>
      </c>
      <c r="Q19" s="409">
        <f>Q11*L17</f>
        <v>2014313.32935</v>
      </c>
      <c r="R19" s="88"/>
      <c r="S19" s="50"/>
      <c r="T19" s="392"/>
      <c r="U19" s="88"/>
      <c r="V19" s="84"/>
      <c r="W19" s="404"/>
    </row>
    <row r="20" spans="2:25" x14ac:dyDescent="0.2">
      <c r="B20" s="97" t="str">
        <f>"Total "&amp;B14</f>
        <v>Total Schedule 23</v>
      </c>
      <c r="C20" s="392"/>
      <c r="D20" s="50"/>
      <c r="E20" s="50"/>
      <c r="F20" s="392"/>
      <c r="G20" s="47"/>
      <c r="H20" s="88"/>
      <c r="I20" s="410">
        <f>G18+H19+I19</f>
        <v>444230260.63187999</v>
      </c>
      <c r="J20" s="98"/>
      <c r="K20" s="88"/>
      <c r="L20" s="50"/>
      <c r="M20" s="392"/>
      <c r="N20" s="88"/>
      <c r="O20" s="88"/>
      <c r="P20" s="410">
        <f>N18+O19+P19</f>
        <v>460608843.32148993</v>
      </c>
      <c r="Q20" s="98"/>
      <c r="R20" s="88"/>
      <c r="S20" s="50"/>
      <c r="T20" s="392"/>
      <c r="U20" s="88"/>
      <c r="V20" s="88"/>
      <c r="W20" s="411"/>
    </row>
    <row r="21" spans="2:25" x14ac:dyDescent="0.2">
      <c r="B21" s="82"/>
      <c r="C21" s="412"/>
      <c r="D21" s="413"/>
      <c r="E21" s="83"/>
      <c r="F21" s="395"/>
      <c r="G21" s="84"/>
      <c r="H21" s="84"/>
      <c r="I21" s="84"/>
      <c r="J21" s="84"/>
      <c r="K21" s="84"/>
      <c r="L21" s="83"/>
      <c r="M21" s="395"/>
      <c r="N21" s="84"/>
      <c r="O21" s="84"/>
      <c r="P21" s="84"/>
      <c r="Q21" s="84"/>
      <c r="R21" s="84"/>
      <c r="S21" s="83"/>
      <c r="T21" s="395"/>
      <c r="U21" s="84"/>
      <c r="V21" s="84"/>
      <c r="W21" s="414"/>
    </row>
    <row r="22" spans="2:25" x14ac:dyDescent="0.2">
      <c r="B22" s="90" t="s">
        <v>118</v>
      </c>
      <c r="C22" s="415"/>
      <c r="D22" s="177"/>
      <c r="E22" s="177"/>
      <c r="F22" s="416"/>
      <c r="G22" s="177"/>
      <c r="H22" s="177"/>
      <c r="I22" s="177"/>
      <c r="J22" s="177"/>
      <c r="K22" s="177"/>
      <c r="L22" s="177"/>
      <c r="M22" s="416"/>
      <c r="N22" s="177"/>
      <c r="O22" s="177"/>
      <c r="P22" s="177"/>
      <c r="Q22" s="177"/>
      <c r="R22" s="177"/>
      <c r="S22" s="177"/>
      <c r="T22" s="416"/>
      <c r="U22" s="177"/>
      <c r="V22" s="177"/>
      <c r="W22" s="417"/>
    </row>
    <row r="23" spans="2:25" x14ac:dyDescent="0.2">
      <c r="B23" s="91"/>
      <c r="C23" s="392"/>
      <c r="D23" s="50"/>
      <c r="E23" s="50"/>
      <c r="F23" s="392"/>
      <c r="G23" s="88"/>
      <c r="H23" s="88"/>
      <c r="I23" s="88"/>
      <c r="J23" s="88"/>
      <c r="K23" s="88"/>
      <c r="L23" s="50"/>
      <c r="M23" s="392"/>
      <c r="N23" s="88"/>
      <c r="O23" s="88"/>
      <c r="P23" s="88"/>
      <c r="Q23" s="88"/>
      <c r="R23" s="88"/>
      <c r="S23" s="50"/>
      <c r="T23" s="392"/>
      <c r="U23" s="88"/>
      <c r="V23" s="88"/>
      <c r="W23" s="404"/>
    </row>
    <row r="24" spans="2:25" x14ac:dyDescent="0.2">
      <c r="B24" s="78" t="s">
        <v>84</v>
      </c>
      <c r="C24" s="405">
        <f>'Exh JDT-5 (JDT-RES_RD)'!E20</f>
        <v>11.52</v>
      </c>
      <c r="D24" s="95">
        <f>D16</f>
        <v>12.5</v>
      </c>
      <c r="E24" s="44">
        <v>0</v>
      </c>
      <c r="F24" s="406">
        <f>SUM(+E24*C24)</f>
        <v>0</v>
      </c>
      <c r="G24" s="88">
        <f>SUM(+E24*D24)</f>
        <v>0</v>
      </c>
      <c r="H24" s="88"/>
      <c r="I24" s="88"/>
      <c r="J24" s="88"/>
      <c r="K24" s="88"/>
      <c r="L24" s="44">
        <v>0</v>
      </c>
      <c r="M24" s="406">
        <f>SUM(+L24*C24)</f>
        <v>0</v>
      </c>
      <c r="N24" s="88">
        <f>SUM(+L24*D24)</f>
        <v>0</v>
      </c>
      <c r="O24" s="88"/>
      <c r="P24" s="88"/>
      <c r="Q24" s="88"/>
      <c r="R24" s="88"/>
      <c r="S24" s="44"/>
      <c r="T24" s="406"/>
      <c r="U24" s="88"/>
      <c r="V24" s="88"/>
      <c r="W24" s="404"/>
    </row>
    <row r="25" spans="2:25" x14ac:dyDescent="0.2">
      <c r="B25" s="91" t="s">
        <v>86</v>
      </c>
      <c r="C25" s="407">
        <f>'Exh JDT-5 (JDT-RES_RD)'!E21</f>
        <v>0.41964000000000001</v>
      </c>
      <c r="D25" s="81">
        <f>D17</f>
        <v>0.45612999999999998</v>
      </c>
      <c r="E25" s="44">
        <v>0</v>
      </c>
      <c r="F25" s="406">
        <f>SUM(+E25*C25)</f>
        <v>0</v>
      </c>
      <c r="G25" s="88">
        <f>SUM(+E25*D25)</f>
        <v>0</v>
      </c>
      <c r="H25" s="88"/>
      <c r="I25" s="88"/>
      <c r="J25" s="88"/>
      <c r="K25" s="88"/>
      <c r="L25" s="44">
        <v>0</v>
      </c>
      <c r="M25" s="406">
        <f>SUM(+L25*C25)</f>
        <v>0</v>
      </c>
      <c r="N25" s="88">
        <f>SUM(+L25*D25)</f>
        <v>0</v>
      </c>
      <c r="O25" s="88"/>
      <c r="P25" s="88"/>
      <c r="Q25" s="88"/>
      <c r="R25" s="88"/>
      <c r="S25" s="44"/>
      <c r="T25" s="406"/>
      <c r="U25" s="88"/>
      <c r="V25" s="88"/>
      <c r="W25" s="404"/>
    </row>
    <row r="26" spans="2:25" x14ac:dyDescent="0.2">
      <c r="B26" s="97" t="s">
        <v>198</v>
      </c>
      <c r="C26" s="418"/>
      <c r="D26" s="50"/>
      <c r="E26" s="50"/>
      <c r="F26" s="408">
        <f>SUM(F24:F25)</f>
        <v>0</v>
      </c>
      <c r="G26" s="108">
        <f>SUM(G24:G25)</f>
        <v>0</v>
      </c>
      <c r="H26" s="88"/>
      <c r="I26" s="88"/>
      <c r="J26" s="88"/>
      <c r="K26" s="88"/>
      <c r="L26" s="50"/>
      <c r="M26" s="408">
        <f>SUM(M24:M25)</f>
        <v>0</v>
      </c>
      <c r="N26" s="108">
        <f>SUM(N24:N25)</f>
        <v>0</v>
      </c>
      <c r="O26" s="88"/>
      <c r="P26" s="88"/>
      <c r="Q26" s="88"/>
      <c r="R26" s="88"/>
      <c r="S26" s="50"/>
      <c r="T26" s="408"/>
      <c r="U26" s="108"/>
      <c r="V26" s="88"/>
      <c r="W26" s="404"/>
    </row>
    <row r="27" spans="2:25" x14ac:dyDescent="0.2">
      <c r="B27" s="91" t="s">
        <v>199</v>
      </c>
      <c r="C27" s="392"/>
      <c r="D27" s="50"/>
      <c r="E27" s="50"/>
      <c r="F27" s="392"/>
      <c r="G27" s="88"/>
      <c r="H27" s="84">
        <f>H$11*E25</f>
        <v>0</v>
      </c>
      <c r="I27" s="87">
        <f>I$11*E25</f>
        <v>0</v>
      </c>
      <c r="J27" s="419">
        <f>J$11*E25</f>
        <v>0</v>
      </c>
      <c r="K27" s="88"/>
      <c r="L27" s="50"/>
      <c r="M27" s="392"/>
      <c r="N27" s="88"/>
      <c r="O27" s="84">
        <f>O$11*L25</f>
        <v>0</v>
      </c>
      <c r="P27" s="87">
        <f>P$11*L25</f>
        <v>0</v>
      </c>
      <c r="Q27" s="419">
        <f>Q$11*L25</f>
        <v>0</v>
      </c>
      <c r="R27" s="88"/>
      <c r="S27" s="50"/>
      <c r="T27" s="392"/>
      <c r="U27" s="88"/>
      <c r="V27" s="84"/>
      <c r="W27" s="404"/>
    </row>
    <row r="28" spans="2:25" x14ac:dyDescent="0.2">
      <c r="B28" s="97" t="str">
        <f>"Total "&amp;B22</f>
        <v>Total Schedule 53</v>
      </c>
      <c r="C28" s="418"/>
      <c r="D28" s="50"/>
      <c r="E28" s="50"/>
      <c r="F28" s="392"/>
      <c r="G28" s="88"/>
      <c r="H28" s="88"/>
      <c r="I28" s="410">
        <f>G26+H27+I27</f>
        <v>0</v>
      </c>
      <c r="J28" s="98"/>
      <c r="K28" s="88"/>
      <c r="L28" s="50"/>
      <c r="M28" s="392"/>
      <c r="N28" s="88"/>
      <c r="O28" s="88"/>
      <c r="P28" s="410">
        <f>N26+O27+P27</f>
        <v>0</v>
      </c>
      <c r="Q28" s="98"/>
      <c r="R28" s="88"/>
      <c r="S28" s="50"/>
      <c r="T28" s="392"/>
      <c r="U28" s="88"/>
      <c r="V28" s="88"/>
      <c r="W28" s="411"/>
    </row>
    <row r="29" spans="2:25" x14ac:dyDescent="0.2">
      <c r="B29" s="82"/>
      <c r="C29" s="395"/>
      <c r="D29" s="83"/>
      <c r="E29" s="83"/>
      <c r="F29" s="395"/>
      <c r="G29" s="84"/>
      <c r="H29" s="84"/>
      <c r="I29" s="84"/>
      <c r="J29" s="84"/>
      <c r="K29" s="84"/>
      <c r="L29" s="83"/>
      <c r="M29" s="395"/>
      <c r="N29" s="84"/>
      <c r="O29" s="84"/>
      <c r="P29" s="84"/>
      <c r="Q29" s="84"/>
      <c r="R29" s="84"/>
      <c r="S29" s="83"/>
      <c r="T29" s="395"/>
      <c r="U29" s="84"/>
      <c r="V29" s="84"/>
      <c r="W29" s="414"/>
    </row>
    <row r="30" spans="2:25" x14ac:dyDescent="0.2">
      <c r="B30" s="90" t="s">
        <v>120</v>
      </c>
      <c r="C30" s="415"/>
      <c r="D30" s="177"/>
      <c r="E30" s="177"/>
      <c r="F30" s="416"/>
      <c r="G30" s="177"/>
      <c r="H30" s="177"/>
      <c r="I30" s="177"/>
      <c r="J30" s="177"/>
      <c r="K30" s="177"/>
      <c r="L30" s="177"/>
      <c r="M30" s="416"/>
      <c r="N30" s="177"/>
      <c r="O30" s="177"/>
      <c r="P30" s="177"/>
      <c r="Q30" s="177"/>
      <c r="R30" s="177"/>
      <c r="S30" s="177"/>
      <c r="T30" s="416"/>
      <c r="U30" s="177"/>
      <c r="V30" s="177"/>
      <c r="W30" s="417"/>
    </row>
    <row r="31" spans="2:25" x14ac:dyDescent="0.2">
      <c r="B31" s="97"/>
      <c r="C31" s="418"/>
      <c r="D31" s="50"/>
      <c r="E31" s="50"/>
      <c r="F31" s="392"/>
      <c r="G31" s="88"/>
      <c r="H31" s="88"/>
      <c r="I31" s="88"/>
      <c r="J31" s="88"/>
      <c r="K31" s="88"/>
      <c r="L31" s="50"/>
      <c r="M31" s="392"/>
      <c r="N31" s="88"/>
      <c r="O31" s="88"/>
      <c r="P31" s="88"/>
      <c r="Q31" s="88"/>
      <c r="R31" s="88"/>
      <c r="S31" s="50"/>
      <c r="T31" s="392"/>
      <c r="U31" s="88"/>
      <c r="V31" s="88"/>
      <c r="W31" s="404"/>
    </row>
    <row r="32" spans="2:25" x14ac:dyDescent="0.2">
      <c r="B32" s="91" t="s">
        <v>121</v>
      </c>
      <c r="C32" s="405">
        <f>'Exh JDT-5 (JDT-RES_RD)'!E28</f>
        <v>11.24</v>
      </c>
      <c r="D32" s="95">
        <f>'Exh JDT-5 (JDT-RES_RD)'!$H$28</f>
        <v>12.14</v>
      </c>
      <c r="E32" s="44">
        <v>464.84210526315798</v>
      </c>
      <c r="F32" s="406">
        <f>ROUND(E32*C32,2)</f>
        <v>5224.83</v>
      </c>
      <c r="G32" s="88">
        <f>ROUND(E32*D32,2)</f>
        <v>5643.18</v>
      </c>
      <c r="H32" s="88"/>
      <c r="I32" s="88"/>
      <c r="J32" s="88"/>
      <c r="K32" s="88"/>
      <c r="L32" s="44">
        <v>464.84210526315798</v>
      </c>
      <c r="M32" s="406">
        <f>ROUND(L32*C32,2)</f>
        <v>5224.83</v>
      </c>
      <c r="N32" s="88">
        <f>ROUND(L32*D32,2)</f>
        <v>5643.18</v>
      </c>
      <c r="O32" s="88"/>
      <c r="P32" s="88"/>
      <c r="Q32" s="88"/>
      <c r="R32" s="88"/>
      <c r="S32" s="44"/>
      <c r="T32" s="406"/>
      <c r="U32" s="88"/>
      <c r="V32" s="88"/>
      <c r="W32" s="404"/>
    </row>
    <row r="33" spans="2:23" x14ac:dyDescent="0.2">
      <c r="B33" s="78" t="s">
        <v>122</v>
      </c>
      <c r="C33" s="420"/>
      <c r="D33" s="50"/>
      <c r="E33" s="44">
        <v>8832</v>
      </c>
      <c r="F33" s="421"/>
      <c r="G33" s="88"/>
      <c r="H33" s="88"/>
      <c r="I33" s="88"/>
      <c r="J33" s="88"/>
      <c r="K33" s="88"/>
      <c r="L33" s="44">
        <v>8832</v>
      </c>
      <c r="M33" s="421"/>
      <c r="N33" s="88"/>
      <c r="O33" s="88"/>
      <c r="P33" s="88"/>
      <c r="Q33" s="88"/>
      <c r="R33" s="88"/>
      <c r="S33" s="44"/>
      <c r="T33" s="421"/>
      <c r="U33" s="88"/>
      <c r="V33" s="88"/>
      <c r="W33" s="404"/>
    </row>
    <row r="34" spans="2:23" x14ac:dyDescent="0.2">
      <c r="B34" s="97" t="s">
        <v>198</v>
      </c>
      <c r="C34" s="418"/>
      <c r="D34" s="50"/>
      <c r="E34" s="50"/>
      <c r="F34" s="408">
        <f>SUM(F32:F33)</f>
        <v>5224.83</v>
      </c>
      <c r="G34" s="108">
        <f>SUM(G32:G33)</f>
        <v>5643.18</v>
      </c>
      <c r="H34" s="88"/>
      <c r="I34" s="88"/>
      <c r="J34" s="88"/>
      <c r="K34" s="88"/>
      <c r="L34" s="50"/>
      <c r="M34" s="408">
        <f>SUM(M32:M33)</f>
        <v>5224.83</v>
      </c>
      <c r="N34" s="108">
        <f>SUM(N32:N33)</f>
        <v>5643.18</v>
      </c>
      <c r="O34" s="88"/>
      <c r="P34" s="88"/>
      <c r="Q34" s="88"/>
      <c r="R34" s="88"/>
      <c r="S34" s="50"/>
      <c r="T34" s="408"/>
      <c r="U34" s="108"/>
      <c r="V34" s="88"/>
      <c r="W34" s="404"/>
    </row>
    <row r="35" spans="2:23" x14ac:dyDescent="0.2">
      <c r="B35" s="91" t="s">
        <v>199</v>
      </c>
      <c r="C35" s="392"/>
      <c r="D35" s="50"/>
      <c r="E35" s="50"/>
      <c r="F35" s="392"/>
      <c r="G35" s="88"/>
      <c r="H35" s="84">
        <f>H$11*E33</f>
        <v>-15.014399999999998</v>
      </c>
      <c r="I35" s="87">
        <f>I$11*E33</f>
        <v>429.67680000000001</v>
      </c>
      <c r="J35" s="409">
        <f>J$11*E33</f>
        <v>28.79232</v>
      </c>
      <c r="K35" s="88"/>
      <c r="L35" s="50"/>
      <c r="M35" s="392"/>
      <c r="N35" s="88"/>
      <c r="O35" s="84">
        <f>O$11*L33</f>
        <v>-272.90879999999999</v>
      </c>
      <c r="P35" s="87">
        <f>P$11*L33</f>
        <v>872.42496000000006</v>
      </c>
      <c r="Q35" s="409">
        <f>Q$11*L33</f>
        <v>27.820799999999998</v>
      </c>
      <c r="R35" s="88"/>
      <c r="S35" s="50"/>
      <c r="T35" s="392"/>
      <c r="U35" s="88"/>
      <c r="V35" s="84"/>
      <c r="W35" s="404"/>
    </row>
    <row r="36" spans="2:23" x14ac:dyDescent="0.2">
      <c r="B36" s="97" t="str">
        <f>"Total "&amp;B30</f>
        <v>Total Schedule 16</v>
      </c>
      <c r="C36" s="418"/>
      <c r="D36" s="50"/>
      <c r="E36" s="50"/>
      <c r="F36" s="392"/>
      <c r="G36" s="88"/>
      <c r="H36" s="88"/>
      <c r="I36" s="410">
        <f>G34+H35+I35</f>
        <v>6057.8424000000005</v>
      </c>
      <c r="J36" s="98"/>
      <c r="K36" s="88"/>
      <c r="L36" s="50"/>
      <c r="M36" s="392"/>
      <c r="N36" s="88"/>
      <c r="O36" s="88"/>
      <c r="P36" s="410">
        <f>N34+O35+P35</f>
        <v>6242.6961600000004</v>
      </c>
      <c r="Q36" s="98"/>
      <c r="R36" s="88"/>
      <c r="S36" s="50"/>
      <c r="T36" s="392"/>
      <c r="U36" s="88"/>
      <c r="V36" s="88"/>
      <c r="W36" s="411"/>
    </row>
    <row r="37" spans="2:23" x14ac:dyDescent="0.2">
      <c r="B37" s="198"/>
      <c r="C37" s="422"/>
      <c r="D37" s="83"/>
      <c r="E37" s="83"/>
      <c r="F37" s="395"/>
      <c r="G37" s="129"/>
      <c r="H37" s="129"/>
      <c r="I37" s="129"/>
      <c r="J37" s="129"/>
      <c r="K37" s="129"/>
      <c r="L37" s="83"/>
      <c r="M37" s="395"/>
      <c r="N37" s="129"/>
      <c r="O37" s="129"/>
      <c r="P37" s="129"/>
      <c r="Q37" s="129"/>
      <c r="R37" s="129"/>
      <c r="S37" s="83"/>
      <c r="T37" s="395"/>
      <c r="U37" s="129"/>
      <c r="V37" s="129"/>
      <c r="W37" s="399"/>
    </row>
    <row r="38" spans="2:23" x14ac:dyDescent="0.2">
      <c r="B38" s="47"/>
      <c r="C38" s="366"/>
      <c r="G38" s="47"/>
      <c r="H38" s="47"/>
      <c r="I38" s="47"/>
      <c r="J38" s="47"/>
      <c r="K38" s="47"/>
      <c r="N38" s="47"/>
      <c r="O38" s="47"/>
      <c r="P38" s="47"/>
      <c r="Q38" s="47"/>
      <c r="R38" s="47"/>
      <c r="U38" s="47"/>
      <c r="V38" s="47"/>
      <c r="W38" s="47"/>
    </row>
    <row r="39" spans="2:23" x14ac:dyDescent="0.2">
      <c r="B39" s="385" t="s">
        <v>200</v>
      </c>
      <c r="C39" s="386"/>
      <c r="D39" s="77"/>
      <c r="E39" s="20">
        <f>E47+E55</f>
        <v>243226645</v>
      </c>
      <c r="F39" s="387"/>
      <c r="G39" s="108"/>
      <c r="H39" s="108">
        <v>-380730.32599845406</v>
      </c>
      <c r="I39" s="108">
        <v>10923041.291470494</v>
      </c>
      <c r="J39" s="388">
        <v>730982.95631700102</v>
      </c>
      <c r="K39" s="389"/>
      <c r="L39" s="20">
        <f>L47+L55</f>
        <v>245970110</v>
      </c>
      <c r="M39" s="387"/>
      <c r="N39" s="389"/>
      <c r="O39" s="108">
        <v>-6972191.3922317354</v>
      </c>
      <c r="P39" s="108">
        <v>22285535.38492335</v>
      </c>
      <c r="Q39" s="388">
        <v>710343.28746178711</v>
      </c>
      <c r="R39" s="389"/>
      <c r="S39" s="20"/>
      <c r="T39" s="387"/>
      <c r="U39" s="390"/>
      <c r="V39" s="108"/>
      <c r="W39" s="391"/>
    </row>
    <row r="40" spans="2:23" x14ac:dyDescent="0.2">
      <c r="B40" s="91"/>
      <c r="C40" s="392"/>
      <c r="D40" s="50"/>
      <c r="E40" s="50"/>
      <c r="F40" s="392"/>
      <c r="G40" s="130" t="s">
        <v>197</v>
      </c>
      <c r="H40" s="81">
        <f>ROUND(H39/E39, 5)</f>
        <v>-1.57E-3</v>
      </c>
      <c r="I40" s="81">
        <f>ROUND(I39/E39, 5)</f>
        <v>4.4909999999999999E-2</v>
      </c>
      <c r="J40" s="393">
        <f>ROUND(J39/E47, 5)</f>
        <v>3.0100000000000001E-3</v>
      </c>
      <c r="L40" s="50"/>
      <c r="M40" s="392"/>
      <c r="N40" s="95"/>
      <c r="O40" s="81">
        <f>ROUND(O39/L39, 5)</f>
        <v>-2.835E-2</v>
      </c>
      <c r="P40" s="81">
        <f>ROUND(P39/L39, 5)</f>
        <v>9.06E-2</v>
      </c>
      <c r="Q40" s="393">
        <f>ROUND(Q39/L47, 5)</f>
        <v>2.8900000000000002E-3</v>
      </c>
      <c r="S40" s="50"/>
      <c r="T40" s="392"/>
      <c r="U40" s="95"/>
      <c r="V40" s="81"/>
      <c r="W40" s="394"/>
    </row>
    <row r="41" spans="2:23" x14ac:dyDescent="0.2">
      <c r="B41" s="82"/>
      <c r="C41" s="395"/>
      <c r="D41" s="83"/>
      <c r="E41" s="396" t="s">
        <v>182</v>
      </c>
      <c r="F41" s="397">
        <f>F48+F58</f>
        <v>119685870.05628002</v>
      </c>
      <c r="G41" s="84">
        <f>G48+G58</f>
        <v>131574707.34621</v>
      </c>
      <c r="H41" s="398"/>
      <c r="I41" s="398"/>
      <c r="J41" s="398"/>
      <c r="K41" s="129"/>
      <c r="L41" s="396" t="s">
        <v>182</v>
      </c>
      <c r="M41" s="397">
        <f>M48+M58</f>
        <v>120892478.12313001</v>
      </c>
      <c r="N41" s="84">
        <f>N48+N58</f>
        <v>132894031.59946001</v>
      </c>
      <c r="O41" s="398"/>
      <c r="P41" s="398"/>
      <c r="Q41" s="398"/>
      <c r="R41" s="129"/>
      <c r="S41" s="396"/>
      <c r="T41" s="397"/>
      <c r="U41" s="84"/>
      <c r="V41" s="398"/>
      <c r="W41" s="414"/>
    </row>
    <row r="42" spans="2:23" x14ac:dyDescent="0.2">
      <c r="B42" s="423"/>
      <c r="C42" s="424"/>
      <c r="D42" s="425"/>
      <c r="E42" s="177"/>
      <c r="F42" s="416"/>
      <c r="G42" s="177"/>
      <c r="H42" s="177"/>
      <c r="I42" s="177"/>
      <c r="J42" s="177"/>
      <c r="K42" s="177"/>
      <c r="L42" s="177"/>
      <c r="M42" s="416"/>
      <c r="N42" s="177"/>
      <c r="O42" s="177"/>
      <c r="P42" s="177"/>
      <c r="Q42" s="177"/>
      <c r="R42" s="177"/>
      <c r="S42" s="177"/>
      <c r="T42" s="416"/>
      <c r="U42" s="177"/>
      <c r="V42" s="177"/>
      <c r="W42" s="417"/>
    </row>
    <row r="43" spans="2:23" x14ac:dyDescent="0.2">
      <c r="B43" s="90" t="s">
        <v>126</v>
      </c>
      <c r="C43" s="415"/>
      <c r="D43" s="177"/>
      <c r="E43" s="177"/>
      <c r="F43" s="416"/>
      <c r="G43" s="177"/>
      <c r="H43" s="177"/>
      <c r="I43" s="177"/>
      <c r="J43" s="177"/>
      <c r="K43" s="177"/>
      <c r="L43" s="177"/>
      <c r="M43" s="416"/>
      <c r="N43" s="177"/>
      <c r="O43" s="177"/>
      <c r="P43" s="177"/>
      <c r="Q43" s="177"/>
      <c r="R43" s="177"/>
      <c r="S43" s="177"/>
      <c r="T43" s="416"/>
      <c r="U43" s="177"/>
      <c r="V43" s="177"/>
      <c r="W43" s="417"/>
    </row>
    <row r="44" spans="2:23" x14ac:dyDescent="0.2">
      <c r="B44" s="91"/>
      <c r="C44" s="392"/>
      <c r="D44" s="50"/>
      <c r="E44" s="50"/>
      <c r="F44" s="392"/>
      <c r="G44" s="50"/>
      <c r="H44" s="50"/>
      <c r="I44" s="50"/>
      <c r="J44" s="50"/>
      <c r="K44" s="50"/>
      <c r="L44" s="50"/>
      <c r="M44" s="392"/>
      <c r="N44" s="50"/>
      <c r="O44" s="50"/>
      <c r="P44" s="50"/>
      <c r="Q44" s="50"/>
      <c r="R44" s="50"/>
      <c r="S44" s="50"/>
      <c r="T44" s="392"/>
      <c r="U44" s="50"/>
      <c r="V44" s="50"/>
      <c r="W44" s="426"/>
    </row>
    <row r="45" spans="2:23" x14ac:dyDescent="0.2">
      <c r="B45" s="78" t="s">
        <v>84</v>
      </c>
      <c r="C45" s="405">
        <f>'Exh JDT-5 (JDT-C&amp;I-RD)'!E12</f>
        <v>33.840000000000003</v>
      </c>
      <c r="D45" s="95">
        <f>'Exh JDT-5 (JDT-C&amp;I-RD)'!$H$12</f>
        <v>38.89</v>
      </c>
      <c r="E45" s="44">
        <v>709925</v>
      </c>
      <c r="F45" s="406">
        <f>SUM(+E45*C45)</f>
        <v>24023862.000000004</v>
      </c>
      <c r="G45" s="88">
        <f>SUM(+E45*D45)</f>
        <v>27608983.25</v>
      </c>
      <c r="H45" s="88"/>
      <c r="I45" s="88"/>
      <c r="J45" s="88"/>
      <c r="K45" s="50"/>
      <c r="L45" s="44">
        <v>713698</v>
      </c>
      <c r="M45" s="406">
        <f>SUM(+L45*C45)</f>
        <v>24151540.320000004</v>
      </c>
      <c r="N45" s="88">
        <f>SUM(+L45*D45)</f>
        <v>27755715.219999999</v>
      </c>
      <c r="O45" s="88"/>
      <c r="P45" s="88"/>
      <c r="Q45" s="88"/>
      <c r="R45" s="88"/>
      <c r="S45" s="44"/>
      <c r="T45" s="406"/>
      <c r="U45" s="88"/>
      <c r="V45" s="88"/>
      <c r="W45" s="404"/>
    </row>
    <row r="46" spans="2:23" x14ac:dyDescent="0.2">
      <c r="B46" s="91" t="s">
        <v>86</v>
      </c>
      <c r="C46" s="407">
        <f>'Exh JDT-5 (JDT-C&amp;I-RD)'!E13</f>
        <v>0.37956000000000001</v>
      </c>
      <c r="D46" s="81">
        <f>'Exh JDT-5 (JDT-C&amp;I-RD)'!$H$13</f>
        <v>0.41249000000000002</v>
      </c>
      <c r="E46" s="44">
        <v>243192248</v>
      </c>
      <c r="F46" s="406">
        <f t="shared" ref="F46:F47" si="0">SUM(+E46*C46)</f>
        <v>92306049.650880009</v>
      </c>
      <c r="G46" s="88">
        <f>SUM(+E46*D46)</f>
        <v>100314370.37752001</v>
      </c>
      <c r="H46" s="88"/>
      <c r="I46" s="88"/>
      <c r="J46" s="88"/>
      <c r="K46" s="50"/>
      <c r="L46" s="44">
        <v>245936243</v>
      </c>
      <c r="M46" s="406">
        <f t="shared" ref="M46:M47" si="1">SUM(+L46*C46)</f>
        <v>93347560.393079996</v>
      </c>
      <c r="N46" s="88">
        <f>SUM(+L46*D46)</f>
        <v>101446240.87507001</v>
      </c>
      <c r="O46" s="88"/>
      <c r="P46" s="88"/>
      <c r="Q46" s="88"/>
      <c r="R46" s="88"/>
      <c r="S46" s="44"/>
      <c r="T46" s="406"/>
      <c r="U46" s="88"/>
      <c r="V46" s="88"/>
      <c r="W46" s="404"/>
    </row>
    <row r="47" spans="2:23" x14ac:dyDescent="0.2">
      <c r="B47" s="91" t="s">
        <v>89</v>
      </c>
      <c r="C47" s="407">
        <f>'Exh JDT-5 (JDT-C&amp;I-RD)'!E14</f>
        <v>1.371E-2</v>
      </c>
      <c r="D47" s="81">
        <f>'Exh JDT-5 (JDT-C&amp;I-RD)'!$H$14</f>
        <v>1.4919999999999999E-2</v>
      </c>
      <c r="E47" s="44">
        <f>E46</f>
        <v>243192248</v>
      </c>
      <c r="F47" s="397">
        <f t="shared" si="0"/>
        <v>3334165.7200799999</v>
      </c>
      <c r="G47" s="84">
        <f>SUM(+E47*D47)</f>
        <v>3628428.3401599997</v>
      </c>
      <c r="H47" s="47"/>
      <c r="I47" s="88"/>
      <c r="J47" s="88"/>
      <c r="K47" s="50"/>
      <c r="L47" s="44">
        <f>L46</f>
        <v>245936243</v>
      </c>
      <c r="M47" s="406">
        <f t="shared" si="1"/>
        <v>3371785.8915300001</v>
      </c>
      <c r="N47" s="84">
        <f>SUM(+L47*D47)</f>
        <v>3669368.7455599997</v>
      </c>
      <c r="O47" s="88"/>
      <c r="P47" s="88"/>
      <c r="Q47" s="88"/>
      <c r="R47" s="88"/>
      <c r="S47" s="44"/>
      <c r="T47" s="397"/>
      <c r="U47" s="84"/>
      <c r="V47" s="88"/>
      <c r="W47" s="404"/>
    </row>
    <row r="48" spans="2:23" x14ac:dyDescent="0.2">
      <c r="B48" s="97" t="s">
        <v>198</v>
      </c>
      <c r="C48" s="418"/>
      <c r="D48" s="50"/>
      <c r="E48" s="50"/>
      <c r="F48" s="406">
        <f>SUM(F45:F47)</f>
        <v>119664077.37096001</v>
      </c>
      <c r="G48" s="88">
        <f>SUM(G45:G47)</f>
        <v>131551781.96768001</v>
      </c>
      <c r="H48" s="88"/>
      <c r="I48" s="88"/>
      <c r="J48" s="88"/>
      <c r="K48" s="50"/>
      <c r="L48" s="50"/>
      <c r="M48" s="408">
        <f>SUM(M45:M47)</f>
        <v>120870886.60461001</v>
      </c>
      <c r="N48" s="108">
        <f>SUM(N45:N47)</f>
        <v>132871324.84063001</v>
      </c>
      <c r="O48" s="88"/>
      <c r="P48" s="88"/>
      <c r="Q48" s="88"/>
      <c r="R48" s="88"/>
      <c r="S48" s="50"/>
      <c r="T48" s="408"/>
      <c r="U48" s="108"/>
      <c r="V48" s="88"/>
      <c r="W48" s="404"/>
    </row>
    <row r="49" spans="2:23" x14ac:dyDescent="0.2">
      <c r="B49" s="91" t="s">
        <v>199</v>
      </c>
      <c r="C49" s="392"/>
      <c r="D49" s="50"/>
      <c r="E49" s="50"/>
      <c r="F49" s="392"/>
      <c r="G49" s="88"/>
      <c r="H49" s="84">
        <f>H$40*E47</f>
        <v>-381811.82935999997</v>
      </c>
      <c r="I49" s="84">
        <f>I$40*E47</f>
        <v>10921763.85768</v>
      </c>
      <c r="J49" s="409">
        <f>J$40*E47</f>
        <v>732008.66648000001</v>
      </c>
      <c r="K49" s="50"/>
      <c r="L49" s="50"/>
      <c r="M49" s="392"/>
      <c r="N49" s="50"/>
      <c r="O49" s="84">
        <f>O$40*L47</f>
        <v>-6972292.48905</v>
      </c>
      <c r="P49" s="84">
        <f>P$40*L47</f>
        <v>22281823.615800001</v>
      </c>
      <c r="Q49" s="409">
        <f>Q$40*L47</f>
        <v>710755.74227000005</v>
      </c>
      <c r="R49" s="50"/>
      <c r="S49" s="50"/>
      <c r="T49" s="392"/>
      <c r="U49" s="50"/>
      <c r="V49" s="84"/>
      <c r="W49" s="414"/>
    </row>
    <row r="50" spans="2:23" x14ac:dyDescent="0.2">
      <c r="B50" s="97" t="str">
        <f>"Total "&amp;B43</f>
        <v>Total Schedule 31 - Sales</v>
      </c>
      <c r="C50" s="418"/>
      <c r="D50" s="50"/>
      <c r="E50" s="50"/>
      <c r="F50" s="392"/>
      <c r="G50" s="88"/>
      <c r="H50" s="88"/>
      <c r="I50" s="410">
        <f>G48+H49+I49</f>
        <v>142091733.99600002</v>
      </c>
      <c r="J50" s="98"/>
      <c r="K50" s="50"/>
      <c r="L50" s="50"/>
      <c r="M50" s="392"/>
      <c r="N50" s="50"/>
      <c r="O50" s="88"/>
      <c r="P50" s="410">
        <f>N48+O49+P49</f>
        <v>148180855.96738002</v>
      </c>
      <c r="Q50" s="98"/>
      <c r="R50" s="88"/>
      <c r="S50" s="50"/>
      <c r="T50" s="392"/>
      <c r="U50" s="50"/>
      <c r="V50" s="88"/>
      <c r="W50" s="426"/>
    </row>
    <row r="51" spans="2:23" x14ac:dyDescent="0.2">
      <c r="B51" s="82"/>
      <c r="C51" s="395"/>
      <c r="D51" s="83"/>
      <c r="E51" s="83"/>
      <c r="F51" s="395"/>
      <c r="G51" s="83"/>
      <c r="H51" s="83"/>
      <c r="I51" s="83"/>
      <c r="J51" s="83"/>
      <c r="K51" s="83"/>
      <c r="L51" s="83"/>
      <c r="M51" s="395"/>
      <c r="N51" s="83"/>
      <c r="O51" s="83"/>
      <c r="P51" s="83"/>
      <c r="Q51" s="83"/>
      <c r="R51" s="83"/>
      <c r="S51" s="83"/>
      <c r="T51" s="395"/>
      <c r="U51" s="83"/>
      <c r="V51" s="83"/>
      <c r="W51" s="427"/>
    </row>
    <row r="52" spans="2:23" x14ac:dyDescent="0.2">
      <c r="B52" s="90" t="s">
        <v>128</v>
      </c>
      <c r="C52" s="415"/>
      <c r="D52" s="177"/>
      <c r="E52" s="177"/>
      <c r="F52" s="416"/>
      <c r="G52" s="177"/>
      <c r="H52" s="177"/>
      <c r="I52" s="177"/>
      <c r="J52" s="177"/>
      <c r="K52" s="177"/>
      <c r="L52" s="177"/>
      <c r="M52" s="416"/>
      <c r="N52" s="177"/>
      <c r="O52" s="177"/>
      <c r="P52" s="177"/>
      <c r="Q52" s="177"/>
      <c r="R52" s="177"/>
      <c r="S52" s="177"/>
      <c r="T52" s="416"/>
      <c r="U52" s="177"/>
      <c r="V52" s="177"/>
      <c r="W52" s="417"/>
    </row>
    <row r="53" spans="2:23" x14ac:dyDescent="0.2">
      <c r="B53" s="91"/>
      <c r="C53" s="392"/>
      <c r="D53" s="50"/>
      <c r="E53" s="50"/>
      <c r="F53" s="392"/>
      <c r="G53" s="50"/>
      <c r="H53" s="50"/>
      <c r="I53" s="50"/>
      <c r="J53" s="50"/>
      <c r="K53" s="50"/>
      <c r="L53" s="50"/>
      <c r="M53" s="392"/>
      <c r="N53" s="50"/>
      <c r="O53" s="50"/>
      <c r="P53" s="50"/>
      <c r="Q53" s="50"/>
      <c r="R53" s="50"/>
      <c r="S53" s="50"/>
      <c r="T53" s="392"/>
      <c r="U53" s="50"/>
      <c r="V53" s="50"/>
      <c r="W53" s="426"/>
    </row>
    <row r="54" spans="2:23" x14ac:dyDescent="0.2">
      <c r="B54" s="78" t="s">
        <v>84</v>
      </c>
      <c r="C54" s="405">
        <f>'Exh JDT-5 (JDT-C&amp;I-RD)'!E22</f>
        <v>364.04</v>
      </c>
      <c r="D54" s="95">
        <f>'Exh JDT-5 (JDT-C&amp;I-RD)'!$H$22</f>
        <v>364.04</v>
      </c>
      <c r="E54" s="44">
        <v>24</v>
      </c>
      <c r="F54" s="406">
        <f t="shared" ref="F54:F55" si="2">SUM(+E54*C54)</f>
        <v>8736.9600000000009</v>
      </c>
      <c r="G54" s="88">
        <f>SUM(+E54*D54)</f>
        <v>8736.9600000000009</v>
      </c>
      <c r="H54" s="88"/>
      <c r="I54" s="88"/>
      <c r="J54" s="88"/>
      <c r="K54" s="50"/>
      <c r="L54" s="44">
        <v>24</v>
      </c>
      <c r="M54" s="406">
        <f t="shared" ref="M54:M55" si="3">SUM(+L54*C54)</f>
        <v>8736.9600000000009</v>
      </c>
      <c r="N54" s="88">
        <f>SUM(+L54*D54)</f>
        <v>8736.9600000000009</v>
      </c>
      <c r="O54" s="88"/>
      <c r="P54" s="88"/>
      <c r="Q54" s="88"/>
      <c r="R54" s="88"/>
      <c r="S54" s="44"/>
      <c r="T54" s="406"/>
      <c r="U54" s="88"/>
      <c r="V54" s="88"/>
      <c r="W54" s="404"/>
    </row>
    <row r="55" spans="2:23" x14ac:dyDescent="0.2">
      <c r="B55" s="91" t="s">
        <v>86</v>
      </c>
      <c r="C55" s="407">
        <f>'Exh JDT-5 (JDT-C&amp;I-RD)'!E23</f>
        <v>0.37956000000000001</v>
      </c>
      <c r="D55" s="81">
        <f>'Exh JDT-5 (JDT-C&amp;I-RD)'!$H$23</f>
        <v>0.41249000000000002</v>
      </c>
      <c r="E55" s="44">
        <v>34397</v>
      </c>
      <c r="F55" s="406">
        <f t="shared" si="2"/>
        <v>13055.72532</v>
      </c>
      <c r="G55" s="88">
        <f>SUM(+E55*D55)</f>
        <v>14188.418530000001</v>
      </c>
      <c r="H55" s="88"/>
      <c r="I55" s="88"/>
      <c r="J55" s="88"/>
      <c r="K55" s="50"/>
      <c r="L55" s="44">
        <v>33867</v>
      </c>
      <c r="M55" s="406">
        <f t="shared" si="3"/>
        <v>12854.55852</v>
      </c>
      <c r="N55" s="88">
        <f>SUM(+L55*D55)</f>
        <v>13969.798830000002</v>
      </c>
      <c r="O55" s="88"/>
      <c r="P55" s="88"/>
      <c r="Q55" s="88"/>
      <c r="R55" s="88"/>
      <c r="S55" s="44"/>
      <c r="T55" s="406"/>
      <c r="U55" s="88"/>
      <c r="V55" s="88"/>
      <c r="W55" s="404"/>
    </row>
    <row r="56" spans="2:23" x14ac:dyDescent="0.2">
      <c r="B56" s="78" t="s">
        <v>119</v>
      </c>
      <c r="C56" s="420"/>
      <c r="D56" s="50"/>
      <c r="E56" s="50"/>
      <c r="F56" s="406">
        <f>SUM(F54:F55)</f>
        <v>21792.685320000001</v>
      </c>
      <c r="G56" s="88">
        <f>SUM(G54:G55)</f>
        <v>22925.378530000002</v>
      </c>
      <c r="H56" s="88"/>
      <c r="I56" s="88"/>
      <c r="J56" s="88"/>
      <c r="K56" s="50"/>
      <c r="L56" s="50"/>
      <c r="M56" s="408">
        <f>SUM(M54:M55)</f>
        <v>21591.518520000001</v>
      </c>
      <c r="N56" s="108">
        <f>SUM(N54:N55)</f>
        <v>22706.758830000002</v>
      </c>
      <c r="O56" s="88"/>
      <c r="P56" s="88"/>
      <c r="Q56" s="88"/>
      <c r="R56" s="88"/>
      <c r="S56" s="50"/>
      <c r="T56" s="408"/>
      <c r="U56" s="108"/>
      <c r="V56" s="88"/>
      <c r="W56" s="404"/>
    </row>
    <row r="57" spans="2:23" x14ac:dyDescent="0.2">
      <c r="B57" s="91"/>
      <c r="C57" s="392"/>
      <c r="D57" s="50"/>
      <c r="E57" s="50"/>
      <c r="F57" s="392"/>
      <c r="G57" s="50"/>
      <c r="H57" s="50"/>
      <c r="I57" s="50"/>
      <c r="J57" s="50"/>
      <c r="K57" s="50"/>
      <c r="L57" s="50"/>
      <c r="M57" s="392"/>
      <c r="N57" s="50"/>
      <c r="O57" s="50"/>
      <c r="P57" s="50"/>
      <c r="Q57" s="50"/>
      <c r="R57" s="50"/>
      <c r="S57" s="50"/>
      <c r="T57" s="392"/>
      <c r="U57" s="50"/>
      <c r="V57" s="50"/>
      <c r="W57" s="426"/>
    </row>
    <row r="58" spans="2:23" x14ac:dyDescent="0.2">
      <c r="B58" s="97" t="s">
        <v>198</v>
      </c>
      <c r="C58" s="418"/>
      <c r="D58" s="50"/>
      <c r="E58" s="50"/>
      <c r="F58" s="408">
        <f>F56</f>
        <v>21792.685320000001</v>
      </c>
      <c r="G58" s="108">
        <f>G56</f>
        <v>22925.378530000002</v>
      </c>
      <c r="H58" s="88"/>
      <c r="I58" s="88"/>
      <c r="J58" s="88"/>
      <c r="K58" s="50"/>
      <c r="L58" s="50"/>
      <c r="M58" s="408">
        <f>M56</f>
        <v>21591.518520000001</v>
      </c>
      <c r="N58" s="108">
        <f>N56</f>
        <v>22706.758830000002</v>
      </c>
      <c r="O58" s="47"/>
      <c r="P58" s="47"/>
      <c r="Q58" s="88"/>
      <c r="R58" s="50"/>
      <c r="S58" s="50"/>
      <c r="T58" s="408"/>
      <c r="U58" s="108"/>
      <c r="V58" s="47"/>
      <c r="W58" s="404"/>
    </row>
    <row r="59" spans="2:23" x14ac:dyDescent="0.2">
      <c r="B59" s="91" t="s">
        <v>199</v>
      </c>
      <c r="C59" s="392"/>
      <c r="D59" s="50"/>
      <c r="E59" s="50"/>
      <c r="F59" s="392"/>
      <c r="G59" s="88"/>
      <c r="H59" s="84">
        <f>H$40*E55</f>
        <v>-54.00329</v>
      </c>
      <c r="I59" s="84">
        <f>I$40*E55</f>
        <v>1544.76927</v>
      </c>
      <c r="J59" s="88"/>
      <c r="K59" s="81"/>
      <c r="L59" s="81"/>
      <c r="M59" s="407"/>
      <c r="N59" s="81"/>
      <c r="O59" s="84">
        <f>O$40*L55</f>
        <v>-960.12945000000002</v>
      </c>
      <c r="P59" s="84">
        <f>P$40*L55</f>
        <v>3068.3501999999999</v>
      </c>
      <c r="Q59" s="88"/>
      <c r="R59" s="81"/>
      <c r="S59" s="81"/>
      <c r="T59" s="407"/>
      <c r="U59" s="81"/>
      <c r="V59" s="84"/>
      <c r="W59" s="414"/>
    </row>
    <row r="60" spans="2:23" x14ac:dyDescent="0.2">
      <c r="B60" s="97" t="str">
        <f>"Total "&amp;B52</f>
        <v>Total Schedule 31 - Transportation</v>
      </c>
      <c r="C60" s="418"/>
      <c r="D60" s="50"/>
      <c r="E60" s="50"/>
      <c r="F60" s="392"/>
      <c r="G60" s="88"/>
      <c r="H60" s="88"/>
      <c r="I60" s="98">
        <f>G58+H59+I59</f>
        <v>24416.144510000002</v>
      </c>
      <c r="J60" s="98"/>
      <c r="K60" s="50"/>
      <c r="L60" s="50"/>
      <c r="M60" s="392"/>
      <c r="N60" s="88"/>
      <c r="O60" s="88"/>
      <c r="P60" s="410">
        <f>N58+O59+P59</f>
        <v>24814.979580000003</v>
      </c>
      <c r="Q60" s="98"/>
      <c r="R60" s="50"/>
      <c r="S60" s="50"/>
      <c r="T60" s="392"/>
      <c r="U60" s="88"/>
      <c r="V60" s="88"/>
      <c r="W60" s="428"/>
    </row>
    <row r="61" spans="2:23" x14ac:dyDescent="0.2">
      <c r="B61" s="82"/>
      <c r="C61" s="395"/>
      <c r="D61" s="112"/>
      <c r="E61" s="83"/>
      <c r="F61" s="395"/>
      <c r="G61" s="83"/>
      <c r="H61" s="83"/>
      <c r="I61" s="83"/>
      <c r="J61" s="83"/>
      <c r="K61" s="83"/>
      <c r="L61" s="83"/>
      <c r="M61" s="395"/>
      <c r="N61" s="83"/>
      <c r="O61" s="83"/>
      <c r="P61" s="83"/>
      <c r="Q61" s="83"/>
      <c r="R61" s="83"/>
      <c r="S61" s="83"/>
      <c r="T61" s="395"/>
      <c r="U61" s="83"/>
      <c r="V61" s="83"/>
      <c r="W61" s="427"/>
    </row>
    <row r="62" spans="2:23" x14ac:dyDescent="0.2">
      <c r="B62" s="47"/>
      <c r="C62" s="366"/>
      <c r="G62" s="47"/>
      <c r="H62" s="47"/>
      <c r="I62" s="47"/>
      <c r="J62" s="47"/>
      <c r="K62" s="47"/>
      <c r="N62" s="47"/>
      <c r="O62" s="47"/>
      <c r="P62" s="47"/>
      <c r="Q62" s="47"/>
      <c r="R62" s="47"/>
      <c r="U62" s="47"/>
      <c r="V62" s="47"/>
      <c r="W62" s="47"/>
    </row>
    <row r="63" spans="2:23" x14ac:dyDescent="0.2">
      <c r="B63" s="385" t="s">
        <v>201</v>
      </c>
      <c r="C63" s="386"/>
      <c r="D63" s="77"/>
      <c r="E63" s="20">
        <f>E77+E93</f>
        <v>92387406</v>
      </c>
      <c r="F63" s="387"/>
      <c r="G63" s="108"/>
      <c r="H63" s="108">
        <v>-69130.626791916744</v>
      </c>
      <c r="I63" s="108">
        <v>1983337.389720852</v>
      </c>
      <c r="J63" s="388">
        <v>151679.99799864666</v>
      </c>
      <c r="K63" s="389"/>
      <c r="L63" s="20">
        <f>L77+L93</f>
        <v>93400775</v>
      </c>
      <c r="M63" s="387"/>
      <c r="N63" s="389"/>
      <c r="O63" s="108">
        <v>-1265966.8225644403</v>
      </c>
      <c r="P63" s="108">
        <v>4046467.865445124</v>
      </c>
      <c r="Q63" s="388">
        <v>147397.23749979044</v>
      </c>
      <c r="R63" s="389"/>
      <c r="S63" s="20"/>
      <c r="T63" s="387"/>
      <c r="U63" s="390"/>
      <c r="V63" s="108"/>
      <c r="W63" s="391"/>
    </row>
    <row r="64" spans="2:23" x14ac:dyDescent="0.2">
      <c r="B64" s="91"/>
      <c r="C64" s="392"/>
      <c r="D64" s="50"/>
      <c r="E64" s="50"/>
      <c r="F64" s="392"/>
      <c r="G64" s="130" t="s">
        <v>197</v>
      </c>
      <c r="H64" s="81">
        <f>ROUND(H63/E63, 5)</f>
        <v>-7.5000000000000002E-4</v>
      </c>
      <c r="I64" s="81">
        <f>ROUND(I63/E63, 5)</f>
        <v>2.147E-2</v>
      </c>
      <c r="J64" s="393">
        <f>ROUND(J63/E77, 5)</f>
        <v>2.2699999999999999E-3</v>
      </c>
      <c r="L64" s="50"/>
      <c r="M64" s="392"/>
      <c r="N64" s="95"/>
      <c r="O64" s="81">
        <f>ROUND(O63/L63, 5)</f>
        <v>-1.355E-2</v>
      </c>
      <c r="P64" s="81">
        <f>ROUND(P63/L63, 5)</f>
        <v>4.3319999999999997E-2</v>
      </c>
      <c r="Q64" s="393">
        <f>ROUND(Q63/L77, 5)</f>
        <v>2.2000000000000001E-3</v>
      </c>
      <c r="S64" s="50"/>
      <c r="T64" s="392"/>
      <c r="U64" s="95"/>
      <c r="V64" s="81"/>
      <c r="W64" s="394"/>
    </row>
    <row r="65" spans="2:23" x14ac:dyDescent="0.2">
      <c r="B65" s="82"/>
      <c r="C65" s="395"/>
      <c r="D65" s="83"/>
      <c r="E65" s="396" t="s">
        <v>182</v>
      </c>
      <c r="F65" s="397">
        <f>F79+F96</f>
        <v>21705020.029999997</v>
      </c>
      <c r="G65" s="84">
        <f>G79+G96</f>
        <v>23329049.833149999</v>
      </c>
      <c r="H65" s="398"/>
      <c r="I65" s="398"/>
      <c r="J65" s="398"/>
      <c r="K65" s="129"/>
      <c r="L65" s="396" t="s">
        <v>182</v>
      </c>
      <c r="M65" s="397">
        <f>M79+M96</f>
        <v>21813071.000000004</v>
      </c>
      <c r="N65" s="84">
        <f>N79+N96</f>
        <v>23444839.643789999</v>
      </c>
      <c r="O65" s="398"/>
      <c r="P65" s="398"/>
      <c r="Q65" s="398"/>
      <c r="R65" s="129"/>
      <c r="S65" s="396"/>
      <c r="T65" s="397"/>
      <c r="U65" s="84"/>
      <c r="V65" s="398"/>
      <c r="W65" s="414"/>
    </row>
    <row r="66" spans="2:23" x14ac:dyDescent="0.2">
      <c r="B66" s="423"/>
      <c r="C66" s="424"/>
      <c r="D66" s="425"/>
      <c r="E66" s="177"/>
      <c r="F66" s="416"/>
      <c r="G66" s="177"/>
      <c r="H66" s="177"/>
      <c r="I66" s="177"/>
      <c r="J66" s="177"/>
      <c r="K66" s="177"/>
      <c r="L66" s="177"/>
      <c r="M66" s="416"/>
      <c r="N66" s="177"/>
      <c r="O66" s="177"/>
      <c r="P66" s="177"/>
      <c r="Q66" s="177"/>
      <c r="R66" s="177"/>
      <c r="S66" s="177"/>
      <c r="T66" s="416"/>
      <c r="U66" s="177"/>
      <c r="V66" s="177"/>
      <c r="W66" s="417"/>
    </row>
    <row r="67" spans="2:23" x14ac:dyDescent="0.2">
      <c r="B67" s="90" t="s">
        <v>130</v>
      </c>
      <c r="C67" s="415"/>
      <c r="D67" s="177"/>
      <c r="E67" s="177"/>
      <c r="F67" s="416"/>
      <c r="G67" s="177"/>
      <c r="H67" s="177"/>
      <c r="I67" s="177"/>
      <c r="J67" s="177"/>
      <c r="K67" s="177"/>
      <c r="L67" s="177"/>
      <c r="M67" s="416"/>
      <c r="N67" s="177"/>
      <c r="O67" s="177"/>
      <c r="P67" s="177"/>
      <c r="Q67" s="177"/>
      <c r="R67" s="177"/>
      <c r="S67" s="177"/>
      <c r="T67" s="416"/>
      <c r="U67" s="177"/>
      <c r="V67" s="177"/>
      <c r="W67" s="417"/>
    </row>
    <row r="68" spans="2:23" x14ac:dyDescent="0.2">
      <c r="B68" s="91"/>
      <c r="C68" s="392"/>
      <c r="D68" s="50"/>
      <c r="E68" s="50"/>
      <c r="F68" s="392"/>
      <c r="G68" s="50"/>
      <c r="H68" s="50"/>
      <c r="I68" s="50"/>
      <c r="J68" s="50"/>
      <c r="K68" s="50"/>
      <c r="L68" s="50"/>
      <c r="M68" s="392"/>
      <c r="N68" s="50"/>
      <c r="O68" s="50"/>
      <c r="P68" s="50"/>
      <c r="Q68" s="50"/>
      <c r="R68" s="50"/>
      <c r="S68" s="50"/>
      <c r="T68" s="392"/>
      <c r="U68" s="50"/>
      <c r="V68" s="50"/>
      <c r="W68" s="426"/>
    </row>
    <row r="69" spans="2:23" x14ac:dyDescent="0.2">
      <c r="B69" s="78" t="s">
        <v>84</v>
      </c>
      <c r="C69" s="405">
        <f>'Exh JDT-5 (JDT-C&amp;I-RD)'!E41</f>
        <v>113.4</v>
      </c>
      <c r="D69" s="95">
        <f>'Exh JDT-5 (JDT-C&amp;I-RD)'!$H$41</f>
        <v>130.33000000000001</v>
      </c>
      <c r="E69" s="44">
        <v>15609</v>
      </c>
      <c r="F69" s="406">
        <f>SUM(+E69*C69)</f>
        <v>1770060.6</v>
      </c>
      <c r="G69" s="88">
        <f>SUM(+E69*D69)</f>
        <v>2034320.9700000002</v>
      </c>
      <c r="H69" s="88"/>
      <c r="I69" s="88"/>
      <c r="J69" s="88"/>
      <c r="K69" s="50"/>
      <c r="L69" s="44">
        <v>15603</v>
      </c>
      <c r="M69" s="406">
        <f>SUM(+L69*C69)</f>
        <v>1769380.2000000002</v>
      </c>
      <c r="N69" s="88">
        <f>SUM(+L69*D69)</f>
        <v>2033538.9900000002</v>
      </c>
      <c r="O69" s="88"/>
      <c r="P69" s="88"/>
      <c r="Q69" s="88"/>
      <c r="R69" s="50"/>
      <c r="S69" s="44"/>
      <c r="T69" s="406"/>
      <c r="U69" s="88"/>
      <c r="V69" s="88"/>
      <c r="W69" s="404"/>
    </row>
    <row r="70" spans="2:23" x14ac:dyDescent="0.2">
      <c r="B70" s="91" t="s">
        <v>91</v>
      </c>
      <c r="C70" s="405">
        <f>'Exh JDT-5 (JDT-C&amp;I-RD)'!E42</f>
        <v>123.82</v>
      </c>
      <c r="D70" s="95">
        <f>'Exh JDT-5 (JDT-C&amp;I-RD)'!$H$42</f>
        <v>126.28</v>
      </c>
      <c r="E70" s="44">
        <f>E69</f>
        <v>15609</v>
      </c>
      <c r="F70" s="406">
        <f t="shared" ref="F70:F71" si="4">SUM(+E70*C70)</f>
        <v>1932706.38</v>
      </c>
      <c r="G70" s="88">
        <f>SUM(+E70*D70)</f>
        <v>1971104.52</v>
      </c>
      <c r="H70" s="88"/>
      <c r="I70" s="88"/>
      <c r="J70" s="88"/>
      <c r="K70" s="50"/>
      <c r="L70" s="44">
        <f>L69</f>
        <v>15603</v>
      </c>
      <c r="M70" s="406">
        <f>SUM(+L70*C70)</f>
        <v>1931963.46</v>
      </c>
      <c r="N70" s="88">
        <f>SUM(+L70*D70)</f>
        <v>1970346.84</v>
      </c>
      <c r="O70" s="88"/>
      <c r="P70" s="88"/>
      <c r="Q70" s="88"/>
      <c r="R70" s="50"/>
      <c r="S70" s="44"/>
      <c r="T70" s="406"/>
      <c r="U70" s="88"/>
      <c r="V70" s="88"/>
      <c r="W70" s="404"/>
    </row>
    <row r="71" spans="2:23" x14ac:dyDescent="0.2">
      <c r="B71" s="91" t="s">
        <v>92</v>
      </c>
      <c r="C71" s="405">
        <f>'Exh JDT-5 (JDT-C&amp;I-RD)'!E43</f>
        <v>1.25</v>
      </c>
      <c r="D71" s="95">
        <f>'Exh JDT-5 (JDT-C&amp;I-RD)'!$H$43</f>
        <v>1.37</v>
      </c>
      <c r="E71" s="44">
        <v>4682844</v>
      </c>
      <c r="F71" s="397">
        <f t="shared" si="4"/>
        <v>5853555</v>
      </c>
      <c r="G71" s="84">
        <f>SUM(+E71*D71)</f>
        <v>6415496.2800000003</v>
      </c>
      <c r="H71" s="88"/>
      <c r="I71" s="88"/>
      <c r="J71" s="88"/>
      <c r="K71" s="50"/>
      <c r="L71" s="44">
        <v>4682844</v>
      </c>
      <c r="M71" s="397">
        <f>SUM(+L71*C71)</f>
        <v>5853555</v>
      </c>
      <c r="N71" s="84">
        <f>SUM(+L71*D71)</f>
        <v>6415496.2800000003</v>
      </c>
      <c r="O71" s="88"/>
      <c r="P71" s="88"/>
      <c r="Q71" s="88"/>
      <c r="R71" s="50"/>
      <c r="S71" s="44"/>
      <c r="T71" s="397"/>
      <c r="U71" s="84"/>
      <c r="V71" s="88"/>
      <c r="W71" s="404"/>
    </row>
    <row r="72" spans="2:23" x14ac:dyDescent="0.2">
      <c r="B72" s="91"/>
      <c r="C72" s="392"/>
      <c r="D72" s="95"/>
      <c r="E72" s="50"/>
      <c r="F72" s="392"/>
      <c r="G72" s="50"/>
      <c r="H72" s="50"/>
      <c r="I72" s="50"/>
      <c r="J72" s="50"/>
      <c r="K72" s="50"/>
      <c r="L72" s="50"/>
      <c r="M72" s="392"/>
      <c r="N72" s="50"/>
      <c r="O72" s="50"/>
      <c r="P72" s="50"/>
      <c r="Q72" s="50"/>
      <c r="R72" s="50"/>
      <c r="S72" s="50"/>
      <c r="T72" s="392"/>
      <c r="U72" s="50"/>
      <c r="V72" s="50"/>
      <c r="W72" s="404"/>
    </row>
    <row r="73" spans="2:23" x14ac:dyDescent="0.2">
      <c r="B73" s="91" t="s">
        <v>93</v>
      </c>
      <c r="C73" s="392"/>
      <c r="D73" s="95"/>
      <c r="E73" s="50"/>
      <c r="F73" s="392"/>
      <c r="G73" s="50"/>
      <c r="H73" s="50"/>
      <c r="I73" s="50"/>
      <c r="J73" s="50"/>
      <c r="K73" s="50"/>
      <c r="L73" s="50"/>
      <c r="M73" s="392"/>
      <c r="N73" s="50"/>
      <c r="O73" s="50"/>
      <c r="P73" s="50"/>
      <c r="Q73" s="50"/>
      <c r="R73" s="50"/>
      <c r="S73" s="50"/>
      <c r="T73" s="392"/>
      <c r="U73" s="50"/>
      <c r="V73" s="50"/>
      <c r="W73" s="404"/>
    </row>
    <row r="74" spans="2:23" x14ac:dyDescent="0.2">
      <c r="B74" s="91" t="s">
        <v>94</v>
      </c>
      <c r="C74" s="407">
        <f>'Exh JDT-5 (JDT-C&amp;I-RD)'!E46</f>
        <v>0.13758000000000001</v>
      </c>
      <c r="D74" s="81">
        <f>'Exh JDT-5 (JDT-C&amp;I-RD)'!$H$46</f>
        <v>0.14030999999999999</v>
      </c>
      <c r="E74" s="44">
        <v>13187913.90979786</v>
      </c>
      <c r="F74" s="406" t="s">
        <v>95</v>
      </c>
      <c r="G74" s="88" t="s">
        <v>95</v>
      </c>
      <c r="H74" s="88"/>
      <c r="I74" s="88"/>
      <c r="J74" s="88"/>
      <c r="K74" s="50"/>
      <c r="L74" s="44">
        <v>13204762.568891775</v>
      </c>
      <c r="M74" s="406" t="s">
        <v>95</v>
      </c>
      <c r="N74" s="88" t="s">
        <v>95</v>
      </c>
      <c r="O74" s="88"/>
      <c r="P74" s="88"/>
      <c r="Q74" s="88"/>
      <c r="R74" s="50"/>
      <c r="S74" s="44"/>
      <c r="T74" s="406"/>
      <c r="U74" s="88"/>
      <c r="V74" s="88"/>
      <c r="W74" s="404"/>
    </row>
    <row r="75" spans="2:23" x14ac:dyDescent="0.2">
      <c r="B75" s="91" t="s">
        <v>96</v>
      </c>
      <c r="C75" s="407">
        <f>'Exh JDT-5 (JDT-C&amp;I-RD)'!E47</f>
        <v>0.13758000000000001</v>
      </c>
      <c r="D75" s="81">
        <f>'Exh JDT-5 (JDT-C&amp;I-RD)'!$H$47</f>
        <v>0.14030999999999999</v>
      </c>
      <c r="E75" s="44">
        <v>29570821.950464178</v>
      </c>
      <c r="F75" s="406">
        <f>ROUND(E75*C75,2)</f>
        <v>4068353.68</v>
      </c>
      <c r="G75" s="88">
        <f>ROUND(E75*D75,2)</f>
        <v>4149082.03</v>
      </c>
      <c r="H75" s="88"/>
      <c r="I75" s="88"/>
      <c r="J75" s="88"/>
      <c r="K75" s="50"/>
      <c r="L75" s="44">
        <v>29590375.242762744</v>
      </c>
      <c r="M75" s="406">
        <f>ROUND(L75*C75,2)</f>
        <v>4071043.83</v>
      </c>
      <c r="N75" s="88">
        <f>ROUND(L75*D75,2)</f>
        <v>4151825.55</v>
      </c>
      <c r="O75" s="88"/>
      <c r="P75" s="88"/>
      <c r="Q75" s="88"/>
      <c r="R75" s="50"/>
      <c r="S75" s="44"/>
      <c r="T75" s="406"/>
      <c r="U75" s="88"/>
      <c r="V75" s="88"/>
      <c r="W75" s="404"/>
    </row>
    <row r="76" spans="2:23" x14ac:dyDescent="0.2">
      <c r="B76" s="91" t="s">
        <v>97</v>
      </c>
      <c r="C76" s="407">
        <f>'Exh JDT-5 (JDT-C&amp;I-RD)'!E48</f>
        <v>0.11074000000000001</v>
      </c>
      <c r="D76" s="81">
        <f>'Exh JDT-5 (JDT-C&amp;I-RD)'!$H$48</f>
        <v>0.12131</v>
      </c>
      <c r="E76" s="44">
        <v>24164149.139737964</v>
      </c>
      <c r="F76" s="406">
        <f>ROUND(E76*C76,2)</f>
        <v>2675937.88</v>
      </c>
      <c r="G76" s="88">
        <f>ROUND(E76*D76,2)</f>
        <v>2931352.93</v>
      </c>
      <c r="H76" s="88"/>
      <c r="I76" s="88"/>
      <c r="J76" s="88"/>
      <c r="K76" s="50"/>
      <c r="L76" s="44">
        <v>24095403.188345484</v>
      </c>
      <c r="M76" s="406">
        <f>ROUND(L76*C76,2)</f>
        <v>2668324.9500000002</v>
      </c>
      <c r="N76" s="88">
        <f>ROUND(L76*D76,2)</f>
        <v>2923013.36</v>
      </c>
      <c r="O76" s="88"/>
      <c r="P76" s="88"/>
      <c r="Q76" s="88"/>
      <c r="R76" s="50"/>
      <c r="S76" s="44"/>
      <c r="T76" s="406"/>
      <c r="U76" s="88"/>
      <c r="V76" s="88"/>
      <c r="W76" s="404"/>
    </row>
    <row r="77" spans="2:23" x14ac:dyDescent="0.2">
      <c r="B77" s="78" t="s">
        <v>98</v>
      </c>
      <c r="C77" s="421"/>
      <c r="D77" s="44"/>
      <c r="E77" s="20">
        <f>SUM(E74:E76)</f>
        <v>66922885</v>
      </c>
      <c r="F77" s="421"/>
      <c r="G77" s="50"/>
      <c r="H77" s="50"/>
      <c r="I77" s="50"/>
      <c r="J77" s="50"/>
      <c r="K77" s="50"/>
      <c r="L77" s="20">
        <f>SUM(L74:L76)</f>
        <v>66890541.000000007</v>
      </c>
      <c r="M77" s="392"/>
      <c r="N77" s="50"/>
      <c r="O77" s="50"/>
      <c r="P77" s="50"/>
      <c r="Q77" s="50"/>
      <c r="R77" s="50"/>
      <c r="S77" s="20"/>
      <c r="T77" s="421"/>
      <c r="U77" s="50"/>
      <c r="V77" s="50"/>
      <c r="W77" s="404"/>
    </row>
    <row r="78" spans="2:23" x14ac:dyDescent="0.2">
      <c r="B78" s="78" t="s">
        <v>89</v>
      </c>
      <c r="C78" s="407">
        <f>'Exh JDT-5 (JDT-C&amp;I-RD)'!E50</f>
        <v>1.005E-2</v>
      </c>
      <c r="D78" s="81">
        <f>'Exh JDT-5 (JDT-C&amp;I-RD)'!$H$50</f>
        <v>1.119E-2</v>
      </c>
      <c r="E78" s="44">
        <f>E77</f>
        <v>66922885</v>
      </c>
      <c r="F78" s="397">
        <f>ROUND(E78*C78,2)</f>
        <v>672574.99</v>
      </c>
      <c r="G78" s="136">
        <f>E78*D78</f>
        <v>748867.08314999996</v>
      </c>
      <c r="H78" s="94"/>
      <c r="I78" s="94"/>
      <c r="J78" s="94"/>
      <c r="K78" s="50"/>
      <c r="L78" s="44">
        <f>L77</f>
        <v>66890541.000000007</v>
      </c>
      <c r="M78" s="397">
        <f>ROUND(L78*C78,2)</f>
        <v>672249.94</v>
      </c>
      <c r="N78" s="136">
        <f>L78*D78</f>
        <v>748505.15379000013</v>
      </c>
      <c r="O78" s="94"/>
      <c r="P78" s="94"/>
      <c r="Q78" s="94"/>
      <c r="R78" s="50"/>
      <c r="S78" s="44"/>
      <c r="T78" s="397"/>
      <c r="U78" s="136"/>
      <c r="V78" s="94"/>
      <c r="W78" s="404"/>
    </row>
    <row r="79" spans="2:23" x14ac:dyDescent="0.2">
      <c r="B79" s="97" t="s">
        <v>198</v>
      </c>
      <c r="C79" s="418"/>
      <c r="D79" s="44"/>
      <c r="E79" s="50"/>
      <c r="F79" s="429">
        <f>SUM(F69:F78)</f>
        <v>16973188.529999997</v>
      </c>
      <c r="G79" s="134">
        <f>SUM(G69:G78)</f>
        <v>18250223.81315</v>
      </c>
      <c r="H79" s="94"/>
      <c r="I79" s="94"/>
      <c r="J79" s="94"/>
      <c r="K79" s="50"/>
      <c r="L79" s="50"/>
      <c r="M79" s="429">
        <f>SUM(M69:M78)</f>
        <v>16966517.380000003</v>
      </c>
      <c r="N79" s="134">
        <f>SUM(N69:N78)</f>
        <v>18242726.17379</v>
      </c>
      <c r="O79" s="94"/>
      <c r="P79" s="94"/>
      <c r="Q79" s="94"/>
      <c r="R79" s="50"/>
      <c r="S79" s="50"/>
      <c r="T79" s="429"/>
      <c r="U79" s="134"/>
      <c r="V79" s="94"/>
      <c r="W79" s="404"/>
    </row>
    <row r="80" spans="2:23" x14ac:dyDescent="0.2">
      <c r="B80" s="91" t="s">
        <v>199</v>
      </c>
      <c r="C80" s="392"/>
      <c r="D80" s="50"/>
      <c r="E80" s="50"/>
      <c r="F80" s="392"/>
      <c r="G80" s="88"/>
      <c r="H80" s="84">
        <f>H$64*E78</f>
        <v>-50192.16375</v>
      </c>
      <c r="I80" s="84">
        <f>I$64*E78</f>
        <v>1436834.3409499999</v>
      </c>
      <c r="J80" s="409">
        <f>J$64*E78</f>
        <v>151914.94894999999</v>
      </c>
      <c r="K80" s="50"/>
      <c r="L80" s="50"/>
      <c r="M80" s="392"/>
      <c r="N80" s="88"/>
      <c r="O80" s="84">
        <f>O$64*L78</f>
        <v>-906366.83055000007</v>
      </c>
      <c r="P80" s="84">
        <f>P$64*L78</f>
        <v>2897698.23612</v>
      </c>
      <c r="Q80" s="409">
        <f>Q$64*L78</f>
        <v>147159.19020000001</v>
      </c>
      <c r="R80" s="50"/>
      <c r="S80" s="50"/>
      <c r="T80" s="392"/>
      <c r="U80" s="88"/>
      <c r="V80" s="84"/>
      <c r="W80" s="414"/>
    </row>
    <row r="81" spans="2:23" x14ac:dyDescent="0.2">
      <c r="B81" s="97" t="str">
        <f>"Total "&amp;B67</f>
        <v>Total Schedule 41 - Sales</v>
      </c>
      <c r="C81" s="418"/>
      <c r="D81" s="50"/>
      <c r="E81" s="50"/>
      <c r="F81" s="392"/>
      <c r="G81" s="88"/>
      <c r="H81" s="88"/>
      <c r="I81" s="410">
        <f>G79+H80+I80</f>
        <v>19636865.990350001</v>
      </c>
      <c r="J81" s="98"/>
      <c r="K81" s="50"/>
      <c r="L81" s="50"/>
      <c r="M81" s="392"/>
      <c r="N81" s="88"/>
      <c r="O81" s="88"/>
      <c r="P81" s="410">
        <f>N79+O80+P80</f>
        <v>20234057.579360001</v>
      </c>
      <c r="Q81" s="98"/>
      <c r="R81" s="50"/>
      <c r="S81" s="50"/>
      <c r="T81" s="392"/>
      <c r="U81" s="88"/>
      <c r="V81" s="88"/>
      <c r="W81" s="428"/>
    </row>
    <row r="82" spans="2:23" x14ac:dyDescent="0.2">
      <c r="B82" s="82"/>
      <c r="C82" s="395"/>
      <c r="D82" s="83"/>
      <c r="E82" s="83"/>
      <c r="F82" s="395"/>
      <c r="G82" s="83"/>
      <c r="H82" s="83"/>
      <c r="I82" s="83"/>
      <c r="J82" s="83"/>
      <c r="K82" s="83"/>
      <c r="L82" s="83"/>
      <c r="M82" s="395"/>
      <c r="N82" s="83"/>
      <c r="O82" s="83"/>
      <c r="P82" s="83"/>
      <c r="Q82" s="83"/>
      <c r="R82" s="83"/>
      <c r="S82" s="83"/>
      <c r="T82" s="395"/>
      <c r="U82" s="83"/>
      <c r="V82" s="83"/>
      <c r="W82" s="427"/>
    </row>
    <row r="83" spans="2:23" x14ac:dyDescent="0.2">
      <c r="B83" s="90" t="s">
        <v>132</v>
      </c>
      <c r="C83" s="415"/>
      <c r="D83" s="177"/>
      <c r="E83" s="177"/>
      <c r="F83" s="416"/>
      <c r="G83" s="177"/>
      <c r="H83" s="177"/>
      <c r="I83" s="177"/>
      <c r="J83" s="177"/>
      <c r="K83" s="177"/>
      <c r="L83" s="177"/>
      <c r="M83" s="416"/>
      <c r="N83" s="177"/>
      <c r="O83" s="177"/>
      <c r="P83" s="177"/>
      <c r="Q83" s="177"/>
      <c r="R83" s="177"/>
      <c r="S83" s="177"/>
      <c r="T83" s="416"/>
      <c r="U83" s="177"/>
      <c r="V83" s="177"/>
      <c r="W83" s="417"/>
    </row>
    <row r="84" spans="2:23" x14ac:dyDescent="0.2">
      <c r="B84" s="91"/>
      <c r="C84" s="392"/>
      <c r="D84" s="50"/>
      <c r="E84" s="50"/>
      <c r="F84" s="392"/>
      <c r="G84" s="50"/>
      <c r="H84" s="50"/>
      <c r="I84" s="50"/>
      <c r="J84" s="50"/>
      <c r="K84" s="50"/>
      <c r="L84" s="50"/>
      <c r="M84" s="392"/>
      <c r="N84" s="50"/>
      <c r="O84" s="50"/>
      <c r="P84" s="50"/>
      <c r="Q84" s="50"/>
      <c r="R84" s="50"/>
      <c r="S84" s="50"/>
      <c r="T84" s="392"/>
      <c r="U84" s="50"/>
      <c r="V84" s="50"/>
      <c r="W84" s="426"/>
    </row>
    <row r="85" spans="2:23" x14ac:dyDescent="0.2">
      <c r="B85" s="78" t="s">
        <v>84</v>
      </c>
      <c r="C85" s="405">
        <f>'Exh JDT-5 (JDT-C&amp;I-RD)'!E58</f>
        <v>422.79</v>
      </c>
      <c r="D85" s="95">
        <f>'Exh JDT-5 (JDT-C&amp;I-RD)'!$H$58</f>
        <v>422.79</v>
      </c>
      <c r="E85" s="44">
        <v>1032</v>
      </c>
      <c r="F85" s="406">
        <f>SUM(+E85*C85)</f>
        <v>436319.28</v>
      </c>
      <c r="G85" s="88">
        <f>SUM(+E85*D85)</f>
        <v>436319.28</v>
      </c>
      <c r="H85" s="88"/>
      <c r="I85" s="88"/>
      <c r="J85" s="88"/>
      <c r="K85" s="50"/>
      <c r="L85" s="44">
        <v>1032</v>
      </c>
      <c r="M85" s="406">
        <f>SUM(+L85*C85)</f>
        <v>436319.28</v>
      </c>
      <c r="N85" s="88">
        <f>SUM(+L85*D85)</f>
        <v>436319.28</v>
      </c>
      <c r="O85" s="88"/>
      <c r="P85" s="88"/>
      <c r="Q85" s="88"/>
      <c r="R85" s="50"/>
      <c r="S85" s="44"/>
      <c r="T85" s="406"/>
      <c r="U85" s="88"/>
      <c r="V85" s="88"/>
      <c r="W85" s="404"/>
    </row>
    <row r="86" spans="2:23" x14ac:dyDescent="0.2">
      <c r="B86" s="91" t="s">
        <v>91</v>
      </c>
      <c r="C86" s="405">
        <f>'Exh JDT-5 (JDT-C&amp;I-RD)'!E59</f>
        <v>123.82</v>
      </c>
      <c r="D86" s="95">
        <f>'Exh JDT-5 (JDT-C&amp;I-RD)'!$H$59</f>
        <v>126.28</v>
      </c>
      <c r="E86" s="44">
        <f>E85</f>
        <v>1032</v>
      </c>
      <c r="F86" s="406">
        <f t="shared" ref="F86:F87" si="5">SUM(+E86*C86)</f>
        <v>127782.23999999999</v>
      </c>
      <c r="G86" s="88">
        <f>SUM(+E86*D86)</f>
        <v>130320.96000000001</v>
      </c>
      <c r="H86" s="88"/>
      <c r="I86" s="88"/>
      <c r="J86" s="88"/>
      <c r="K86" s="50"/>
      <c r="L86" s="44">
        <f>L85</f>
        <v>1032</v>
      </c>
      <c r="M86" s="406">
        <f>SUM(+L86*C86)</f>
        <v>127782.23999999999</v>
      </c>
      <c r="N86" s="88">
        <f>SUM(+L86*D86)</f>
        <v>130320.96000000001</v>
      </c>
      <c r="O86" s="88"/>
      <c r="P86" s="88"/>
      <c r="Q86" s="88"/>
      <c r="R86" s="50"/>
      <c r="S86" s="44"/>
      <c r="T86" s="406"/>
      <c r="U86" s="88"/>
      <c r="V86" s="88"/>
      <c r="W86" s="404"/>
    </row>
    <row r="87" spans="2:23" x14ac:dyDescent="0.2">
      <c r="B87" s="91" t="s">
        <v>92</v>
      </c>
      <c r="C87" s="405">
        <f>'Exh JDT-5 (JDT-C&amp;I-RD)'!E60</f>
        <v>1.25</v>
      </c>
      <c r="D87" s="95">
        <f>'Exh JDT-5 (JDT-C&amp;I-RD)'!$H$60</f>
        <v>1.37</v>
      </c>
      <c r="E87" s="44">
        <v>1092876</v>
      </c>
      <c r="F87" s="397">
        <f t="shared" si="5"/>
        <v>1366095</v>
      </c>
      <c r="G87" s="84">
        <f>SUM(+E87*D87)</f>
        <v>1497240.12</v>
      </c>
      <c r="H87" s="88"/>
      <c r="I87" s="88"/>
      <c r="J87" s="88"/>
      <c r="K87" s="50"/>
      <c r="L87" s="44">
        <v>1092876</v>
      </c>
      <c r="M87" s="406">
        <f>SUM(+L87*C87)</f>
        <v>1366095</v>
      </c>
      <c r="N87" s="84">
        <f>SUM(+L87*D87)</f>
        <v>1497240.12</v>
      </c>
      <c r="O87" s="88"/>
      <c r="P87" s="88"/>
      <c r="Q87" s="88"/>
      <c r="R87" s="50"/>
      <c r="S87" s="44"/>
      <c r="T87" s="406"/>
      <c r="U87" s="84"/>
      <c r="V87" s="88"/>
      <c r="W87" s="404"/>
    </row>
    <row r="88" spans="2:23" x14ac:dyDescent="0.2">
      <c r="B88" s="91"/>
      <c r="C88" s="405"/>
      <c r="D88" s="95"/>
      <c r="E88" s="50"/>
      <c r="F88" s="392"/>
      <c r="G88" s="50"/>
      <c r="H88" s="50"/>
      <c r="I88" s="50"/>
      <c r="J88" s="50"/>
      <c r="K88" s="50"/>
      <c r="L88" s="50"/>
      <c r="M88" s="392"/>
      <c r="N88" s="50"/>
      <c r="O88" s="50"/>
      <c r="P88" s="50"/>
      <c r="Q88" s="50"/>
      <c r="R88" s="50"/>
      <c r="S88" s="50"/>
      <c r="T88" s="392"/>
      <c r="U88" s="50"/>
      <c r="V88" s="50"/>
      <c r="W88" s="404"/>
    </row>
    <row r="89" spans="2:23" x14ac:dyDescent="0.2">
      <c r="B89" s="91" t="s">
        <v>93</v>
      </c>
      <c r="C89" s="405"/>
      <c r="D89" s="95"/>
      <c r="E89" s="50"/>
      <c r="F89" s="392"/>
      <c r="G89" s="50"/>
      <c r="H89" s="50"/>
      <c r="I89" s="50"/>
      <c r="J89" s="50"/>
      <c r="K89" s="50"/>
      <c r="L89" s="50"/>
      <c r="M89" s="392"/>
      <c r="N89" s="50"/>
      <c r="O89" s="50"/>
      <c r="P89" s="50"/>
      <c r="Q89" s="50"/>
      <c r="R89" s="50"/>
      <c r="S89" s="50"/>
      <c r="T89" s="392"/>
      <c r="U89" s="50"/>
      <c r="V89" s="50"/>
      <c r="W89" s="404"/>
    </row>
    <row r="90" spans="2:23" x14ac:dyDescent="0.2">
      <c r="B90" s="91" t="s">
        <v>94</v>
      </c>
      <c r="C90" s="407">
        <f>'Exh JDT-5 (JDT-C&amp;I-RD)'!E63</f>
        <v>0.13758000000000001</v>
      </c>
      <c r="D90" s="81">
        <f>'Exh JDT-5 (JDT-C&amp;I-RD)'!$H$63</f>
        <v>0.14030999999999999</v>
      </c>
      <c r="E90" s="44">
        <v>1425917.3695433964</v>
      </c>
      <c r="F90" s="406" t="s">
        <v>95</v>
      </c>
      <c r="G90" s="88" t="s">
        <v>95</v>
      </c>
      <c r="H90" s="88"/>
      <c r="I90" s="88"/>
      <c r="J90" s="88"/>
      <c r="K90" s="50"/>
      <c r="L90" s="44">
        <v>1491237.6656937972</v>
      </c>
      <c r="M90" s="406" t="s">
        <v>95</v>
      </c>
      <c r="N90" s="88" t="s">
        <v>95</v>
      </c>
      <c r="O90" s="88"/>
      <c r="P90" s="88"/>
      <c r="Q90" s="88"/>
      <c r="R90" s="50"/>
      <c r="S90" s="44"/>
      <c r="T90" s="406"/>
      <c r="U90" s="88"/>
      <c r="V90" s="88"/>
      <c r="W90" s="404"/>
    </row>
    <row r="91" spans="2:23" x14ac:dyDescent="0.2">
      <c r="B91" s="91" t="s">
        <v>96</v>
      </c>
      <c r="C91" s="407">
        <f>'Exh JDT-5 (JDT-C&amp;I-RD)'!E64</f>
        <v>0.13758000000000001</v>
      </c>
      <c r="D91" s="81">
        <f>'Exh JDT-5 (JDT-C&amp;I-RD)'!$H$64</f>
        <v>0.14030999999999999</v>
      </c>
      <c r="E91" s="44">
        <v>5201192.5123006459</v>
      </c>
      <c r="F91" s="406">
        <f>ROUND(E91*C91,2)</f>
        <v>715580.07</v>
      </c>
      <c r="G91" s="88">
        <f>ROUND(E91*D91,2)</f>
        <v>729779.32</v>
      </c>
      <c r="H91" s="88"/>
      <c r="I91" s="88"/>
      <c r="J91" s="88"/>
      <c r="K91" s="50"/>
      <c r="L91" s="44">
        <v>5430456.225439975</v>
      </c>
      <c r="M91" s="406">
        <f>ROUND(L91*C91,2)</f>
        <v>747122.17</v>
      </c>
      <c r="N91" s="88">
        <f>ROUND(L91*D91,2)</f>
        <v>761947.31</v>
      </c>
      <c r="O91" s="88"/>
      <c r="P91" s="88"/>
      <c r="Q91" s="88"/>
      <c r="R91" s="50"/>
      <c r="S91" s="44"/>
      <c r="T91" s="406"/>
      <c r="U91" s="88"/>
      <c r="V91" s="88"/>
      <c r="W91" s="404"/>
    </row>
    <row r="92" spans="2:23" x14ac:dyDescent="0.2">
      <c r="B92" s="91" t="s">
        <v>97</v>
      </c>
      <c r="C92" s="407">
        <f>'Exh JDT-5 (JDT-C&amp;I-RD)'!E65</f>
        <v>0.11074000000000001</v>
      </c>
      <c r="D92" s="81">
        <f>'Exh JDT-5 (JDT-C&amp;I-RD)'!$H$65</f>
        <v>0.12131</v>
      </c>
      <c r="E92" s="44">
        <v>18837411.118155956</v>
      </c>
      <c r="F92" s="406">
        <f>ROUND(E92*C92,2)</f>
        <v>2086054.91</v>
      </c>
      <c r="G92" s="88">
        <f>ROUND(E92*D92,2)</f>
        <v>2285166.34</v>
      </c>
      <c r="H92" s="88"/>
      <c r="I92" s="88"/>
      <c r="J92" s="88"/>
      <c r="K92" s="50"/>
      <c r="L92" s="44">
        <v>19588540.108866226</v>
      </c>
      <c r="M92" s="406">
        <f>ROUND(L92*C92,2)</f>
        <v>2169234.9300000002</v>
      </c>
      <c r="N92" s="88">
        <f>ROUND(L92*D92,2)</f>
        <v>2376285.7999999998</v>
      </c>
      <c r="O92" s="88"/>
      <c r="P92" s="88"/>
      <c r="Q92" s="88"/>
      <c r="R92" s="50"/>
      <c r="S92" s="44"/>
      <c r="T92" s="406"/>
      <c r="U92" s="88"/>
      <c r="V92" s="88"/>
      <c r="W92" s="404"/>
    </row>
    <row r="93" spans="2:23" x14ac:dyDescent="0.2">
      <c r="B93" s="78" t="s">
        <v>98</v>
      </c>
      <c r="C93" s="421"/>
      <c r="D93" s="44"/>
      <c r="E93" s="20">
        <f>SUM(E90:E92)</f>
        <v>25464521</v>
      </c>
      <c r="F93" s="421"/>
      <c r="G93" s="50"/>
      <c r="H93" s="50"/>
      <c r="I93" s="50"/>
      <c r="J93" s="50"/>
      <c r="K93" s="50"/>
      <c r="L93" s="20">
        <f>SUM(L90:L92)</f>
        <v>26510234</v>
      </c>
      <c r="M93" s="392"/>
      <c r="N93" s="50"/>
      <c r="O93" s="50"/>
      <c r="P93" s="50"/>
      <c r="Q93" s="50"/>
      <c r="R93" s="50"/>
      <c r="S93" s="20"/>
      <c r="T93" s="392"/>
      <c r="U93" s="50"/>
      <c r="V93" s="50"/>
      <c r="W93" s="404"/>
    </row>
    <row r="94" spans="2:23" x14ac:dyDescent="0.2">
      <c r="B94" s="78" t="s">
        <v>119</v>
      </c>
      <c r="C94" s="420"/>
      <c r="D94" s="44"/>
      <c r="E94" s="50"/>
      <c r="F94" s="429">
        <f>SUM(F85:F93)</f>
        <v>4731831.5</v>
      </c>
      <c r="G94" s="134">
        <f>SUM(G85:G93)</f>
        <v>5078826.0199999996</v>
      </c>
      <c r="H94" s="94"/>
      <c r="I94" s="94"/>
      <c r="J94" s="94"/>
      <c r="K94" s="50"/>
      <c r="L94" s="50"/>
      <c r="M94" s="429">
        <f>SUM(M85:M93)</f>
        <v>4846553.62</v>
      </c>
      <c r="N94" s="134">
        <f>SUM(N85:N93)</f>
        <v>5202113.47</v>
      </c>
      <c r="O94" s="94"/>
      <c r="P94" s="94"/>
      <c r="Q94" s="94"/>
      <c r="R94" s="50"/>
      <c r="S94" s="50"/>
      <c r="T94" s="429"/>
      <c r="U94" s="134"/>
      <c r="V94" s="94"/>
      <c r="W94" s="404"/>
    </row>
    <row r="95" spans="2:23" x14ac:dyDescent="0.2">
      <c r="B95" s="78"/>
      <c r="C95" s="420"/>
      <c r="D95" s="44"/>
      <c r="E95" s="50"/>
      <c r="F95" s="392"/>
      <c r="G95" s="50"/>
      <c r="H95" s="50"/>
      <c r="I95" s="50"/>
      <c r="J95" s="50"/>
      <c r="K95" s="50"/>
      <c r="L95" s="50"/>
      <c r="M95" s="392"/>
      <c r="N95" s="50"/>
      <c r="O95" s="50"/>
      <c r="P95" s="50"/>
      <c r="Q95" s="50"/>
      <c r="R95" s="50"/>
      <c r="S95" s="50"/>
      <c r="T95" s="392"/>
      <c r="U95" s="50"/>
      <c r="V95" s="50"/>
      <c r="W95" s="404"/>
    </row>
    <row r="96" spans="2:23" x14ac:dyDescent="0.2">
      <c r="B96" s="97" t="s">
        <v>198</v>
      </c>
      <c r="C96" s="418"/>
      <c r="D96" s="81"/>
      <c r="E96" s="50"/>
      <c r="F96" s="429">
        <f>F94</f>
        <v>4731831.5</v>
      </c>
      <c r="G96" s="134">
        <f>G94</f>
        <v>5078826.0199999996</v>
      </c>
      <c r="H96" s="94"/>
      <c r="I96" s="94"/>
      <c r="J96" s="94"/>
      <c r="K96" s="50"/>
      <c r="L96" s="50"/>
      <c r="M96" s="429">
        <f>M94</f>
        <v>4846553.62</v>
      </c>
      <c r="N96" s="134">
        <f>N94</f>
        <v>5202113.47</v>
      </c>
      <c r="O96" s="94"/>
      <c r="P96" s="94"/>
      <c r="Q96" s="94"/>
      <c r="R96" s="50"/>
      <c r="S96" s="50"/>
      <c r="T96" s="429"/>
      <c r="U96" s="134"/>
      <c r="V96" s="94"/>
      <c r="W96" s="404"/>
    </row>
    <row r="97" spans="2:23" x14ac:dyDescent="0.2">
      <c r="B97" s="91" t="s">
        <v>199</v>
      </c>
      <c r="C97" s="392"/>
      <c r="D97" s="50"/>
      <c r="E97" s="50"/>
      <c r="F97" s="392"/>
      <c r="G97" s="88"/>
      <c r="H97" s="84">
        <f>H$64*E93</f>
        <v>-19098.390749999999</v>
      </c>
      <c r="I97" s="84">
        <f>I$64*E93</f>
        <v>546723.26587</v>
      </c>
      <c r="J97" s="88"/>
      <c r="K97" s="50"/>
      <c r="L97" s="50"/>
      <c r="M97" s="392"/>
      <c r="N97" s="88"/>
      <c r="O97" s="84">
        <f>O$64*L93</f>
        <v>-359213.67070000002</v>
      </c>
      <c r="P97" s="84">
        <f>P$64*L93</f>
        <v>1148423.3368799998</v>
      </c>
      <c r="Q97" s="88"/>
      <c r="R97" s="50"/>
      <c r="S97" s="50"/>
      <c r="T97" s="392"/>
      <c r="U97" s="88"/>
      <c r="V97" s="84"/>
      <c r="W97" s="414"/>
    </row>
    <row r="98" spans="2:23" x14ac:dyDescent="0.2">
      <c r="B98" s="97" t="str">
        <f>"Total "&amp;B83</f>
        <v>Total Schedule 41 - Transportation</v>
      </c>
      <c r="C98" s="418"/>
      <c r="D98" s="50"/>
      <c r="E98" s="50"/>
      <c r="F98" s="392"/>
      <c r="G98" s="88"/>
      <c r="H98" s="88"/>
      <c r="I98" s="410">
        <f>G96+H97+I97</f>
        <v>5606450.8951199995</v>
      </c>
      <c r="J98" s="98"/>
      <c r="K98" s="50"/>
      <c r="L98" s="50"/>
      <c r="M98" s="392"/>
      <c r="N98" s="88"/>
      <c r="O98" s="88"/>
      <c r="P98" s="410">
        <f>N96+O97+P97</f>
        <v>5991323.1361800004</v>
      </c>
      <c r="Q98" s="98"/>
      <c r="R98" s="50"/>
      <c r="S98" s="50"/>
      <c r="T98" s="392"/>
      <c r="U98" s="88"/>
      <c r="V98" s="88"/>
      <c r="W98" s="428"/>
    </row>
    <row r="99" spans="2:23" x14ac:dyDescent="0.2">
      <c r="B99" s="82"/>
      <c r="C99" s="395"/>
      <c r="D99" s="83"/>
      <c r="E99" s="83"/>
      <c r="F99" s="395"/>
      <c r="G99" s="83"/>
      <c r="H99" s="83"/>
      <c r="I99" s="83"/>
      <c r="J99" s="83"/>
      <c r="K99" s="83"/>
      <c r="L99" s="83"/>
      <c r="M99" s="395"/>
      <c r="N99" s="83"/>
      <c r="O99" s="83"/>
      <c r="P99" s="83"/>
      <c r="Q99" s="83"/>
      <c r="R99" s="83"/>
      <c r="S99" s="83"/>
      <c r="T99" s="395"/>
      <c r="U99" s="83"/>
      <c r="V99" s="83"/>
      <c r="W99" s="427"/>
    </row>
    <row r="101" spans="2:23" x14ac:dyDescent="0.2">
      <c r="B101" s="385" t="s">
        <v>202</v>
      </c>
      <c r="C101" s="386"/>
      <c r="D101" s="77"/>
      <c r="E101" s="20">
        <f>E109+E131</f>
        <v>73912158</v>
      </c>
      <c r="F101" s="387"/>
      <c r="G101" s="108"/>
      <c r="H101" s="108">
        <v>-32891.078822412936</v>
      </c>
      <c r="I101" s="108">
        <v>943635.39640833845</v>
      </c>
      <c r="J101" s="388">
        <v>20472.643272653775</v>
      </c>
      <c r="K101" s="389"/>
      <c r="L101" s="20">
        <f>L109+L131</f>
        <v>73034304</v>
      </c>
      <c r="M101" s="387"/>
      <c r="N101" s="389"/>
      <c r="O101" s="108">
        <v>-602323.69471869734</v>
      </c>
      <c r="P101" s="108">
        <v>1925234.8733264885</v>
      </c>
      <c r="Q101" s="388">
        <v>19894.587964952108</v>
      </c>
      <c r="R101" s="389"/>
      <c r="S101" s="20"/>
      <c r="T101" s="387"/>
      <c r="U101" s="390"/>
      <c r="V101" s="108"/>
      <c r="W101" s="391"/>
    </row>
    <row r="102" spans="2:23" x14ac:dyDescent="0.2">
      <c r="B102" s="91"/>
      <c r="C102" s="392"/>
      <c r="D102" s="50"/>
      <c r="E102" s="50"/>
      <c r="F102" s="392"/>
      <c r="G102" s="130" t="s">
        <v>197</v>
      </c>
      <c r="H102" s="81">
        <f>ROUND(H101/E101, 5)</f>
        <v>-4.4999999999999999E-4</v>
      </c>
      <c r="I102" s="81">
        <f>ROUND(I101/E101, 5)</f>
        <v>1.277E-2</v>
      </c>
      <c r="J102" s="393">
        <f>ROUND(J101/E116, 5)</f>
        <v>1.8400000000000001E-3</v>
      </c>
      <c r="L102" s="50"/>
      <c r="M102" s="392"/>
      <c r="N102" s="95"/>
      <c r="O102" s="81">
        <f>ROUND(O101/L101, 5)</f>
        <v>-8.2500000000000004E-3</v>
      </c>
      <c r="P102" s="81">
        <f>ROUND(P101/L101, 5)</f>
        <v>2.6360000000000001E-2</v>
      </c>
      <c r="Q102" s="393">
        <f>ROUND(Q101/L116, 5)</f>
        <v>1.8500000000000001E-3</v>
      </c>
      <c r="S102" s="50"/>
      <c r="T102" s="392"/>
      <c r="U102" s="95"/>
      <c r="V102" s="81"/>
      <c r="W102" s="394"/>
    </row>
    <row r="103" spans="2:23" x14ac:dyDescent="0.2">
      <c r="B103" s="82"/>
      <c r="C103" s="395"/>
      <c r="D103" s="83"/>
      <c r="E103" s="396" t="s">
        <v>182</v>
      </c>
      <c r="F103" s="397">
        <f>F116+F133</f>
        <v>7448585.0592142921</v>
      </c>
      <c r="G103" s="84">
        <f>G116+G133</f>
        <v>8308183.4203100381</v>
      </c>
      <c r="H103" s="398"/>
      <c r="I103" s="398"/>
      <c r="J103" s="398"/>
      <c r="K103" s="129"/>
      <c r="L103" s="396" t="s">
        <v>182</v>
      </c>
      <c r="M103" s="397">
        <f>M116+M133</f>
        <v>7380545.0838783914</v>
      </c>
      <c r="N103" s="84">
        <f>N116+N133</f>
        <v>8231195.1450351439</v>
      </c>
      <c r="O103" s="398"/>
      <c r="P103" s="398"/>
      <c r="Q103" s="398"/>
      <c r="R103" s="129"/>
      <c r="S103" s="396"/>
      <c r="T103" s="397"/>
      <c r="U103" s="84"/>
      <c r="V103" s="398"/>
      <c r="W103" s="414"/>
    </row>
    <row r="104" spans="2:23" x14ac:dyDescent="0.2">
      <c r="B104" s="423"/>
      <c r="C104" s="424"/>
      <c r="D104" s="425"/>
      <c r="E104" s="177"/>
      <c r="F104" s="416"/>
      <c r="G104" s="177"/>
      <c r="H104" s="177"/>
      <c r="I104" s="177"/>
      <c r="J104" s="177"/>
      <c r="K104" s="177"/>
      <c r="L104" s="177"/>
      <c r="M104" s="416"/>
      <c r="N104" s="177"/>
      <c r="O104" s="177"/>
      <c r="P104" s="177"/>
      <c r="Q104" s="177"/>
      <c r="R104" s="177"/>
      <c r="S104" s="177"/>
      <c r="T104" s="416"/>
      <c r="U104" s="177"/>
      <c r="V104" s="177"/>
      <c r="W104" s="417"/>
    </row>
    <row r="105" spans="2:23" x14ac:dyDescent="0.2">
      <c r="B105" s="90" t="s">
        <v>138</v>
      </c>
      <c r="C105" s="415"/>
      <c r="D105" s="430"/>
      <c r="E105" s="177"/>
      <c r="F105" s="416"/>
      <c r="G105" s="177"/>
      <c r="H105" s="177"/>
      <c r="I105" s="177"/>
      <c r="J105" s="177"/>
      <c r="K105" s="177"/>
      <c r="L105" s="177"/>
      <c r="M105" s="416"/>
      <c r="N105" s="177"/>
      <c r="O105" s="177"/>
      <c r="P105" s="177"/>
      <c r="Q105" s="177"/>
      <c r="R105" s="177"/>
      <c r="S105" s="177"/>
      <c r="T105" s="416"/>
      <c r="U105" s="177"/>
      <c r="V105" s="177"/>
      <c r="W105" s="417"/>
    </row>
    <row r="106" spans="2:23" x14ac:dyDescent="0.2">
      <c r="B106" s="91"/>
      <c r="C106" s="392"/>
      <c r="D106" s="81"/>
      <c r="E106" s="50"/>
      <c r="F106" s="392"/>
      <c r="G106" s="50"/>
      <c r="H106" s="50"/>
      <c r="I106" s="50"/>
      <c r="J106" s="50"/>
      <c r="K106" s="50"/>
      <c r="L106" s="50"/>
      <c r="M106" s="392"/>
      <c r="N106" s="50"/>
      <c r="O106" s="50"/>
      <c r="P106" s="50"/>
      <c r="Q106" s="50"/>
      <c r="R106" s="50"/>
      <c r="S106" s="50"/>
      <c r="T106" s="392"/>
      <c r="U106" s="50"/>
      <c r="V106" s="50"/>
      <c r="W106" s="426"/>
    </row>
    <row r="107" spans="2:23" x14ac:dyDescent="0.2">
      <c r="B107" s="78" t="s">
        <v>84</v>
      </c>
      <c r="C107" s="405">
        <f>'Exh JDT-5 (JDT-INTRPL-RD)'!E12</f>
        <v>595.08000000000004</v>
      </c>
      <c r="D107" s="95">
        <f>'Exh JDT-5 (JDT-INTRPL-RD)'!$H$12</f>
        <v>701.68</v>
      </c>
      <c r="E107" s="44">
        <v>396</v>
      </c>
      <c r="F107" s="406">
        <f>SUM(+E107*C107)</f>
        <v>235651.68000000002</v>
      </c>
      <c r="G107" s="88">
        <f>SUM(+E107*D107)</f>
        <v>277865.27999999997</v>
      </c>
      <c r="H107" s="88"/>
      <c r="I107" s="88"/>
      <c r="J107" s="88"/>
      <c r="K107" s="50"/>
      <c r="L107" s="44">
        <v>396</v>
      </c>
      <c r="M107" s="406">
        <f>SUM(+L107*C107)</f>
        <v>235651.68000000002</v>
      </c>
      <c r="N107" s="88">
        <f>SUM(+L107*D107)</f>
        <v>277865.27999999997</v>
      </c>
      <c r="O107" s="88"/>
      <c r="P107" s="88"/>
      <c r="Q107" s="88"/>
      <c r="R107" s="50"/>
      <c r="S107" s="88"/>
      <c r="T107" s="406"/>
      <c r="U107" s="88"/>
      <c r="V107" s="88"/>
      <c r="W107" s="404"/>
    </row>
    <row r="108" spans="2:23" x14ac:dyDescent="0.2">
      <c r="B108" s="91" t="s">
        <v>92</v>
      </c>
      <c r="C108" s="405">
        <f>'Exh JDT-5 (JDT-INTRPL-RD)'!E13</f>
        <v>1.3</v>
      </c>
      <c r="D108" s="95">
        <f>'Exh JDT-5 (JDT-INTRPL-RD)'!$H$13</f>
        <v>1.44</v>
      </c>
      <c r="E108" s="44">
        <v>94536</v>
      </c>
      <c r="F108" s="406">
        <f t="shared" ref="F108:F109" si="6">SUM(+E108*C108)</f>
        <v>122896.8</v>
      </c>
      <c r="G108" s="88">
        <f>SUM(+E108*D108)</f>
        <v>136131.84</v>
      </c>
      <c r="H108" s="88"/>
      <c r="I108" s="88"/>
      <c r="J108" s="88"/>
      <c r="K108" s="50"/>
      <c r="L108" s="44">
        <v>94536</v>
      </c>
      <c r="M108" s="406">
        <f t="shared" ref="M108:M109" si="7">SUM(+L108*C108)</f>
        <v>122896.8</v>
      </c>
      <c r="N108" s="88">
        <f>SUM(+L108*D108)</f>
        <v>136131.84</v>
      </c>
      <c r="O108" s="88"/>
      <c r="P108" s="88"/>
      <c r="Q108" s="88"/>
      <c r="R108" s="50"/>
      <c r="S108" s="88"/>
      <c r="T108" s="406"/>
      <c r="U108" s="88"/>
      <c r="V108" s="88"/>
      <c r="W108" s="404"/>
    </row>
    <row r="109" spans="2:23" x14ac:dyDescent="0.2">
      <c r="B109" s="91" t="s">
        <v>89</v>
      </c>
      <c r="C109" s="407">
        <f>'Exh JDT-5 (JDT-INTRPL-RD)'!E14</f>
        <v>7.0499999999999998E-3</v>
      </c>
      <c r="D109" s="81">
        <f>'Exh JDT-5 (JDT-INTRPL-RD)'!$H$14</f>
        <v>7.7999999999999996E-3</v>
      </c>
      <c r="E109" s="44">
        <f>E116</f>
        <v>11124640</v>
      </c>
      <c r="F109" s="406">
        <f t="shared" si="6"/>
        <v>78428.712</v>
      </c>
      <c r="G109" s="88">
        <f>SUM(+E109*D109)</f>
        <v>86772.191999999995</v>
      </c>
      <c r="H109" s="88"/>
      <c r="I109" s="88"/>
      <c r="J109" s="88"/>
      <c r="K109" s="50"/>
      <c r="L109" s="44">
        <f>L116</f>
        <v>10745378</v>
      </c>
      <c r="M109" s="406">
        <f t="shared" si="7"/>
        <v>75754.914900000003</v>
      </c>
      <c r="N109" s="88">
        <f>SUM(+L109*D109)</f>
        <v>83813.948399999994</v>
      </c>
      <c r="O109" s="88"/>
      <c r="P109" s="88"/>
      <c r="Q109" s="88"/>
      <c r="R109" s="50"/>
      <c r="S109" s="88"/>
      <c r="T109" s="406"/>
      <c r="U109" s="88"/>
      <c r="V109" s="88"/>
      <c r="W109" s="404"/>
    </row>
    <row r="110" spans="2:23" x14ac:dyDescent="0.2">
      <c r="B110" s="91" t="s">
        <v>99</v>
      </c>
      <c r="C110" s="407"/>
      <c r="D110" s="81"/>
      <c r="E110" s="44"/>
      <c r="F110" s="421">
        <f>'Exh JDT-5 (JDT-INTRPL-RD)'!F15</f>
        <v>9677.49</v>
      </c>
      <c r="G110" s="88">
        <v>9677.49</v>
      </c>
      <c r="H110" s="88"/>
      <c r="I110" s="88"/>
      <c r="J110" s="88"/>
      <c r="K110" s="50"/>
      <c r="L110" s="44"/>
      <c r="M110" s="421">
        <f>F110</f>
        <v>9677.49</v>
      </c>
      <c r="N110" s="88">
        <v>9677.49</v>
      </c>
      <c r="O110" s="88"/>
      <c r="P110" s="88"/>
      <c r="Q110" s="88"/>
      <c r="R110" s="50"/>
      <c r="S110" s="88"/>
      <c r="T110" s="406"/>
      <c r="U110" s="88"/>
      <c r="V110" s="88"/>
      <c r="W110" s="404"/>
    </row>
    <row r="111" spans="2:23" x14ac:dyDescent="0.2">
      <c r="B111" s="91"/>
      <c r="C111" s="407"/>
      <c r="D111" s="81"/>
      <c r="E111" s="50"/>
      <c r="F111" s="392"/>
      <c r="G111" s="50"/>
      <c r="H111" s="50"/>
      <c r="I111" s="50"/>
      <c r="J111" s="50"/>
      <c r="K111" s="50"/>
      <c r="L111" s="50"/>
      <c r="M111" s="392"/>
      <c r="N111" s="50"/>
      <c r="O111" s="50"/>
      <c r="P111" s="50"/>
      <c r="Q111" s="50"/>
      <c r="R111" s="50"/>
      <c r="S111" s="50"/>
      <c r="T111" s="392"/>
      <c r="U111" s="50"/>
      <c r="V111" s="50"/>
      <c r="W111" s="426"/>
    </row>
    <row r="112" spans="2:23" x14ac:dyDescent="0.2">
      <c r="B112" s="91" t="s">
        <v>93</v>
      </c>
      <c r="C112" s="407"/>
      <c r="D112" s="81"/>
      <c r="E112" s="50"/>
      <c r="F112" s="392"/>
      <c r="G112" s="50"/>
      <c r="H112" s="50"/>
      <c r="I112" s="50"/>
      <c r="J112" s="50"/>
      <c r="K112" s="50"/>
      <c r="L112" s="50"/>
      <c r="M112" s="392"/>
      <c r="N112" s="50"/>
      <c r="O112" s="50"/>
      <c r="P112" s="50"/>
      <c r="Q112" s="50"/>
      <c r="R112" s="50"/>
      <c r="S112" s="50"/>
      <c r="T112" s="392"/>
      <c r="U112" s="50"/>
      <c r="V112" s="50"/>
      <c r="W112" s="426"/>
    </row>
    <row r="113" spans="2:23" x14ac:dyDescent="0.2">
      <c r="B113" s="91" t="s">
        <v>100</v>
      </c>
      <c r="C113" s="407">
        <f>'Exh JDT-5 (JDT-INTRPL-RD)'!E18</f>
        <v>0.1084</v>
      </c>
      <c r="D113" s="81">
        <f>'Exh JDT-5 (JDT-INTRPL-RD)'!$H$18</f>
        <v>0.12488</v>
      </c>
      <c r="E113" s="44">
        <v>4674926.706264955</v>
      </c>
      <c r="F113" s="421">
        <f>SUM(+E113*C113)</f>
        <v>506762.0549591211</v>
      </c>
      <c r="G113" s="88">
        <f>SUM(+E113*D113)</f>
        <v>583804.8470783676</v>
      </c>
      <c r="H113" s="88"/>
      <c r="I113" s="88"/>
      <c r="J113" s="88"/>
      <c r="K113" s="50"/>
      <c r="L113" s="44">
        <v>4513873.5650214646</v>
      </c>
      <c r="M113" s="406">
        <f t="shared" ref="M113:M115" si="8">SUM(+L113*C113)</f>
        <v>489303.89444832673</v>
      </c>
      <c r="N113" s="88">
        <f>SUM(+L113*D113)</f>
        <v>563692.53079988051</v>
      </c>
      <c r="O113" s="88"/>
      <c r="P113" s="88"/>
      <c r="Q113" s="88"/>
      <c r="R113" s="50"/>
      <c r="S113" s="88"/>
      <c r="T113" s="406"/>
      <c r="U113" s="88"/>
      <c r="V113" s="88"/>
      <c r="W113" s="404"/>
    </row>
    <row r="114" spans="2:23" x14ac:dyDescent="0.2">
      <c r="B114" s="91" t="s">
        <v>101</v>
      </c>
      <c r="C114" s="407">
        <f>'Exh JDT-5 (JDT-INTRPL-RD)'!E19</f>
        <v>5.3650000000000003E-2</v>
      </c>
      <c r="D114" s="81">
        <f>'Exh JDT-5 (JDT-INTRPL-RD)'!$H$19</f>
        <v>5.9339999999999997E-2</v>
      </c>
      <c r="E114" s="44">
        <v>2569738.4472592678</v>
      </c>
      <c r="F114" s="421">
        <f t="shared" ref="F114:F115" si="9">SUM(+E114*C114)</f>
        <v>137866.46769545972</v>
      </c>
      <c r="G114" s="88">
        <f>SUM(+E114*D114)</f>
        <v>152488.27946036495</v>
      </c>
      <c r="H114" s="88"/>
      <c r="I114" s="88"/>
      <c r="J114" s="88"/>
      <c r="K114" s="50"/>
      <c r="L114" s="44">
        <v>2478939.5524124894</v>
      </c>
      <c r="M114" s="406">
        <f t="shared" si="8"/>
        <v>132995.10698693007</v>
      </c>
      <c r="N114" s="88">
        <f>SUM(+L114*D114)</f>
        <v>147100.2730401571</v>
      </c>
      <c r="O114" s="88"/>
      <c r="P114" s="88"/>
      <c r="Q114" s="88"/>
      <c r="R114" s="50"/>
      <c r="S114" s="88"/>
      <c r="T114" s="406"/>
      <c r="U114" s="88"/>
      <c r="V114" s="88"/>
      <c r="W114" s="404"/>
    </row>
    <row r="115" spans="2:23" x14ac:dyDescent="0.2">
      <c r="B115" s="91" t="s">
        <v>102</v>
      </c>
      <c r="C115" s="407">
        <f>'Exh JDT-5 (JDT-INTRPL-RD)'!E20</f>
        <v>5.1319999999999998E-2</v>
      </c>
      <c r="D115" s="81">
        <f>'Exh JDT-5 (JDT-INTRPL-RD)'!$H$20</f>
        <v>5.6770000000000001E-2</v>
      </c>
      <c r="E115" s="44">
        <v>3879974.8464757777</v>
      </c>
      <c r="F115" s="421">
        <f t="shared" si="9"/>
        <v>199120.3091211369</v>
      </c>
      <c r="G115" s="88">
        <f>SUM(+E115*D115)</f>
        <v>220266.17203442991</v>
      </c>
      <c r="H115" s="88"/>
      <c r="I115" s="88"/>
      <c r="J115" s="88"/>
      <c r="K115" s="50"/>
      <c r="L115" s="44">
        <v>3752564.882566046</v>
      </c>
      <c r="M115" s="406">
        <f t="shared" si="8"/>
        <v>192581.62977328946</v>
      </c>
      <c r="N115" s="88">
        <f>SUM(+L115*D115)</f>
        <v>213033.10838327443</v>
      </c>
      <c r="O115" s="88"/>
      <c r="P115" s="88"/>
      <c r="Q115" s="88"/>
      <c r="R115" s="50"/>
      <c r="S115" s="88"/>
      <c r="T115" s="397"/>
      <c r="U115" s="84"/>
      <c r="V115" s="88"/>
      <c r="W115" s="404"/>
    </row>
    <row r="116" spans="2:23" x14ac:dyDescent="0.2">
      <c r="B116" s="97" t="s">
        <v>198</v>
      </c>
      <c r="C116" s="418"/>
      <c r="D116" s="95"/>
      <c r="E116" s="20">
        <f>SUM(E113:E115)</f>
        <v>11124640</v>
      </c>
      <c r="F116" s="429">
        <f>SUM(F107:F115)</f>
        <v>1290403.5137757179</v>
      </c>
      <c r="G116" s="134">
        <f>SUM(G107:G115)</f>
        <v>1467006.1005731623</v>
      </c>
      <c r="H116" s="94"/>
      <c r="I116" s="94"/>
      <c r="J116" s="94"/>
      <c r="K116" s="50"/>
      <c r="L116" s="20">
        <f>SUM(L113:L115)</f>
        <v>10745378</v>
      </c>
      <c r="M116" s="429">
        <f>SUM(M107:M115)</f>
        <v>1258861.5161085464</v>
      </c>
      <c r="N116" s="134">
        <f>SUM(N107:N115)</f>
        <v>1431314.4706233121</v>
      </c>
      <c r="O116" s="94"/>
      <c r="P116" s="94"/>
      <c r="Q116" s="94"/>
      <c r="R116" s="50"/>
      <c r="S116" s="134"/>
      <c r="T116" s="431"/>
      <c r="U116" s="94"/>
      <c r="V116" s="94"/>
      <c r="W116" s="404"/>
    </row>
    <row r="117" spans="2:23" x14ac:dyDescent="0.2">
      <c r="B117" s="91" t="s">
        <v>199</v>
      </c>
      <c r="C117" s="392"/>
      <c r="D117" s="95"/>
      <c r="E117" s="44"/>
      <c r="F117" s="421"/>
      <c r="G117" s="94"/>
      <c r="H117" s="84">
        <f>H$102*E116</f>
        <v>-5006.0879999999997</v>
      </c>
      <c r="I117" s="84">
        <f>I$102*E116</f>
        <v>142061.65280000001</v>
      </c>
      <c r="J117" s="409">
        <f>J$102*E116</f>
        <v>20469.337599999999</v>
      </c>
      <c r="K117" s="50"/>
      <c r="L117" s="44"/>
      <c r="M117" s="421"/>
      <c r="N117" s="94"/>
      <c r="O117" s="84">
        <f>O$102*L116</f>
        <v>-88649.368500000011</v>
      </c>
      <c r="P117" s="84">
        <f>P$102*L116</f>
        <v>283248.16408000002</v>
      </c>
      <c r="Q117" s="409">
        <f>Q$102*L116</f>
        <v>19878.9493</v>
      </c>
      <c r="R117" s="50"/>
      <c r="S117" s="94"/>
      <c r="T117" s="431"/>
      <c r="U117" s="94"/>
      <c r="V117" s="84"/>
      <c r="W117" s="414"/>
    </row>
    <row r="118" spans="2:23" x14ac:dyDescent="0.2">
      <c r="B118" s="97" t="str">
        <f>"Total "&amp;B105</f>
        <v>Total Schedule 85 - Sales</v>
      </c>
      <c r="C118" s="418"/>
      <c r="D118" s="95"/>
      <c r="E118" s="44"/>
      <c r="F118" s="421"/>
      <c r="G118" s="94"/>
      <c r="H118" s="88"/>
      <c r="I118" s="410">
        <f>G116+H117+I117</f>
        <v>1604061.6653731624</v>
      </c>
      <c r="J118" s="98"/>
      <c r="K118" s="50"/>
      <c r="L118" s="44"/>
      <c r="M118" s="421"/>
      <c r="N118" s="94"/>
      <c r="O118" s="88"/>
      <c r="P118" s="410">
        <f>N116+O117+P117</f>
        <v>1625913.266203312</v>
      </c>
      <c r="Q118" s="98"/>
      <c r="R118" s="50"/>
      <c r="S118" s="94"/>
      <c r="T118" s="431"/>
      <c r="U118" s="94"/>
      <c r="V118" s="88"/>
      <c r="W118" s="411"/>
    </row>
    <row r="119" spans="2:23" x14ac:dyDescent="0.2">
      <c r="B119" s="82"/>
      <c r="C119" s="395"/>
      <c r="D119" s="135"/>
      <c r="E119" s="83"/>
      <c r="F119" s="395"/>
      <c r="G119" s="83"/>
      <c r="H119" s="83"/>
      <c r="I119" s="83"/>
      <c r="J119" s="83"/>
      <c r="K119" s="83"/>
      <c r="L119" s="83"/>
      <c r="M119" s="395"/>
      <c r="N119" s="83"/>
      <c r="O119" s="83"/>
      <c r="P119" s="83"/>
      <c r="Q119" s="83"/>
      <c r="R119" s="83"/>
      <c r="S119" s="83"/>
      <c r="T119" s="395"/>
      <c r="U119" s="83"/>
      <c r="V119" s="83"/>
      <c r="W119" s="427"/>
    </row>
    <row r="120" spans="2:23" x14ac:dyDescent="0.2">
      <c r="B120" s="50"/>
      <c r="C120" s="392"/>
      <c r="D120" s="81"/>
      <c r="G120" s="47"/>
      <c r="H120" s="47"/>
      <c r="I120" s="47"/>
      <c r="J120" s="47"/>
      <c r="K120" s="47"/>
      <c r="N120" s="47"/>
      <c r="O120" s="47"/>
      <c r="P120" s="47"/>
      <c r="Q120" s="47"/>
      <c r="R120" s="47"/>
      <c r="U120" s="47"/>
      <c r="V120" s="47"/>
      <c r="W120" s="47"/>
    </row>
    <row r="121" spans="2:23" x14ac:dyDescent="0.2">
      <c r="B121" s="90" t="s">
        <v>140</v>
      </c>
      <c r="C121" s="415"/>
      <c r="D121" s="430"/>
      <c r="E121" s="177"/>
      <c r="F121" s="416"/>
      <c r="G121" s="177"/>
      <c r="H121" s="177"/>
      <c r="I121" s="177"/>
      <c r="J121" s="177"/>
      <c r="K121" s="177"/>
      <c r="L121" s="177"/>
      <c r="M121" s="416"/>
      <c r="N121" s="177"/>
      <c r="O121" s="177"/>
      <c r="P121" s="177"/>
      <c r="Q121" s="177"/>
      <c r="R121" s="177"/>
      <c r="S121" s="177"/>
      <c r="T121" s="416"/>
      <c r="U121" s="177"/>
      <c r="V121" s="177"/>
      <c r="W121" s="417"/>
    </row>
    <row r="122" spans="2:23" x14ac:dyDescent="0.2">
      <c r="B122" s="91"/>
      <c r="C122" s="392"/>
      <c r="D122" s="81"/>
      <c r="E122" s="50"/>
      <c r="F122" s="392"/>
      <c r="G122" s="50"/>
      <c r="H122" s="50"/>
      <c r="I122" s="50"/>
      <c r="J122" s="50"/>
      <c r="K122" s="50"/>
      <c r="L122" s="50"/>
      <c r="M122" s="392"/>
      <c r="N122" s="50"/>
      <c r="O122" s="50"/>
      <c r="P122" s="50"/>
      <c r="Q122" s="50"/>
      <c r="R122" s="50"/>
      <c r="S122" s="50"/>
      <c r="T122" s="392"/>
      <c r="U122" s="50"/>
      <c r="V122" s="50"/>
      <c r="W122" s="426"/>
    </row>
    <row r="123" spans="2:23" x14ac:dyDescent="0.2">
      <c r="B123" s="78" t="s">
        <v>84</v>
      </c>
      <c r="C123" s="405">
        <f>'Exh JDT-5 (JDT-INTRPL-RD)'!E28</f>
        <v>903.09</v>
      </c>
      <c r="D123" s="95">
        <f>'Exh JDT-5 (JDT-INTRPL-RD)'!$H$28</f>
        <v>903.09</v>
      </c>
      <c r="E123" s="44">
        <v>876</v>
      </c>
      <c r="F123" s="406">
        <f>SUM(+E123*C123)</f>
        <v>791106.84000000008</v>
      </c>
      <c r="G123" s="88">
        <f>SUM(+E123*D123)</f>
        <v>791106.84000000008</v>
      </c>
      <c r="H123" s="88"/>
      <c r="I123" s="88"/>
      <c r="J123" s="88"/>
      <c r="K123" s="50"/>
      <c r="L123" s="44">
        <v>876</v>
      </c>
      <c r="M123" s="406">
        <f>SUM(+L123*C123)</f>
        <v>791106.84000000008</v>
      </c>
      <c r="N123" s="88">
        <f>SUM(+L123*D123)</f>
        <v>791106.84000000008</v>
      </c>
      <c r="O123" s="88"/>
      <c r="P123" s="88"/>
      <c r="Q123" s="88"/>
      <c r="R123" s="50"/>
      <c r="S123" s="44"/>
      <c r="T123" s="406"/>
      <c r="U123" s="88"/>
      <c r="V123" s="88"/>
      <c r="W123" s="404"/>
    </row>
    <row r="124" spans="2:23" x14ac:dyDescent="0.2">
      <c r="B124" s="91" t="s">
        <v>92</v>
      </c>
      <c r="C124" s="405">
        <f>'Exh JDT-5 (JDT-INTRPL-RD)'!E29</f>
        <v>1.3</v>
      </c>
      <c r="D124" s="95">
        <f>'Exh JDT-5 (JDT-INTRPL-RD)'!$H$29</f>
        <v>1.44</v>
      </c>
      <c r="E124" s="44">
        <v>650832</v>
      </c>
      <c r="F124" s="406">
        <f>SUM(+E124*C124)</f>
        <v>846081.6</v>
      </c>
      <c r="G124" s="88">
        <f>SUM(+E124*D124)</f>
        <v>937198.07999999996</v>
      </c>
      <c r="H124" s="88"/>
      <c r="I124" s="88"/>
      <c r="J124" s="88"/>
      <c r="K124" s="50"/>
      <c r="L124" s="44">
        <v>650832</v>
      </c>
      <c r="M124" s="406">
        <f>SUM(+L124*C124)</f>
        <v>846081.6</v>
      </c>
      <c r="N124" s="88">
        <f>SUM(+L124*D124)</f>
        <v>937198.07999999996</v>
      </c>
      <c r="O124" s="88"/>
      <c r="P124" s="88"/>
      <c r="Q124" s="88"/>
      <c r="R124" s="50"/>
      <c r="S124" s="44"/>
      <c r="T124" s="406"/>
      <c r="U124" s="88"/>
      <c r="V124" s="88"/>
      <c r="W124" s="404"/>
    </row>
    <row r="125" spans="2:23" x14ac:dyDescent="0.2">
      <c r="B125" s="91" t="s">
        <v>99</v>
      </c>
      <c r="C125" s="392"/>
      <c r="D125" s="95"/>
      <c r="E125" s="44"/>
      <c r="F125" s="406">
        <f>G125</f>
        <v>-10601.630000000003</v>
      </c>
      <c r="G125" s="88">
        <v>-10601.630000000003</v>
      </c>
      <c r="H125" s="88"/>
      <c r="I125" s="88"/>
      <c r="J125" s="88"/>
      <c r="K125" s="50"/>
      <c r="L125" s="44"/>
      <c r="M125" s="406">
        <f>N125</f>
        <v>-10601.630000000003</v>
      </c>
      <c r="N125" s="88">
        <v>-10601.630000000003</v>
      </c>
      <c r="O125" s="88"/>
      <c r="P125" s="88"/>
      <c r="Q125" s="88"/>
      <c r="R125" s="50"/>
      <c r="S125" s="44"/>
      <c r="T125" s="406"/>
      <c r="U125" s="88"/>
      <c r="V125" s="88"/>
      <c r="W125" s="404"/>
    </row>
    <row r="126" spans="2:23" x14ac:dyDescent="0.2">
      <c r="B126" s="91"/>
      <c r="C126" s="392"/>
      <c r="D126" s="95"/>
      <c r="E126" s="44"/>
      <c r="F126" s="421"/>
      <c r="G126" s="88"/>
      <c r="H126" s="88"/>
      <c r="I126" s="88"/>
      <c r="J126" s="88"/>
      <c r="K126" s="50"/>
      <c r="L126" s="44"/>
      <c r="M126" s="421"/>
      <c r="N126" s="88"/>
      <c r="O126" s="88"/>
      <c r="P126" s="88"/>
      <c r="Q126" s="88"/>
      <c r="R126" s="50"/>
      <c r="S126" s="44"/>
      <c r="T126" s="421"/>
      <c r="U126" s="88"/>
      <c r="V126" s="88"/>
      <c r="W126" s="404"/>
    </row>
    <row r="127" spans="2:23" x14ac:dyDescent="0.2">
      <c r="B127" s="91" t="s">
        <v>93</v>
      </c>
      <c r="C127" s="392"/>
      <c r="D127" s="95"/>
      <c r="E127" s="50"/>
      <c r="F127" s="392"/>
      <c r="G127" s="50"/>
      <c r="H127" s="50"/>
      <c r="I127" s="50"/>
      <c r="J127" s="50"/>
      <c r="K127" s="50"/>
      <c r="L127" s="50"/>
      <c r="M127" s="392"/>
      <c r="N127" s="50"/>
      <c r="O127" s="50"/>
      <c r="P127" s="50"/>
      <c r="Q127" s="50"/>
      <c r="R127" s="50"/>
      <c r="S127" s="50"/>
      <c r="T127" s="392"/>
      <c r="U127" s="50"/>
      <c r="V127" s="50"/>
      <c r="W127" s="426"/>
    </row>
    <row r="128" spans="2:23" x14ac:dyDescent="0.2">
      <c r="B128" s="91" t="s">
        <v>100</v>
      </c>
      <c r="C128" s="407">
        <f>'Exh JDT-5 (JDT-INTRPL-RD)'!E33</f>
        <v>0.1084</v>
      </c>
      <c r="D128" s="81">
        <f>'Exh JDT-5 (JDT-INTRPL-RD)'!$H$33</f>
        <v>0.12488</v>
      </c>
      <c r="E128" s="44">
        <v>22292868.215119526</v>
      </c>
      <c r="F128" s="406">
        <f t="shared" ref="F128:F130" si="10">SUM(+E128*C128)</f>
        <v>2416546.9145189566</v>
      </c>
      <c r="G128" s="88">
        <f>SUM(+E128*D128)</f>
        <v>2783933.3827041266</v>
      </c>
      <c r="H128" s="88"/>
      <c r="I128" s="88"/>
      <c r="J128" s="88"/>
      <c r="K128" s="50"/>
      <c r="L128" s="44">
        <v>22106956.690598253</v>
      </c>
      <c r="M128" s="406">
        <f>SUM(+L128*C128)</f>
        <v>2396394.1052608504</v>
      </c>
      <c r="N128" s="88">
        <f>SUM(+L128*D128)</f>
        <v>2760716.7515219101</v>
      </c>
      <c r="O128" s="88"/>
      <c r="P128" s="88"/>
      <c r="Q128" s="88"/>
      <c r="R128" s="50"/>
      <c r="S128" s="44"/>
      <c r="T128" s="406"/>
      <c r="U128" s="88"/>
      <c r="V128" s="88"/>
      <c r="W128" s="404"/>
    </row>
    <row r="129" spans="2:23" x14ac:dyDescent="0.2">
      <c r="B129" s="91" t="s">
        <v>101</v>
      </c>
      <c r="C129" s="407">
        <f>'Exh JDT-5 (JDT-INTRPL-RD)'!E34</f>
        <v>5.3650000000000003E-2</v>
      </c>
      <c r="D129" s="81">
        <f>'Exh JDT-5 (JDT-INTRPL-RD)'!$H$34</f>
        <v>5.9339999999999997E-2</v>
      </c>
      <c r="E129" s="44">
        <v>15820769.939721871</v>
      </c>
      <c r="F129" s="406">
        <f t="shared" si="10"/>
        <v>848784.30726607842</v>
      </c>
      <c r="G129" s="88">
        <f>SUM(+E129*D129)</f>
        <v>938804.48822309577</v>
      </c>
      <c r="H129" s="88"/>
      <c r="I129" s="88"/>
      <c r="J129" s="88"/>
      <c r="K129" s="50"/>
      <c r="L129" s="44">
        <v>15692698.519526683</v>
      </c>
      <c r="M129" s="406">
        <f t="shared" ref="M129:M130" si="11">SUM(+L129*C129)</f>
        <v>841913.2755726066</v>
      </c>
      <c r="N129" s="88">
        <f>SUM(+L129*D129)</f>
        <v>931204.73014871334</v>
      </c>
      <c r="O129" s="88"/>
      <c r="P129" s="88"/>
      <c r="Q129" s="88"/>
      <c r="R129" s="50"/>
      <c r="S129" s="44"/>
      <c r="T129" s="406"/>
      <c r="U129" s="88"/>
      <c r="V129" s="88"/>
      <c r="W129" s="404"/>
    </row>
    <row r="130" spans="2:23" x14ac:dyDescent="0.2">
      <c r="B130" s="91" t="s">
        <v>103</v>
      </c>
      <c r="C130" s="407">
        <f>'Exh JDT-5 (JDT-INTRPL-RD)'!E35</f>
        <v>5.1319999999999998E-2</v>
      </c>
      <c r="D130" s="81">
        <f>'Exh JDT-5 (JDT-INTRPL-RD)'!$H$35</f>
        <v>5.6770000000000001E-2</v>
      </c>
      <c r="E130" s="44">
        <v>24673879.845158603</v>
      </c>
      <c r="F130" s="406">
        <f t="shared" si="10"/>
        <v>1266263.5136535394</v>
      </c>
      <c r="G130" s="88">
        <f>SUM(+E130*D130)</f>
        <v>1400736.1588096539</v>
      </c>
      <c r="H130" s="88"/>
      <c r="I130" s="88"/>
      <c r="J130" s="88"/>
      <c r="K130" s="50"/>
      <c r="L130" s="44">
        <v>24489270.789875064</v>
      </c>
      <c r="M130" s="406">
        <f t="shared" si="11"/>
        <v>1256789.3769363882</v>
      </c>
      <c r="N130" s="88">
        <f>SUM(+L130*D130)</f>
        <v>1390255.9027412075</v>
      </c>
      <c r="O130" s="88"/>
      <c r="P130" s="88"/>
      <c r="Q130" s="88"/>
      <c r="R130" s="50"/>
      <c r="S130" s="44"/>
      <c r="T130" s="397"/>
      <c r="U130" s="84"/>
      <c r="V130" s="88"/>
      <c r="W130" s="404"/>
    </row>
    <row r="131" spans="2:23" x14ac:dyDescent="0.2">
      <c r="B131" s="78" t="s">
        <v>119</v>
      </c>
      <c r="C131" s="420"/>
      <c r="D131" s="95"/>
      <c r="E131" s="20">
        <f>SUM(E128:E130)</f>
        <v>62787518</v>
      </c>
      <c r="F131" s="429">
        <f>SUM(F123:F130)</f>
        <v>6158181.5454385746</v>
      </c>
      <c r="G131" s="134">
        <f>SUM(G123:G130)</f>
        <v>6841177.3197368756</v>
      </c>
      <c r="H131" s="94"/>
      <c r="I131" s="94"/>
      <c r="J131" s="94"/>
      <c r="K131" s="50"/>
      <c r="L131" s="20">
        <f>SUM(L128:L130)</f>
        <v>62288926</v>
      </c>
      <c r="M131" s="429">
        <f>SUM(M123:M130)</f>
        <v>6121683.567769845</v>
      </c>
      <c r="N131" s="134">
        <f>SUM(N123:N130)</f>
        <v>6799880.6744118314</v>
      </c>
      <c r="O131" s="94"/>
      <c r="P131" s="94"/>
      <c r="Q131" s="94"/>
      <c r="R131" s="50"/>
      <c r="S131" s="20"/>
      <c r="T131" s="431"/>
      <c r="U131" s="94"/>
      <c r="V131" s="94"/>
      <c r="W131" s="404"/>
    </row>
    <row r="132" spans="2:23" x14ac:dyDescent="0.2">
      <c r="B132" s="78"/>
      <c r="C132" s="420"/>
      <c r="D132" s="95"/>
      <c r="E132" s="44"/>
      <c r="F132" s="421"/>
      <c r="G132" s="94"/>
      <c r="H132" s="94"/>
      <c r="I132" s="94"/>
      <c r="J132" s="94"/>
      <c r="K132" s="50"/>
      <c r="L132" s="44"/>
      <c r="M132" s="421"/>
      <c r="N132" s="94"/>
      <c r="O132" s="94"/>
      <c r="P132" s="94"/>
      <c r="Q132" s="94"/>
      <c r="R132" s="50"/>
      <c r="S132" s="44"/>
      <c r="T132" s="432"/>
      <c r="U132" s="136"/>
      <c r="V132" s="94"/>
      <c r="W132" s="199"/>
    </row>
    <row r="133" spans="2:23" x14ac:dyDescent="0.2">
      <c r="B133" s="433" t="s">
        <v>117</v>
      </c>
      <c r="C133" s="434"/>
      <c r="D133" s="95"/>
      <c r="E133" s="44"/>
      <c r="F133" s="429">
        <f>F131</f>
        <v>6158181.5454385746</v>
      </c>
      <c r="G133" s="134">
        <f>G131</f>
        <v>6841177.3197368756</v>
      </c>
      <c r="H133" s="94"/>
      <c r="I133" s="94"/>
      <c r="J133" s="94"/>
      <c r="K133" s="50"/>
      <c r="L133" s="44"/>
      <c r="M133" s="429">
        <f>M131</f>
        <v>6121683.567769845</v>
      </c>
      <c r="N133" s="134">
        <f>N131</f>
        <v>6799880.6744118314</v>
      </c>
      <c r="O133" s="94"/>
      <c r="P133" s="94"/>
      <c r="Q133" s="94"/>
      <c r="R133" s="50"/>
      <c r="S133" s="44"/>
      <c r="T133" s="431"/>
      <c r="U133" s="94"/>
      <c r="V133" s="94"/>
      <c r="W133" s="199"/>
    </row>
    <row r="134" spans="2:23" x14ac:dyDescent="0.2">
      <c r="B134" s="91" t="s">
        <v>199</v>
      </c>
      <c r="C134" s="392"/>
      <c r="D134" s="95"/>
      <c r="E134" s="44"/>
      <c r="F134" s="421"/>
      <c r="G134" s="94"/>
      <c r="H134" s="84">
        <f>H$102*E131</f>
        <v>-28254.383099999999</v>
      </c>
      <c r="I134" s="84">
        <f>I$102*E131</f>
        <v>801796.60485999996</v>
      </c>
      <c r="J134" s="88"/>
      <c r="K134" s="50"/>
      <c r="L134" s="44"/>
      <c r="M134" s="421"/>
      <c r="N134" s="94"/>
      <c r="O134" s="84">
        <f>O$102*L131</f>
        <v>-513883.63950000005</v>
      </c>
      <c r="P134" s="84">
        <f>P$102*L131</f>
        <v>1641936.0893600001</v>
      </c>
      <c r="Q134" s="88"/>
      <c r="R134" s="50"/>
      <c r="S134" s="44"/>
      <c r="T134" s="421"/>
      <c r="U134" s="44"/>
      <c r="V134" s="84"/>
      <c r="W134" s="414"/>
    </row>
    <row r="135" spans="2:23" x14ac:dyDescent="0.2">
      <c r="B135" s="97" t="str">
        <f>"Total "&amp;B121</f>
        <v>Total Schedule 85 - Transportation</v>
      </c>
      <c r="C135" s="418"/>
      <c r="D135" s="95"/>
      <c r="E135" s="44"/>
      <c r="F135" s="421"/>
      <c r="G135" s="94"/>
      <c r="H135" s="88"/>
      <c r="I135" s="410">
        <f>G133+H134+I134</f>
        <v>7614719.5414968757</v>
      </c>
      <c r="J135" s="98"/>
      <c r="K135" s="50"/>
      <c r="L135" s="44"/>
      <c r="M135" s="421"/>
      <c r="N135" s="94"/>
      <c r="O135" s="88"/>
      <c r="P135" s="410">
        <f>N133+O134+P134</f>
        <v>7927933.1242718324</v>
      </c>
      <c r="Q135" s="98"/>
      <c r="R135" s="50"/>
      <c r="S135" s="44"/>
      <c r="T135" s="421"/>
      <c r="U135" s="44"/>
      <c r="V135" s="410"/>
      <c r="W135" s="435"/>
    </row>
    <row r="136" spans="2:23" x14ac:dyDescent="0.2">
      <c r="B136" s="82"/>
      <c r="C136" s="395"/>
      <c r="D136" s="135"/>
      <c r="E136" s="83"/>
      <c r="F136" s="395"/>
      <c r="G136" s="83"/>
      <c r="H136" s="83"/>
      <c r="I136" s="83"/>
      <c r="J136" s="83"/>
      <c r="K136" s="83"/>
      <c r="L136" s="83"/>
      <c r="M136" s="395"/>
      <c r="N136" s="83"/>
      <c r="O136" s="83"/>
      <c r="P136" s="83"/>
      <c r="Q136" s="83"/>
      <c r="R136" s="83"/>
      <c r="S136" s="83"/>
      <c r="T136" s="395"/>
      <c r="U136" s="83"/>
      <c r="V136" s="83"/>
      <c r="W136" s="427"/>
    </row>
    <row r="137" spans="2:23" x14ac:dyDescent="0.2">
      <c r="B137" s="50"/>
      <c r="C137" s="392"/>
      <c r="D137" s="81"/>
      <c r="G137" s="47"/>
      <c r="H137" s="88"/>
      <c r="I137" s="88"/>
      <c r="J137" s="88"/>
      <c r="K137" s="47"/>
      <c r="N137" s="47"/>
      <c r="O137" s="47"/>
      <c r="P137" s="47"/>
      <c r="Q137" s="88"/>
      <c r="R137" s="47"/>
      <c r="U137" s="47"/>
      <c r="V137" s="47"/>
      <c r="W137" s="47"/>
    </row>
    <row r="138" spans="2:23" x14ac:dyDescent="0.2">
      <c r="B138" s="385" t="s">
        <v>203</v>
      </c>
      <c r="C138" s="386"/>
      <c r="D138" s="77"/>
      <c r="E138" s="20">
        <f>E146+E166</f>
        <v>6233899</v>
      </c>
      <c r="F138" s="387"/>
      <c r="G138" s="108"/>
      <c r="H138" s="108">
        <v>-2261.7903827306682</v>
      </c>
      <c r="I138" s="108">
        <v>64890.102143631855</v>
      </c>
      <c r="J138" s="388">
        <v>2774.6506744699045</v>
      </c>
      <c r="K138" s="389"/>
      <c r="L138" s="20">
        <f>L146+L166</f>
        <v>6068110</v>
      </c>
      <c r="M138" s="387"/>
      <c r="N138" s="389"/>
      <c r="O138" s="108">
        <v>-41419.436174809249</v>
      </c>
      <c r="P138" s="108">
        <v>132390.84508290075</v>
      </c>
      <c r="Q138" s="388">
        <v>2696.3070268991123</v>
      </c>
      <c r="R138" s="389"/>
      <c r="S138" s="20"/>
      <c r="T138" s="387"/>
      <c r="U138" s="390"/>
      <c r="V138" s="108"/>
      <c r="W138" s="391"/>
    </row>
    <row r="139" spans="2:23" x14ac:dyDescent="0.2">
      <c r="B139" s="91"/>
      <c r="C139" s="392"/>
      <c r="D139" s="50"/>
      <c r="E139" s="50"/>
      <c r="F139" s="392"/>
      <c r="G139" s="130" t="s">
        <v>197</v>
      </c>
      <c r="H139" s="81">
        <f>ROUND(H138/E138, 5)</f>
        <v>-3.6000000000000002E-4</v>
      </c>
      <c r="I139" s="81">
        <f>ROUND(I138/E138, 5)</f>
        <v>1.0410000000000001E-2</v>
      </c>
      <c r="J139" s="393">
        <f>ROUND(J138/E152, 5)</f>
        <v>4.8999999999999998E-4</v>
      </c>
      <c r="L139" s="50"/>
      <c r="M139" s="392"/>
      <c r="N139" s="95"/>
      <c r="O139" s="81">
        <f>ROUND(O138/L138, 5)</f>
        <v>-6.8300000000000001E-3</v>
      </c>
      <c r="P139" s="81">
        <f>ROUND(P138/L138, 5)</f>
        <v>2.1819999999999999E-2</v>
      </c>
      <c r="Q139" s="393">
        <f>ROUND(Q138/L152, 5)</f>
        <v>4.8999999999999998E-4</v>
      </c>
      <c r="S139" s="50"/>
      <c r="T139" s="392"/>
      <c r="U139" s="95"/>
      <c r="V139" s="81"/>
      <c r="W139" s="394"/>
    </row>
    <row r="140" spans="2:23" x14ac:dyDescent="0.2">
      <c r="B140" s="82"/>
      <c r="C140" s="395"/>
      <c r="D140" s="83"/>
      <c r="E140" s="396" t="s">
        <v>182</v>
      </c>
      <c r="F140" s="397">
        <f>F152+F168</f>
        <v>1247670.0419045878</v>
      </c>
      <c r="G140" s="84">
        <f>G152+G168</f>
        <v>1301149.7270639944</v>
      </c>
      <c r="H140" s="398"/>
      <c r="I140" s="398"/>
      <c r="J140" s="398"/>
      <c r="K140" s="129"/>
      <c r="L140" s="396" t="s">
        <v>182</v>
      </c>
      <c r="M140" s="397">
        <f>M152+M168</f>
        <v>1211985.7785573273</v>
      </c>
      <c r="N140" s="84">
        <f>N152+N168</f>
        <v>1264029.5076047436</v>
      </c>
      <c r="O140" s="398"/>
      <c r="P140" s="398"/>
      <c r="Q140" s="398"/>
      <c r="R140" s="129"/>
      <c r="S140" s="396"/>
      <c r="T140" s="397"/>
      <c r="U140" s="84"/>
      <c r="V140" s="398"/>
      <c r="W140" s="414"/>
    </row>
    <row r="141" spans="2:23" x14ac:dyDescent="0.2">
      <c r="B141" s="423"/>
      <c r="C141" s="424"/>
      <c r="D141" s="425"/>
      <c r="E141" s="177"/>
      <c r="F141" s="416"/>
      <c r="G141" s="177"/>
      <c r="H141" s="177"/>
      <c r="I141" s="177"/>
      <c r="J141" s="177"/>
      <c r="K141" s="177"/>
      <c r="L141" s="177"/>
      <c r="M141" s="416"/>
      <c r="N141" s="177"/>
      <c r="O141" s="177"/>
      <c r="P141" s="177"/>
      <c r="Q141" s="177"/>
      <c r="R141" s="177"/>
      <c r="S141" s="177"/>
      <c r="T141" s="416"/>
      <c r="U141" s="177"/>
      <c r="V141" s="177"/>
      <c r="W141" s="177"/>
    </row>
    <row r="142" spans="2:23" x14ac:dyDescent="0.2">
      <c r="B142" s="90" t="s">
        <v>142</v>
      </c>
      <c r="C142" s="415"/>
      <c r="D142" s="430"/>
      <c r="E142" s="177"/>
      <c r="F142" s="416"/>
      <c r="G142" s="177"/>
      <c r="H142" s="177"/>
      <c r="I142" s="177"/>
      <c r="J142" s="177"/>
      <c r="K142" s="177"/>
      <c r="L142" s="177"/>
      <c r="M142" s="416"/>
      <c r="N142" s="177"/>
      <c r="O142" s="177"/>
      <c r="P142" s="177"/>
      <c r="Q142" s="177"/>
      <c r="R142" s="177"/>
      <c r="S142" s="177"/>
      <c r="T142" s="416"/>
      <c r="U142" s="177"/>
      <c r="V142" s="177"/>
      <c r="W142" s="417"/>
    </row>
    <row r="143" spans="2:23" x14ac:dyDescent="0.2">
      <c r="B143" s="91"/>
      <c r="C143" s="392"/>
      <c r="D143" s="81"/>
      <c r="E143" s="50"/>
      <c r="F143" s="392"/>
      <c r="G143" s="50"/>
      <c r="H143" s="50"/>
      <c r="I143" s="50"/>
      <c r="J143" s="50"/>
      <c r="K143" s="50"/>
      <c r="L143" s="50"/>
      <c r="M143" s="392"/>
      <c r="N143" s="50"/>
      <c r="O143" s="50"/>
      <c r="P143" s="50"/>
      <c r="Q143" s="50"/>
      <c r="R143" s="50"/>
      <c r="S143" s="50"/>
      <c r="T143" s="392"/>
      <c r="U143" s="50"/>
      <c r="V143" s="50"/>
      <c r="W143" s="426"/>
    </row>
    <row r="144" spans="2:23" x14ac:dyDescent="0.2">
      <c r="B144" s="78" t="s">
        <v>84</v>
      </c>
      <c r="C144" s="405">
        <f>'Exh JDT-5 (JDT-INTRPL-RD)'!E59</f>
        <v>148.82</v>
      </c>
      <c r="D144" s="95">
        <f>'Exh JDT-5 (JDT-INTRPL-RD)'!$H$59</f>
        <v>148.82</v>
      </c>
      <c r="E144" s="44">
        <v>1194</v>
      </c>
      <c r="F144" s="406">
        <f t="shared" ref="F144:F146" si="12">SUM(+E144*C144)</f>
        <v>177691.08</v>
      </c>
      <c r="G144" s="88">
        <f>SUM(+E144*D144)</f>
        <v>177691.08</v>
      </c>
      <c r="H144" s="88"/>
      <c r="I144" s="88"/>
      <c r="J144" s="88"/>
      <c r="K144" s="50"/>
      <c r="L144" s="44">
        <v>1128</v>
      </c>
      <c r="M144" s="406">
        <f t="shared" ref="M144:M146" si="13">SUM(+L144*C144)</f>
        <v>167868.96</v>
      </c>
      <c r="N144" s="88">
        <f>SUM(+L144*D144)</f>
        <v>167868.96</v>
      </c>
      <c r="O144" s="88"/>
      <c r="P144" s="88"/>
      <c r="Q144" s="88"/>
      <c r="R144" s="50"/>
      <c r="S144" s="44"/>
      <c r="T144" s="406"/>
      <c r="U144" s="88"/>
      <c r="V144" s="88"/>
      <c r="W144" s="404"/>
    </row>
    <row r="145" spans="2:23" x14ac:dyDescent="0.2">
      <c r="B145" s="91" t="s">
        <v>92</v>
      </c>
      <c r="C145" s="407">
        <f>'Exh JDT-5 (JDT-INTRPL-RD)'!E60</f>
        <v>1.35</v>
      </c>
      <c r="D145" s="81">
        <f>'Exh JDT-5 (JDT-INTRPL-RD)'!$H$60</f>
        <v>1.35</v>
      </c>
      <c r="E145" s="44">
        <v>38184</v>
      </c>
      <c r="F145" s="406">
        <f t="shared" si="12"/>
        <v>51548.4</v>
      </c>
      <c r="G145" s="88">
        <f>SUM(+E145*D145)</f>
        <v>51548.4</v>
      </c>
      <c r="H145" s="88"/>
      <c r="I145" s="88"/>
      <c r="J145" s="88"/>
      <c r="K145" s="50"/>
      <c r="L145" s="44">
        <v>38184</v>
      </c>
      <c r="M145" s="406">
        <f t="shared" si="13"/>
        <v>51548.4</v>
      </c>
      <c r="N145" s="88">
        <f>SUM(+L145*D145)</f>
        <v>51548.4</v>
      </c>
      <c r="O145" s="88"/>
      <c r="P145" s="88"/>
      <c r="Q145" s="88"/>
      <c r="R145" s="50"/>
      <c r="S145" s="44"/>
      <c r="T145" s="406"/>
      <c r="U145" s="88"/>
      <c r="V145" s="88"/>
      <c r="W145" s="404"/>
    </row>
    <row r="146" spans="2:23" x14ac:dyDescent="0.2">
      <c r="B146" s="91" t="s">
        <v>89</v>
      </c>
      <c r="C146" s="407">
        <f>'Exh JDT-5 (JDT-INTRPL-RD)'!E61</f>
        <v>1.222E-2</v>
      </c>
      <c r="D146" s="81">
        <f>'Exh JDT-5 (JDT-INTRPL-RD)'!$H$61</f>
        <v>1.222E-2</v>
      </c>
      <c r="E146" s="44">
        <f>E152</f>
        <v>5691490</v>
      </c>
      <c r="F146" s="406">
        <f t="shared" si="12"/>
        <v>69550.007800000007</v>
      </c>
      <c r="G146" s="88">
        <f>SUM(+E146*D146)</f>
        <v>69550.007800000007</v>
      </c>
      <c r="H146" s="88"/>
      <c r="I146" s="88"/>
      <c r="J146" s="88"/>
      <c r="K146" s="50"/>
      <c r="L146" s="44">
        <f>L152</f>
        <v>5489408</v>
      </c>
      <c r="M146" s="406">
        <f t="shared" si="13"/>
        <v>67080.565759999998</v>
      </c>
      <c r="N146" s="88">
        <f>SUM(+L146*D146)</f>
        <v>67080.565759999998</v>
      </c>
      <c r="O146" s="88"/>
      <c r="P146" s="88"/>
      <c r="Q146" s="88"/>
      <c r="R146" s="50"/>
      <c r="S146" s="44"/>
      <c r="T146" s="406"/>
      <c r="U146" s="88"/>
      <c r="V146" s="88"/>
      <c r="W146" s="404"/>
    </row>
    <row r="147" spans="2:23" x14ac:dyDescent="0.2">
      <c r="B147" s="91" t="s">
        <v>99</v>
      </c>
      <c r="C147" s="392"/>
      <c r="D147" s="81"/>
      <c r="E147" s="44"/>
      <c r="F147" s="421">
        <f>G147</f>
        <v>7612.77</v>
      </c>
      <c r="G147" s="88">
        <v>7612.77</v>
      </c>
      <c r="H147" s="88"/>
      <c r="I147" s="88"/>
      <c r="J147" s="88"/>
      <c r="K147" s="50"/>
      <c r="L147" s="44"/>
      <c r="M147" s="421">
        <f>N147</f>
        <v>7612.77</v>
      </c>
      <c r="N147" s="88">
        <v>7612.77</v>
      </c>
      <c r="O147" s="88"/>
      <c r="P147" s="88"/>
      <c r="Q147" s="88"/>
      <c r="R147" s="50"/>
      <c r="S147" s="44"/>
      <c r="T147" s="421"/>
      <c r="U147" s="88"/>
      <c r="V147" s="88"/>
      <c r="W147" s="404"/>
    </row>
    <row r="148" spans="2:23" x14ac:dyDescent="0.2">
      <c r="B148" s="91"/>
      <c r="C148" s="392"/>
      <c r="D148" s="81"/>
      <c r="E148" s="50"/>
      <c r="F148" s="392"/>
      <c r="G148" s="50"/>
      <c r="H148" s="50"/>
      <c r="I148" s="50"/>
      <c r="J148" s="50"/>
      <c r="K148" s="50"/>
      <c r="L148" s="50"/>
      <c r="M148" s="392"/>
      <c r="N148" s="50"/>
      <c r="O148" s="50"/>
      <c r="P148" s="50"/>
      <c r="Q148" s="50"/>
      <c r="R148" s="50"/>
      <c r="S148" s="50"/>
      <c r="T148" s="392"/>
      <c r="U148" s="50"/>
      <c r="V148" s="50"/>
      <c r="W148" s="426"/>
    </row>
    <row r="149" spans="2:23" x14ac:dyDescent="0.2">
      <c r="B149" s="91" t="s">
        <v>93</v>
      </c>
      <c r="C149" s="392"/>
      <c r="D149" s="81"/>
      <c r="E149" s="50"/>
      <c r="F149" s="392"/>
      <c r="G149" s="50"/>
      <c r="H149" s="50"/>
      <c r="I149" s="50"/>
      <c r="J149" s="50"/>
      <c r="K149" s="50"/>
      <c r="L149" s="50"/>
      <c r="M149" s="392"/>
      <c r="N149" s="50"/>
      <c r="O149" s="50"/>
      <c r="P149" s="50"/>
      <c r="Q149" s="50"/>
      <c r="R149" s="50"/>
      <c r="S149" s="50"/>
      <c r="T149" s="392"/>
      <c r="U149" s="50"/>
      <c r="V149" s="50"/>
      <c r="W149" s="426"/>
    </row>
    <row r="150" spans="2:23" x14ac:dyDescent="0.2">
      <c r="B150" s="91" t="s">
        <v>104</v>
      </c>
      <c r="C150" s="407">
        <f>'Exh JDT-5 (JDT-INTRPL-RD)'!E65</f>
        <v>0.18382000000000001</v>
      </c>
      <c r="D150" s="81">
        <f>'Exh JDT-5 (JDT-INTRPL-RD)'!$H$65</f>
        <v>0.1951</v>
      </c>
      <c r="E150" s="44">
        <v>1046420.020336004</v>
      </c>
      <c r="F150" s="406">
        <f t="shared" ref="F150:F151" si="14">SUM(+E150*C150)</f>
        <v>192352.92813816425</v>
      </c>
      <c r="G150" s="88">
        <f>SUM(+E150*D150)</f>
        <v>204156.54596755438</v>
      </c>
      <c r="H150" s="88"/>
      <c r="I150" s="88"/>
      <c r="J150" s="88"/>
      <c r="K150" s="50"/>
      <c r="L150" s="44">
        <v>1009396.7998300681</v>
      </c>
      <c r="M150" s="406">
        <f t="shared" ref="M150:M151" si="15">SUM(+L150*C150)</f>
        <v>185547.31974476314</v>
      </c>
      <c r="N150" s="88">
        <f>SUM(+L150*D150)</f>
        <v>196933.31564684628</v>
      </c>
      <c r="O150" s="88"/>
      <c r="P150" s="88"/>
      <c r="Q150" s="88"/>
      <c r="R150" s="50"/>
      <c r="S150" s="44"/>
      <c r="T150" s="406"/>
      <c r="U150" s="88"/>
      <c r="V150" s="88"/>
      <c r="W150" s="426"/>
    </row>
    <row r="151" spans="2:23" x14ac:dyDescent="0.2">
      <c r="B151" s="91" t="s">
        <v>105</v>
      </c>
      <c r="C151" s="407">
        <f>'Exh JDT-5 (JDT-INTRPL-RD)'!E66</f>
        <v>0.13031000000000001</v>
      </c>
      <c r="D151" s="81">
        <f>'Exh JDT-5 (JDT-INTRPL-RD)'!$H$66</f>
        <v>0.13830999999999999</v>
      </c>
      <c r="E151" s="44">
        <v>4645069.979663996</v>
      </c>
      <c r="F151" s="406">
        <f t="shared" si="14"/>
        <v>605299.06905001542</v>
      </c>
      <c r="G151" s="88">
        <f>SUM(+E151*D151)</f>
        <v>642459.62888732727</v>
      </c>
      <c r="H151" s="88"/>
      <c r="I151" s="88"/>
      <c r="J151" s="88"/>
      <c r="K151" s="50"/>
      <c r="L151" s="44">
        <v>4480011.2001699321</v>
      </c>
      <c r="M151" s="406">
        <f t="shared" si="15"/>
        <v>583790.25949414389</v>
      </c>
      <c r="N151" s="88">
        <f>SUM(+L151*D151)</f>
        <v>619630.34909550322</v>
      </c>
      <c r="O151" s="88"/>
      <c r="P151" s="88"/>
      <c r="Q151" s="88"/>
      <c r="R151" s="50"/>
      <c r="S151" s="44"/>
      <c r="T151" s="397"/>
      <c r="U151" s="84"/>
      <c r="V151" s="88"/>
      <c r="W151" s="426"/>
    </row>
    <row r="152" spans="2:23" x14ac:dyDescent="0.2">
      <c r="B152" s="433" t="s">
        <v>117</v>
      </c>
      <c r="C152" s="434"/>
      <c r="D152" s="81"/>
      <c r="E152" s="20">
        <f>SUM(E150:E151)</f>
        <v>5691490</v>
      </c>
      <c r="F152" s="429">
        <f>SUM(F144:F151)</f>
        <v>1104054.2549881795</v>
      </c>
      <c r="G152" s="134">
        <f>SUM(G144:G151)</f>
        <v>1153018.4326548816</v>
      </c>
      <c r="H152" s="94"/>
      <c r="I152" s="94"/>
      <c r="J152" s="94"/>
      <c r="K152" s="50"/>
      <c r="L152" s="20">
        <f>SUM(L150:L151)</f>
        <v>5489408</v>
      </c>
      <c r="M152" s="429">
        <f>SUM(M144:M151)</f>
        <v>1063448.274998907</v>
      </c>
      <c r="N152" s="134">
        <f>SUM(N144:N151)</f>
        <v>1110674.3605023497</v>
      </c>
      <c r="O152" s="94"/>
      <c r="P152" s="94"/>
      <c r="Q152" s="94"/>
      <c r="R152" s="50"/>
      <c r="S152" s="20"/>
      <c r="T152" s="431"/>
      <c r="U152" s="94"/>
      <c r="V152" s="94"/>
      <c r="W152" s="426"/>
    </row>
    <row r="153" spans="2:23" x14ac:dyDescent="0.2">
      <c r="B153" s="91" t="s">
        <v>199</v>
      </c>
      <c r="C153" s="392"/>
      <c r="D153" s="95"/>
      <c r="E153" s="44"/>
      <c r="F153" s="421"/>
      <c r="G153" s="94"/>
      <c r="H153" s="84">
        <f>H$139*E152</f>
        <v>-2048.9364</v>
      </c>
      <c r="I153" s="84">
        <f>I$139*E152</f>
        <v>59248.410900000003</v>
      </c>
      <c r="J153" s="409">
        <f>J$139*E152</f>
        <v>2788.8301000000001</v>
      </c>
      <c r="K153" s="50"/>
      <c r="L153" s="44"/>
      <c r="M153" s="421"/>
      <c r="N153" s="94"/>
      <c r="O153" s="84">
        <f>O$139*L152</f>
        <v>-37492.656640000001</v>
      </c>
      <c r="P153" s="84">
        <f>P$139*L152</f>
        <v>119778.88256</v>
      </c>
      <c r="Q153" s="409">
        <f>Q$139*L152</f>
        <v>2689.8099199999997</v>
      </c>
      <c r="R153" s="50"/>
      <c r="S153" s="44"/>
      <c r="T153" s="421"/>
      <c r="U153" s="44"/>
      <c r="V153" s="84"/>
      <c r="W153" s="414"/>
    </row>
    <row r="154" spans="2:23" x14ac:dyDescent="0.2">
      <c r="B154" s="97" t="str">
        <f>"Total "&amp;B142</f>
        <v>Total Schedule 86 - Sales</v>
      </c>
      <c r="C154" s="418"/>
      <c r="D154" s="95"/>
      <c r="E154" s="44"/>
      <c r="F154" s="421"/>
      <c r="G154" s="94"/>
      <c r="H154" s="88"/>
      <c r="I154" s="410">
        <f>G152+H153+I153</f>
        <v>1210217.9071548816</v>
      </c>
      <c r="J154" s="98"/>
      <c r="K154" s="50"/>
      <c r="L154" s="44"/>
      <c r="M154" s="421"/>
      <c r="N154" s="94"/>
      <c r="O154" s="88"/>
      <c r="P154" s="410">
        <f>N152+O153+P153</f>
        <v>1192960.5864223498</v>
      </c>
      <c r="Q154" s="98"/>
      <c r="R154" s="50"/>
      <c r="S154" s="44"/>
      <c r="T154" s="421"/>
      <c r="U154" s="44"/>
      <c r="V154" s="410"/>
      <c r="W154" s="435"/>
    </row>
    <row r="155" spans="2:23" x14ac:dyDescent="0.2">
      <c r="B155" s="82"/>
      <c r="C155" s="395"/>
      <c r="D155" s="138"/>
      <c r="E155" s="83"/>
      <c r="F155" s="395"/>
      <c r="G155" s="83"/>
      <c r="H155" s="83"/>
      <c r="I155" s="83"/>
      <c r="J155" s="83"/>
      <c r="K155" s="83"/>
      <c r="L155" s="83"/>
      <c r="M155" s="395"/>
      <c r="N155" s="83"/>
      <c r="O155" s="83"/>
      <c r="P155" s="83"/>
      <c r="Q155" s="83"/>
      <c r="R155" s="83"/>
      <c r="S155" s="83"/>
      <c r="T155" s="395"/>
      <c r="U155" s="83"/>
      <c r="V155" s="83"/>
      <c r="W155" s="427"/>
    </row>
    <row r="156" spans="2:23" x14ac:dyDescent="0.2">
      <c r="B156" s="50"/>
      <c r="C156" s="392"/>
      <c r="D156" s="139"/>
      <c r="E156" s="50"/>
      <c r="F156" s="392"/>
      <c r="G156" s="50"/>
      <c r="H156" s="50"/>
      <c r="I156" s="50"/>
      <c r="J156" s="50"/>
      <c r="K156" s="50"/>
      <c r="L156" s="50"/>
      <c r="M156" s="392"/>
      <c r="N156" s="50"/>
      <c r="O156" s="50"/>
      <c r="P156" s="50"/>
      <c r="Q156" s="50"/>
      <c r="R156" s="50"/>
      <c r="S156" s="50"/>
      <c r="T156" s="392"/>
      <c r="U156" s="50"/>
      <c r="V156" s="50"/>
      <c r="W156" s="50"/>
    </row>
    <row r="157" spans="2:23" x14ac:dyDescent="0.2">
      <c r="B157" s="90" t="s">
        <v>144</v>
      </c>
      <c r="C157" s="415"/>
      <c r="D157" s="430"/>
      <c r="E157" s="177"/>
      <c r="F157" s="416"/>
      <c r="G157" s="177"/>
      <c r="H157" s="177"/>
      <c r="I157" s="177"/>
      <c r="J157" s="177"/>
      <c r="K157" s="177"/>
      <c r="L157" s="177"/>
      <c r="M157" s="416"/>
      <c r="N157" s="177"/>
      <c r="O157" s="177"/>
      <c r="P157" s="177"/>
      <c r="Q157" s="177"/>
      <c r="R157" s="177"/>
      <c r="S157" s="177"/>
      <c r="T157" s="416"/>
      <c r="U157" s="177"/>
      <c r="V157" s="177"/>
      <c r="W157" s="417"/>
    </row>
    <row r="158" spans="2:23" x14ac:dyDescent="0.2">
      <c r="B158" s="91"/>
      <c r="C158" s="392"/>
      <c r="D158" s="81"/>
      <c r="E158" s="50"/>
      <c r="F158" s="392"/>
      <c r="G158" s="50"/>
      <c r="H158" s="50"/>
      <c r="I158" s="50"/>
      <c r="J158" s="50"/>
      <c r="K158" s="50"/>
      <c r="L158" s="50"/>
      <c r="M158" s="392"/>
      <c r="N158" s="50"/>
      <c r="O158" s="50"/>
      <c r="P158" s="50"/>
      <c r="Q158" s="50"/>
      <c r="R158" s="50"/>
      <c r="S158" s="50"/>
      <c r="T158" s="392"/>
      <c r="U158" s="50"/>
      <c r="V158" s="50"/>
      <c r="W158" s="426"/>
    </row>
    <row r="159" spans="2:23" x14ac:dyDescent="0.2">
      <c r="B159" s="78" t="s">
        <v>84</v>
      </c>
      <c r="C159" s="405">
        <f>'Exh JDT-5 (JDT-INTRPL-RD)'!E74</f>
        <v>457.76</v>
      </c>
      <c r="D159" s="95">
        <f>'Exh JDT-5 (JDT-INTRPL-RD)'!$H$74</f>
        <v>457.76</v>
      </c>
      <c r="E159" s="44">
        <v>96</v>
      </c>
      <c r="F159" s="406">
        <f t="shared" ref="F159:F160" si="16">SUM(+E159*C159)</f>
        <v>43944.959999999999</v>
      </c>
      <c r="G159" s="88">
        <f>SUM(+E159*D159)</f>
        <v>43944.959999999999</v>
      </c>
      <c r="H159" s="88"/>
      <c r="I159" s="88"/>
      <c r="J159" s="88"/>
      <c r="K159" s="50"/>
      <c r="L159" s="44">
        <v>96</v>
      </c>
      <c r="M159" s="406">
        <f t="shared" ref="M159:M160" si="17">SUM(+L159*C159)</f>
        <v>43944.959999999999</v>
      </c>
      <c r="N159" s="88">
        <f>SUM(+L159*D159)</f>
        <v>43944.959999999999</v>
      </c>
      <c r="O159" s="88"/>
      <c r="P159" s="88"/>
      <c r="Q159" s="88"/>
      <c r="R159" s="50"/>
      <c r="S159" s="44"/>
      <c r="T159" s="406"/>
      <c r="U159" s="88"/>
      <c r="V159" s="88"/>
      <c r="W159" s="404"/>
    </row>
    <row r="160" spans="2:23" x14ac:dyDescent="0.2">
      <c r="B160" s="91" t="s">
        <v>92</v>
      </c>
      <c r="C160" s="405">
        <f>'Exh JDT-5 (JDT-INTRPL-RD)'!E75</f>
        <v>1.35</v>
      </c>
      <c r="D160" s="95">
        <f>'Exh JDT-5 (JDT-INTRPL-RD)'!$H$75</f>
        <v>1.35</v>
      </c>
      <c r="E160" s="44">
        <v>19344</v>
      </c>
      <c r="F160" s="406">
        <f t="shared" si="16"/>
        <v>26114.400000000001</v>
      </c>
      <c r="G160" s="88">
        <f>SUM(+E160*D160)</f>
        <v>26114.400000000001</v>
      </c>
      <c r="H160" s="88"/>
      <c r="I160" s="88"/>
      <c r="J160" s="88"/>
      <c r="K160" s="50"/>
      <c r="L160" s="44">
        <v>19344</v>
      </c>
      <c r="M160" s="406">
        <f t="shared" si="17"/>
        <v>26114.400000000001</v>
      </c>
      <c r="N160" s="88">
        <f>SUM(+L160*D160)</f>
        <v>26114.400000000001</v>
      </c>
      <c r="O160" s="88"/>
      <c r="P160" s="88"/>
      <c r="Q160" s="88"/>
      <c r="R160" s="50"/>
      <c r="S160" s="44"/>
      <c r="T160" s="406"/>
      <c r="U160" s="88"/>
      <c r="V160" s="88"/>
      <c r="W160" s="404"/>
    </row>
    <row r="161" spans="2:23" x14ac:dyDescent="0.2">
      <c r="B161" s="91" t="s">
        <v>99</v>
      </c>
      <c r="C161" s="407"/>
      <c r="D161" s="81"/>
      <c r="E161" s="44"/>
      <c r="F161" s="421"/>
      <c r="G161" s="88">
        <v>0</v>
      </c>
      <c r="H161" s="88"/>
      <c r="I161" s="88"/>
      <c r="J161" s="88"/>
      <c r="K161" s="50"/>
      <c r="L161" s="44"/>
      <c r="M161" s="421"/>
      <c r="N161" s="88">
        <v>0</v>
      </c>
      <c r="O161" s="88"/>
      <c r="P161" s="88"/>
      <c r="Q161" s="88"/>
      <c r="R161" s="50"/>
      <c r="S161" s="44"/>
      <c r="T161" s="421"/>
      <c r="U161" s="88"/>
      <c r="V161" s="88"/>
      <c r="W161" s="404"/>
    </row>
    <row r="162" spans="2:23" x14ac:dyDescent="0.2">
      <c r="B162" s="91"/>
      <c r="C162" s="407"/>
      <c r="D162" s="81"/>
      <c r="E162" s="44"/>
      <c r="F162" s="421"/>
      <c r="G162" s="88"/>
      <c r="H162" s="88"/>
      <c r="I162" s="88"/>
      <c r="J162" s="88"/>
      <c r="K162" s="50"/>
      <c r="L162" s="44"/>
      <c r="M162" s="421"/>
      <c r="N162" s="88"/>
      <c r="O162" s="88"/>
      <c r="P162" s="88"/>
      <c r="Q162" s="88"/>
      <c r="R162" s="50"/>
      <c r="S162" s="44"/>
      <c r="T162" s="421"/>
      <c r="U162" s="88"/>
      <c r="V162" s="88"/>
      <c r="W162" s="404"/>
    </row>
    <row r="163" spans="2:23" x14ac:dyDescent="0.2">
      <c r="B163" s="91" t="s">
        <v>93</v>
      </c>
      <c r="C163" s="407"/>
      <c r="D163" s="81"/>
      <c r="E163" s="50"/>
      <c r="F163" s="392"/>
      <c r="G163" s="50"/>
      <c r="H163" s="50"/>
      <c r="I163" s="50"/>
      <c r="J163" s="50"/>
      <c r="K163" s="50"/>
      <c r="L163" s="50"/>
      <c r="M163" s="392"/>
      <c r="N163" s="50"/>
      <c r="O163" s="50"/>
      <c r="P163" s="50"/>
      <c r="Q163" s="50"/>
      <c r="R163" s="50"/>
      <c r="S163" s="50"/>
      <c r="T163" s="392"/>
      <c r="U163" s="50"/>
      <c r="V163" s="50"/>
      <c r="W163" s="426"/>
    </row>
    <row r="164" spans="2:23" x14ac:dyDescent="0.2">
      <c r="B164" s="91" t="s">
        <v>104</v>
      </c>
      <c r="C164" s="407">
        <f>'Exh JDT-5 (JDT-INTRPL-RD)'!E79</f>
        <v>0.18382000000000001</v>
      </c>
      <c r="D164" s="81">
        <f>'Exh JDT-5 (JDT-INTRPL-RD)'!$H$79</f>
        <v>0.1951</v>
      </c>
      <c r="E164" s="44">
        <v>53730.333141622155</v>
      </c>
      <c r="F164" s="406">
        <f t="shared" ref="F164:F165" si="18">SUM(+E164*C164)</f>
        <v>9876.7098380929856</v>
      </c>
      <c r="G164" s="88">
        <f>SUM(+E164*D164)</f>
        <v>10482.787995930483</v>
      </c>
      <c r="H164" s="88"/>
      <c r="I164" s="88"/>
      <c r="J164" s="88"/>
      <c r="K164" s="50"/>
      <c r="L164" s="44">
        <v>57325.470723610815</v>
      </c>
      <c r="M164" s="406">
        <f t="shared" ref="M164:M165" si="19">SUM(+L164*C164)</f>
        <v>10537.56802841414</v>
      </c>
      <c r="N164" s="88">
        <f>SUM(+L164*D164)</f>
        <v>11184.19933817647</v>
      </c>
      <c r="O164" s="88"/>
      <c r="P164" s="88"/>
      <c r="Q164" s="88"/>
      <c r="R164" s="50"/>
      <c r="S164" s="44"/>
      <c r="T164" s="406"/>
      <c r="U164" s="88"/>
      <c r="V164" s="88"/>
      <c r="W164" s="426"/>
    </row>
    <row r="165" spans="2:23" x14ac:dyDescent="0.2">
      <c r="B165" s="91" t="s">
        <v>105</v>
      </c>
      <c r="C165" s="407">
        <f>'Exh JDT-5 (JDT-INTRPL-RD)'!E80</f>
        <v>0.13031000000000001</v>
      </c>
      <c r="D165" s="81">
        <f>'Exh JDT-5 (JDT-INTRPL-RD)'!$H$80</f>
        <v>0.13830999999999999</v>
      </c>
      <c r="E165" s="44">
        <v>488678.66685837781</v>
      </c>
      <c r="F165" s="406">
        <f t="shared" si="18"/>
        <v>63679.717078315218</v>
      </c>
      <c r="G165" s="88">
        <f>SUM(+E165*D165)</f>
        <v>67589.146413182229</v>
      </c>
      <c r="H165" s="88"/>
      <c r="I165" s="88"/>
      <c r="J165" s="88"/>
      <c r="K165" s="50"/>
      <c r="L165" s="44">
        <v>521376.5292763891</v>
      </c>
      <c r="M165" s="406">
        <f t="shared" si="19"/>
        <v>67940.575530006274</v>
      </c>
      <c r="N165" s="88">
        <f>SUM(+L165*D165)</f>
        <v>72111.587764217373</v>
      </c>
      <c r="O165" s="88"/>
      <c r="P165" s="88"/>
      <c r="Q165" s="88"/>
      <c r="R165" s="50"/>
      <c r="S165" s="44"/>
      <c r="T165" s="397"/>
      <c r="U165" s="84"/>
      <c r="V165" s="88"/>
      <c r="W165" s="426"/>
    </row>
    <row r="166" spans="2:23" x14ac:dyDescent="0.2">
      <c r="B166" s="78" t="s">
        <v>119</v>
      </c>
      <c r="C166" s="420"/>
      <c r="D166" s="81"/>
      <c r="E166" s="20">
        <f>SUM(E164:E165)</f>
        <v>542409</v>
      </c>
      <c r="F166" s="429">
        <f>SUM(F159:F165)</f>
        <v>143615.78691640819</v>
      </c>
      <c r="G166" s="134">
        <f>SUM(G159:G165)</f>
        <v>148131.29440911271</v>
      </c>
      <c r="H166" s="94"/>
      <c r="I166" s="94"/>
      <c r="J166" s="94"/>
      <c r="K166" s="50"/>
      <c r="L166" s="20">
        <f>SUM(L164:L165)</f>
        <v>578701.99999999988</v>
      </c>
      <c r="M166" s="429">
        <f>SUM(M159:M165)</f>
        <v>148537.5035584204</v>
      </c>
      <c r="N166" s="134">
        <f>SUM(N159:N165)</f>
        <v>153355.14710239385</v>
      </c>
      <c r="O166" s="94"/>
      <c r="P166" s="94"/>
      <c r="Q166" s="94"/>
      <c r="R166" s="50"/>
      <c r="S166" s="20"/>
      <c r="T166" s="431"/>
      <c r="U166" s="94"/>
      <c r="V166" s="94"/>
      <c r="W166" s="426"/>
    </row>
    <row r="167" spans="2:23" x14ac:dyDescent="0.2">
      <c r="B167" s="78"/>
      <c r="C167" s="420"/>
      <c r="D167" s="81"/>
      <c r="E167" s="44"/>
      <c r="F167" s="421"/>
      <c r="G167" s="94"/>
      <c r="H167" s="94"/>
      <c r="I167" s="94"/>
      <c r="J167" s="94"/>
      <c r="K167" s="50"/>
      <c r="L167" s="44"/>
      <c r="M167" s="421"/>
      <c r="N167" s="94"/>
      <c r="O167" s="94"/>
      <c r="P167" s="94"/>
      <c r="Q167" s="94"/>
      <c r="R167" s="50"/>
      <c r="S167" s="44"/>
      <c r="T167" s="421"/>
      <c r="U167" s="94"/>
      <c r="V167" s="94"/>
      <c r="W167" s="426"/>
    </row>
    <row r="168" spans="2:23" x14ac:dyDescent="0.2">
      <c r="B168" s="433" t="s">
        <v>117</v>
      </c>
      <c r="C168" s="434"/>
      <c r="D168" s="95"/>
      <c r="E168" s="95"/>
      <c r="F168" s="429">
        <f>F166</f>
        <v>143615.78691640819</v>
      </c>
      <c r="G168" s="134">
        <f>G166</f>
        <v>148131.29440911271</v>
      </c>
      <c r="H168" s="94"/>
      <c r="I168" s="94"/>
      <c r="J168" s="94"/>
      <c r="K168" s="50"/>
      <c r="L168" s="44"/>
      <c r="M168" s="429">
        <f>M166</f>
        <v>148537.5035584204</v>
      </c>
      <c r="N168" s="134">
        <f>N166</f>
        <v>153355.14710239385</v>
      </c>
      <c r="O168" s="94"/>
      <c r="P168" s="94"/>
      <c r="Q168" s="94"/>
      <c r="R168" s="50"/>
      <c r="S168" s="44"/>
      <c r="T168" s="429"/>
      <c r="U168" s="134"/>
      <c r="V168" s="94"/>
      <c r="W168" s="426"/>
    </row>
    <row r="169" spans="2:23" x14ac:dyDescent="0.2">
      <c r="B169" s="91" t="s">
        <v>199</v>
      </c>
      <c r="C169" s="392"/>
      <c r="D169" s="95"/>
      <c r="E169" s="44"/>
      <c r="F169" s="421"/>
      <c r="G169" s="94"/>
      <c r="H169" s="84">
        <f>H$139*E166</f>
        <v>-195.26724000000002</v>
      </c>
      <c r="I169" s="84">
        <f>I$139*E166</f>
        <v>5646.4776900000006</v>
      </c>
      <c r="J169" s="88"/>
      <c r="K169" s="50"/>
      <c r="L169" s="44"/>
      <c r="M169" s="421"/>
      <c r="N169" s="94"/>
      <c r="O169" s="84">
        <f>O$139*L166</f>
        <v>-3952.5346599999993</v>
      </c>
      <c r="P169" s="84">
        <f>P$139*L166</f>
        <v>12627.277639999997</v>
      </c>
      <c r="Q169" s="88"/>
      <c r="R169" s="50"/>
      <c r="S169" s="44"/>
      <c r="T169" s="421"/>
      <c r="U169" s="44"/>
      <c r="V169" s="84"/>
      <c r="W169" s="414"/>
    </row>
    <row r="170" spans="2:23" x14ac:dyDescent="0.2">
      <c r="B170" s="97" t="str">
        <f>"Total "&amp;B157</f>
        <v>Total Schedule 86 - Transportation</v>
      </c>
      <c r="C170" s="418"/>
      <c r="D170" s="95"/>
      <c r="E170" s="44"/>
      <c r="F170" s="421"/>
      <c r="G170" s="94"/>
      <c r="H170" s="88"/>
      <c r="I170" s="410">
        <f>G168+H169+I169</f>
        <v>153582.50485911273</v>
      </c>
      <c r="J170" s="98"/>
      <c r="K170" s="50"/>
      <c r="L170" s="44"/>
      <c r="M170" s="421"/>
      <c r="N170" s="94"/>
      <c r="O170" s="88"/>
      <c r="P170" s="410">
        <f>N168+O169+P169</f>
        <v>162029.89008239383</v>
      </c>
      <c r="Q170" s="98"/>
      <c r="R170" s="50"/>
      <c r="S170" s="44"/>
      <c r="T170" s="421"/>
      <c r="U170" s="44"/>
      <c r="V170" s="410"/>
      <c r="W170" s="435"/>
    </row>
    <row r="171" spans="2:23" x14ac:dyDescent="0.2">
      <c r="B171" s="82"/>
      <c r="C171" s="395"/>
      <c r="D171" s="135"/>
      <c r="E171" s="83"/>
      <c r="F171" s="395"/>
      <c r="G171" s="83"/>
      <c r="H171" s="83"/>
      <c r="I171" s="83"/>
      <c r="J171" s="83"/>
      <c r="K171" s="83"/>
      <c r="L171" s="83"/>
      <c r="M171" s="395"/>
      <c r="N171" s="83"/>
      <c r="O171" s="83"/>
      <c r="P171" s="83"/>
      <c r="Q171" s="83"/>
      <c r="R171" s="83"/>
      <c r="S171" s="83"/>
      <c r="T171" s="395"/>
      <c r="U171" s="83"/>
      <c r="V171" s="83"/>
      <c r="W171" s="427"/>
    </row>
    <row r="172" spans="2:23" x14ac:dyDescent="0.2">
      <c r="B172" s="50"/>
      <c r="C172" s="392"/>
      <c r="D172" s="81"/>
      <c r="E172" s="50"/>
      <c r="F172" s="392"/>
      <c r="G172" s="50"/>
      <c r="H172" s="50"/>
      <c r="I172" s="50"/>
      <c r="J172" s="50"/>
      <c r="K172" s="50"/>
      <c r="L172" s="50"/>
      <c r="M172" s="392"/>
      <c r="N172" s="50"/>
      <c r="O172" s="50"/>
      <c r="P172" s="50"/>
      <c r="Q172" s="50"/>
      <c r="R172" s="50"/>
      <c r="S172" s="50"/>
      <c r="T172" s="392"/>
      <c r="U172" s="50"/>
      <c r="V172" s="50"/>
      <c r="W172" s="50"/>
    </row>
    <row r="173" spans="2:23" x14ac:dyDescent="0.2">
      <c r="B173" s="385" t="s">
        <v>204</v>
      </c>
      <c r="C173" s="386"/>
      <c r="D173" s="77"/>
      <c r="E173" s="20">
        <f>E191+E209</f>
        <v>150772868.4078348</v>
      </c>
      <c r="F173" s="387"/>
      <c r="G173" s="108"/>
      <c r="H173" s="108">
        <v>-21511.446244260045</v>
      </c>
      <c r="I173" s="108">
        <v>617157.07817363204</v>
      </c>
      <c r="J173" s="388">
        <v>17392.144629522732</v>
      </c>
      <c r="K173" s="389"/>
      <c r="L173" s="20">
        <f>L191+L209</f>
        <v>163828422.4078348</v>
      </c>
      <c r="M173" s="387"/>
      <c r="N173" s="389"/>
      <c r="O173" s="108">
        <v>-393932.1616825831</v>
      </c>
      <c r="P173" s="108">
        <v>1259143.450682939</v>
      </c>
      <c r="Q173" s="388">
        <v>16901.068739540333</v>
      </c>
      <c r="R173" s="389"/>
      <c r="S173" s="20"/>
      <c r="T173" s="387"/>
      <c r="U173" s="390"/>
      <c r="V173" s="108"/>
      <c r="W173" s="391"/>
    </row>
    <row r="174" spans="2:23" x14ac:dyDescent="0.2">
      <c r="B174" s="91"/>
      <c r="C174" s="392"/>
      <c r="D174" s="50"/>
      <c r="E174" s="50"/>
      <c r="F174" s="392"/>
      <c r="G174" s="436" t="s">
        <v>205</v>
      </c>
      <c r="H174" s="437">
        <f>H173/SUM(G185:G190,G203:G208)</f>
        <v>-3.3627947095812159E-3</v>
      </c>
      <c r="I174" s="437">
        <f>I173/SUM(G185:G190,G203:G208)</f>
        <v>9.6477593086827795E-2</v>
      </c>
      <c r="J174" s="438">
        <f>J173/SUM(G185:G190)</f>
        <v>1.435254156171876E-2</v>
      </c>
      <c r="L174" s="50"/>
      <c r="M174" s="392"/>
      <c r="N174" s="95"/>
      <c r="O174" s="437">
        <f>O173/SUM(N185:N190,N203:N208)</f>
        <v>-5.8611569639943552E-2</v>
      </c>
      <c r="P174" s="437">
        <f>P173/SUM(N185:N190,N203:N208)</f>
        <v>0.18734285043181545</v>
      </c>
      <c r="Q174" s="438">
        <f>Q173/SUM(N185:N190)</f>
        <v>1.3947290382461298E-2</v>
      </c>
      <c r="S174" s="50"/>
      <c r="T174" s="392"/>
      <c r="U174" s="95"/>
      <c r="V174" s="81"/>
      <c r="W174" s="394"/>
    </row>
    <row r="175" spans="2:23" x14ac:dyDescent="0.2">
      <c r="B175" s="82"/>
      <c r="C175" s="395"/>
      <c r="D175" s="83"/>
      <c r="E175" s="396" t="s">
        <v>182</v>
      </c>
      <c r="F175" s="397">
        <f>F191+F211</f>
        <v>6484148.915463971</v>
      </c>
      <c r="G175" s="84">
        <f>G191+G211</f>
        <v>7273078.4699999997</v>
      </c>
      <c r="H175" s="439">
        <f>H174*0.33</f>
        <v>-1.1097222541618012E-3</v>
      </c>
      <c r="I175" s="439">
        <f>I174*0.33</f>
        <v>3.1837605718653177E-2</v>
      </c>
      <c r="J175" s="440">
        <f>J174*0.33</f>
        <v>4.7363387153671914E-3</v>
      </c>
      <c r="K175" s="129"/>
      <c r="L175" s="396" t="s">
        <v>182</v>
      </c>
      <c r="M175" s="397">
        <f>M191+M211</f>
        <v>6797351.655923971</v>
      </c>
      <c r="N175" s="84">
        <f>N191+N211</f>
        <v>7597247.8700000001</v>
      </c>
      <c r="O175" s="439">
        <f>O174*0.33</f>
        <v>-1.9341817981181373E-2</v>
      </c>
      <c r="P175" s="439">
        <f>P174*0.33</f>
        <v>6.1823140642499101E-2</v>
      </c>
      <c r="Q175" s="440">
        <f>Q174*0.33</f>
        <v>4.6026058262122289E-3</v>
      </c>
      <c r="R175" s="129"/>
      <c r="S175" s="396"/>
      <c r="T175" s="397"/>
      <c r="U175" s="84"/>
      <c r="V175" s="398"/>
      <c r="W175" s="414"/>
    </row>
    <row r="176" spans="2:23" x14ac:dyDescent="0.2">
      <c r="B176" s="423"/>
      <c r="C176" s="424"/>
      <c r="D176" s="425"/>
      <c r="E176" s="177"/>
      <c r="F176" s="416"/>
      <c r="G176" s="177"/>
      <c r="H176" s="437">
        <f>((H173-SUM(H190*E190,H208*E208)))/SUM(G185:G189,G203:G207)</f>
        <v>-4.3960121108792766E-3</v>
      </c>
      <c r="I176" s="437">
        <f>((I173-SUM(I190*E190,I208*E208)))/SUM(G185:G189,G203:G207)</f>
        <v>0.12748556504784747</v>
      </c>
      <c r="J176" s="438">
        <f>((J173-SUM(J190*E190)))/SUM(G185:G189)</f>
        <v>1.6730764655358814E-2</v>
      </c>
      <c r="K176" s="177"/>
      <c r="L176" s="177"/>
      <c r="M176" s="416"/>
      <c r="N176" s="177"/>
      <c r="O176" s="437">
        <f>((O173-SUM(O190*L190,O208*L208)))/SUM(N185:N189,N203:N207)</f>
        <v>-8.0393275410869408E-2</v>
      </c>
      <c r="P176" s="437">
        <f>((P173-SUM(P190*L190,P208*L208)))/SUM(N185:N189,N203:N207)</f>
        <v>0.25683621444510701</v>
      </c>
      <c r="Q176" s="438">
        <f>((Q173-SUM(Q190*L190)))/SUM(N185:N189)</f>
        <v>1.6324885783442142E-2</v>
      </c>
      <c r="R176" s="177"/>
      <c r="S176" s="177"/>
      <c r="T176" s="416"/>
      <c r="U176" s="177"/>
      <c r="V176" s="177"/>
      <c r="W176" s="417"/>
    </row>
    <row r="177" spans="2:23" x14ac:dyDescent="0.2">
      <c r="B177" s="90" t="s">
        <v>146</v>
      </c>
      <c r="C177" s="415"/>
      <c r="D177" s="430"/>
      <c r="E177" s="177"/>
      <c r="F177" s="416"/>
      <c r="G177" s="177"/>
      <c r="H177" s="177"/>
      <c r="I177" s="177"/>
      <c r="J177" s="177"/>
      <c r="K177" s="177"/>
      <c r="L177" s="177"/>
      <c r="M177" s="416"/>
      <c r="N177" s="177"/>
      <c r="O177" s="177"/>
      <c r="P177" s="177"/>
      <c r="Q177" s="177"/>
      <c r="R177" s="177"/>
      <c r="S177" s="177"/>
      <c r="T177" s="416"/>
      <c r="U177" s="177"/>
      <c r="V177" s="177"/>
      <c r="W177" s="417"/>
    </row>
    <row r="178" spans="2:23" x14ac:dyDescent="0.2">
      <c r="B178" s="91"/>
      <c r="C178" s="392"/>
      <c r="D178" s="81"/>
      <c r="E178" s="50"/>
      <c r="F178" s="392"/>
      <c r="G178" s="50"/>
      <c r="H178" s="50"/>
      <c r="I178" s="50"/>
      <c r="J178" s="50"/>
      <c r="K178" s="50"/>
      <c r="L178" s="50"/>
      <c r="M178" s="392"/>
      <c r="N178" s="50"/>
      <c r="O178" s="50"/>
      <c r="P178" s="50"/>
      <c r="Q178" s="50"/>
      <c r="R178" s="50"/>
      <c r="S178" s="50"/>
      <c r="T178" s="392"/>
      <c r="U178" s="50"/>
      <c r="V178" s="50"/>
      <c r="W178" s="426"/>
    </row>
    <row r="179" spans="2:23" x14ac:dyDescent="0.2">
      <c r="B179" s="78" t="s">
        <v>84</v>
      </c>
      <c r="C179" s="405">
        <f>'Exh JDT-5 (JDT-INTRPL-RD)'!E104</f>
        <v>606.5</v>
      </c>
      <c r="D179" s="95">
        <f>'Exh JDT-5 (JDT-INTRPL-RD)'!$H$104</f>
        <v>715.15</v>
      </c>
      <c r="E179" s="44">
        <v>60</v>
      </c>
      <c r="F179" s="406">
        <f t="shared" ref="F179:F180" si="20">SUM(+E179*C179)</f>
        <v>36390</v>
      </c>
      <c r="G179" s="88">
        <f>ROUND(E179*D179,2)</f>
        <v>42909</v>
      </c>
      <c r="H179" s="88"/>
      <c r="I179" s="88"/>
      <c r="J179" s="88"/>
      <c r="K179" s="50"/>
      <c r="L179" s="44">
        <v>60</v>
      </c>
      <c r="M179" s="406">
        <f t="shared" ref="M179:M181" si="21">SUM(+L179*C179)</f>
        <v>36390</v>
      </c>
      <c r="N179" s="88">
        <f>ROUND(L179*D179,2)</f>
        <v>42909</v>
      </c>
      <c r="O179" s="88"/>
      <c r="P179" s="88"/>
      <c r="Q179" s="88"/>
      <c r="R179" s="50"/>
      <c r="S179" s="44"/>
      <c r="T179" s="406"/>
      <c r="U179" s="88"/>
      <c r="V179" s="88"/>
      <c r="W179" s="404"/>
    </row>
    <row r="180" spans="2:23" x14ac:dyDescent="0.2">
      <c r="B180" s="91" t="s">
        <v>92</v>
      </c>
      <c r="C180" s="405">
        <f>'Exh JDT-5 (JDT-INTRPL-RD)'!E105</f>
        <v>1.45</v>
      </c>
      <c r="D180" s="95">
        <f>'Exh JDT-5 (JDT-INTRPL-RD)'!$H$105</f>
        <v>1.45</v>
      </c>
      <c r="E180" s="44">
        <v>0</v>
      </c>
      <c r="F180" s="406">
        <f t="shared" si="20"/>
        <v>0</v>
      </c>
      <c r="G180" s="88">
        <f>ROUND(E180*D180,2)</f>
        <v>0</v>
      </c>
      <c r="H180" s="88"/>
      <c r="I180" s="88"/>
      <c r="J180" s="88"/>
      <c r="K180" s="50"/>
      <c r="L180" s="44">
        <v>0</v>
      </c>
      <c r="M180" s="406">
        <f t="shared" si="21"/>
        <v>0</v>
      </c>
      <c r="N180" s="88">
        <f>ROUND(L180*D180,2)</f>
        <v>0</v>
      </c>
      <c r="O180" s="88"/>
      <c r="P180" s="88"/>
      <c r="Q180" s="88"/>
      <c r="R180" s="50"/>
      <c r="S180" s="44"/>
      <c r="T180" s="406"/>
      <c r="U180" s="88"/>
      <c r="V180" s="88"/>
      <c r="W180" s="404"/>
    </row>
    <row r="181" spans="2:23" x14ac:dyDescent="0.2">
      <c r="B181" s="91" t="s">
        <v>89</v>
      </c>
      <c r="C181" s="407">
        <f>'Exh JDT-5 (JDT-INTRPL-RD)'!E106</f>
        <v>8.43E-3</v>
      </c>
      <c r="D181" s="81">
        <f>'Exh JDT-5 (JDT-INTRPL-RD)'!$H$106</f>
        <v>9.3200000000000002E-3</v>
      </c>
      <c r="E181" s="44">
        <f>E191</f>
        <v>21819455.762355208</v>
      </c>
      <c r="F181" s="406">
        <f>SUM(+E181*C181)</f>
        <v>183938.01207665441</v>
      </c>
      <c r="G181" s="88">
        <f>ROUND(E181*D181,2)</f>
        <v>203357.33</v>
      </c>
      <c r="H181" s="88"/>
      <c r="I181" s="88"/>
      <c r="J181" s="88"/>
      <c r="K181" s="50"/>
      <c r="L181" s="44">
        <f>L191</f>
        <v>21819455.762355208</v>
      </c>
      <c r="M181" s="406">
        <f t="shared" si="21"/>
        <v>183938.01207665441</v>
      </c>
      <c r="N181" s="88">
        <f>ROUND(L181*D181,2)</f>
        <v>203357.33</v>
      </c>
      <c r="O181" s="88"/>
      <c r="P181" s="88"/>
      <c r="Q181" s="88"/>
      <c r="R181" s="50"/>
      <c r="S181" s="44"/>
      <c r="T181" s="406"/>
      <c r="U181" s="88"/>
      <c r="V181" s="88"/>
      <c r="W181" s="404"/>
    </row>
    <row r="182" spans="2:23" x14ac:dyDescent="0.2">
      <c r="B182" s="91" t="s">
        <v>99</v>
      </c>
      <c r="C182" s="392"/>
      <c r="D182" s="95"/>
      <c r="E182" s="50"/>
      <c r="F182" s="406">
        <f>G182</f>
        <v>51086.770000000004</v>
      </c>
      <c r="G182" s="88">
        <v>51086.770000000004</v>
      </c>
      <c r="H182" s="88"/>
      <c r="I182" s="88"/>
      <c r="J182" s="88"/>
      <c r="K182" s="50"/>
      <c r="L182" s="50"/>
      <c r="M182" s="406">
        <f>N182</f>
        <v>51086.770000000004</v>
      </c>
      <c r="N182" s="88">
        <v>51086.770000000004</v>
      </c>
      <c r="O182" s="88"/>
      <c r="P182" s="88"/>
      <c r="Q182" s="88"/>
      <c r="R182" s="50"/>
      <c r="S182" s="50"/>
      <c r="T182" s="406"/>
      <c r="U182" s="88"/>
      <c r="V182" s="88"/>
      <c r="W182" s="404"/>
    </row>
    <row r="183" spans="2:23" x14ac:dyDescent="0.2">
      <c r="B183" s="91"/>
      <c r="C183" s="392"/>
      <c r="D183" s="95"/>
      <c r="E183" s="50"/>
      <c r="F183" s="392"/>
      <c r="G183" s="50"/>
      <c r="H183" s="50"/>
      <c r="I183" s="50"/>
      <c r="J183" s="50"/>
      <c r="K183" s="50"/>
      <c r="L183" s="50"/>
      <c r="M183" s="392"/>
      <c r="N183" s="50"/>
      <c r="O183" s="50"/>
      <c r="P183" s="50"/>
      <c r="Q183" s="50"/>
      <c r="R183" s="50"/>
      <c r="S183" s="50"/>
      <c r="T183" s="392"/>
      <c r="U183" s="50"/>
      <c r="V183" s="50"/>
      <c r="W183" s="426"/>
    </row>
    <row r="184" spans="2:23" x14ac:dyDescent="0.2">
      <c r="B184" s="91" t="s">
        <v>93</v>
      </c>
      <c r="C184" s="392"/>
      <c r="D184" s="95"/>
      <c r="E184" s="50"/>
      <c r="F184" s="392"/>
      <c r="G184" s="50"/>
      <c r="H184" s="50"/>
      <c r="I184" s="50"/>
      <c r="J184" s="50"/>
      <c r="K184" s="50"/>
      <c r="L184" s="50"/>
      <c r="M184" s="392"/>
      <c r="N184" s="50"/>
      <c r="O184" s="50"/>
      <c r="P184" s="50"/>
      <c r="Q184" s="50"/>
      <c r="R184" s="50"/>
      <c r="S184" s="50"/>
      <c r="T184" s="392"/>
      <c r="U184" s="50"/>
      <c r="V184" s="50"/>
      <c r="W184" s="426"/>
    </row>
    <row r="185" spans="2:23" x14ac:dyDescent="0.2">
      <c r="B185" s="91" t="s">
        <v>100</v>
      </c>
      <c r="C185" s="407">
        <f>'Exh JDT-5 (JDT-INTRPL-RD)'!E110</f>
        <v>0.17533000000000001</v>
      </c>
      <c r="D185" s="81">
        <f>'Exh JDT-5 (JDT-INTRPL-RD)'!$H$110</f>
        <v>0.20754</v>
      </c>
      <c r="E185" s="44">
        <v>1512193</v>
      </c>
      <c r="F185" s="406">
        <f t="shared" ref="F185:F190" si="22">SUM(+E185*C185)</f>
        <v>265132.79869000003</v>
      </c>
      <c r="G185" s="88">
        <f t="shared" ref="G185:G190" si="23">ROUND(E185*D185,2)</f>
        <v>313840.53999999998</v>
      </c>
      <c r="H185" s="441">
        <f>ROUND((G185*H$176)/E185,5)</f>
        <v>-9.1E-4</v>
      </c>
      <c r="I185" s="441">
        <f>ROUND((G185*I$176)/E185,5)</f>
        <v>2.6460000000000001E-2</v>
      </c>
      <c r="J185" s="442">
        <f>ROUND((G185*J$176)/E185,5)</f>
        <v>3.47E-3</v>
      </c>
      <c r="K185" s="50"/>
      <c r="L185" s="44">
        <v>1512193</v>
      </c>
      <c r="M185" s="406">
        <f t="shared" ref="M185:M190" si="24">SUM(+L185*C185)</f>
        <v>265132.79869000003</v>
      </c>
      <c r="N185" s="88">
        <f t="shared" ref="N185:N190" si="25">ROUND(L185*D185,2)</f>
        <v>313840.53999999998</v>
      </c>
      <c r="O185" s="441">
        <f>ROUND((N185*O$176)/L185,5)</f>
        <v>-1.668E-2</v>
      </c>
      <c r="P185" s="441">
        <f>ROUND((N185*P$176)/L185,5)</f>
        <v>5.33E-2</v>
      </c>
      <c r="Q185" s="442">
        <f>ROUND((N185*Q$176)/L185,5)</f>
        <v>3.3899999999999998E-3</v>
      </c>
      <c r="R185" s="50"/>
      <c r="S185" s="44"/>
      <c r="T185" s="406"/>
      <c r="U185" s="88"/>
      <c r="V185" s="88"/>
      <c r="W185" s="404"/>
    </row>
    <row r="186" spans="2:23" x14ac:dyDescent="0.2">
      <c r="B186" s="91" t="s">
        <v>101</v>
      </c>
      <c r="C186" s="407">
        <f>'Exh JDT-5 (JDT-INTRPL-RD)'!E111</f>
        <v>0.10595</v>
      </c>
      <c r="D186" s="81">
        <f>'Exh JDT-5 (JDT-INTRPL-RD)'!$H$111</f>
        <v>0.12540999999999999</v>
      </c>
      <c r="E186" s="44">
        <v>1398016.115</v>
      </c>
      <c r="F186" s="406">
        <f t="shared" si="22"/>
        <v>148119.80738425002</v>
      </c>
      <c r="G186" s="88">
        <f t="shared" si="23"/>
        <v>175325.2</v>
      </c>
      <c r="H186" s="441">
        <f t="shared" ref="H186:H188" si="26">ROUND((G186*H$176)/E186,5)</f>
        <v>-5.5000000000000003E-4</v>
      </c>
      <c r="I186" s="441">
        <f t="shared" ref="I186:I189" si="27">ROUND((G186*I$176)/E186,5)</f>
        <v>1.5990000000000001E-2</v>
      </c>
      <c r="J186" s="442">
        <f t="shared" ref="J186:J189" si="28">ROUND((G186*J$176)/E186,5)</f>
        <v>2.0999999999999999E-3</v>
      </c>
      <c r="K186" s="50"/>
      <c r="L186" s="44">
        <v>1398016.115</v>
      </c>
      <c r="M186" s="406">
        <f t="shared" si="24"/>
        <v>148119.80738425002</v>
      </c>
      <c r="N186" s="88">
        <f t="shared" si="25"/>
        <v>175325.2</v>
      </c>
      <c r="O186" s="441">
        <f t="shared" ref="O186:O188" si="29">ROUND((N186*O$176)/L186,5)</f>
        <v>-1.008E-2</v>
      </c>
      <c r="P186" s="441">
        <f t="shared" ref="P186:P189" si="30">ROUND((N186*P$176)/L186,5)</f>
        <v>3.2210000000000003E-2</v>
      </c>
      <c r="Q186" s="442">
        <f t="shared" ref="Q186:Q189" si="31">ROUND((N186*Q$176)/L186,5)</f>
        <v>2.0500000000000002E-3</v>
      </c>
      <c r="R186" s="50"/>
      <c r="S186" s="44"/>
      <c r="T186" s="406"/>
      <c r="U186" s="88"/>
      <c r="V186" s="88"/>
      <c r="W186" s="404"/>
    </row>
    <row r="187" spans="2:23" x14ac:dyDescent="0.2">
      <c r="B187" s="91" t="s">
        <v>103</v>
      </c>
      <c r="C187" s="407">
        <f>'Exh JDT-5 (JDT-INTRPL-RD)'!E112</f>
        <v>6.7419999999999994E-2</v>
      </c>
      <c r="D187" s="81">
        <f>'Exh JDT-5 (JDT-INTRPL-RD)'!$H$112</f>
        <v>7.9810000000000006E-2</v>
      </c>
      <c r="E187" s="44">
        <v>2316890.0959999999</v>
      </c>
      <c r="F187" s="406">
        <f t="shared" si="22"/>
        <v>156204.73027231998</v>
      </c>
      <c r="G187" s="88">
        <f t="shared" si="23"/>
        <v>184911</v>
      </c>
      <c r="H187" s="441">
        <f t="shared" si="26"/>
        <v>-3.5E-4</v>
      </c>
      <c r="I187" s="441">
        <f t="shared" si="27"/>
        <v>1.017E-2</v>
      </c>
      <c r="J187" s="442">
        <f t="shared" si="28"/>
        <v>1.34E-3</v>
      </c>
      <c r="K187" s="50"/>
      <c r="L187" s="44">
        <v>2316890.0959999999</v>
      </c>
      <c r="M187" s="406">
        <f t="shared" si="24"/>
        <v>156204.73027231998</v>
      </c>
      <c r="N187" s="88">
        <f t="shared" si="25"/>
        <v>184911</v>
      </c>
      <c r="O187" s="441">
        <f t="shared" si="29"/>
        <v>-6.4200000000000004E-3</v>
      </c>
      <c r="P187" s="441">
        <f t="shared" si="30"/>
        <v>2.0500000000000001E-2</v>
      </c>
      <c r="Q187" s="442">
        <f t="shared" si="31"/>
        <v>1.2999999999999999E-3</v>
      </c>
      <c r="R187" s="50"/>
      <c r="S187" s="44"/>
      <c r="T187" s="406"/>
      <c r="U187" s="88"/>
      <c r="V187" s="88"/>
      <c r="W187" s="404"/>
    </row>
    <row r="188" spans="2:23" x14ac:dyDescent="0.2">
      <c r="B188" s="91" t="s">
        <v>15</v>
      </c>
      <c r="C188" s="407">
        <f>'Exh JDT-5 (JDT-INTRPL-RD)'!E113</f>
        <v>4.3229999999999998E-2</v>
      </c>
      <c r="D188" s="81">
        <f>'Exh JDT-5 (JDT-INTRPL-RD)'!$H$113</f>
        <v>5.117E-2</v>
      </c>
      <c r="E188" s="44">
        <v>3045256.878</v>
      </c>
      <c r="F188" s="406">
        <f t="shared" si="22"/>
        <v>131646.45483594001</v>
      </c>
      <c r="G188" s="88">
        <f t="shared" si="23"/>
        <v>155825.79</v>
      </c>
      <c r="H188" s="441">
        <f t="shared" si="26"/>
        <v>-2.2000000000000001E-4</v>
      </c>
      <c r="I188" s="441">
        <f t="shared" si="27"/>
        <v>6.5199999999999998E-3</v>
      </c>
      <c r="J188" s="442">
        <f t="shared" si="28"/>
        <v>8.5999999999999998E-4</v>
      </c>
      <c r="K188" s="50"/>
      <c r="L188" s="44">
        <v>3045256.878</v>
      </c>
      <c r="M188" s="406">
        <f t="shared" si="24"/>
        <v>131646.45483594001</v>
      </c>
      <c r="N188" s="88">
        <f t="shared" si="25"/>
        <v>155825.79</v>
      </c>
      <c r="O188" s="441">
        <f t="shared" si="29"/>
        <v>-4.1099999999999999E-3</v>
      </c>
      <c r="P188" s="441">
        <f t="shared" si="30"/>
        <v>1.3140000000000001E-2</v>
      </c>
      <c r="Q188" s="442">
        <f t="shared" si="31"/>
        <v>8.4000000000000003E-4</v>
      </c>
      <c r="R188" s="50"/>
      <c r="S188" s="44"/>
      <c r="T188" s="406"/>
      <c r="U188" s="88"/>
      <c r="V188" s="88"/>
      <c r="W188" s="404"/>
    </row>
    <row r="189" spans="2:23" x14ac:dyDescent="0.2">
      <c r="B189" s="91" t="s">
        <v>14</v>
      </c>
      <c r="C189" s="407">
        <f>'Exh JDT-5 (JDT-INTRPL-RD)'!E114</f>
        <v>3.1109999999999999E-2</v>
      </c>
      <c r="D189" s="81">
        <f>'Exh JDT-5 (JDT-INTRPL-RD)'!$H$114</f>
        <v>3.6830000000000002E-2</v>
      </c>
      <c r="E189" s="44">
        <v>3792042.2029999997</v>
      </c>
      <c r="F189" s="406">
        <f t="shared" si="22"/>
        <v>117970.43293532998</v>
      </c>
      <c r="G189" s="88">
        <f t="shared" si="23"/>
        <v>139660.91</v>
      </c>
      <c r="H189" s="441">
        <f>ROUND((G189*H$176)/E189,5)</f>
        <v>-1.6000000000000001E-4</v>
      </c>
      <c r="I189" s="441">
        <f t="shared" si="27"/>
        <v>4.7000000000000002E-3</v>
      </c>
      <c r="J189" s="442">
        <f t="shared" si="28"/>
        <v>6.2E-4</v>
      </c>
      <c r="K189" s="50"/>
      <c r="L189" s="44">
        <v>3792042.2029999997</v>
      </c>
      <c r="M189" s="406">
        <f t="shared" si="24"/>
        <v>117970.43293532998</v>
      </c>
      <c r="N189" s="88">
        <f t="shared" si="25"/>
        <v>139660.91</v>
      </c>
      <c r="O189" s="441">
        <f>ROUND((N189*O$176)/L189,5)</f>
        <v>-2.96E-3</v>
      </c>
      <c r="P189" s="441">
        <f t="shared" si="30"/>
        <v>9.4599999999999997E-3</v>
      </c>
      <c r="Q189" s="442">
        <f t="shared" si="31"/>
        <v>5.9999999999999995E-4</v>
      </c>
      <c r="R189" s="50"/>
      <c r="S189" s="44"/>
      <c r="T189" s="406"/>
      <c r="U189" s="88"/>
      <c r="V189" s="88"/>
      <c r="W189" s="404"/>
    </row>
    <row r="190" spans="2:23" x14ac:dyDescent="0.2">
      <c r="B190" s="91" t="s">
        <v>107</v>
      </c>
      <c r="C190" s="407">
        <f>'Exh JDT-5 (JDT-INTRPL-RD)'!E115</f>
        <v>2.3990000000000001E-2</v>
      </c>
      <c r="D190" s="81">
        <f>'Exh JDT-5 (JDT-INTRPL-RD)'!$H$115</f>
        <v>2.4830000000000001E-2</v>
      </c>
      <c r="E190" s="85">
        <v>9755057.4703552071</v>
      </c>
      <c r="F190" s="406">
        <f t="shared" si="22"/>
        <v>234023.82871382142</v>
      </c>
      <c r="G190" s="88">
        <f t="shared" si="23"/>
        <v>242218.08</v>
      </c>
      <c r="H190" s="441">
        <f>ROUND((G190*H$175)/E190,5)</f>
        <v>-3.0000000000000001E-5</v>
      </c>
      <c r="I190" s="441">
        <f>ROUND((G190*I$175)/E190,5)</f>
        <v>7.9000000000000001E-4</v>
      </c>
      <c r="J190" s="442">
        <f>ROUND((G190*J$175)/E190,5)</f>
        <v>1.2E-4</v>
      </c>
      <c r="K190" s="50"/>
      <c r="L190" s="85">
        <v>9755057.4703552071</v>
      </c>
      <c r="M190" s="406">
        <f t="shared" si="24"/>
        <v>234023.82871382142</v>
      </c>
      <c r="N190" s="88">
        <f t="shared" si="25"/>
        <v>242218.08</v>
      </c>
      <c r="O190" s="441">
        <f>ROUND((N190*O$175)/L190,5)</f>
        <v>-4.8000000000000001E-4</v>
      </c>
      <c r="P190" s="441">
        <f>ROUND((N190*P$175)/L190,5)</f>
        <v>1.5399999999999999E-3</v>
      </c>
      <c r="Q190" s="442">
        <f>ROUND((N190*Q$175)/L190,5)</f>
        <v>1.1E-4</v>
      </c>
      <c r="R190" s="50"/>
      <c r="S190" s="85"/>
      <c r="T190" s="397"/>
      <c r="U190" s="84"/>
      <c r="V190" s="88"/>
      <c r="W190" s="404"/>
    </row>
    <row r="191" spans="2:23" x14ac:dyDescent="0.2">
      <c r="B191" s="433" t="s">
        <v>117</v>
      </c>
      <c r="C191" s="434"/>
      <c r="D191" s="81"/>
      <c r="E191" s="44">
        <f>SUM(E185:E190)</f>
        <v>21819455.762355208</v>
      </c>
      <c r="F191" s="429">
        <f>SUM(F179:F190)</f>
        <v>1324512.8349083159</v>
      </c>
      <c r="G191" s="134">
        <f>SUM(G179:G190)</f>
        <v>1509134.6199999999</v>
      </c>
      <c r="H191" s="94"/>
      <c r="I191" s="94"/>
      <c r="J191" s="443"/>
      <c r="K191" s="50"/>
      <c r="L191" s="44">
        <f>SUM(L185:L190)</f>
        <v>21819455.762355208</v>
      </c>
      <c r="M191" s="429">
        <f>SUM(M179:M190)</f>
        <v>1324512.8349083159</v>
      </c>
      <c r="N191" s="134">
        <f>SUM(N179:N190)</f>
        <v>1509134.6199999999</v>
      </c>
      <c r="O191" s="94"/>
      <c r="P191" s="94"/>
      <c r="Q191" s="443"/>
      <c r="R191" s="50"/>
      <c r="S191" s="44"/>
      <c r="T191" s="429"/>
      <c r="U191" s="134"/>
      <c r="V191" s="94"/>
      <c r="W191" s="404"/>
    </row>
    <row r="192" spans="2:23" x14ac:dyDescent="0.2">
      <c r="B192" s="91" t="s">
        <v>199</v>
      </c>
      <c r="C192" s="392"/>
      <c r="D192" s="95"/>
      <c r="E192" s="44"/>
      <c r="F192" s="421"/>
      <c r="G192" s="94"/>
      <c r="H192" s="84">
        <f>SUMPRODUCT(E185:E190,H185:H190)</f>
        <v>-4525.2510166006559</v>
      </c>
      <c r="I192" s="84">
        <f>SUMPRODUCT(E185:E190,I185:I190)</f>
        <v>131313.84533541062</v>
      </c>
      <c r="J192" s="409">
        <f>SUMPRODUCT(E185:E190,J185:J190)</f>
        <v>17428.370257522623</v>
      </c>
      <c r="K192" s="50"/>
      <c r="L192" s="44"/>
      <c r="M192" s="421"/>
      <c r="N192" s="94"/>
      <c r="O192" s="84">
        <f>SUMPRODUCT(L185:L190,O185:O190)</f>
        <v>-82612.694370750483</v>
      </c>
      <c r="P192" s="84">
        <f>SUMPRODUCT(L185:L190,P185:P190)</f>
        <v>264036.416053797</v>
      </c>
      <c r="Q192" s="409">
        <f>SUMPRODUCT(L185:L190,Q185:Q190)</f>
        <v>16910.521851609072</v>
      </c>
      <c r="R192" s="50"/>
      <c r="S192" s="44"/>
      <c r="T192" s="421"/>
      <c r="U192" s="44"/>
      <c r="V192" s="84"/>
      <c r="W192" s="414"/>
    </row>
    <row r="193" spans="2:23" x14ac:dyDescent="0.2">
      <c r="B193" s="97" t="str">
        <f>"Total "&amp;B177</f>
        <v>Total Schedule 87 - Sales</v>
      </c>
      <c r="C193" s="418"/>
      <c r="D193" s="95"/>
      <c r="E193" s="44"/>
      <c r="F193" s="421"/>
      <c r="G193" s="94"/>
      <c r="H193" s="88"/>
      <c r="I193" s="410">
        <f>G191+H192+I192</f>
        <v>1635923.2143188098</v>
      </c>
      <c r="J193" s="98"/>
      <c r="K193" s="50"/>
      <c r="L193" s="44"/>
      <c r="M193" s="421"/>
      <c r="N193" s="94"/>
      <c r="O193" s="88"/>
      <c r="P193" s="410">
        <f>N191+O192+P192</f>
        <v>1690558.3416830464</v>
      </c>
      <c r="Q193" s="98"/>
      <c r="R193" s="50"/>
      <c r="S193" s="44"/>
      <c r="T193" s="421"/>
      <c r="U193" s="44"/>
      <c r="V193" s="410"/>
      <c r="W193" s="435"/>
    </row>
    <row r="194" spans="2:23" x14ac:dyDescent="0.2">
      <c r="B194" s="82"/>
      <c r="C194" s="395"/>
      <c r="D194" s="135"/>
      <c r="E194" s="83"/>
      <c r="F194" s="395"/>
      <c r="G194" s="83"/>
      <c r="H194" s="83"/>
      <c r="I194" s="83"/>
      <c r="J194" s="83"/>
      <c r="K194" s="83"/>
      <c r="L194" s="83"/>
      <c r="M194" s="395"/>
      <c r="N194" s="83"/>
      <c r="O194" s="83"/>
      <c r="P194" s="83"/>
      <c r="Q194" s="83"/>
      <c r="R194" s="83"/>
      <c r="S194" s="83"/>
      <c r="T194" s="395"/>
      <c r="U194" s="83"/>
      <c r="V194" s="83"/>
      <c r="W194" s="427"/>
    </row>
    <row r="195" spans="2:23" x14ac:dyDescent="0.2">
      <c r="B195" s="82"/>
      <c r="C195" s="395"/>
      <c r="D195" s="135"/>
      <c r="E195" s="83"/>
      <c r="F195" s="395"/>
      <c r="G195" s="83"/>
      <c r="H195" s="83"/>
      <c r="I195" s="83"/>
      <c r="J195" s="83"/>
      <c r="K195" s="83"/>
      <c r="L195" s="83"/>
      <c r="M195" s="395"/>
      <c r="N195" s="83"/>
      <c r="O195" s="83"/>
      <c r="P195" s="83"/>
      <c r="Q195" s="83"/>
      <c r="R195" s="83"/>
      <c r="S195" s="83"/>
      <c r="T195" s="395"/>
      <c r="U195" s="83"/>
      <c r="V195" s="83"/>
      <c r="W195" s="427"/>
    </row>
    <row r="196" spans="2:23" x14ac:dyDescent="0.2">
      <c r="B196" s="90" t="s">
        <v>148</v>
      </c>
      <c r="C196" s="415"/>
      <c r="D196" s="430"/>
      <c r="E196" s="177"/>
      <c r="F196" s="416"/>
      <c r="G196" s="177"/>
      <c r="H196" s="177"/>
      <c r="I196" s="177"/>
      <c r="J196" s="177"/>
      <c r="K196" s="177"/>
      <c r="L196" s="177"/>
      <c r="M196" s="416"/>
      <c r="N196" s="177"/>
      <c r="O196" s="177"/>
      <c r="P196" s="177"/>
      <c r="Q196" s="177"/>
      <c r="R196" s="177"/>
      <c r="S196" s="177"/>
      <c r="T196" s="416"/>
      <c r="U196" s="177"/>
      <c r="V196" s="177"/>
      <c r="W196" s="417"/>
    </row>
    <row r="197" spans="2:23" x14ac:dyDescent="0.2">
      <c r="B197" s="91"/>
      <c r="C197" s="392"/>
      <c r="D197" s="81"/>
      <c r="E197" s="50"/>
      <c r="F197" s="392"/>
      <c r="G197" s="50"/>
      <c r="H197" s="50"/>
      <c r="I197" s="50"/>
      <c r="J197" s="50"/>
      <c r="K197" s="50"/>
      <c r="L197" s="50"/>
      <c r="M197" s="392"/>
      <c r="N197" s="50"/>
      <c r="O197" s="50"/>
      <c r="P197" s="50"/>
      <c r="Q197" s="50"/>
      <c r="R197" s="50"/>
      <c r="S197" s="50"/>
      <c r="T197" s="392"/>
      <c r="U197" s="50"/>
      <c r="V197" s="50"/>
      <c r="W197" s="426"/>
    </row>
    <row r="198" spans="2:23" x14ac:dyDescent="0.2">
      <c r="B198" s="78" t="s">
        <v>84</v>
      </c>
      <c r="C198" s="420">
        <f>'Exh JDT-5 (JDT-INTRPL-RD)'!E123</f>
        <v>918.31</v>
      </c>
      <c r="D198" s="95">
        <f>'Exh JDT-5 (JDT-INTRPL-RD)'!$H$123</f>
        <v>1082.81</v>
      </c>
      <c r="E198" s="44">
        <v>132</v>
      </c>
      <c r="F198" s="406">
        <f t="shared" ref="F198:F199" si="32">SUM(+E198*C198)</f>
        <v>121216.92</v>
      </c>
      <c r="G198" s="88">
        <f>ROUND(E198*D198,2)</f>
        <v>142930.92000000001</v>
      </c>
      <c r="H198" s="88"/>
      <c r="I198" s="88"/>
      <c r="J198" s="88"/>
      <c r="K198" s="50"/>
      <c r="L198" s="44">
        <v>132</v>
      </c>
      <c r="M198" s="406">
        <f t="shared" ref="M198:M199" si="33">SUM(+L198*C198)</f>
        <v>121216.92</v>
      </c>
      <c r="N198" s="88">
        <f>ROUND(L198*D198,2)</f>
        <v>142930.92000000001</v>
      </c>
      <c r="O198" s="88"/>
      <c r="P198" s="88"/>
      <c r="Q198" s="88"/>
      <c r="R198" s="50"/>
      <c r="S198" s="44"/>
      <c r="T198" s="406"/>
      <c r="U198" s="88"/>
      <c r="V198" s="88"/>
      <c r="W198" s="404"/>
    </row>
    <row r="199" spans="2:23" x14ac:dyDescent="0.2">
      <c r="B199" s="91" t="s">
        <v>92</v>
      </c>
      <c r="C199" s="420">
        <f>'Exh JDT-5 (JDT-INTRPL-RD)'!E124</f>
        <v>1.45</v>
      </c>
      <c r="D199" s="95">
        <f>'Exh JDT-5 (JDT-INTRPL-RD)'!$H$124</f>
        <v>1.45</v>
      </c>
      <c r="E199" s="44">
        <v>287208</v>
      </c>
      <c r="F199" s="406">
        <f t="shared" si="32"/>
        <v>416451.6</v>
      </c>
      <c r="G199" s="88">
        <f>ROUND(E199*D199,2)</f>
        <v>416451.6</v>
      </c>
      <c r="H199" s="88"/>
      <c r="I199" s="88"/>
      <c r="J199" s="88"/>
      <c r="K199" s="50"/>
      <c r="L199" s="44">
        <v>287208</v>
      </c>
      <c r="M199" s="406">
        <f t="shared" si="33"/>
        <v>416451.6</v>
      </c>
      <c r="N199" s="88">
        <f>ROUND(L199*D199,2)</f>
        <v>416451.6</v>
      </c>
      <c r="O199" s="88"/>
      <c r="P199" s="88"/>
      <c r="Q199" s="88"/>
      <c r="R199" s="50"/>
      <c r="S199" s="44"/>
      <c r="T199" s="406"/>
      <c r="U199" s="88"/>
      <c r="V199" s="88"/>
      <c r="W199" s="404"/>
    </row>
    <row r="200" spans="2:23" x14ac:dyDescent="0.2">
      <c r="B200" s="91" t="s">
        <v>99</v>
      </c>
      <c r="C200" s="392"/>
      <c r="D200" s="95"/>
      <c r="E200" s="44"/>
      <c r="F200" s="421">
        <f>G200</f>
        <v>19447.379999999997</v>
      </c>
      <c r="G200" s="88">
        <v>19447.379999999997</v>
      </c>
      <c r="H200" s="88"/>
      <c r="I200" s="88"/>
      <c r="J200" s="88"/>
      <c r="K200" s="50"/>
      <c r="L200" s="44"/>
      <c r="M200" s="421">
        <f>N200</f>
        <v>19447.379999999997</v>
      </c>
      <c r="N200" s="88">
        <v>19447.379999999997</v>
      </c>
      <c r="O200" s="88"/>
      <c r="P200" s="88"/>
      <c r="Q200" s="88"/>
      <c r="R200" s="50"/>
      <c r="S200" s="44"/>
      <c r="T200" s="421"/>
      <c r="U200" s="88"/>
      <c r="V200" s="88"/>
      <c r="W200" s="404"/>
    </row>
    <row r="201" spans="2:23" x14ac:dyDescent="0.2">
      <c r="B201" s="91"/>
      <c r="C201" s="392"/>
      <c r="D201" s="81"/>
      <c r="E201" s="50"/>
      <c r="F201" s="392"/>
      <c r="G201" s="50"/>
      <c r="H201" s="50"/>
      <c r="I201" s="50"/>
      <c r="J201" s="50"/>
      <c r="K201" s="50"/>
      <c r="L201" s="50"/>
      <c r="M201" s="392"/>
      <c r="N201" s="50"/>
      <c r="O201" s="50"/>
      <c r="P201" s="50"/>
      <c r="Q201" s="50"/>
      <c r="R201" s="50"/>
      <c r="S201" s="50"/>
      <c r="T201" s="392"/>
      <c r="U201" s="50"/>
      <c r="V201" s="50"/>
      <c r="W201" s="426"/>
    </row>
    <row r="202" spans="2:23" x14ac:dyDescent="0.2">
      <c r="B202" s="91" t="s">
        <v>93</v>
      </c>
      <c r="C202" s="392"/>
      <c r="D202" s="95"/>
      <c r="E202" s="50"/>
      <c r="F202" s="392"/>
      <c r="G202" s="50"/>
      <c r="H202" s="50"/>
      <c r="I202" s="50"/>
      <c r="J202" s="50"/>
      <c r="K202" s="50"/>
      <c r="L202" s="50"/>
      <c r="M202" s="392"/>
      <c r="N202" s="50"/>
      <c r="O202" s="50"/>
      <c r="P202" s="50"/>
      <c r="Q202" s="50"/>
      <c r="R202" s="50"/>
      <c r="S202" s="50"/>
      <c r="T202" s="392"/>
      <c r="U202" s="50"/>
      <c r="V202" s="50"/>
      <c r="W202" s="426"/>
    </row>
    <row r="203" spans="2:23" x14ac:dyDescent="0.2">
      <c r="B203" s="91" t="s">
        <v>100</v>
      </c>
      <c r="C203" s="420">
        <f>'Exh JDT-5 (JDT-INTRPL-RD)'!E128</f>
        <v>0.17533000000000001</v>
      </c>
      <c r="D203" s="81">
        <f>'Exh JDT-5 (JDT-INTRPL-RD)'!$H$128</f>
        <v>0.20754</v>
      </c>
      <c r="E203" s="44">
        <v>3298789.67</v>
      </c>
      <c r="F203" s="406">
        <f t="shared" ref="F203:F208" si="34">SUM(+E203*C203)</f>
        <v>578376.79284110002</v>
      </c>
      <c r="G203" s="88">
        <f t="shared" ref="G203:G208" si="35">ROUND(E203*D203,2)</f>
        <v>684630.81</v>
      </c>
      <c r="H203" s="441">
        <f>ROUND((G203*H$176)/E203,5)</f>
        <v>-9.1E-4</v>
      </c>
      <c r="I203" s="441">
        <f>ROUND((G203*I$176)/E203,5)</f>
        <v>2.6460000000000001E-2</v>
      </c>
      <c r="J203" s="444"/>
      <c r="K203" s="50"/>
      <c r="L203" s="44">
        <v>3298789.67</v>
      </c>
      <c r="M203" s="406">
        <f t="shared" ref="M203:M208" si="36">SUM(+L203*C203)</f>
        <v>578376.79284110002</v>
      </c>
      <c r="N203" s="88">
        <f t="shared" ref="N203:N208" si="37">ROUND(L203*D203,2)</f>
        <v>684630.81</v>
      </c>
      <c r="O203" s="441">
        <f>ROUND((N203*O$176)/L203,5)</f>
        <v>-1.668E-2</v>
      </c>
      <c r="P203" s="441">
        <f>ROUND((N203*P$176)/L203,5)</f>
        <v>5.33E-2</v>
      </c>
      <c r="Q203" s="441"/>
      <c r="R203" s="50"/>
      <c r="S203" s="44"/>
      <c r="T203" s="406"/>
      <c r="U203" s="88"/>
      <c r="V203" s="88"/>
      <c r="W203" s="404"/>
    </row>
    <row r="204" spans="2:23" x14ac:dyDescent="0.2">
      <c r="B204" s="91" t="s">
        <v>101</v>
      </c>
      <c r="C204" s="420">
        <f>'Exh JDT-5 (JDT-INTRPL-RD)'!E129</f>
        <v>0.10595</v>
      </c>
      <c r="D204" s="81">
        <f>'Exh JDT-5 (JDT-INTRPL-RD)'!$H$129</f>
        <v>0.12540999999999999</v>
      </c>
      <c r="E204" s="44">
        <v>3300000</v>
      </c>
      <c r="F204" s="406">
        <f t="shared" si="34"/>
        <v>349635</v>
      </c>
      <c r="G204" s="88">
        <f t="shared" si="35"/>
        <v>413853</v>
      </c>
      <c r="H204" s="441">
        <f t="shared" ref="H204:H207" si="38">ROUND((G204*H$176)/E204,5)</f>
        <v>-5.5000000000000003E-4</v>
      </c>
      <c r="I204" s="441">
        <f t="shared" ref="I204:I207" si="39">ROUND((G204*I$176)/E204,5)</f>
        <v>1.5990000000000001E-2</v>
      </c>
      <c r="J204" s="444"/>
      <c r="K204" s="50"/>
      <c r="L204" s="44">
        <v>3300000</v>
      </c>
      <c r="M204" s="406">
        <f t="shared" si="36"/>
        <v>349635</v>
      </c>
      <c r="N204" s="88">
        <f t="shared" si="37"/>
        <v>413853</v>
      </c>
      <c r="O204" s="441">
        <f t="shared" ref="O204:O207" si="40">ROUND((N204*O$176)/L204,5)</f>
        <v>-1.008E-2</v>
      </c>
      <c r="P204" s="441">
        <f t="shared" ref="P204:P207" si="41">ROUND((N204*P$176)/L204,5)</f>
        <v>3.2210000000000003E-2</v>
      </c>
      <c r="Q204" s="441"/>
      <c r="R204" s="50"/>
      <c r="S204" s="44"/>
      <c r="T204" s="406"/>
      <c r="U204" s="88"/>
      <c r="V204" s="88"/>
      <c r="W204" s="404"/>
    </row>
    <row r="205" spans="2:23" x14ac:dyDescent="0.2">
      <c r="B205" s="91" t="s">
        <v>103</v>
      </c>
      <c r="C205" s="420">
        <f>'Exh JDT-5 (JDT-INTRPL-RD)'!E130</f>
        <v>6.7419999999999994E-2</v>
      </c>
      <c r="D205" s="81">
        <f>'Exh JDT-5 (JDT-INTRPL-RD)'!$H$130</f>
        <v>7.9810000000000006E-2</v>
      </c>
      <c r="E205" s="44">
        <v>6600000</v>
      </c>
      <c r="F205" s="406">
        <f t="shared" si="34"/>
        <v>444971.99999999994</v>
      </c>
      <c r="G205" s="88">
        <f t="shared" si="35"/>
        <v>526746</v>
      </c>
      <c r="H205" s="441">
        <f t="shared" si="38"/>
        <v>-3.5E-4</v>
      </c>
      <c r="I205" s="441">
        <f t="shared" si="39"/>
        <v>1.017E-2</v>
      </c>
      <c r="J205" s="444"/>
      <c r="K205" s="50"/>
      <c r="L205" s="44">
        <v>6600000</v>
      </c>
      <c r="M205" s="406">
        <f t="shared" si="36"/>
        <v>444971.99999999994</v>
      </c>
      <c r="N205" s="88">
        <f t="shared" si="37"/>
        <v>526746</v>
      </c>
      <c r="O205" s="441">
        <f t="shared" si="40"/>
        <v>-6.4200000000000004E-3</v>
      </c>
      <c r="P205" s="441">
        <f t="shared" si="41"/>
        <v>2.0500000000000001E-2</v>
      </c>
      <c r="Q205" s="441"/>
      <c r="R205" s="50"/>
      <c r="S205" s="44"/>
      <c r="T205" s="406"/>
      <c r="U205" s="88"/>
      <c r="V205" s="88"/>
      <c r="W205" s="404"/>
    </row>
    <row r="206" spans="2:23" x14ac:dyDescent="0.2">
      <c r="B206" s="91" t="s">
        <v>15</v>
      </c>
      <c r="C206" s="420">
        <f>'Exh JDT-5 (JDT-INTRPL-RD)'!E131</f>
        <v>4.3229999999999998E-2</v>
      </c>
      <c r="D206" s="81">
        <f>'Exh JDT-5 (JDT-INTRPL-RD)'!$H$131</f>
        <v>5.117E-2</v>
      </c>
      <c r="E206" s="44">
        <v>12663691.02</v>
      </c>
      <c r="F206" s="406">
        <f t="shared" si="34"/>
        <v>547451.36279459996</v>
      </c>
      <c r="G206" s="88">
        <f t="shared" si="35"/>
        <v>648001.06999999995</v>
      </c>
      <c r="H206" s="441">
        <f t="shared" si="38"/>
        <v>-2.2000000000000001E-4</v>
      </c>
      <c r="I206" s="441">
        <f t="shared" si="39"/>
        <v>6.5199999999999998E-3</v>
      </c>
      <c r="J206" s="444"/>
      <c r="K206" s="50"/>
      <c r="L206" s="44">
        <v>12663691.02</v>
      </c>
      <c r="M206" s="406">
        <f t="shared" si="36"/>
        <v>547451.36279459996</v>
      </c>
      <c r="N206" s="88">
        <f t="shared" si="37"/>
        <v>648001.06999999995</v>
      </c>
      <c r="O206" s="441">
        <f t="shared" si="40"/>
        <v>-4.1099999999999999E-3</v>
      </c>
      <c r="P206" s="441">
        <f t="shared" si="41"/>
        <v>1.3140000000000001E-2</v>
      </c>
      <c r="Q206" s="441"/>
      <c r="R206" s="50"/>
      <c r="S206" s="44"/>
      <c r="T206" s="406"/>
      <c r="U206" s="88"/>
      <c r="V206" s="88"/>
      <c r="W206" s="404"/>
    </row>
    <row r="207" spans="2:23" x14ac:dyDescent="0.2">
      <c r="B207" s="91" t="s">
        <v>14</v>
      </c>
      <c r="C207" s="420">
        <f>'Exh JDT-5 (JDT-INTRPL-RD)'!E132</f>
        <v>3.1109999999999999E-2</v>
      </c>
      <c r="D207" s="81">
        <f>'Exh JDT-5 (JDT-INTRPL-RD)'!$H$132</f>
        <v>3.6830000000000002E-2</v>
      </c>
      <c r="E207" s="44">
        <v>29344602.150000002</v>
      </c>
      <c r="F207" s="406">
        <f t="shared" si="34"/>
        <v>912910.57288650004</v>
      </c>
      <c r="G207" s="88">
        <f t="shared" si="35"/>
        <v>1080761.7</v>
      </c>
      <c r="H207" s="441">
        <f t="shared" si="38"/>
        <v>-1.6000000000000001E-4</v>
      </c>
      <c r="I207" s="441">
        <f t="shared" si="39"/>
        <v>4.7000000000000002E-3</v>
      </c>
      <c r="J207" s="444"/>
      <c r="K207" s="50"/>
      <c r="L207" s="44">
        <v>29344602.150000002</v>
      </c>
      <c r="M207" s="406">
        <f t="shared" si="36"/>
        <v>912910.57288650004</v>
      </c>
      <c r="N207" s="88">
        <f t="shared" si="37"/>
        <v>1080761.7</v>
      </c>
      <c r="O207" s="441">
        <f t="shared" si="40"/>
        <v>-2.96E-3</v>
      </c>
      <c r="P207" s="441">
        <f t="shared" si="41"/>
        <v>9.4599999999999997E-3</v>
      </c>
      <c r="Q207" s="441"/>
      <c r="R207" s="50"/>
      <c r="S207" s="44"/>
      <c r="T207" s="406"/>
      <c r="U207" s="88"/>
      <c r="V207" s="88"/>
      <c r="W207" s="404"/>
    </row>
    <row r="208" spans="2:23" x14ac:dyDescent="0.2">
      <c r="B208" s="91" t="s">
        <v>107</v>
      </c>
      <c r="C208" s="420">
        <f>'Exh JDT-5 (JDT-INTRPL-RD)'!E133</f>
        <v>2.3990000000000001E-2</v>
      </c>
      <c r="D208" s="81">
        <f>'Exh JDT-5 (JDT-INTRPL-RD)'!$H$133</f>
        <v>2.4830000000000001E-2</v>
      </c>
      <c r="E208" s="44">
        <v>73746329.805479586</v>
      </c>
      <c r="F208" s="406">
        <f t="shared" si="34"/>
        <v>1769174.4520334553</v>
      </c>
      <c r="G208" s="88">
        <f t="shared" si="35"/>
        <v>1831121.37</v>
      </c>
      <c r="H208" s="441">
        <f>ROUND((G208*H$175)/E208,5)</f>
        <v>-3.0000000000000001E-5</v>
      </c>
      <c r="I208" s="441">
        <f>ROUND((G208*I$175)/E208,5)</f>
        <v>7.9000000000000001E-4</v>
      </c>
      <c r="J208" s="444"/>
      <c r="K208" s="50"/>
      <c r="L208" s="44">
        <v>86801883.805479586</v>
      </c>
      <c r="M208" s="406">
        <f t="shared" si="36"/>
        <v>2082377.1924934553</v>
      </c>
      <c r="N208" s="88">
        <f t="shared" si="37"/>
        <v>2155290.77</v>
      </c>
      <c r="O208" s="441">
        <f>ROUND((N208*O$175)/L208,5)</f>
        <v>-4.8000000000000001E-4</v>
      </c>
      <c r="P208" s="441">
        <f>ROUND((N208*P$175)/L208,5)</f>
        <v>1.5399999999999999E-3</v>
      </c>
      <c r="Q208" s="441"/>
      <c r="R208" s="50"/>
      <c r="S208" s="44"/>
      <c r="T208" s="397"/>
      <c r="U208" s="84"/>
      <c r="V208" s="88"/>
      <c r="W208" s="404"/>
    </row>
    <row r="209" spans="2:23" x14ac:dyDescent="0.2">
      <c r="B209" s="78" t="s">
        <v>119</v>
      </c>
      <c r="C209" s="420"/>
      <c r="D209" s="81"/>
      <c r="E209" s="20">
        <f>SUM(E203:E208)</f>
        <v>128953412.64547959</v>
      </c>
      <c r="F209" s="387">
        <f>SUM(F198:F208)</f>
        <v>5159636.0805556551</v>
      </c>
      <c r="G209" s="134">
        <f>SUM(G198:G208)</f>
        <v>5763943.8499999996</v>
      </c>
      <c r="H209" s="94"/>
      <c r="I209" s="94"/>
      <c r="J209" s="94"/>
      <c r="K209" s="50"/>
      <c r="L209" s="20">
        <f>SUM(L203:L208)</f>
        <v>142008966.64547959</v>
      </c>
      <c r="M209" s="429">
        <f>SUM(M198:M208)</f>
        <v>5472838.8210156551</v>
      </c>
      <c r="N209" s="134">
        <f>SUM(N198:N208)</f>
        <v>6088113.25</v>
      </c>
      <c r="O209" s="94"/>
      <c r="P209" s="94"/>
      <c r="Q209" s="94"/>
      <c r="R209" s="50"/>
      <c r="S209" s="20"/>
      <c r="T209" s="431"/>
      <c r="U209" s="94"/>
      <c r="V209" s="94"/>
      <c r="W209" s="404"/>
    </row>
    <row r="210" spans="2:23" x14ac:dyDescent="0.2">
      <c r="B210" s="78"/>
      <c r="C210" s="420"/>
      <c r="D210" s="81"/>
      <c r="E210" s="50"/>
      <c r="F210" s="392"/>
      <c r="G210" s="50"/>
      <c r="H210" s="50"/>
      <c r="I210" s="50"/>
      <c r="J210" s="50"/>
      <c r="K210" s="50"/>
      <c r="L210" s="50"/>
      <c r="M210" s="392"/>
      <c r="N210" s="50"/>
      <c r="O210" s="50"/>
      <c r="P210" s="50"/>
      <c r="Q210" s="50"/>
      <c r="R210" s="50"/>
      <c r="S210" s="50"/>
      <c r="T210" s="392"/>
      <c r="U210" s="50"/>
      <c r="V210" s="50"/>
      <c r="W210" s="404"/>
    </row>
    <row r="211" spans="2:23" x14ac:dyDescent="0.2">
      <c r="B211" s="433" t="s">
        <v>117</v>
      </c>
      <c r="C211" s="434"/>
      <c r="D211" s="95"/>
      <c r="E211" s="50"/>
      <c r="F211" s="429">
        <f>F209</f>
        <v>5159636.0805556551</v>
      </c>
      <c r="G211" s="134">
        <f>G209</f>
        <v>5763943.8499999996</v>
      </c>
      <c r="H211" s="94"/>
      <c r="I211" s="94"/>
      <c r="J211" s="94"/>
      <c r="K211" s="50"/>
      <c r="L211" s="50"/>
      <c r="M211" s="429">
        <f>M209</f>
        <v>5472838.8210156551</v>
      </c>
      <c r="N211" s="134">
        <f>N209</f>
        <v>6088113.25</v>
      </c>
      <c r="O211" s="94"/>
      <c r="P211" s="94"/>
      <c r="Q211" s="94"/>
      <c r="R211" s="50"/>
      <c r="S211" s="94"/>
      <c r="T211" s="429"/>
      <c r="U211" s="134"/>
      <c r="V211" s="94"/>
      <c r="W211" s="404"/>
    </row>
    <row r="212" spans="2:23" x14ac:dyDescent="0.2">
      <c r="B212" s="91" t="s">
        <v>199</v>
      </c>
      <c r="C212" s="392"/>
      <c r="D212" s="95"/>
      <c r="E212" s="44"/>
      <c r="F212" s="421"/>
      <c r="G212" s="94"/>
      <c r="H212" s="84">
        <f>SUMPRODUCT(E203:E208,H203:H208)</f>
        <v>-16820.436862264389</v>
      </c>
      <c r="I212" s="84">
        <f>SUMPRODUCT(E203:E208,I203:I208)</f>
        <v>485921.47076992894</v>
      </c>
      <c r="J212" s="88"/>
      <c r="K212" s="50"/>
      <c r="L212" s="44"/>
      <c r="M212" s="421"/>
      <c r="N212" s="94"/>
      <c r="O212" s="84">
        <f>SUMPRODUCT(L203:L208,O203:O208)</f>
        <v>-311232.50837843027</v>
      </c>
      <c r="P212" s="84">
        <f>SUMPRODUCT(L203:L208,P203:P208)</f>
        <v>995094.22681323858</v>
      </c>
      <c r="Q212" s="88"/>
      <c r="R212" s="50"/>
      <c r="S212" s="44"/>
      <c r="T212" s="421"/>
      <c r="U212" s="44"/>
      <c r="V212" s="84"/>
      <c r="W212" s="414"/>
    </row>
    <row r="213" spans="2:23" x14ac:dyDescent="0.2">
      <c r="B213" s="97" t="str">
        <f>"Total "&amp;B196</f>
        <v>Total Schedule 87 - Transportation</v>
      </c>
      <c r="C213" s="418"/>
      <c r="D213" s="95"/>
      <c r="E213" s="44"/>
      <c r="F213" s="421"/>
      <c r="G213" s="94"/>
      <c r="H213" s="88"/>
      <c r="I213" s="410">
        <f>G211+H212+I212</f>
        <v>6233044.8839076636</v>
      </c>
      <c r="J213" s="98"/>
      <c r="K213" s="50"/>
      <c r="L213" s="44"/>
      <c r="M213" s="421"/>
      <c r="N213" s="94"/>
      <c r="O213" s="88"/>
      <c r="P213" s="410">
        <f>N211+O212+P212</f>
        <v>6771974.9684348088</v>
      </c>
      <c r="Q213" s="98"/>
      <c r="R213" s="50"/>
      <c r="S213" s="44"/>
      <c r="T213" s="421"/>
      <c r="U213" s="44"/>
      <c r="V213" s="410"/>
      <c r="W213" s="435"/>
    </row>
    <row r="214" spans="2:23" x14ac:dyDescent="0.2">
      <c r="B214" s="97"/>
      <c r="C214" s="418"/>
      <c r="D214" s="95"/>
      <c r="E214" s="44"/>
      <c r="F214" s="421"/>
      <c r="G214" s="94"/>
      <c r="H214" s="88"/>
      <c r="I214" s="98"/>
      <c r="J214" s="98"/>
      <c r="K214" s="50"/>
      <c r="L214" s="44"/>
      <c r="M214" s="421"/>
      <c r="N214" s="94"/>
      <c r="O214" s="88"/>
      <c r="P214" s="98"/>
      <c r="Q214" s="98"/>
      <c r="R214" s="50"/>
      <c r="S214" s="44"/>
      <c r="T214" s="421"/>
      <c r="U214" s="44"/>
      <c r="V214" s="98"/>
      <c r="W214" s="435"/>
    </row>
    <row r="215" spans="2:23" x14ac:dyDescent="0.2">
      <c r="B215" s="445" t="s">
        <v>168</v>
      </c>
      <c r="C215" s="446"/>
      <c r="D215" s="327"/>
      <c r="E215" s="295">
        <v>31066759.999999996</v>
      </c>
      <c r="F215" s="447">
        <v>1620924.2085755297</v>
      </c>
      <c r="G215" s="337">
        <v>1641017.2645532298</v>
      </c>
      <c r="H215" s="335">
        <v>0</v>
      </c>
      <c r="I215" s="335">
        <v>0</v>
      </c>
      <c r="J215" s="448">
        <v>0</v>
      </c>
      <c r="K215" s="177"/>
      <c r="L215" s="295">
        <v>30967899.999999996</v>
      </c>
      <c r="M215" s="447">
        <v>1618329.5363931155</v>
      </c>
      <c r="N215" s="337">
        <v>1638422.5923708156</v>
      </c>
      <c r="O215" s="335">
        <v>0</v>
      </c>
      <c r="P215" s="335">
        <v>0</v>
      </c>
      <c r="Q215" s="448">
        <v>0</v>
      </c>
      <c r="R215" s="177"/>
      <c r="S215" s="295"/>
      <c r="T215" s="447"/>
      <c r="U215" s="337"/>
      <c r="V215" s="335"/>
      <c r="W215" s="335"/>
    </row>
    <row r="216" spans="2:23" x14ac:dyDescent="0.2">
      <c r="B216" s="82"/>
      <c r="C216" s="395"/>
      <c r="D216" s="135"/>
      <c r="E216" s="83"/>
      <c r="F216" s="395"/>
      <c r="G216" s="83"/>
      <c r="H216" s="83"/>
      <c r="I216" s="83"/>
      <c r="J216" s="83"/>
      <c r="K216" s="83"/>
      <c r="L216" s="83"/>
      <c r="M216" s="395"/>
      <c r="N216" s="83"/>
      <c r="O216" s="83"/>
      <c r="P216" s="83"/>
      <c r="Q216" s="83"/>
      <c r="R216" s="83"/>
      <c r="S216" s="83"/>
      <c r="T216" s="395"/>
      <c r="U216" s="83"/>
      <c r="V216" s="83"/>
      <c r="W216" s="427"/>
    </row>
    <row r="217" spans="2:23" x14ac:dyDescent="0.2">
      <c r="B217" s="280" t="s">
        <v>206</v>
      </c>
    </row>
    <row r="219" spans="2:23" s="366" customFormat="1" x14ac:dyDescent="0.2">
      <c r="B219" s="392" t="s">
        <v>196</v>
      </c>
      <c r="C219" s="449"/>
      <c r="E219" s="450">
        <f t="shared" ref="E219:E225" si="42">SUMIF($B$10:$B$216,$B219,E$10:E$216)</f>
        <v>636378193</v>
      </c>
      <c r="G219" s="451"/>
      <c r="H219" s="452">
        <f t="shared" ref="H219:J225" si="43">SUMIF($B$10:$B$216,$B219,H$10:H$216)</f>
        <v>-1079184.181982181</v>
      </c>
      <c r="I219" s="452">
        <f>SUMIF($B$10:$B$216,$B219,I$10:I$216)</f>
        <v>30961477.392113581</v>
      </c>
      <c r="J219" s="452">
        <f>SUMIF($B$10:$B$216,$B219,J$10:J$216)</f>
        <v>2074672.7347817947</v>
      </c>
      <c r="K219" s="405"/>
      <c r="L219" s="450">
        <f t="shared" ref="L219:L225" si="44">SUMIF($B$10:$B$216,$B219,L$10:L$216)</f>
        <v>639473381</v>
      </c>
      <c r="N219" s="451"/>
      <c r="O219" s="452">
        <f t="shared" ref="O219:Q225" si="45">SUMIF($B$10:$B$216,$B219,O$10:O$216)</f>
        <v>-19762751.087706525</v>
      </c>
      <c r="P219" s="452">
        <f t="shared" si="45"/>
        <v>63168588.452581286</v>
      </c>
      <c r="Q219" s="452">
        <f t="shared" si="45"/>
        <v>2016093.3139364917</v>
      </c>
      <c r="R219" s="405"/>
      <c r="S219" s="450"/>
      <c r="U219" s="451"/>
      <c r="V219" s="452"/>
      <c r="W219" s="452"/>
    </row>
    <row r="220" spans="2:23" s="366" customFormat="1" x14ac:dyDescent="0.2">
      <c r="B220" s="392" t="s">
        <v>200</v>
      </c>
      <c r="C220" s="449"/>
      <c r="E220" s="450">
        <f t="shared" si="42"/>
        <v>243226645</v>
      </c>
      <c r="G220" s="451"/>
      <c r="H220" s="452">
        <f t="shared" si="43"/>
        <v>-380730.32599845406</v>
      </c>
      <c r="I220" s="452">
        <f t="shared" si="43"/>
        <v>10923041.291470494</v>
      </c>
      <c r="J220" s="452">
        <f t="shared" si="43"/>
        <v>730982.95631700102</v>
      </c>
      <c r="K220" s="405"/>
      <c r="L220" s="450">
        <f t="shared" si="44"/>
        <v>245970110</v>
      </c>
      <c r="N220" s="451"/>
      <c r="O220" s="452">
        <f t="shared" si="45"/>
        <v>-6972191.3922317354</v>
      </c>
      <c r="P220" s="452">
        <f t="shared" si="45"/>
        <v>22285535.38492335</v>
      </c>
      <c r="Q220" s="452">
        <f t="shared" si="45"/>
        <v>710343.28746178711</v>
      </c>
      <c r="R220" s="405"/>
      <c r="S220" s="450"/>
      <c r="U220" s="451"/>
      <c r="V220" s="452"/>
      <c r="W220" s="452"/>
    </row>
    <row r="221" spans="2:23" s="366" customFormat="1" x14ac:dyDescent="0.2">
      <c r="B221" s="392" t="s">
        <v>201</v>
      </c>
      <c r="C221" s="449"/>
      <c r="E221" s="450">
        <f t="shared" si="42"/>
        <v>92387406</v>
      </c>
      <c r="G221" s="451"/>
      <c r="H221" s="452">
        <f t="shared" si="43"/>
        <v>-69130.626791916744</v>
      </c>
      <c r="I221" s="452">
        <f t="shared" si="43"/>
        <v>1983337.389720852</v>
      </c>
      <c r="J221" s="452">
        <f t="shared" si="43"/>
        <v>151679.99799864666</v>
      </c>
      <c r="K221" s="405"/>
      <c r="L221" s="450">
        <f t="shared" si="44"/>
        <v>93400775</v>
      </c>
      <c r="N221" s="451"/>
      <c r="O221" s="452">
        <f t="shared" si="45"/>
        <v>-1265966.8225644403</v>
      </c>
      <c r="P221" s="452">
        <f t="shared" si="45"/>
        <v>4046467.865445124</v>
      </c>
      <c r="Q221" s="452">
        <f t="shared" si="45"/>
        <v>147397.23749979044</v>
      </c>
      <c r="R221" s="405"/>
      <c r="S221" s="450"/>
      <c r="U221" s="451"/>
      <c r="V221" s="452"/>
      <c r="W221" s="452"/>
    </row>
    <row r="222" spans="2:23" s="366" customFormat="1" x14ac:dyDescent="0.2">
      <c r="B222" s="392" t="s">
        <v>202</v>
      </c>
      <c r="C222" s="449"/>
      <c r="E222" s="450">
        <f t="shared" si="42"/>
        <v>73912158</v>
      </c>
      <c r="G222" s="451"/>
      <c r="H222" s="452">
        <f t="shared" si="43"/>
        <v>-32891.078822412936</v>
      </c>
      <c r="I222" s="452">
        <f t="shared" si="43"/>
        <v>943635.39640833845</v>
      </c>
      <c r="J222" s="452">
        <f t="shared" si="43"/>
        <v>20472.643272653775</v>
      </c>
      <c r="K222" s="405"/>
      <c r="L222" s="450">
        <f t="shared" si="44"/>
        <v>73034304</v>
      </c>
      <c r="N222" s="451"/>
      <c r="O222" s="452">
        <f t="shared" si="45"/>
        <v>-602323.69471869734</v>
      </c>
      <c r="P222" s="452">
        <f t="shared" si="45"/>
        <v>1925234.8733264885</v>
      </c>
      <c r="Q222" s="452">
        <f t="shared" si="45"/>
        <v>19894.587964952108</v>
      </c>
      <c r="R222" s="405"/>
      <c r="S222" s="450"/>
      <c r="U222" s="451"/>
      <c r="V222" s="452"/>
      <c r="W222" s="452"/>
    </row>
    <row r="223" spans="2:23" s="366" customFormat="1" x14ac:dyDescent="0.2">
      <c r="B223" s="392" t="s">
        <v>203</v>
      </c>
      <c r="C223" s="449"/>
      <c r="E223" s="450">
        <f t="shared" si="42"/>
        <v>6233899</v>
      </c>
      <c r="G223" s="451"/>
      <c r="H223" s="452">
        <f t="shared" si="43"/>
        <v>-2261.7903827306682</v>
      </c>
      <c r="I223" s="452">
        <f t="shared" si="43"/>
        <v>64890.102143631855</v>
      </c>
      <c r="J223" s="452">
        <f t="shared" si="43"/>
        <v>2774.6506744699045</v>
      </c>
      <c r="K223" s="405"/>
      <c r="L223" s="450">
        <f t="shared" si="44"/>
        <v>6068110</v>
      </c>
      <c r="N223" s="451"/>
      <c r="O223" s="452">
        <f t="shared" si="45"/>
        <v>-41419.436174809249</v>
      </c>
      <c r="P223" s="452">
        <f t="shared" si="45"/>
        <v>132390.84508290075</v>
      </c>
      <c r="Q223" s="452">
        <f t="shared" si="45"/>
        <v>2696.3070268991123</v>
      </c>
      <c r="R223" s="405"/>
      <c r="S223" s="450"/>
      <c r="U223" s="451"/>
      <c r="V223" s="452"/>
      <c r="W223" s="452"/>
    </row>
    <row r="224" spans="2:23" s="366" customFormat="1" x14ac:dyDescent="0.2">
      <c r="B224" s="392" t="s">
        <v>204</v>
      </c>
      <c r="C224" s="449"/>
      <c r="E224" s="450">
        <f t="shared" si="42"/>
        <v>150772868.4078348</v>
      </c>
      <c r="G224" s="451"/>
      <c r="H224" s="452">
        <f t="shared" si="43"/>
        <v>-21511.446244260045</v>
      </c>
      <c r="I224" s="452">
        <f t="shared" si="43"/>
        <v>617157.07817363204</v>
      </c>
      <c r="J224" s="452">
        <f t="shared" si="43"/>
        <v>17392.144629522732</v>
      </c>
      <c r="K224" s="405"/>
      <c r="L224" s="450">
        <f t="shared" si="44"/>
        <v>163828422.4078348</v>
      </c>
      <c r="M224" s="392"/>
      <c r="N224" s="405"/>
      <c r="O224" s="452">
        <f t="shared" si="45"/>
        <v>-393932.1616825831</v>
      </c>
      <c r="P224" s="452">
        <f t="shared" si="45"/>
        <v>1259143.450682939</v>
      </c>
      <c r="Q224" s="452">
        <f t="shared" si="45"/>
        <v>16901.068739540333</v>
      </c>
      <c r="R224" s="405"/>
      <c r="S224" s="450"/>
      <c r="T224" s="392"/>
      <c r="U224" s="405"/>
      <c r="V224" s="452"/>
      <c r="W224" s="452"/>
    </row>
    <row r="225" spans="2:23" s="366" customFormat="1" x14ac:dyDescent="0.2">
      <c r="B225" s="392" t="s">
        <v>168</v>
      </c>
      <c r="C225" s="449"/>
      <c r="E225" s="450">
        <f t="shared" si="42"/>
        <v>31066759.999999996</v>
      </c>
      <c r="G225" s="451"/>
      <c r="H225" s="452">
        <f t="shared" si="43"/>
        <v>0</v>
      </c>
      <c r="I225" s="452">
        <f t="shared" si="43"/>
        <v>0</v>
      </c>
      <c r="J225" s="452">
        <f t="shared" si="43"/>
        <v>0</v>
      </c>
      <c r="K225" s="405"/>
      <c r="L225" s="450">
        <f t="shared" si="44"/>
        <v>30967899.999999996</v>
      </c>
      <c r="N225" s="451"/>
      <c r="O225" s="452">
        <f t="shared" si="45"/>
        <v>0</v>
      </c>
      <c r="P225" s="452">
        <f t="shared" si="45"/>
        <v>0</v>
      </c>
      <c r="Q225" s="452">
        <f t="shared" si="45"/>
        <v>0</v>
      </c>
      <c r="R225" s="405"/>
      <c r="S225" s="450"/>
      <c r="U225" s="451"/>
      <c r="V225" s="452"/>
      <c r="W225" s="452"/>
    </row>
    <row r="226" spans="2:23" s="366" customFormat="1" x14ac:dyDescent="0.2">
      <c r="B226" s="449"/>
      <c r="C226" s="449"/>
      <c r="E226" s="453">
        <f>SUM(E219:E225)</f>
        <v>1233977929.4078348</v>
      </c>
      <c r="G226" s="451"/>
      <c r="H226" s="454">
        <f>SUM(H219:H225)</f>
        <v>-1585709.4502219558</v>
      </c>
      <c r="I226" s="454">
        <f>SUM(I219:I225)</f>
        <v>45493538.650030531</v>
      </c>
      <c r="J226" s="454">
        <f>SUM(J219:J225)</f>
        <v>2997975.1276740883</v>
      </c>
      <c r="K226" s="405"/>
      <c r="L226" s="453">
        <f>SUM(L219:L225)</f>
        <v>1252743002.4078348</v>
      </c>
      <c r="N226" s="451"/>
      <c r="O226" s="454">
        <f>SUM(O219:O225)</f>
        <v>-29038584.595078792</v>
      </c>
      <c r="P226" s="454">
        <f>SUM(P219:P225)</f>
        <v>92817360.87204209</v>
      </c>
      <c r="Q226" s="454">
        <f>SUM(Q219:Q225)</f>
        <v>2913325.8026294606</v>
      </c>
      <c r="R226" s="405"/>
      <c r="S226" s="453"/>
      <c r="U226" s="451"/>
      <c r="V226" s="454"/>
      <c r="W226" s="454"/>
    </row>
    <row r="227" spans="2:23" s="366" customFormat="1" x14ac:dyDescent="0.2">
      <c r="B227" s="449"/>
      <c r="C227" s="449"/>
      <c r="G227" s="451"/>
      <c r="H227" s="451"/>
      <c r="I227" s="451"/>
      <c r="J227" s="451"/>
      <c r="K227" s="405"/>
      <c r="N227" s="451"/>
      <c r="O227" s="451"/>
      <c r="P227" s="451"/>
      <c r="Q227" s="451"/>
      <c r="R227" s="405"/>
      <c r="U227" s="451"/>
      <c r="V227" s="451"/>
      <c r="W227" s="451"/>
    </row>
    <row r="228" spans="2:23" s="366" customFormat="1" x14ac:dyDescent="0.2">
      <c r="B228" s="366" t="s">
        <v>207</v>
      </c>
      <c r="C228" s="449"/>
      <c r="E228" s="455">
        <v>1233977929.6218345</v>
      </c>
      <c r="F228" s="455"/>
      <c r="G228" s="455"/>
      <c r="H228" s="455"/>
      <c r="I228" s="455"/>
      <c r="J228" s="455"/>
      <c r="K228" s="450"/>
      <c r="L228" s="455">
        <v>1252743002.6218348</v>
      </c>
      <c r="M228" s="455"/>
      <c r="N228" s="455"/>
      <c r="O228" s="455"/>
      <c r="P228" s="455"/>
      <c r="Q228" s="455"/>
      <c r="R228" s="450"/>
      <c r="S228" s="455"/>
      <c r="U228" s="451"/>
      <c r="V228" s="455"/>
      <c r="W228" s="455"/>
    </row>
    <row r="229" spans="2:23" s="366" customFormat="1" x14ac:dyDescent="0.2">
      <c r="B229" s="366" t="s">
        <v>13</v>
      </c>
      <c r="C229" s="449"/>
      <c r="E229" s="455">
        <f>E228-E226</f>
        <v>0.21399974822998047</v>
      </c>
      <c r="F229" s="455"/>
      <c r="G229" s="455"/>
      <c r="H229" s="455"/>
      <c r="I229" s="455"/>
      <c r="J229" s="455"/>
      <c r="K229" s="450"/>
      <c r="L229" s="455">
        <f>L228-L226</f>
        <v>0.21399998664855957</v>
      </c>
      <c r="M229" s="455"/>
      <c r="N229" s="455"/>
      <c r="O229" s="455"/>
      <c r="P229" s="455"/>
      <c r="Q229" s="455"/>
      <c r="R229" s="450"/>
      <c r="S229" s="455"/>
      <c r="U229" s="451"/>
      <c r="V229" s="455"/>
      <c r="W229" s="455"/>
    </row>
    <row r="230" spans="2:23" s="366" customFormat="1" x14ac:dyDescent="0.2">
      <c r="C230" s="449"/>
      <c r="G230" s="451"/>
      <c r="H230" s="451"/>
      <c r="I230" s="451"/>
      <c r="J230" s="451"/>
      <c r="K230" s="405"/>
      <c r="N230" s="451"/>
      <c r="O230" s="451"/>
      <c r="P230" s="451"/>
      <c r="Q230" s="451"/>
      <c r="R230" s="405"/>
      <c r="U230" s="451"/>
      <c r="V230" s="451"/>
      <c r="W230" s="451"/>
    </row>
    <row r="231" spans="2:23" s="366" customFormat="1" x14ac:dyDescent="0.2">
      <c r="C231" s="449"/>
      <c r="G231" s="451"/>
      <c r="H231" s="451"/>
      <c r="I231" s="451"/>
      <c r="J231" s="451"/>
      <c r="K231" s="405"/>
      <c r="N231" s="451"/>
      <c r="O231" s="451"/>
      <c r="P231" s="451"/>
      <c r="Q231" s="451"/>
      <c r="R231" s="405"/>
      <c r="U231" s="451"/>
      <c r="V231" s="451"/>
      <c r="W231" s="451"/>
    </row>
    <row r="232" spans="2:23" s="366" customFormat="1" x14ac:dyDescent="0.2">
      <c r="B232" s="366" t="s">
        <v>182</v>
      </c>
      <c r="C232" s="449"/>
      <c r="F232" s="456">
        <f>SUMIF($E$10:$E$216,$B232,F10:F216)+F215</f>
        <v>539600736.19147825</v>
      </c>
      <c r="G232" s="456">
        <f>SUMIF($E$10:$E$216,$B232,G10:G216)+G215</f>
        <v>587785548.37421727</v>
      </c>
      <c r="H232" s="451"/>
      <c r="I232" s="451"/>
      <c r="J232" s="451"/>
      <c r="K232" s="405"/>
      <c r="M232" s="455">
        <f>SUMIF($E$10:$E$216,$B232,M10:M216)+M215</f>
        <v>543745909.19024289</v>
      </c>
      <c r="N232" s="455">
        <f>SUMIF($E$10:$E$216,$B232,N10:N216)+N215</f>
        <v>592277399.27363074</v>
      </c>
      <c r="O232" s="451"/>
      <c r="P232" s="451"/>
      <c r="Q232" s="451"/>
      <c r="R232" s="405"/>
      <c r="T232" s="455"/>
      <c r="U232" s="455"/>
      <c r="V232" s="451"/>
      <c r="W232" s="451"/>
    </row>
    <row r="233" spans="2:23" s="366" customFormat="1" x14ac:dyDescent="0.2">
      <c r="B233" s="366" t="s">
        <v>208</v>
      </c>
      <c r="C233" s="449"/>
      <c r="F233" s="456">
        <v>541636319.26357377</v>
      </c>
      <c r="G233" s="456"/>
      <c r="H233" s="451"/>
      <c r="I233" s="451"/>
      <c r="J233" s="451"/>
      <c r="K233" s="405"/>
      <c r="M233" s="455">
        <v>545781492.25652039</v>
      </c>
      <c r="N233" s="451"/>
      <c r="O233" s="451"/>
      <c r="P233" s="451"/>
      <c r="Q233" s="451"/>
      <c r="R233" s="405"/>
      <c r="T233" s="455"/>
      <c r="U233" s="451"/>
      <c r="V233" s="451"/>
      <c r="W233" s="451"/>
    </row>
    <row r="234" spans="2:23" s="366" customFormat="1" x14ac:dyDescent="0.2">
      <c r="B234" s="366" t="s">
        <v>13</v>
      </c>
      <c r="C234" s="449"/>
      <c r="F234" s="456">
        <f>F232-F233</f>
        <v>-2035583.0720955133</v>
      </c>
      <c r="G234" s="456"/>
      <c r="H234" s="451"/>
      <c r="I234" s="451"/>
      <c r="J234" s="451"/>
      <c r="K234" s="405"/>
      <c r="M234" s="455">
        <f>M232-M233</f>
        <v>-2035583.066277504</v>
      </c>
      <c r="N234" s="451"/>
      <c r="O234" s="451"/>
      <c r="P234" s="451"/>
      <c r="Q234" s="451"/>
      <c r="R234" s="405"/>
      <c r="T234" s="455"/>
      <c r="U234" s="451"/>
      <c r="V234" s="451"/>
      <c r="W234" s="451"/>
    </row>
    <row r="235" spans="2:23" s="366" customFormat="1" x14ac:dyDescent="0.2">
      <c r="B235" s="449"/>
      <c r="C235" s="449"/>
      <c r="G235" s="451"/>
      <c r="H235" s="451"/>
      <c r="I235" s="451"/>
      <c r="J235" s="451"/>
      <c r="K235" s="405"/>
      <c r="N235" s="451"/>
      <c r="O235" s="451"/>
      <c r="P235" s="451"/>
      <c r="Q235" s="451"/>
      <c r="R235" s="405"/>
      <c r="U235" s="451"/>
      <c r="V235" s="451"/>
      <c r="W235" s="451"/>
    </row>
    <row r="236" spans="2:23" s="366" customFormat="1" x14ac:dyDescent="0.2">
      <c r="B236" s="449"/>
      <c r="C236" s="449"/>
      <c r="G236" s="451"/>
      <c r="H236" s="451"/>
      <c r="I236" s="451"/>
      <c r="J236" s="451"/>
      <c r="K236" s="405"/>
      <c r="N236" s="451"/>
      <c r="O236" s="451"/>
      <c r="P236" s="451"/>
      <c r="Q236" s="451"/>
      <c r="R236" s="405"/>
      <c r="U236" s="451"/>
      <c r="V236" s="451"/>
      <c r="W236" s="451"/>
    </row>
    <row r="237" spans="2:23" s="366" customFormat="1" x14ac:dyDescent="0.2">
      <c r="B237" s="449"/>
      <c r="C237" s="449"/>
      <c r="G237" s="451"/>
      <c r="H237" s="451"/>
      <c r="I237" s="451"/>
      <c r="J237" s="451"/>
      <c r="K237" s="405"/>
      <c r="N237" s="451"/>
      <c r="O237" s="451"/>
      <c r="P237" s="451"/>
      <c r="Q237" s="451"/>
      <c r="R237" s="405"/>
      <c r="U237" s="451"/>
      <c r="V237" s="451"/>
      <c r="W237" s="451"/>
    </row>
    <row r="238" spans="2:23" s="366" customFormat="1" x14ac:dyDescent="0.2"/>
    <row r="239" spans="2:23" s="456" customFormat="1" x14ac:dyDescent="0.2">
      <c r="B239" s="452" t="s">
        <v>209</v>
      </c>
      <c r="C239" s="457"/>
      <c r="I239" s="456">
        <f>SUMIF($B$10:$B$216,$B239,I$10:I$216)</f>
        <v>444230260.63187999</v>
      </c>
      <c r="K239" s="452"/>
      <c r="P239" s="456">
        <f t="shared" ref="P239:P251" si="46">SUMIF($B$10:$B$216,$B239,P$10:P$216)</f>
        <v>460608843.32148993</v>
      </c>
      <c r="R239" s="452"/>
    </row>
    <row r="240" spans="2:23" s="456" customFormat="1" x14ac:dyDescent="0.2">
      <c r="B240" s="452" t="s">
        <v>210</v>
      </c>
      <c r="C240" s="457"/>
      <c r="I240" s="456">
        <f t="shared" ref="I240:I251" si="47">SUMIF($B$10:$B$216,$B240,I$10:I$216)</f>
        <v>0</v>
      </c>
      <c r="K240" s="452"/>
      <c r="P240" s="456">
        <f t="shared" si="46"/>
        <v>0</v>
      </c>
      <c r="R240" s="452"/>
    </row>
    <row r="241" spans="2:23" s="456" customFormat="1" x14ac:dyDescent="0.2">
      <c r="B241" s="452" t="s">
        <v>211</v>
      </c>
      <c r="C241" s="457"/>
      <c r="I241" s="456">
        <f t="shared" si="47"/>
        <v>6057.8424000000005</v>
      </c>
      <c r="K241" s="452"/>
      <c r="P241" s="456">
        <f t="shared" si="46"/>
        <v>6242.6961600000004</v>
      </c>
      <c r="R241" s="452"/>
    </row>
    <row r="242" spans="2:23" s="456" customFormat="1" x14ac:dyDescent="0.2">
      <c r="B242" s="452" t="s">
        <v>212</v>
      </c>
      <c r="C242" s="457"/>
      <c r="I242" s="456">
        <f t="shared" si="47"/>
        <v>142091733.99600002</v>
      </c>
      <c r="K242" s="452"/>
      <c r="P242" s="456">
        <f t="shared" si="46"/>
        <v>148180855.96738002</v>
      </c>
      <c r="R242" s="452"/>
    </row>
    <row r="243" spans="2:23" s="456" customFormat="1" x14ac:dyDescent="0.2">
      <c r="B243" s="452" t="s">
        <v>213</v>
      </c>
      <c r="C243" s="457"/>
      <c r="I243" s="456">
        <f>SUMIF($B$10:$B$216,$B243,I$10:I$216)</f>
        <v>24416.144510000002</v>
      </c>
      <c r="K243" s="452"/>
      <c r="P243" s="456">
        <f t="shared" si="46"/>
        <v>24814.979580000003</v>
      </c>
      <c r="R243" s="452"/>
    </row>
    <row r="244" spans="2:23" s="456" customFormat="1" x14ac:dyDescent="0.2">
      <c r="B244" s="452" t="s">
        <v>214</v>
      </c>
      <c r="C244" s="457"/>
      <c r="I244" s="456">
        <f t="shared" si="47"/>
        <v>19636865.990350001</v>
      </c>
      <c r="K244" s="452"/>
      <c r="P244" s="456">
        <f t="shared" si="46"/>
        <v>20234057.579360001</v>
      </c>
      <c r="R244" s="452"/>
    </row>
    <row r="245" spans="2:23" s="456" customFormat="1" x14ac:dyDescent="0.2">
      <c r="B245" s="452" t="s">
        <v>215</v>
      </c>
      <c r="C245" s="457"/>
      <c r="I245" s="456">
        <f t="shared" si="47"/>
        <v>5606450.8951199995</v>
      </c>
      <c r="K245" s="452"/>
      <c r="P245" s="456">
        <f t="shared" si="46"/>
        <v>5991323.1361800004</v>
      </c>
      <c r="R245" s="452"/>
    </row>
    <row r="246" spans="2:23" s="456" customFormat="1" x14ac:dyDescent="0.2">
      <c r="B246" s="452" t="s">
        <v>216</v>
      </c>
      <c r="C246" s="457"/>
      <c r="I246" s="456">
        <f t="shared" si="47"/>
        <v>1604061.6653731624</v>
      </c>
      <c r="K246" s="452"/>
      <c r="P246" s="456">
        <f t="shared" si="46"/>
        <v>1625913.266203312</v>
      </c>
      <c r="R246" s="452"/>
    </row>
    <row r="247" spans="2:23" s="456" customFormat="1" x14ac:dyDescent="0.2">
      <c r="B247" s="452" t="s">
        <v>217</v>
      </c>
      <c r="C247" s="457"/>
      <c r="I247" s="456">
        <f t="shared" si="47"/>
        <v>7614719.5414968757</v>
      </c>
      <c r="K247" s="452"/>
      <c r="P247" s="456">
        <f t="shared" si="46"/>
        <v>7927933.1242718324</v>
      </c>
      <c r="R247" s="452"/>
    </row>
    <row r="248" spans="2:23" s="456" customFormat="1" x14ac:dyDescent="0.2">
      <c r="B248" s="452" t="s">
        <v>218</v>
      </c>
      <c r="C248" s="457"/>
      <c r="I248" s="456">
        <f t="shared" si="47"/>
        <v>1210217.9071548816</v>
      </c>
      <c r="K248" s="452"/>
      <c r="P248" s="456">
        <f t="shared" si="46"/>
        <v>1192960.5864223498</v>
      </c>
      <c r="R248" s="452"/>
    </row>
    <row r="249" spans="2:23" s="456" customFormat="1" x14ac:dyDescent="0.2">
      <c r="B249" s="452" t="s">
        <v>219</v>
      </c>
      <c r="C249" s="457"/>
      <c r="I249" s="456">
        <f t="shared" si="47"/>
        <v>153582.50485911273</v>
      </c>
      <c r="K249" s="452"/>
      <c r="P249" s="456">
        <f t="shared" si="46"/>
        <v>162029.89008239383</v>
      </c>
      <c r="R249" s="452"/>
    </row>
    <row r="250" spans="2:23" s="456" customFormat="1" x14ac:dyDescent="0.2">
      <c r="B250" s="452" t="s">
        <v>220</v>
      </c>
      <c r="C250" s="457"/>
      <c r="I250" s="456">
        <f t="shared" si="47"/>
        <v>1635923.2143188098</v>
      </c>
      <c r="K250" s="452"/>
      <c r="P250" s="456">
        <f t="shared" si="46"/>
        <v>1690558.3416830464</v>
      </c>
      <c r="R250" s="452"/>
    </row>
    <row r="251" spans="2:23" s="456" customFormat="1" x14ac:dyDescent="0.2">
      <c r="B251" s="452" t="s">
        <v>221</v>
      </c>
      <c r="C251" s="457"/>
      <c r="I251" s="456">
        <f t="shared" si="47"/>
        <v>6233044.8839076636</v>
      </c>
      <c r="K251" s="452"/>
      <c r="P251" s="456">
        <f t="shared" si="46"/>
        <v>6771974.9684348088</v>
      </c>
      <c r="R251" s="452"/>
    </row>
    <row r="252" spans="2:23" s="456" customFormat="1" x14ac:dyDescent="0.2">
      <c r="B252" s="456" t="s">
        <v>168</v>
      </c>
      <c r="I252" s="456">
        <f>G215</f>
        <v>1641017.2645532298</v>
      </c>
      <c r="P252" s="456">
        <f>N215</f>
        <v>1638422.5923708156</v>
      </c>
    </row>
    <row r="253" spans="2:23" s="456" customFormat="1" x14ac:dyDescent="0.2">
      <c r="B253" s="457" t="s">
        <v>0</v>
      </c>
      <c r="C253" s="457"/>
      <c r="I253" s="457">
        <f>SUM(I239:I252)</f>
        <v>631688352.48192382</v>
      </c>
      <c r="J253" s="457"/>
      <c r="K253" s="452"/>
      <c r="P253" s="457">
        <f>SUM(P239:P252)</f>
        <v>656055930.44961858</v>
      </c>
      <c r="Q253" s="457"/>
      <c r="R253" s="452"/>
      <c r="W253" s="457"/>
    </row>
    <row r="254" spans="2:23" s="456" customFormat="1" x14ac:dyDescent="0.2">
      <c r="B254" s="457"/>
      <c r="C254" s="457"/>
      <c r="K254" s="452"/>
      <c r="R254" s="452"/>
    </row>
    <row r="255" spans="2:23" s="459" customFormat="1" x14ac:dyDescent="0.2">
      <c r="B255" s="458" t="s">
        <v>222</v>
      </c>
      <c r="C255" s="458"/>
      <c r="I255" s="459">
        <v>631687999.42594612</v>
      </c>
      <c r="K255" s="460"/>
      <c r="P255" s="459">
        <v>656055577.39364088</v>
      </c>
      <c r="R255" s="460"/>
    </row>
    <row r="256" spans="2:23" s="459" customFormat="1" x14ac:dyDescent="0.2">
      <c r="B256" s="458" t="s">
        <v>13</v>
      </c>
      <c r="C256" s="458"/>
      <c r="I256" s="459">
        <f>I253-I255</f>
        <v>353.05597770214081</v>
      </c>
      <c r="K256" s="460"/>
      <c r="P256" s="459">
        <f>P253-P255</f>
        <v>353.05597770214081</v>
      </c>
      <c r="R256" s="460"/>
    </row>
    <row r="257" spans="2:23" s="456" customFormat="1" x14ac:dyDescent="0.2">
      <c r="B257" s="457"/>
      <c r="C257" s="457"/>
      <c r="K257" s="452"/>
      <c r="R257" s="452"/>
    </row>
    <row r="258" spans="2:23" s="366" customFormat="1" x14ac:dyDescent="0.2">
      <c r="B258" s="449"/>
      <c r="C258" s="449"/>
      <c r="G258" s="451"/>
      <c r="H258" s="451"/>
      <c r="I258" s="451"/>
      <c r="J258" s="451"/>
      <c r="K258" s="405"/>
      <c r="N258" s="451"/>
      <c r="O258" s="451"/>
      <c r="P258" s="451"/>
      <c r="Q258" s="451"/>
      <c r="R258" s="405"/>
      <c r="U258" s="451"/>
      <c r="V258" s="451"/>
      <c r="W258" s="451"/>
    </row>
    <row r="259" spans="2:23" s="366" customFormat="1" x14ac:dyDescent="0.2">
      <c r="B259" s="449"/>
      <c r="C259" s="449"/>
      <c r="G259" s="451"/>
      <c r="H259" s="451"/>
      <c r="I259" s="451"/>
      <c r="J259" s="451"/>
      <c r="K259" s="405"/>
      <c r="N259" s="451"/>
      <c r="O259" s="451"/>
      <c r="P259" s="451"/>
      <c r="Q259" s="451"/>
      <c r="R259" s="405"/>
      <c r="U259" s="451"/>
      <c r="V259" s="451"/>
      <c r="W259" s="451"/>
    </row>
    <row r="260" spans="2:23" s="366" customFormat="1" x14ac:dyDescent="0.2">
      <c r="B260" s="449"/>
      <c r="C260" s="449"/>
      <c r="G260" s="451"/>
      <c r="H260" s="451"/>
      <c r="I260" s="451"/>
      <c r="J260" s="451"/>
      <c r="K260" s="405"/>
      <c r="N260" s="451"/>
      <c r="O260" s="451"/>
      <c r="P260" s="451"/>
      <c r="Q260" s="451"/>
      <c r="R260" s="405"/>
      <c r="U260" s="451"/>
      <c r="V260" s="451"/>
      <c r="W260" s="451"/>
    </row>
    <row r="261" spans="2:23" s="366" customFormat="1" x14ac:dyDescent="0.2">
      <c r="B261" s="449"/>
      <c r="C261" s="449"/>
      <c r="G261" s="451"/>
      <c r="H261" s="451"/>
      <c r="I261" s="451"/>
      <c r="J261" s="451"/>
      <c r="K261" s="405"/>
      <c r="N261" s="451"/>
      <c r="O261" s="451"/>
      <c r="P261" s="451"/>
      <c r="Q261" s="451"/>
      <c r="R261" s="405"/>
      <c r="U261" s="451"/>
      <c r="V261" s="451"/>
      <c r="W261" s="451"/>
    </row>
    <row r="262" spans="2:23" s="366" customFormat="1" x14ac:dyDescent="0.2">
      <c r="B262" s="449"/>
      <c r="C262" s="449"/>
      <c r="G262" s="451"/>
      <c r="H262" s="451"/>
      <c r="I262" s="451"/>
      <c r="J262" s="451"/>
      <c r="K262" s="405"/>
      <c r="N262" s="451"/>
      <c r="O262" s="451"/>
      <c r="P262" s="451"/>
      <c r="Q262" s="451"/>
      <c r="R262" s="405"/>
      <c r="U262" s="451"/>
      <c r="V262" s="451"/>
      <c r="W262" s="451"/>
    </row>
    <row r="263" spans="2:23" s="366" customFormat="1" x14ac:dyDescent="0.2">
      <c r="B263" s="449"/>
      <c r="C263" s="449"/>
      <c r="G263" s="451"/>
      <c r="H263" s="451"/>
      <c r="I263" s="451"/>
      <c r="J263" s="451"/>
      <c r="K263" s="405"/>
      <c r="N263" s="451"/>
      <c r="O263" s="451"/>
      <c r="P263" s="451"/>
      <c r="Q263" s="451"/>
      <c r="R263" s="405"/>
      <c r="U263" s="451"/>
      <c r="V263" s="451"/>
      <c r="W263" s="451"/>
    </row>
    <row r="264" spans="2:23" s="366" customFormat="1" x14ac:dyDescent="0.2">
      <c r="B264" s="449"/>
      <c r="C264" s="449"/>
      <c r="G264" s="451"/>
      <c r="H264" s="451"/>
      <c r="I264" s="451"/>
      <c r="J264" s="451"/>
      <c r="K264" s="405"/>
      <c r="N264" s="451"/>
      <c r="O264" s="451"/>
      <c r="P264" s="451"/>
      <c r="Q264" s="451"/>
      <c r="R264" s="405"/>
      <c r="U264" s="451"/>
      <c r="V264" s="451"/>
      <c r="W264" s="451"/>
    </row>
    <row r="265" spans="2:23" s="366" customFormat="1" x14ac:dyDescent="0.2">
      <c r="B265" s="449"/>
      <c r="C265" s="449"/>
      <c r="G265" s="451"/>
      <c r="H265" s="451"/>
      <c r="I265" s="451"/>
      <c r="J265" s="451"/>
      <c r="K265" s="405"/>
      <c r="N265" s="451"/>
      <c r="O265" s="451"/>
      <c r="P265" s="451"/>
      <c r="Q265" s="451"/>
      <c r="R265" s="405"/>
      <c r="U265" s="451"/>
      <c r="V265" s="451"/>
      <c r="W265" s="451"/>
    </row>
    <row r="266" spans="2:23" s="366" customFormat="1" x14ac:dyDescent="0.2">
      <c r="B266" s="449"/>
      <c r="C266" s="449"/>
      <c r="G266" s="451"/>
      <c r="H266" s="451"/>
      <c r="I266" s="451"/>
      <c r="J266" s="451"/>
      <c r="K266" s="405"/>
      <c r="N266" s="451"/>
      <c r="O266" s="451"/>
      <c r="P266" s="451"/>
      <c r="Q266" s="451"/>
      <c r="R266" s="405"/>
      <c r="U266" s="451"/>
      <c r="V266" s="451"/>
      <c r="W266" s="451"/>
    </row>
    <row r="267" spans="2:23" s="366" customFormat="1" x14ac:dyDescent="0.2">
      <c r="B267" s="449"/>
      <c r="C267" s="449"/>
      <c r="G267" s="451"/>
      <c r="H267" s="451"/>
      <c r="I267" s="451"/>
      <c r="J267" s="451"/>
      <c r="K267" s="405"/>
      <c r="N267" s="451"/>
      <c r="O267" s="451"/>
      <c r="P267" s="451"/>
      <c r="Q267" s="451"/>
      <c r="R267" s="405"/>
      <c r="U267" s="451"/>
      <c r="V267" s="451"/>
      <c r="W267" s="451"/>
    </row>
    <row r="268" spans="2:23" s="366" customFormat="1" x14ac:dyDescent="0.2">
      <c r="B268" s="449"/>
      <c r="C268" s="449"/>
      <c r="G268" s="451"/>
      <c r="H268" s="451"/>
      <c r="I268" s="451"/>
      <c r="J268" s="451"/>
      <c r="K268" s="405"/>
      <c r="N268" s="451"/>
      <c r="O268" s="451"/>
      <c r="P268" s="451"/>
      <c r="Q268" s="451"/>
      <c r="R268" s="405"/>
      <c r="U268" s="451"/>
      <c r="V268" s="451"/>
      <c r="W268" s="451"/>
    </row>
    <row r="269" spans="2:23" s="366" customFormat="1" x14ac:dyDescent="0.2">
      <c r="B269" s="449"/>
      <c r="C269" s="449"/>
      <c r="G269" s="451"/>
      <c r="H269" s="451"/>
      <c r="I269" s="451"/>
      <c r="J269" s="451"/>
      <c r="K269" s="405"/>
      <c r="N269" s="451"/>
      <c r="O269" s="451"/>
      <c r="P269" s="451"/>
      <c r="Q269" s="451"/>
      <c r="R269" s="405"/>
      <c r="U269" s="451"/>
      <c r="V269" s="451"/>
      <c r="W269" s="451"/>
    </row>
    <row r="270" spans="2:23" s="366" customFormat="1" x14ac:dyDescent="0.2">
      <c r="B270" s="449"/>
      <c r="C270" s="449"/>
      <c r="G270" s="451"/>
      <c r="H270" s="451"/>
      <c r="I270" s="451"/>
      <c r="J270" s="451"/>
      <c r="K270" s="405"/>
      <c r="N270" s="451"/>
      <c r="O270" s="451"/>
      <c r="P270" s="451"/>
      <c r="Q270" s="451"/>
      <c r="R270" s="405"/>
      <c r="U270" s="451"/>
      <c r="V270" s="451"/>
      <c r="W270" s="451"/>
    </row>
    <row r="271" spans="2:23" s="366" customFormat="1" x14ac:dyDescent="0.2">
      <c r="B271" s="449"/>
      <c r="C271" s="449"/>
      <c r="G271" s="451"/>
      <c r="H271" s="451"/>
      <c r="I271" s="451"/>
      <c r="J271" s="451"/>
      <c r="K271" s="405"/>
      <c r="N271" s="451"/>
      <c r="O271" s="451"/>
      <c r="P271" s="451"/>
      <c r="Q271" s="451"/>
      <c r="R271" s="405"/>
      <c r="U271" s="451"/>
      <c r="V271" s="451"/>
      <c r="W271" s="451"/>
    </row>
    <row r="272" spans="2:23" s="366" customFormat="1" x14ac:dyDescent="0.2">
      <c r="B272" s="449"/>
      <c r="C272" s="449"/>
      <c r="G272" s="451"/>
      <c r="H272" s="451"/>
      <c r="I272" s="451"/>
      <c r="J272" s="451"/>
      <c r="K272" s="405"/>
      <c r="N272" s="451"/>
      <c r="O272" s="451"/>
      <c r="P272" s="451"/>
      <c r="Q272" s="451"/>
      <c r="R272" s="405"/>
      <c r="U272" s="451"/>
      <c r="V272" s="451"/>
      <c r="W272" s="451"/>
    </row>
    <row r="273" spans="2:23" s="366" customFormat="1" x14ac:dyDescent="0.2">
      <c r="B273" s="449"/>
      <c r="C273" s="449"/>
      <c r="G273" s="451"/>
      <c r="H273" s="451"/>
      <c r="I273" s="451"/>
      <c r="J273" s="451"/>
      <c r="K273" s="405"/>
      <c r="N273" s="451"/>
      <c r="O273" s="451"/>
      <c r="P273" s="451"/>
      <c r="Q273" s="451"/>
      <c r="R273" s="405"/>
      <c r="U273" s="451"/>
      <c r="V273" s="451"/>
      <c r="W273" s="451"/>
    </row>
    <row r="274" spans="2:23" s="366" customFormat="1" x14ac:dyDescent="0.2">
      <c r="B274" s="449"/>
      <c r="C274" s="449"/>
      <c r="G274" s="451"/>
      <c r="H274" s="451"/>
      <c r="I274" s="451"/>
      <c r="J274" s="451"/>
      <c r="K274" s="405"/>
      <c r="N274" s="451"/>
      <c r="O274" s="451"/>
      <c r="P274" s="451"/>
      <c r="Q274" s="451"/>
      <c r="R274" s="405"/>
      <c r="U274" s="451"/>
      <c r="V274" s="451"/>
      <c r="W274" s="451"/>
    </row>
    <row r="275" spans="2:23" s="366" customFormat="1" x14ac:dyDescent="0.2">
      <c r="B275" s="449"/>
      <c r="C275" s="449"/>
      <c r="G275" s="451"/>
      <c r="H275" s="451"/>
      <c r="I275" s="451"/>
      <c r="J275" s="451"/>
      <c r="K275" s="405"/>
      <c r="N275" s="451"/>
      <c r="O275" s="451"/>
      <c r="P275" s="451"/>
      <c r="Q275" s="451"/>
      <c r="R275" s="405"/>
      <c r="U275" s="451"/>
      <c r="V275" s="451"/>
      <c r="W275" s="451"/>
    </row>
    <row r="276" spans="2:23" s="366" customFormat="1" x14ac:dyDescent="0.2">
      <c r="B276" s="449"/>
      <c r="C276" s="449"/>
      <c r="G276" s="451"/>
      <c r="H276" s="451"/>
      <c r="I276" s="451"/>
      <c r="J276" s="451"/>
      <c r="K276" s="405"/>
      <c r="N276" s="451"/>
      <c r="O276" s="451"/>
      <c r="P276" s="451"/>
      <c r="Q276" s="451"/>
      <c r="R276" s="405"/>
      <c r="U276" s="451"/>
      <c r="V276" s="451"/>
      <c r="W276" s="451"/>
    </row>
    <row r="277" spans="2:23" s="366" customFormat="1" x14ac:dyDescent="0.2">
      <c r="B277" s="449"/>
      <c r="C277" s="449"/>
      <c r="G277" s="451"/>
      <c r="H277" s="451"/>
      <c r="I277" s="451"/>
      <c r="J277" s="451"/>
      <c r="K277" s="405"/>
      <c r="N277" s="451"/>
      <c r="O277" s="451"/>
      <c r="P277" s="451"/>
      <c r="Q277" s="451"/>
      <c r="R277" s="405"/>
      <c r="U277" s="451"/>
      <c r="V277" s="451"/>
      <c r="W277" s="451"/>
    </row>
    <row r="278" spans="2:23" s="366" customFormat="1" x14ac:dyDescent="0.2">
      <c r="B278" s="449"/>
      <c r="C278" s="449"/>
      <c r="G278" s="451"/>
      <c r="H278" s="451"/>
      <c r="I278" s="451"/>
      <c r="J278" s="451"/>
      <c r="K278" s="405"/>
      <c r="N278" s="451"/>
      <c r="O278" s="451"/>
      <c r="P278" s="451"/>
      <c r="Q278" s="451"/>
      <c r="R278" s="405"/>
      <c r="U278" s="451"/>
      <c r="V278" s="451"/>
      <c r="W278" s="451"/>
    </row>
    <row r="279" spans="2:23" s="366" customFormat="1" x14ac:dyDescent="0.2">
      <c r="B279" s="449"/>
      <c r="C279" s="449"/>
      <c r="G279" s="451"/>
      <c r="H279" s="451"/>
      <c r="I279" s="451"/>
      <c r="J279" s="451"/>
      <c r="K279" s="405"/>
      <c r="N279" s="451"/>
      <c r="O279" s="451"/>
      <c r="P279" s="451"/>
      <c r="Q279" s="451"/>
      <c r="R279" s="405"/>
      <c r="U279" s="451"/>
      <c r="V279" s="451"/>
      <c r="W279" s="451"/>
    </row>
  </sheetData>
  <mergeCells count="3">
    <mergeCell ref="E7:I7"/>
    <mergeCell ref="L7:P7"/>
    <mergeCell ref="S7:W7"/>
  </mergeCells>
  <pageMargins left="0.45" right="0.45" top="0.5" bottom="0.5" header="0.3" footer="0.3"/>
  <pageSetup scale="65" orientation="landscape" r:id="rId1"/>
  <headerFooter>
    <oddFooter>&amp;R&amp;A
 Page &amp;P of &amp;N</oddFooter>
  </headerFooter>
  <rowBreaks count="5" manualBreakCount="5">
    <brk id="62" min="1" max="17" man="1"/>
    <brk id="99" max="16383" man="1"/>
    <brk id="137" min="1" max="17" man="1"/>
    <brk id="172" max="16383" man="1"/>
    <brk id="216" min="1" max="17" man="1"/>
  </rowBreaks>
  <colBreaks count="2" manualBreakCount="2">
    <brk id="11" max="255" man="1"/>
    <brk id="18" max="2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zoomScale="90" zoomScaleNormal="90" workbookViewId="0">
      <selection activeCell="O34" sqref="O34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7"/>
  <sheetViews>
    <sheetView zoomScale="85" zoomScaleNormal="85" workbookViewId="0">
      <pane xSplit="3" ySplit="9" topLeftCell="D10" activePane="bottomRight" state="frozenSplit"/>
      <selection activeCell="I41" sqref="I41"/>
      <selection pane="topRight" activeCell="I41" sqref="I41"/>
      <selection pane="bottomLeft" activeCell="I41" sqref="I41"/>
      <selection pane="bottomRight" activeCell="K39" sqref="K39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4.5703125" bestFit="1" customWidth="1"/>
    <col min="6" max="6" width="10.5703125" bestFit="1" customWidth="1"/>
    <col min="7" max="7" width="15" customWidth="1"/>
    <col min="8" max="9" width="14.5703125" bestFit="1" customWidth="1"/>
    <col min="10" max="11" width="13.28515625" bestFit="1" customWidth="1"/>
    <col min="12" max="12" width="12.140625" bestFit="1" customWidth="1"/>
    <col min="13" max="13" width="12.140625" customWidth="1"/>
    <col min="14" max="14" width="13.28515625" bestFit="1" customWidth="1"/>
    <col min="15" max="15" width="14" bestFit="1" customWidth="1"/>
    <col min="16" max="17" width="14" customWidth="1"/>
    <col min="18" max="18" width="12.85546875" bestFit="1" customWidth="1"/>
    <col min="19" max="19" width="13.28515625" bestFit="1" customWidth="1"/>
    <col min="20" max="20" width="16.140625" bestFit="1" customWidth="1"/>
    <col min="21" max="21" width="13.140625" customWidth="1"/>
    <col min="22" max="22" width="7.85546875" bestFit="1" customWidth="1"/>
    <col min="23" max="23" width="13.7109375" bestFit="1" customWidth="1"/>
  </cols>
  <sheetData>
    <row r="1" spans="2:22" x14ac:dyDescent="0.25">
      <c r="B1" s="553" t="s">
        <v>12</v>
      </c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</row>
    <row r="2" spans="2:22" x14ac:dyDescent="0.25">
      <c r="B2" s="553" t="s">
        <v>324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</row>
    <row r="3" spans="2:22" x14ac:dyDescent="0.25">
      <c r="B3" s="554" t="s">
        <v>325</v>
      </c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</row>
    <row r="4" spans="2:22" x14ac:dyDescent="0.25">
      <c r="B4" s="554" t="s">
        <v>326</v>
      </c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</row>
    <row r="5" spans="2:22" x14ac:dyDescent="0.25">
      <c r="F5" s="555"/>
      <c r="O5" s="555"/>
      <c r="P5" s="555"/>
      <c r="Q5" s="555"/>
    </row>
    <row r="6" spans="2:22" x14ac:dyDescent="0.25">
      <c r="F6" s="555"/>
      <c r="G6" s="556" t="s">
        <v>327</v>
      </c>
      <c r="O6" s="555"/>
      <c r="P6" s="555"/>
      <c r="Q6" s="555"/>
    </row>
    <row r="7" spans="2:22" x14ac:dyDescent="0.25">
      <c r="B7" s="556"/>
      <c r="C7" s="556"/>
      <c r="D7" s="556" t="s">
        <v>223</v>
      </c>
      <c r="E7" s="556" t="str">
        <f>D7</f>
        <v>UG-220067</v>
      </c>
      <c r="F7" s="556" t="s">
        <v>328</v>
      </c>
      <c r="G7" s="556" t="s">
        <v>87</v>
      </c>
      <c r="H7" s="555"/>
      <c r="I7" s="556"/>
      <c r="J7" s="556"/>
      <c r="K7" s="556"/>
      <c r="L7" s="556"/>
      <c r="M7" s="556"/>
      <c r="N7" s="556"/>
      <c r="O7" s="556"/>
      <c r="P7" s="556"/>
      <c r="Q7" s="556"/>
      <c r="R7" s="556"/>
      <c r="S7" s="556"/>
      <c r="T7" s="557" t="s">
        <v>329</v>
      </c>
      <c r="U7" s="557" t="s">
        <v>177</v>
      </c>
      <c r="V7" s="556"/>
    </row>
    <row r="8" spans="2:22" x14ac:dyDescent="0.25">
      <c r="B8" s="556"/>
      <c r="C8" s="556" t="s">
        <v>11</v>
      </c>
      <c r="D8" s="556" t="s">
        <v>10</v>
      </c>
      <c r="E8" s="556" t="s">
        <v>330</v>
      </c>
      <c r="F8" s="556" t="s">
        <v>11</v>
      </c>
      <c r="G8" s="557" t="s">
        <v>331</v>
      </c>
      <c r="H8" s="555" t="s">
        <v>330</v>
      </c>
      <c r="I8" s="556" t="s">
        <v>332</v>
      </c>
      <c r="J8" s="556" t="s">
        <v>333</v>
      </c>
      <c r="K8" s="556" t="s">
        <v>334</v>
      </c>
      <c r="L8" s="556" t="s">
        <v>335</v>
      </c>
      <c r="M8" s="556" t="s">
        <v>177</v>
      </c>
      <c r="N8" s="556" t="s">
        <v>76</v>
      </c>
      <c r="O8" s="556" t="s">
        <v>336</v>
      </c>
      <c r="P8" s="556" t="s">
        <v>313</v>
      </c>
      <c r="Q8" s="556" t="s">
        <v>314</v>
      </c>
      <c r="R8" s="556" t="s">
        <v>165</v>
      </c>
      <c r="S8" s="556" t="s">
        <v>337</v>
      </c>
      <c r="T8" s="556" t="s">
        <v>338</v>
      </c>
      <c r="U8" s="556" t="s">
        <v>6</v>
      </c>
      <c r="V8" s="556" t="s">
        <v>339</v>
      </c>
    </row>
    <row r="9" spans="2:22" ht="17.25" x14ac:dyDescent="0.25">
      <c r="B9" s="558" t="s">
        <v>8</v>
      </c>
      <c r="C9" s="558" t="s">
        <v>7</v>
      </c>
      <c r="D9" s="558" t="s">
        <v>340</v>
      </c>
      <c r="E9" s="558" t="s">
        <v>341</v>
      </c>
      <c r="F9" s="558" t="s">
        <v>167</v>
      </c>
      <c r="G9" s="559" t="s">
        <v>342</v>
      </c>
      <c r="H9" s="558" t="s">
        <v>6</v>
      </c>
      <c r="I9" s="558" t="s">
        <v>6</v>
      </c>
      <c r="J9" s="558" t="s">
        <v>6</v>
      </c>
      <c r="K9" s="558" t="s">
        <v>6</v>
      </c>
      <c r="L9" s="558" t="s">
        <v>6</v>
      </c>
      <c r="M9" s="558" t="s">
        <v>6</v>
      </c>
      <c r="N9" s="558" t="s">
        <v>6</v>
      </c>
      <c r="O9" s="558" t="s">
        <v>6</v>
      </c>
      <c r="P9" s="558" t="s">
        <v>6</v>
      </c>
      <c r="Q9" s="558" t="s">
        <v>6</v>
      </c>
      <c r="R9" s="558" t="s">
        <v>6</v>
      </c>
      <c r="S9" s="558" t="s">
        <v>6</v>
      </c>
      <c r="T9" s="560" t="s">
        <v>343</v>
      </c>
      <c r="U9" s="558" t="s">
        <v>73</v>
      </c>
      <c r="V9" s="558" t="s">
        <v>73</v>
      </c>
    </row>
    <row r="10" spans="2:22" x14ac:dyDescent="0.25">
      <c r="B10" s="556" t="s">
        <v>344</v>
      </c>
      <c r="C10" s="556" t="s">
        <v>345</v>
      </c>
      <c r="D10" s="561" t="s">
        <v>346</v>
      </c>
      <c r="E10" s="562" t="s">
        <v>347</v>
      </c>
      <c r="F10" s="556" t="s">
        <v>348</v>
      </c>
      <c r="G10" s="556" t="s">
        <v>349</v>
      </c>
      <c r="H10" s="556" t="s">
        <v>350</v>
      </c>
      <c r="I10" s="556" t="s">
        <v>351</v>
      </c>
      <c r="J10" s="556" t="s">
        <v>352</v>
      </c>
      <c r="K10" s="556" t="s">
        <v>353</v>
      </c>
      <c r="L10" s="562" t="s">
        <v>354</v>
      </c>
      <c r="M10" s="556" t="s">
        <v>355</v>
      </c>
      <c r="N10" s="562" t="s">
        <v>356</v>
      </c>
      <c r="O10" s="562" t="s">
        <v>357</v>
      </c>
      <c r="P10" s="562" t="s">
        <v>358</v>
      </c>
      <c r="Q10" s="562" t="s">
        <v>359</v>
      </c>
      <c r="R10" s="562" t="s">
        <v>360</v>
      </c>
      <c r="S10" s="562" t="s">
        <v>361</v>
      </c>
      <c r="T10" s="563" t="s">
        <v>362</v>
      </c>
      <c r="U10" s="556" t="s">
        <v>363</v>
      </c>
      <c r="V10" s="556" t="s">
        <v>364</v>
      </c>
    </row>
    <row r="11" spans="2:22" x14ac:dyDescent="0.25">
      <c r="B11" t="s">
        <v>5</v>
      </c>
      <c r="C11" s="555" t="s">
        <v>365</v>
      </c>
      <c r="D11" s="657">
        <v>620836684.05687141</v>
      </c>
      <c r="E11" s="569">
        <v>403613457.09474093</v>
      </c>
      <c r="F11" s="565">
        <f t="shared" ref="F11:F16" si="0">(E11)/D11</f>
        <v>0.6501121268436002</v>
      </c>
      <c r="G11" s="657">
        <v>559577786</v>
      </c>
      <c r="H11" s="566">
        <f>F11*G11</f>
        <v>363788304.59089297</v>
      </c>
      <c r="I11" s="569">
        <v>386214992.12</v>
      </c>
      <c r="J11" s="569">
        <v>22584559.440000001</v>
      </c>
      <c r="K11" s="569">
        <v>16087861.3475</v>
      </c>
      <c r="L11" s="569">
        <v>1768265.80376</v>
      </c>
      <c r="M11" s="564">
        <f>'Sch. 129D'!G9</f>
        <v>0</v>
      </c>
      <c r="N11" s="569">
        <v>12786352.4101</v>
      </c>
      <c r="O11" s="569">
        <v>1824223.5823599999</v>
      </c>
      <c r="P11" s="569">
        <v>-951282.23619999993</v>
      </c>
      <c r="Q11" s="569">
        <v>27223459.288899999</v>
      </c>
      <c r="R11" s="569">
        <v>-766621.56681999995</v>
      </c>
      <c r="S11" s="569">
        <v>2596440.9300000002</v>
      </c>
      <c r="T11" s="567">
        <f t="shared" ref="T11:T23" si="1">SUM(H11:S11)</f>
        <v>833156555.71049297</v>
      </c>
      <c r="U11" s="564">
        <f>'Sch. 129D'!I9</f>
        <v>8930861.4645599984</v>
      </c>
      <c r="V11" s="568">
        <f>U11/T11</f>
        <v>1.0719307677947761E-2</v>
      </c>
    </row>
    <row r="12" spans="2:22" x14ac:dyDescent="0.25">
      <c r="B12" t="s">
        <v>366</v>
      </c>
      <c r="C12" s="555">
        <v>16</v>
      </c>
      <c r="D12" s="657">
        <v>8190.2669999999998</v>
      </c>
      <c r="E12" s="569">
        <v>5233.1499999999996</v>
      </c>
      <c r="F12" s="565">
        <f t="shared" si="0"/>
        <v>0.63894742381414427</v>
      </c>
      <c r="G12" s="657">
        <v>6996</v>
      </c>
      <c r="H12" s="566">
        <f t="shared" ref="H12:H23" si="2">F12*G12</f>
        <v>4470.0761770037534</v>
      </c>
      <c r="I12" s="569">
        <v>4310.8</v>
      </c>
      <c r="J12" s="569">
        <v>282.36</v>
      </c>
      <c r="K12" s="569">
        <v>201.13500000000002</v>
      </c>
      <c r="L12" s="569"/>
      <c r="M12" s="564"/>
      <c r="N12" s="569">
        <v>159.8586</v>
      </c>
      <c r="O12" s="569">
        <v>22.80696</v>
      </c>
      <c r="P12" s="569">
        <v>-11.8932</v>
      </c>
      <c r="Q12" s="569">
        <v>340.35539999999997</v>
      </c>
      <c r="R12" s="569">
        <v>-9.5845199999999995</v>
      </c>
      <c r="S12" s="569"/>
      <c r="T12" s="567">
        <f t="shared" si="1"/>
        <v>9765.9144170037525</v>
      </c>
      <c r="U12" s="564"/>
      <c r="V12" s="568">
        <f t="shared" ref="V12:V24" si="3">U12/T12</f>
        <v>0</v>
      </c>
    </row>
    <row r="13" spans="2:22" x14ac:dyDescent="0.25">
      <c r="B13" t="s">
        <v>367</v>
      </c>
      <c r="C13" s="555">
        <v>31</v>
      </c>
      <c r="D13" s="657">
        <v>222166912.14539161</v>
      </c>
      <c r="E13" s="569">
        <v>122121000.06</v>
      </c>
      <c r="F13" s="565">
        <f t="shared" si="0"/>
        <v>0.54968131339054194</v>
      </c>
      <c r="G13" s="657">
        <v>231737444</v>
      </c>
      <c r="H13" s="566">
        <f t="shared" si="2"/>
        <v>127381742.57968716</v>
      </c>
      <c r="I13" s="569">
        <v>140907952.81999999</v>
      </c>
      <c r="J13" s="569">
        <v>9350605.8699999992</v>
      </c>
      <c r="K13" s="569">
        <v>6662451.5150000006</v>
      </c>
      <c r="L13" s="569">
        <v>618738.97548000002</v>
      </c>
      <c r="M13" s="564">
        <f>'Sch. 129D'!G11</f>
        <v>0</v>
      </c>
      <c r="N13" s="569">
        <v>5823561.9677200001</v>
      </c>
      <c r="O13" s="569">
        <v>697529.70643999998</v>
      </c>
      <c r="P13" s="569">
        <v>-363827.78707999998</v>
      </c>
      <c r="Q13" s="569">
        <v>10407328.61004</v>
      </c>
      <c r="R13" s="569">
        <v>-340654.04268000001</v>
      </c>
      <c r="S13" s="569">
        <v>-4127243.8800000004</v>
      </c>
      <c r="T13" s="567">
        <f t="shared" si="1"/>
        <v>297018186.33460712</v>
      </c>
      <c r="U13" s="564">
        <f>'Sch. 129D'!I11</f>
        <v>3174802.9827999999</v>
      </c>
      <c r="V13" s="568">
        <f>U13/T13</f>
        <v>1.0688917813346998E-2</v>
      </c>
    </row>
    <row r="14" spans="2:22" x14ac:dyDescent="0.25">
      <c r="B14" t="s">
        <v>368</v>
      </c>
      <c r="C14" s="555">
        <v>41</v>
      </c>
      <c r="D14" s="657">
        <v>62517991.156948164</v>
      </c>
      <c r="E14" s="569">
        <v>17786398.291046247</v>
      </c>
      <c r="F14" s="565">
        <f t="shared" si="0"/>
        <v>0.28450047677306872</v>
      </c>
      <c r="G14" s="657">
        <v>62192142</v>
      </c>
      <c r="H14" s="566">
        <f t="shared" si="2"/>
        <v>17693694.050538391</v>
      </c>
      <c r="I14" s="569">
        <v>36348394.439999998</v>
      </c>
      <c r="J14" s="569">
        <v>2505099.48</v>
      </c>
      <c r="K14" s="569">
        <v>1788024.0825</v>
      </c>
      <c r="L14" s="569">
        <v>80227.86318</v>
      </c>
      <c r="M14" s="564">
        <f>'Sch. 129D'!G14</f>
        <v>0</v>
      </c>
      <c r="N14" s="569">
        <v>624409.10568000004</v>
      </c>
      <c r="O14" s="569">
        <v>141176.16233999998</v>
      </c>
      <c r="P14" s="569">
        <v>-46644.106500000002</v>
      </c>
      <c r="Q14" s="569">
        <v>1335265.28874</v>
      </c>
      <c r="R14" s="569">
        <v>-34827.599519999996</v>
      </c>
      <c r="S14" s="569">
        <v>-2215362.8400000003</v>
      </c>
      <c r="T14" s="567">
        <f t="shared" si="1"/>
        <v>58219455.92695839</v>
      </c>
      <c r="U14" s="564">
        <f>'Sch. 129D'!I14</f>
        <v>417931.19424000004</v>
      </c>
      <c r="V14" s="568">
        <f t="shared" si="3"/>
        <v>7.1785486069181545E-3</v>
      </c>
    </row>
    <row r="15" spans="2:22" x14ac:dyDescent="0.25">
      <c r="B15" t="s">
        <v>4</v>
      </c>
      <c r="C15" s="555">
        <v>85</v>
      </c>
      <c r="D15" s="657">
        <v>19992939.502740219</v>
      </c>
      <c r="E15" s="569">
        <v>2272313.06</v>
      </c>
      <c r="F15" s="565">
        <f t="shared" si="0"/>
        <v>0.11365577631486147</v>
      </c>
      <c r="G15" s="657">
        <v>17300712</v>
      </c>
      <c r="H15" s="566">
        <f t="shared" si="2"/>
        <v>1966325.8531598395</v>
      </c>
      <c r="I15" s="569">
        <v>9454206.1800000016</v>
      </c>
      <c r="J15" s="569">
        <v>695834.64</v>
      </c>
      <c r="K15" s="569">
        <v>447050.39807999996</v>
      </c>
      <c r="L15" s="569">
        <v>10656.064071241719</v>
      </c>
      <c r="M15" s="564">
        <f>'Sch. 129D'!G21</f>
        <v>0</v>
      </c>
      <c r="N15" s="569">
        <v>91520.766480000006</v>
      </c>
      <c r="O15" s="569">
        <v>31833.310079999999</v>
      </c>
      <c r="P15" s="569">
        <v>-7785.3203999999996</v>
      </c>
      <c r="Q15" s="569">
        <v>220930.09224</v>
      </c>
      <c r="R15" s="569">
        <v>-4671.1922400000003</v>
      </c>
      <c r="S15" s="569"/>
      <c r="T15" s="567">
        <f t="shared" si="1"/>
        <v>12905900.791471085</v>
      </c>
      <c r="U15" s="564">
        <f>'Sch. 129D'!I21</f>
        <v>55909.804688236138</v>
      </c>
      <c r="V15" s="568">
        <f t="shared" si="3"/>
        <v>4.3321117674470543E-3</v>
      </c>
    </row>
    <row r="16" spans="2:22" x14ac:dyDescent="0.25">
      <c r="B16" t="s">
        <v>369</v>
      </c>
      <c r="C16" s="555">
        <v>86</v>
      </c>
      <c r="D16" s="657">
        <v>5773170.4876905456</v>
      </c>
      <c r="E16" s="569">
        <v>1192875.52</v>
      </c>
      <c r="F16" s="565">
        <f t="shared" si="0"/>
        <v>0.20662398980654192</v>
      </c>
      <c r="G16" s="657">
        <v>4924285</v>
      </c>
      <c r="H16" s="566">
        <f t="shared" si="2"/>
        <v>1017475.4136445073</v>
      </c>
      <c r="I16" s="569">
        <v>2748500.48</v>
      </c>
      <c r="J16" s="569">
        <v>198202.47</v>
      </c>
      <c r="K16" s="569">
        <v>127243.52439999999</v>
      </c>
      <c r="L16" s="569">
        <v>5515.1991999999991</v>
      </c>
      <c r="M16" s="564">
        <f>'Sch. 129D'!G23</f>
        <v>0</v>
      </c>
      <c r="N16" s="569">
        <v>33140.438049999997</v>
      </c>
      <c r="O16" s="569">
        <v>2412.8996499999998</v>
      </c>
      <c r="P16" s="569">
        <v>-1772.7426</v>
      </c>
      <c r="Q16" s="569">
        <v>51261.806850000001</v>
      </c>
      <c r="R16" s="569">
        <v>-1625.01405</v>
      </c>
      <c r="S16" s="569">
        <v>-130729</v>
      </c>
      <c r="T16" s="567">
        <f t="shared" si="1"/>
        <v>4049625.4751445074</v>
      </c>
      <c r="U16" s="564">
        <f>'Sch. 129D'!I23</f>
        <v>24522.939300000002</v>
      </c>
      <c r="V16" s="568">
        <f t="shared" si="3"/>
        <v>6.0556067346264715E-3</v>
      </c>
    </row>
    <row r="17" spans="2:23" x14ac:dyDescent="0.25">
      <c r="B17" t="s">
        <v>370</v>
      </c>
      <c r="C17" s="555">
        <v>87</v>
      </c>
      <c r="D17" s="657">
        <v>21819455.762355208</v>
      </c>
      <c r="E17" s="569">
        <v>1509849.77</v>
      </c>
      <c r="F17" s="565">
        <f>(E17)/D17</f>
        <v>6.9197407416775353E-2</v>
      </c>
      <c r="G17" s="657">
        <v>20901384</v>
      </c>
      <c r="H17" s="566">
        <f t="shared" si="2"/>
        <v>1446321.5842224697</v>
      </c>
      <c r="I17" s="569">
        <v>11430966.91</v>
      </c>
      <c r="J17" s="569">
        <v>840653.66</v>
      </c>
      <c r="K17" s="569">
        <v>540091.76255999994</v>
      </c>
      <c r="L17" s="569">
        <v>5710.4684059807914</v>
      </c>
      <c r="M17" s="564">
        <f>'Sch. 129D'!G33</f>
        <v>0</v>
      </c>
      <c r="N17" s="569">
        <v>78798.217680000002</v>
      </c>
      <c r="O17" s="569">
        <v>16695.057072648953</v>
      </c>
      <c r="P17" s="569">
        <v>-4334.8473135404738</v>
      </c>
      <c r="Q17" s="569">
        <v>125788.70599546831</v>
      </c>
      <c r="R17" s="569">
        <v>-2926.1937599999997</v>
      </c>
      <c r="S17" s="569"/>
      <c r="T17" s="567">
        <f t="shared" si="1"/>
        <v>14477765.324863028</v>
      </c>
      <c r="U17" s="564">
        <f>'Sch. 129D'!I33</f>
        <v>27759.124373787545</v>
      </c>
      <c r="V17" s="568">
        <f t="shared" si="3"/>
        <v>1.9173625038745523E-3</v>
      </c>
    </row>
    <row r="18" spans="2:23" x14ac:dyDescent="0.25">
      <c r="B18" t="s">
        <v>371</v>
      </c>
      <c r="C18" s="555" t="s">
        <v>372</v>
      </c>
      <c r="D18" s="657">
        <v>36958.529999999992</v>
      </c>
      <c r="E18" s="569">
        <v>23981.98</v>
      </c>
      <c r="F18" s="565">
        <f>(E18)/D18</f>
        <v>0.64888890331947735</v>
      </c>
      <c r="G18" s="657">
        <v>0</v>
      </c>
      <c r="H18" s="566">
        <f t="shared" si="2"/>
        <v>0</v>
      </c>
      <c r="I18" s="569"/>
      <c r="J18" s="569"/>
      <c r="K18" s="569"/>
      <c r="L18" s="569">
        <v>0</v>
      </c>
      <c r="M18" s="564">
        <f>'Sch. 129D'!G12</f>
        <v>0</v>
      </c>
      <c r="N18" s="569">
        <v>0</v>
      </c>
      <c r="O18" s="569">
        <v>0</v>
      </c>
      <c r="P18" s="569">
        <v>0</v>
      </c>
      <c r="Q18" s="569">
        <v>0</v>
      </c>
      <c r="R18" s="569">
        <v>0</v>
      </c>
      <c r="S18" s="569">
        <v>0</v>
      </c>
      <c r="T18" s="567">
        <f t="shared" si="1"/>
        <v>0</v>
      </c>
      <c r="U18" s="564">
        <f>'Sch. 129D'!I12</f>
        <v>0</v>
      </c>
      <c r="V18" s="568">
        <f>IF(T18=0,0,U18/T18)</f>
        <v>0</v>
      </c>
    </row>
    <row r="19" spans="2:23" x14ac:dyDescent="0.25">
      <c r="B19" t="s">
        <v>373</v>
      </c>
      <c r="C19" s="555" t="s">
        <v>374</v>
      </c>
      <c r="D19" s="657">
        <v>19494505.608019032</v>
      </c>
      <c r="E19" s="569">
        <v>4475398.7622919884</v>
      </c>
      <c r="F19" s="565">
        <f t="shared" ref="F19:F24" si="4">(E19)/D19</f>
        <v>0.22957231397810063</v>
      </c>
      <c r="G19" s="657">
        <v>21445451</v>
      </c>
      <c r="H19" s="566">
        <f>F19*G19</f>
        <v>4923281.8103739722</v>
      </c>
      <c r="I19" s="569"/>
      <c r="J19" s="569"/>
      <c r="K19" s="569"/>
      <c r="L19" s="569">
        <v>27664.631789999999</v>
      </c>
      <c r="M19" s="564">
        <f>'Sch. 129D'!G15</f>
        <v>0</v>
      </c>
      <c r="N19" s="569">
        <v>215312.32803999999</v>
      </c>
      <c r="O19" s="569">
        <v>0</v>
      </c>
      <c r="P19" s="569">
        <v>-16084.088250000001</v>
      </c>
      <c r="Q19" s="569">
        <v>460433.83296999999</v>
      </c>
      <c r="R19" s="569">
        <v>-12009.45256</v>
      </c>
      <c r="S19" s="569">
        <v>-647724.34000000008</v>
      </c>
      <c r="T19" s="567">
        <f t="shared" si="1"/>
        <v>4950874.7223639721</v>
      </c>
      <c r="U19" s="564">
        <f>'Sch. 129D'!I15</f>
        <v>144113.43072</v>
      </c>
      <c r="V19" s="568">
        <f t="shared" si="3"/>
        <v>2.9108680546694968E-2</v>
      </c>
    </row>
    <row r="20" spans="2:23" x14ac:dyDescent="0.25">
      <c r="B20" t="s">
        <v>375</v>
      </c>
      <c r="C20" s="555" t="s">
        <v>3</v>
      </c>
      <c r="D20" s="657">
        <v>68886791.019958794</v>
      </c>
      <c r="E20" s="569">
        <v>7339677.3100000005</v>
      </c>
      <c r="F20" s="565">
        <f t="shared" si="4"/>
        <v>0.1065469475544804</v>
      </c>
      <c r="G20" s="657">
        <v>64141427</v>
      </c>
      <c r="H20" s="566">
        <f t="shared" si="2"/>
        <v>6834073.2586385328</v>
      </c>
      <c r="I20" s="569"/>
      <c r="J20" s="569"/>
      <c r="K20" s="569"/>
      <c r="L20" s="569">
        <v>37777.126385860669</v>
      </c>
      <c r="M20" s="564">
        <f>'Sch. 129D'!G39</f>
        <v>0</v>
      </c>
      <c r="N20" s="569">
        <v>339308.14883000002</v>
      </c>
      <c r="O20" s="569">
        <v>0</v>
      </c>
      <c r="P20" s="569">
        <v>-28863.64215</v>
      </c>
      <c r="Q20" s="569">
        <v>819086.02278999996</v>
      </c>
      <c r="R20" s="569">
        <v>-17318.185290000001</v>
      </c>
      <c r="S20" s="569"/>
      <c r="T20" s="567">
        <f t="shared" si="1"/>
        <v>7984062.7292043939</v>
      </c>
      <c r="U20" s="564">
        <f>'Sch. 129D'!I39</f>
        <v>197908.76578261208</v>
      </c>
      <c r="V20" s="568">
        <f t="shared" si="3"/>
        <v>2.4787977311186975E-2</v>
      </c>
    </row>
    <row r="21" spans="2:23" x14ac:dyDescent="0.25">
      <c r="B21" t="s">
        <v>376</v>
      </c>
      <c r="C21" s="555" t="s">
        <v>377</v>
      </c>
      <c r="D21" s="657">
        <v>1718484.3400000003</v>
      </c>
      <c r="E21" s="569">
        <v>367155.5</v>
      </c>
      <c r="F21" s="565">
        <f t="shared" si="4"/>
        <v>0.21365076856039314</v>
      </c>
      <c r="G21" s="657">
        <v>1207071</v>
      </c>
      <c r="H21" s="566">
        <f t="shared" si="2"/>
        <v>257891.6468569623</v>
      </c>
      <c r="I21" s="569"/>
      <c r="J21" s="569"/>
      <c r="K21" s="569"/>
      <c r="L21" s="569">
        <v>1351.9195199999999</v>
      </c>
      <c r="M21" s="564">
        <f>'Sch. 129D'!G24</f>
        <v>0</v>
      </c>
      <c r="N21" s="569">
        <v>8123.5878299999995</v>
      </c>
      <c r="O21" s="569">
        <v>0</v>
      </c>
      <c r="P21" s="569">
        <v>-434.54556000000002</v>
      </c>
      <c r="Q21" s="569">
        <v>12565.609110000001</v>
      </c>
      <c r="R21" s="569">
        <v>-398.33343000000002</v>
      </c>
      <c r="S21" s="569">
        <v>-29078.12</v>
      </c>
      <c r="T21" s="567">
        <f t="shared" si="1"/>
        <v>250021.76432696229</v>
      </c>
      <c r="U21" s="564">
        <f>'Sch. 129D'!I24</f>
        <v>6011.2135799999996</v>
      </c>
      <c r="V21" s="568">
        <f t="shared" si="3"/>
        <v>2.4042761221934758E-2</v>
      </c>
    </row>
    <row r="22" spans="2:23" x14ac:dyDescent="0.25">
      <c r="B22" t="s">
        <v>378</v>
      </c>
      <c r="C22" s="555" t="s">
        <v>2</v>
      </c>
      <c r="D22" s="657">
        <v>97500425.645479575</v>
      </c>
      <c r="E22" s="569">
        <v>4790056.76</v>
      </c>
      <c r="F22" s="565">
        <f>(E22)/D22</f>
        <v>4.9128572806616068E-2</v>
      </c>
      <c r="G22" s="657">
        <v>124490506</v>
      </c>
      <c r="H22" s="566">
        <f t="shared" si="2"/>
        <v>6116040.8877534745</v>
      </c>
      <c r="I22" s="569"/>
      <c r="J22" s="569"/>
      <c r="K22" s="569"/>
      <c r="L22" s="569">
        <v>27617.998829670862</v>
      </c>
      <c r="M22" s="564">
        <f>'Sch. 129D'!G48</f>
        <v>0</v>
      </c>
      <c r="N22" s="569">
        <v>469329.20762</v>
      </c>
      <c r="O22" s="569">
        <v>0</v>
      </c>
      <c r="P22" s="569">
        <v>-18601.797420514042</v>
      </c>
      <c r="Q22" s="569">
        <v>539115.09667854407</v>
      </c>
      <c r="R22" s="569">
        <v>-17428.670839999999</v>
      </c>
      <c r="S22" s="569"/>
      <c r="T22" s="567">
        <f t="shared" si="1"/>
        <v>7116072.7226211764</v>
      </c>
      <c r="U22" s="564">
        <f>'Sch. 129D'!I48</f>
        <v>129884.28183637983</v>
      </c>
      <c r="V22" s="568">
        <f t="shared" si="3"/>
        <v>1.8252242058107788E-2</v>
      </c>
    </row>
    <row r="23" spans="2:23" x14ac:dyDescent="0.25">
      <c r="B23" t="s">
        <v>168</v>
      </c>
      <c r="D23" s="657">
        <v>32154478.538398605</v>
      </c>
      <c r="E23" s="569">
        <v>1699064.4523564125</v>
      </c>
      <c r="F23" s="570">
        <f t="shared" si="4"/>
        <v>5.2840678175744761E-2</v>
      </c>
      <c r="G23" s="657">
        <v>32469384</v>
      </c>
      <c r="H23" s="566">
        <f t="shared" si="2"/>
        <v>1715704.2705086761</v>
      </c>
      <c r="I23" s="569"/>
      <c r="J23" s="569"/>
      <c r="K23" s="569"/>
      <c r="L23" s="569"/>
      <c r="M23" s="564"/>
      <c r="N23" s="569">
        <v>30521.220959999999</v>
      </c>
      <c r="O23" s="569">
        <v>0</v>
      </c>
      <c r="P23" s="569">
        <v>0</v>
      </c>
      <c r="Q23" s="569">
        <v>0</v>
      </c>
      <c r="R23" s="569">
        <v>-2272.8568799999998</v>
      </c>
      <c r="S23" s="569"/>
      <c r="T23" s="567">
        <f t="shared" si="1"/>
        <v>1743952.634588676</v>
      </c>
      <c r="U23" s="564"/>
      <c r="V23" s="568">
        <f t="shared" si="3"/>
        <v>0</v>
      </c>
    </row>
    <row r="24" spans="2:23" x14ac:dyDescent="0.25">
      <c r="B24" t="s">
        <v>0</v>
      </c>
      <c r="D24" s="571">
        <f>SUM(D11:D23)</f>
        <v>1172906987.060853</v>
      </c>
      <c r="E24" s="572">
        <f>SUM(E11:E23)</f>
        <v>567196461.71043551</v>
      </c>
      <c r="F24" s="565">
        <f t="shared" si="4"/>
        <v>0.48358179119706113</v>
      </c>
      <c r="G24" s="571">
        <f>SUM(G11:G23)</f>
        <v>1140394588</v>
      </c>
      <c r="H24" s="572">
        <f>SUM(H11:H23)</f>
        <v>533145326.02245402</v>
      </c>
      <c r="I24" s="572">
        <f t="shared" ref="I24:K24" si="5">SUM(I11:I23)</f>
        <v>587109323.75</v>
      </c>
      <c r="J24" s="572">
        <f t="shared" si="5"/>
        <v>36175237.919999994</v>
      </c>
      <c r="K24" s="572">
        <f t="shared" si="5"/>
        <v>25652923.765039999</v>
      </c>
      <c r="L24" s="572">
        <f>SUM(L11:L23)</f>
        <v>2583526.0506227538</v>
      </c>
      <c r="M24" s="572">
        <f>SUM(M11:M23)</f>
        <v>0</v>
      </c>
      <c r="N24" s="572">
        <f>SUM(N11:N23)</f>
        <v>20500537.257589992</v>
      </c>
      <c r="O24" s="572">
        <f>SUM(O11:O23)</f>
        <v>2713893.5249026488</v>
      </c>
      <c r="P24" s="572">
        <f t="shared" ref="P24:Q24" si="6">SUM(P11:P23)</f>
        <v>-1439643.0066740545</v>
      </c>
      <c r="Q24" s="572">
        <f t="shared" si="6"/>
        <v>41195574.709714018</v>
      </c>
      <c r="R24" s="572">
        <f>SUM(R11:R23)</f>
        <v>-1200762.6925900001</v>
      </c>
      <c r="S24" s="572">
        <f t="shared" ref="S24:T24" si="7">SUM(S11:S23)</f>
        <v>-4553697.2500000009</v>
      </c>
      <c r="T24" s="573">
        <f t="shared" si="7"/>
        <v>1241882240.0510592</v>
      </c>
      <c r="U24" s="572">
        <f>SUM(U11:U23)</f>
        <v>13109705.201881012</v>
      </c>
      <c r="V24" s="574">
        <f t="shared" si="3"/>
        <v>1.055631909297778E-2</v>
      </c>
      <c r="W24" s="566"/>
    </row>
    <row r="25" spans="2:23" x14ac:dyDescent="0.25">
      <c r="D25" s="575"/>
      <c r="E25" s="566"/>
      <c r="G25" s="575"/>
      <c r="L25" s="566"/>
      <c r="M25" s="566"/>
      <c r="R25" s="566"/>
      <c r="S25" s="566"/>
      <c r="T25" s="566"/>
      <c r="V25" s="576"/>
    </row>
    <row r="26" spans="2:23" s="581" customFormat="1" x14ac:dyDescent="0.25">
      <c r="B26" s="577" t="s">
        <v>379</v>
      </c>
      <c r="C26" s="578"/>
      <c r="D26" s="579"/>
      <c r="E26" s="580"/>
      <c r="U26" s="582"/>
      <c r="V26" s="583"/>
    </row>
    <row r="27" spans="2:23" s="581" customFormat="1" x14ac:dyDescent="0.25">
      <c r="B27" s="584" t="s">
        <v>5</v>
      </c>
      <c r="C27" s="585" t="s">
        <v>380</v>
      </c>
      <c r="D27" s="586">
        <f>D11+D12</f>
        <v>620844874.32387137</v>
      </c>
      <c r="E27" s="587">
        <f>E11+E12</f>
        <v>403618690.2447409</v>
      </c>
      <c r="F27" s="565">
        <f t="shared" ref="F27:F34" si="8">(E27)/D27</f>
        <v>0.65011197955737365</v>
      </c>
      <c r="G27" s="586">
        <f>G11+G12</f>
        <v>559584782</v>
      </c>
      <c r="H27" s="587">
        <f>H11+H12</f>
        <v>363792774.66706997</v>
      </c>
      <c r="I27" s="587">
        <f t="shared" ref="I27:S27" si="9">I11+I12</f>
        <v>386219302.92000002</v>
      </c>
      <c r="J27" s="587">
        <f t="shared" si="9"/>
        <v>22584841.800000001</v>
      </c>
      <c r="K27" s="587">
        <f t="shared" si="9"/>
        <v>16088062.4825</v>
      </c>
      <c r="L27" s="587">
        <f t="shared" si="9"/>
        <v>1768265.80376</v>
      </c>
      <c r="M27" s="587">
        <f t="shared" si="9"/>
        <v>0</v>
      </c>
      <c r="N27" s="587">
        <f t="shared" si="9"/>
        <v>12786512.2687</v>
      </c>
      <c r="O27" s="587">
        <f t="shared" si="9"/>
        <v>1824246.3893199998</v>
      </c>
      <c r="P27" s="587">
        <f t="shared" si="9"/>
        <v>-951294.12939999998</v>
      </c>
      <c r="Q27" s="587">
        <f t="shared" si="9"/>
        <v>27223799.644299999</v>
      </c>
      <c r="R27" s="587">
        <f t="shared" si="9"/>
        <v>-766631.15133999998</v>
      </c>
      <c r="S27" s="587">
        <f t="shared" si="9"/>
        <v>2596440.9300000002</v>
      </c>
      <c r="T27" s="587">
        <f>T11+T12</f>
        <v>833166321.62491</v>
      </c>
      <c r="U27" s="566">
        <f>SUM(U11:U12)</f>
        <v>8930861.4645599984</v>
      </c>
      <c r="V27" s="568">
        <f t="shared" ref="V27:V34" si="10">U27/T27</f>
        <v>1.0719182032156908E-2</v>
      </c>
      <c r="W27" s="588"/>
    </row>
    <row r="28" spans="2:23" s="581" customFormat="1" x14ac:dyDescent="0.25">
      <c r="B28" s="589" t="s">
        <v>23</v>
      </c>
      <c r="C28" s="585" t="s">
        <v>381</v>
      </c>
      <c r="D28" s="586">
        <f>D13+D18</f>
        <v>222203870.67539161</v>
      </c>
      <c r="E28" s="587">
        <f>E13+E18</f>
        <v>122144982.04000001</v>
      </c>
      <c r="F28" s="565">
        <f t="shared" si="8"/>
        <v>0.54969781430331843</v>
      </c>
      <c r="G28" s="586">
        <f t="shared" ref="G28:S32" si="11">G13+G18</f>
        <v>231737444</v>
      </c>
      <c r="H28" s="587">
        <f t="shared" si="11"/>
        <v>127381742.57968716</v>
      </c>
      <c r="I28" s="587">
        <f t="shared" si="11"/>
        <v>140907952.81999999</v>
      </c>
      <c r="J28" s="587">
        <f t="shared" si="11"/>
        <v>9350605.8699999992</v>
      </c>
      <c r="K28" s="587">
        <f t="shared" si="11"/>
        <v>6662451.5150000006</v>
      </c>
      <c r="L28" s="587">
        <f t="shared" si="11"/>
        <v>618738.97548000002</v>
      </c>
      <c r="M28" s="587">
        <f t="shared" si="11"/>
        <v>0</v>
      </c>
      <c r="N28" s="587">
        <f t="shared" si="11"/>
        <v>5823561.9677200001</v>
      </c>
      <c r="O28" s="587">
        <f t="shared" si="11"/>
        <v>697529.70643999998</v>
      </c>
      <c r="P28" s="587">
        <f t="shared" si="11"/>
        <v>-363827.78707999998</v>
      </c>
      <c r="Q28" s="587">
        <f t="shared" si="11"/>
        <v>10407328.61004</v>
      </c>
      <c r="R28" s="587">
        <f t="shared" si="11"/>
        <v>-340654.04268000001</v>
      </c>
      <c r="S28" s="587">
        <f t="shared" si="11"/>
        <v>-4127243.8800000004</v>
      </c>
      <c r="T28" s="587">
        <f>T13+T18</f>
        <v>297018186.33460712</v>
      </c>
      <c r="U28" s="566">
        <f>SUM(U13,U18)</f>
        <v>3174802.9827999999</v>
      </c>
      <c r="V28" s="568">
        <f t="shared" si="10"/>
        <v>1.0688917813346998E-2</v>
      </c>
    </row>
    <row r="29" spans="2:23" s="581" customFormat="1" x14ac:dyDescent="0.25">
      <c r="B29" s="584" t="s">
        <v>22</v>
      </c>
      <c r="C29" s="585" t="s">
        <v>382</v>
      </c>
      <c r="D29" s="586">
        <f t="shared" ref="D29:E32" si="12">D14+D19</f>
        <v>82012496.764967203</v>
      </c>
      <c r="E29" s="587">
        <f t="shared" si="12"/>
        <v>22261797.053338237</v>
      </c>
      <c r="F29" s="565">
        <f t="shared" si="8"/>
        <v>0.27144396197492282</v>
      </c>
      <c r="G29" s="586">
        <f t="shared" si="11"/>
        <v>83637593</v>
      </c>
      <c r="H29" s="587">
        <f t="shared" si="11"/>
        <v>22616975.860912364</v>
      </c>
      <c r="I29" s="587">
        <f t="shared" si="11"/>
        <v>36348394.439999998</v>
      </c>
      <c r="J29" s="587">
        <f t="shared" si="11"/>
        <v>2505099.48</v>
      </c>
      <c r="K29" s="587">
        <f t="shared" si="11"/>
        <v>1788024.0825</v>
      </c>
      <c r="L29" s="587">
        <f t="shared" si="11"/>
        <v>107892.49497</v>
      </c>
      <c r="M29" s="587">
        <f t="shared" si="11"/>
        <v>0</v>
      </c>
      <c r="N29" s="587">
        <f t="shared" si="11"/>
        <v>839721.43372000009</v>
      </c>
      <c r="O29" s="587">
        <f t="shared" si="11"/>
        <v>141176.16233999998</v>
      </c>
      <c r="P29" s="587">
        <f t="shared" si="11"/>
        <v>-62728.194750000002</v>
      </c>
      <c r="Q29" s="587">
        <f t="shared" si="11"/>
        <v>1795699.1217100001</v>
      </c>
      <c r="R29" s="587">
        <f t="shared" si="11"/>
        <v>-46837.052079999994</v>
      </c>
      <c r="S29" s="587">
        <f t="shared" si="11"/>
        <v>-2863087.1800000006</v>
      </c>
      <c r="T29" s="587">
        <f>T14+T19</f>
        <v>63170330.649322361</v>
      </c>
      <c r="U29" s="566">
        <f>SUM(U14,U19)</f>
        <v>562044.62496000004</v>
      </c>
      <c r="V29" s="568">
        <f t="shared" si="10"/>
        <v>8.8972880018640399E-3</v>
      </c>
    </row>
    <row r="30" spans="2:23" s="581" customFormat="1" x14ac:dyDescent="0.25">
      <c r="B30" s="584" t="s">
        <v>4</v>
      </c>
      <c r="C30" s="585" t="s">
        <v>383</v>
      </c>
      <c r="D30" s="586">
        <f t="shared" si="12"/>
        <v>88879730.522699013</v>
      </c>
      <c r="E30" s="587">
        <f t="shared" si="12"/>
        <v>9611990.370000001</v>
      </c>
      <c r="F30" s="565">
        <f t="shared" si="8"/>
        <v>0.10814603412355298</v>
      </c>
      <c r="G30" s="586">
        <f t="shared" si="11"/>
        <v>81442139</v>
      </c>
      <c r="H30" s="587">
        <f t="shared" si="11"/>
        <v>8800399.1117983721</v>
      </c>
      <c r="I30" s="587">
        <f t="shared" si="11"/>
        <v>9454206.1800000016</v>
      </c>
      <c r="J30" s="587">
        <f t="shared" si="11"/>
        <v>695834.64</v>
      </c>
      <c r="K30" s="587">
        <f t="shared" si="11"/>
        <v>447050.39807999996</v>
      </c>
      <c r="L30" s="587">
        <f t="shared" si="11"/>
        <v>48433.190457102392</v>
      </c>
      <c r="M30" s="587">
        <f t="shared" si="11"/>
        <v>0</v>
      </c>
      <c r="N30" s="587">
        <f t="shared" si="11"/>
        <v>430828.91531000001</v>
      </c>
      <c r="O30" s="587">
        <f t="shared" si="11"/>
        <v>31833.310079999999</v>
      </c>
      <c r="P30" s="587">
        <f t="shared" si="11"/>
        <v>-36648.962549999997</v>
      </c>
      <c r="Q30" s="587">
        <f t="shared" si="11"/>
        <v>1040016.11503</v>
      </c>
      <c r="R30" s="587">
        <f t="shared" si="11"/>
        <v>-21989.377530000002</v>
      </c>
      <c r="S30" s="587">
        <f t="shared" si="11"/>
        <v>0</v>
      </c>
      <c r="T30" s="587">
        <f>T15+T20</f>
        <v>20889963.52067548</v>
      </c>
      <c r="U30" s="566">
        <f>SUM(U15,U20)</f>
        <v>253818.57047084824</v>
      </c>
      <c r="V30" s="568">
        <f t="shared" si="10"/>
        <v>1.2150263939888439E-2</v>
      </c>
    </row>
    <row r="31" spans="2:23" s="581" customFormat="1" x14ac:dyDescent="0.25">
      <c r="B31" s="584" t="s">
        <v>41</v>
      </c>
      <c r="C31" s="585" t="s">
        <v>384</v>
      </c>
      <c r="D31" s="586">
        <f t="shared" si="12"/>
        <v>7491654.8276905455</v>
      </c>
      <c r="E31" s="587">
        <f t="shared" si="12"/>
        <v>1560031.02</v>
      </c>
      <c r="F31" s="565">
        <f t="shared" si="8"/>
        <v>0.20823583785972574</v>
      </c>
      <c r="G31" s="586">
        <f t="shared" si="11"/>
        <v>6131356</v>
      </c>
      <c r="H31" s="587">
        <f t="shared" si="11"/>
        <v>1275367.0605014695</v>
      </c>
      <c r="I31" s="587">
        <f t="shared" si="11"/>
        <v>2748500.48</v>
      </c>
      <c r="J31" s="587">
        <f t="shared" si="11"/>
        <v>198202.47</v>
      </c>
      <c r="K31" s="587">
        <f t="shared" si="11"/>
        <v>127243.52439999999</v>
      </c>
      <c r="L31" s="587">
        <f t="shared" si="11"/>
        <v>6867.1187199999986</v>
      </c>
      <c r="M31" s="587">
        <f t="shared" si="11"/>
        <v>0</v>
      </c>
      <c r="N31" s="587">
        <f t="shared" si="11"/>
        <v>41264.025879999994</v>
      </c>
      <c r="O31" s="587">
        <f t="shared" si="11"/>
        <v>2412.8996499999998</v>
      </c>
      <c r="P31" s="587">
        <f t="shared" si="11"/>
        <v>-2207.2881600000001</v>
      </c>
      <c r="Q31" s="587">
        <f t="shared" si="11"/>
        <v>63827.415959999998</v>
      </c>
      <c r="R31" s="587">
        <f t="shared" si="11"/>
        <v>-2023.3474799999999</v>
      </c>
      <c r="S31" s="587">
        <f t="shared" si="11"/>
        <v>-159807.12</v>
      </c>
      <c r="T31" s="587">
        <f>T16+T21</f>
        <v>4299647.23947147</v>
      </c>
      <c r="U31" s="566">
        <f>SUM(U16,U21)</f>
        <v>30534.152880000001</v>
      </c>
      <c r="V31" s="568">
        <f t="shared" si="10"/>
        <v>7.1015483781300586E-3</v>
      </c>
    </row>
    <row r="32" spans="2:23" s="581" customFormat="1" x14ac:dyDescent="0.25">
      <c r="B32" s="590" t="s">
        <v>385</v>
      </c>
      <c r="C32" s="585" t="s">
        <v>386</v>
      </c>
      <c r="D32" s="586">
        <f t="shared" si="12"/>
        <v>119319881.40783478</v>
      </c>
      <c r="E32" s="587">
        <f t="shared" si="12"/>
        <v>6299906.5299999993</v>
      </c>
      <c r="F32" s="565">
        <f t="shared" si="8"/>
        <v>5.2798464561550719E-2</v>
      </c>
      <c r="G32" s="586">
        <f t="shared" si="11"/>
        <v>145391890</v>
      </c>
      <c r="H32" s="587">
        <f t="shared" si="11"/>
        <v>7562362.471975944</v>
      </c>
      <c r="I32" s="587">
        <f t="shared" si="11"/>
        <v>11430966.91</v>
      </c>
      <c r="J32" s="587">
        <f t="shared" si="11"/>
        <v>840653.66</v>
      </c>
      <c r="K32" s="587">
        <f t="shared" si="11"/>
        <v>540091.76255999994</v>
      </c>
      <c r="L32" s="587">
        <f t="shared" si="11"/>
        <v>33328.467235651653</v>
      </c>
      <c r="M32" s="587">
        <f t="shared" si="11"/>
        <v>0</v>
      </c>
      <c r="N32" s="587">
        <f t="shared" si="11"/>
        <v>548127.4253</v>
      </c>
      <c r="O32" s="587">
        <f t="shared" si="11"/>
        <v>16695.057072648953</v>
      </c>
      <c r="P32" s="587">
        <f t="shared" si="11"/>
        <v>-22936.644734054516</v>
      </c>
      <c r="Q32" s="587">
        <f t="shared" si="11"/>
        <v>664903.80267401238</v>
      </c>
      <c r="R32" s="587">
        <f t="shared" si="11"/>
        <v>-20354.864599999997</v>
      </c>
      <c r="S32" s="587">
        <f t="shared" si="11"/>
        <v>0</v>
      </c>
      <c r="T32" s="587">
        <f>T17+T22</f>
        <v>21593838.047484204</v>
      </c>
      <c r="U32" s="566">
        <f>SUM(U17,U22)</f>
        <v>157643.40621016736</v>
      </c>
      <c r="V32" s="568">
        <f t="shared" si="10"/>
        <v>7.3003884656129324E-3</v>
      </c>
    </row>
    <row r="33" spans="2:22" s="581" customFormat="1" x14ac:dyDescent="0.25">
      <c r="B33" s="590" t="s">
        <v>168</v>
      </c>
      <c r="C33" s="584"/>
      <c r="D33" s="586">
        <f>D23</f>
        <v>32154478.538398605</v>
      </c>
      <c r="E33" s="587">
        <f>E23</f>
        <v>1699064.4523564125</v>
      </c>
      <c r="F33" s="565">
        <f t="shared" si="8"/>
        <v>5.2840678175744761E-2</v>
      </c>
      <c r="G33" s="586">
        <f>G23</f>
        <v>32469384</v>
      </c>
      <c r="H33" s="587">
        <f>H23</f>
        <v>1715704.2705086761</v>
      </c>
      <c r="I33" s="587">
        <f t="shared" ref="I33:S33" si="13">I23</f>
        <v>0</v>
      </c>
      <c r="J33" s="587">
        <f t="shared" si="13"/>
        <v>0</v>
      </c>
      <c r="K33" s="587">
        <f t="shared" si="13"/>
        <v>0</v>
      </c>
      <c r="L33" s="587">
        <f t="shared" si="13"/>
        <v>0</v>
      </c>
      <c r="M33" s="587">
        <f t="shared" si="13"/>
        <v>0</v>
      </c>
      <c r="N33" s="587">
        <f t="shared" si="13"/>
        <v>30521.220959999999</v>
      </c>
      <c r="O33" s="587">
        <f t="shared" si="13"/>
        <v>0</v>
      </c>
      <c r="P33" s="587">
        <f t="shared" si="13"/>
        <v>0</v>
      </c>
      <c r="Q33" s="587">
        <f t="shared" si="13"/>
        <v>0</v>
      </c>
      <c r="R33" s="587">
        <f t="shared" si="13"/>
        <v>-2272.8568799999998</v>
      </c>
      <c r="S33" s="587">
        <f t="shared" si="13"/>
        <v>0</v>
      </c>
      <c r="T33" s="587">
        <f>T23</f>
        <v>1743952.634588676</v>
      </c>
      <c r="U33" s="566">
        <f>U23</f>
        <v>0</v>
      </c>
      <c r="V33" s="568">
        <f t="shared" si="10"/>
        <v>0</v>
      </c>
    </row>
    <row r="34" spans="2:22" s="581" customFormat="1" x14ac:dyDescent="0.25">
      <c r="B34" s="590" t="s">
        <v>0</v>
      </c>
      <c r="C34" s="590"/>
      <c r="D34" s="591">
        <f>SUM(D27:D33)</f>
        <v>1172906987.0608532</v>
      </c>
      <c r="E34" s="592">
        <f>SUM(E27:E33)</f>
        <v>567196461.71043563</v>
      </c>
      <c r="F34" s="593">
        <f t="shared" si="8"/>
        <v>0.48358179119706113</v>
      </c>
      <c r="G34" s="591">
        <f>SUM(G27:G33)</f>
        <v>1140394588</v>
      </c>
      <c r="H34" s="592">
        <f>SUM(H27:H33)</f>
        <v>533145326.0224539</v>
      </c>
      <c r="I34" s="592">
        <f t="shared" ref="I34:S34" si="14">SUM(I27:I33)</f>
        <v>587109323.75</v>
      </c>
      <c r="J34" s="592">
        <f t="shared" si="14"/>
        <v>36175237.919999994</v>
      </c>
      <c r="K34" s="592">
        <f t="shared" si="14"/>
        <v>25652923.765039999</v>
      </c>
      <c r="L34" s="592">
        <f t="shared" si="14"/>
        <v>2583526.0506227543</v>
      </c>
      <c r="M34" s="592">
        <f t="shared" si="14"/>
        <v>0</v>
      </c>
      <c r="N34" s="592">
        <f t="shared" si="14"/>
        <v>20500537.257589996</v>
      </c>
      <c r="O34" s="592">
        <f t="shared" si="14"/>
        <v>2713893.5249026488</v>
      </c>
      <c r="P34" s="592">
        <f t="shared" si="14"/>
        <v>-1439643.0066740545</v>
      </c>
      <c r="Q34" s="592">
        <f t="shared" si="14"/>
        <v>41195574.70971401</v>
      </c>
      <c r="R34" s="592">
        <f t="shared" si="14"/>
        <v>-1200762.6925900001</v>
      </c>
      <c r="S34" s="592">
        <f t="shared" si="14"/>
        <v>-4553697.2500000009</v>
      </c>
      <c r="T34" s="592">
        <f>SUM(T27:T33)</f>
        <v>1241882240.051059</v>
      </c>
      <c r="U34" s="572">
        <f>SUM(U27:U33)</f>
        <v>13109705.201881014</v>
      </c>
      <c r="V34" s="574">
        <f t="shared" si="10"/>
        <v>1.0556319092977783E-2</v>
      </c>
    </row>
    <row r="35" spans="2:22" s="581" customFormat="1" x14ac:dyDescent="0.25">
      <c r="B35" s="594"/>
      <c r="C35" s="594"/>
      <c r="D35" s="594"/>
      <c r="E35" s="594"/>
      <c r="F35" s="594"/>
      <c r="I35" s="595"/>
      <c r="L35" s="594"/>
      <c r="M35" s="594"/>
      <c r="O35" s="594"/>
      <c r="P35" s="594"/>
      <c r="Q35" s="594"/>
      <c r="R35" s="594"/>
      <c r="S35" s="594"/>
      <c r="T35" s="594"/>
      <c r="U35" s="596"/>
    </row>
    <row r="36" spans="2:22" ht="17.25" x14ac:dyDescent="0.25">
      <c r="B36" t="s">
        <v>387</v>
      </c>
    </row>
    <row r="37" spans="2:22" ht="17.25" x14ac:dyDescent="0.25">
      <c r="B37" t="s">
        <v>388</v>
      </c>
    </row>
  </sheetData>
  <printOptions horizontalCentered="1"/>
  <pageMargins left="0.45" right="0.45" top="0.75" bottom="0.75" header="0.3" footer="0.3"/>
  <pageSetup paperSize="5" scale="57" orientation="landscape" blackAndWhite="1" r:id="rId1"/>
  <headerFooter>
    <oddFooter>&amp;L&amp;F 
&amp;A&amp;C&amp;P&amp;R&amp;D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5"/>
  <sheetViews>
    <sheetView zoomScale="90" zoomScaleNormal="90" workbookViewId="0">
      <selection activeCell="I18" sqref="I18"/>
    </sheetView>
  </sheetViews>
  <sheetFormatPr defaultColWidth="9.140625" defaultRowHeight="15" x14ac:dyDescent="0.25"/>
  <cols>
    <col min="1" max="1" width="2.140625" style="598" customWidth="1"/>
    <col min="2" max="2" width="2.42578125" style="598" customWidth="1"/>
    <col min="3" max="3" width="34.85546875" style="598" customWidth="1"/>
    <col min="4" max="5" width="11.85546875" style="598" customWidth="1"/>
    <col min="6" max="6" width="2.7109375" style="599" customWidth="1"/>
    <col min="7" max="8" width="11.85546875" style="598" customWidth="1"/>
    <col min="9" max="16384" width="9.140625" style="598"/>
  </cols>
  <sheetData>
    <row r="1" spans="2:8" x14ac:dyDescent="0.25">
      <c r="B1" s="597" t="s">
        <v>12</v>
      </c>
      <c r="C1" s="597"/>
      <c r="D1" s="597"/>
      <c r="E1" s="597"/>
      <c r="F1" s="597"/>
      <c r="G1" s="597"/>
      <c r="H1" s="597"/>
    </row>
    <row r="2" spans="2:8" x14ac:dyDescent="0.25">
      <c r="B2" s="597" t="str">
        <f>'Rate Impacts Sch 129D'!B2</f>
        <v>2023 Gas Schedule 129D Low Income Discount Rates Filing</v>
      </c>
      <c r="C2" s="597"/>
      <c r="D2" s="597"/>
      <c r="E2" s="597"/>
      <c r="F2" s="597"/>
      <c r="G2" s="597"/>
      <c r="H2" s="597"/>
    </row>
    <row r="3" spans="2:8" x14ac:dyDescent="0.25">
      <c r="B3" s="553" t="s">
        <v>389</v>
      </c>
      <c r="C3" s="553"/>
      <c r="D3" s="553"/>
      <c r="E3" s="553"/>
      <c r="F3" s="553"/>
      <c r="G3" s="553"/>
      <c r="H3" s="553"/>
    </row>
    <row r="4" spans="2:8" x14ac:dyDescent="0.25">
      <c r="B4" s="553" t="str">
        <f>'Rate Impacts Sch 129D'!B4</f>
        <v>Proposed Rates Effective October 1, 2023</v>
      </c>
      <c r="C4" s="553"/>
      <c r="D4" s="553"/>
      <c r="E4" s="553"/>
      <c r="F4" s="553"/>
      <c r="G4" s="553"/>
      <c r="H4" s="553"/>
    </row>
    <row r="6" spans="2:8" x14ac:dyDescent="0.25">
      <c r="G6" s="600" t="s">
        <v>390</v>
      </c>
      <c r="H6" s="600"/>
    </row>
    <row r="7" spans="2:8" x14ac:dyDescent="0.25">
      <c r="D7" s="601" t="s">
        <v>169</v>
      </c>
      <c r="E7" s="601"/>
      <c r="F7" s="602"/>
      <c r="G7" s="601" t="s">
        <v>391</v>
      </c>
      <c r="H7" s="601"/>
    </row>
    <row r="8" spans="2:8" ht="17.25" x14ac:dyDescent="0.25">
      <c r="D8" s="603" t="s">
        <v>392</v>
      </c>
      <c r="E8" s="603" t="s">
        <v>393</v>
      </c>
      <c r="F8" s="604"/>
      <c r="G8" s="603" t="s">
        <v>74</v>
      </c>
      <c r="H8" s="603" t="s">
        <v>393</v>
      </c>
    </row>
    <row r="9" spans="2:8" x14ac:dyDescent="0.25">
      <c r="B9" s="598" t="s">
        <v>394</v>
      </c>
      <c r="D9" s="605">
        <v>64</v>
      </c>
      <c r="E9" s="606"/>
      <c r="F9" s="607"/>
      <c r="G9" s="605">
        <v>64</v>
      </c>
      <c r="H9" s="606"/>
    </row>
    <row r="10" spans="2:8" x14ac:dyDescent="0.25">
      <c r="D10" s="605"/>
      <c r="E10" s="606"/>
      <c r="F10" s="607"/>
      <c r="G10" s="605"/>
      <c r="H10" s="606"/>
    </row>
    <row r="11" spans="2:8" x14ac:dyDescent="0.25">
      <c r="B11" s="598" t="s">
        <v>395</v>
      </c>
      <c r="D11" s="605"/>
      <c r="E11" s="606"/>
      <c r="F11" s="607"/>
      <c r="G11" s="605"/>
      <c r="H11" s="606"/>
    </row>
    <row r="12" spans="2:8" x14ac:dyDescent="0.25">
      <c r="C12" s="598" t="s">
        <v>396</v>
      </c>
      <c r="D12" s="658">
        <v>12.5</v>
      </c>
      <c r="E12" s="606">
        <f>D12</f>
        <v>12.5</v>
      </c>
      <c r="F12" s="608"/>
      <c r="G12" s="609">
        <f>$D$12</f>
        <v>12.5</v>
      </c>
      <c r="H12" s="606">
        <f>G12</f>
        <v>12.5</v>
      </c>
    </row>
    <row r="13" spans="2:8" x14ac:dyDescent="0.25">
      <c r="C13" s="598" t="s">
        <v>1</v>
      </c>
      <c r="D13" s="610">
        <f>SUM(D12:D12)</f>
        <v>12.5</v>
      </c>
      <c r="E13" s="610">
        <f>SUM(E12:E12)</f>
        <v>12.5</v>
      </c>
      <c r="F13" s="608"/>
      <c r="G13" s="610">
        <f>SUM(G12:G12)</f>
        <v>12.5</v>
      </c>
      <c r="H13" s="610">
        <f>SUM(H12:H12)</f>
        <v>12.5</v>
      </c>
    </row>
    <row r="14" spans="2:8" x14ac:dyDescent="0.25">
      <c r="D14" s="611"/>
      <c r="E14" s="606"/>
      <c r="F14" s="608"/>
      <c r="G14" s="609"/>
      <c r="H14" s="606"/>
    </row>
    <row r="15" spans="2:8" x14ac:dyDescent="0.25">
      <c r="B15" s="598" t="s">
        <v>397</v>
      </c>
      <c r="E15" s="606"/>
      <c r="H15" s="606"/>
    </row>
    <row r="16" spans="2:8" x14ac:dyDescent="0.25">
      <c r="C16" s="598" t="s">
        <v>398</v>
      </c>
      <c r="D16" s="659">
        <v>0.45612999999999998</v>
      </c>
      <c r="E16" s="606"/>
      <c r="F16" s="613"/>
      <c r="G16" s="614">
        <f>$D$16</f>
        <v>0.45612999999999998</v>
      </c>
      <c r="H16" s="606"/>
    </row>
    <row r="17" spans="3:8" x14ac:dyDescent="0.25">
      <c r="C17" s="598" t="s">
        <v>399</v>
      </c>
      <c r="D17" s="660">
        <v>3.16E-3</v>
      </c>
      <c r="E17" s="606"/>
      <c r="F17" s="613"/>
      <c r="G17" s="616">
        <f>$D$17</f>
        <v>3.16E-3</v>
      </c>
      <c r="H17" s="606"/>
    </row>
    <row r="18" spans="3:8" x14ac:dyDescent="0.25">
      <c r="C18" s="598" t="s">
        <v>400</v>
      </c>
      <c r="D18" s="615">
        <f>'Sch. 129D'!$E$9</f>
        <v>0</v>
      </c>
      <c r="E18" s="606"/>
      <c r="F18" s="613"/>
      <c r="G18" s="612">
        <f>'Sch. 129D'!$F$9</f>
        <v>1.5959999999999998E-2</v>
      </c>
      <c r="H18" s="606"/>
    </row>
    <row r="19" spans="3:8" x14ac:dyDescent="0.25">
      <c r="C19" s="598" t="s">
        <v>401</v>
      </c>
      <c r="D19" s="659">
        <v>2.2849999999999999E-2</v>
      </c>
      <c r="E19" s="606"/>
      <c r="F19" s="613"/>
      <c r="G19" s="616">
        <f>$D$19</f>
        <v>2.2849999999999999E-2</v>
      </c>
      <c r="H19" s="606"/>
    </row>
    <row r="20" spans="3:8" x14ac:dyDescent="0.25">
      <c r="C20" s="598" t="s">
        <v>402</v>
      </c>
      <c r="D20" s="659">
        <v>3.2599999999999999E-3</v>
      </c>
      <c r="E20" s="606"/>
      <c r="F20" s="613"/>
      <c r="G20" s="616">
        <f>$D$20</f>
        <v>3.2599999999999999E-3</v>
      </c>
      <c r="H20" s="606"/>
    </row>
    <row r="21" spans="3:8" x14ac:dyDescent="0.25">
      <c r="C21" s="598" t="s">
        <v>403</v>
      </c>
      <c r="D21" s="659">
        <v>-1.6999999999999999E-3</v>
      </c>
      <c r="E21" s="606"/>
      <c r="F21" s="613"/>
      <c r="G21" s="616">
        <f>$D$21</f>
        <v>-1.6999999999999999E-3</v>
      </c>
      <c r="H21" s="606"/>
    </row>
    <row r="22" spans="3:8" x14ac:dyDescent="0.25">
      <c r="C22" s="598" t="s">
        <v>404</v>
      </c>
      <c r="D22" s="659">
        <v>4.8649999999999999E-2</v>
      </c>
      <c r="E22" s="606"/>
      <c r="F22" s="613"/>
      <c r="G22" s="616">
        <f>$D$22</f>
        <v>4.8649999999999999E-2</v>
      </c>
      <c r="H22" s="606"/>
    </row>
    <row r="23" spans="3:8" x14ac:dyDescent="0.25">
      <c r="C23" s="598" t="s">
        <v>405</v>
      </c>
      <c r="D23" s="659">
        <v>-1.3699999999999999E-3</v>
      </c>
      <c r="E23" s="606"/>
      <c r="F23" s="613"/>
      <c r="G23" s="616">
        <f>$D$23</f>
        <v>-1.3699999999999999E-3</v>
      </c>
      <c r="H23" s="606"/>
    </row>
    <row r="24" spans="3:8" x14ac:dyDescent="0.25">
      <c r="C24" s="598" t="s">
        <v>406</v>
      </c>
      <c r="D24" s="659">
        <v>4.64E-3</v>
      </c>
      <c r="E24" s="606"/>
      <c r="F24" s="613"/>
      <c r="G24" s="616">
        <f>$D$24</f>
        <v>4.64E-3</v>
      </c>
      <c r="H24" s="606"/>
    </row>
    <row r="25" spans="3:8" x14ac:dyDescent="0.25">
      <c r="C25" s="598" t="s">
        <v>1</v>
      </c>
      <c r="D25" s="617">
        <f>SUM(D16:D24)</f>
        <v>0.53561999999999999</v>
      </c>
      <c r="E25" s="606">
        <f>ROUND(D25*D$9,2)</f>
        <v>34.28</v>
      </c>
      <c r="F25" s="613"/>
      <c r="G25" s="617">
        <f>SUM(G16:G24)</f>
        <v>0.55157999999999996</v>
      </c>
      <c r="H25" s="606">
        <f>ROUND(G25*G$9,2)</f>
        <v>35.299999999999997</v>
      </c>
    </row>
    <row r="27" spans="3:8" x14ac:dyDescent="0.25">
      <c r="C27" s="598" t="s">
        <v>407</v>
      </c>
      <c r="D27" s="659">
        <v>2.8750000000000001E-2</v>
      </c>
      <c r="E27" s="606">
        <f>ROUND(D27*D$9,2)</f>
        <v>1.84</v>
      </c>
      <c r="F27" s="613"/>
      <c r="G27" s="618">
        <f>$D$27</f>
        <v>2.8750000000000001E-2</v>
      </c>
      <c r="H27" s="606">
        <f>ROUND(G27*G$9,2)</f>
        <v>1.84</v>
      </c>
    </row>
    <row r="28" spans="3:8" x14ac:dyDescent="0.25">
      <c r="D28" s="659"/>
      <c r="E28" s="606"/>
      <c r="F28" s="613"/>
      <c r="G28" s="614"/>
      <c r="H28" s="606"/>
    </row>
    <row r="29" spans="3:8" x14ac:dyDescent="0.25">
      <c r="C29" s="598" t="s">
        <v>408</v>
      </c>
      <c r="D29" s="659">
        <v>0.69018999999999997</v>
      </c>
      <c r="E29" s="606"/>
      <c r="F29" s="613"/>
      <c r="G29" s="616">
        <f>$D$29</f>
        <v>0.69018999999999997</v>
      </c>
      <c r="H29" s="606"/>
    </row>
    <row r="30" spans="3:8" x14ac:dyDescent="0.25">
      <c r="C30" s="598" t="s">
        <v>409</v>
      </c>
      <c r="D30" s="659">
        <v>4.036E-2</v>
      </c>
      <c r="E30" s="606"/>
      <c r="F30" s="613"/>
      <c r="G30" s="616">
        <f>$D$30</f>
        <v>4.036E-2</v>
      </c>
      <c r="H30" s="606"/>
    </row>
    <row r="31" spans="3:8" x14ac:dyDescent="0.25">
      <c r="C31" s="598" t="s">
        <v>1</v>
      </c>
      <c r="D31" s="617">
        <f>SUM(D29:D30)</f>
        <v>0.73054999999999992</v>
      </c>
      <c r="E31" s="606">
        <f>ROUND(D31*D$9,2)</f>
        <v>46.76</v>
      </c>
      <c r="F31" s="613"/>
      <c r="G31" s="617">
        <f>SUM(G29:G30)</f>
        <v>0.73054999999999992</v>
      </c>
      <c r="H31" s="606">
        <f>ROUND(G31*G$9,2)</f>
        <v>46.76</v>
      </c>
    </row>
    <row r="32" spans="3:8" x14ac:dyDescent="0.25">
      <c r="C32" s="598" t="s">
        <v>410</v>
      </c>
      <c r="D32" s="617">
        <f>D25+D27+D31</f>
        <v>1.2949199999999998</v>
      </c>
      <c r="E32" s="619">
        <f>SUM(E25,E27,E31)</f>
        <v>82.88</v>
      </c>
      <c r="F32" s="620"/>
      <c r="G32" s="617">
        <f>G25+G27+G31</f>
        <v>1.31088</v>
      </c>
      <c r="H32" s="619">
        <f>SUM(H25,H27,H31)</f>
        <v>83.9</v>
      </c>
    </row>
    <row r="33" spans="2:8" x14ac:dyDescent="0.25">
      <c r="E33" s="606"/>
      <c r="H33" s="606"/>
    </row>
    <row r="34" spans="2:8" x14ac:dyDescent="0.25">
      <c r="B34" s="598" t="s">
        <v>411</v>
      </c>
      <c r="D34" s="609"/>
      <c r="E34" s="606">
        <f>E13+E32</f>
        <v>95.38</v>
      </c>
      <c r="F34" s="621"/>
      <c r="G34" s="609"/>
      <c r="H34" s="606">
        <f>H13+H32</f>
        <v>96.4</v>
      </c>
    </row>
    <row r="35" spans="2:8" x14ac:dyDescent="0.25">
      <c r="B35" s="598" t="s">
        <v>412</v>
      </c>
      <c r="D35" s="609"/>
      <c r="E35" s="606"/>
      <c r="F35" s="621"/>
      <c r="G35" s="609"/>
      <c r="H35" s="606">
        <f>H34-$E34</f>
        <v>1.0200000000000102</v>
      </c>
    </row>
    <row r="36" spans="2:8" x14ac:dyDescent="0.25">
      <c r="B36" s="598" t="s">
        <v>413</v>
      </c>
      <c r="D36" s="622"/>
      <c r="E36" s="622"/>
      <c r="F36" s="623"/>
      <c r="G36" s="622"/>
      <c r="H36" s="624">
        <f>H35/$E34</f>
        <v>1.0694065841895684E-2</v>
      </c>
    </row>
    <row r="37" spans="2:8" x14ac:dyDescent="0.25">
      <c r="E37" s="606"/>
    </row>
    <row r="38" spans="2:8" x14ac:dyDescent="0.25">
      <c r="B38" s="598" t="s">
        <v>414</v>
      </c>
      <c r="D38" s="614">
        <f>D25+D27</f>
        <v>0.56437000000000004</v>
      </c>
      <c r="E38" s="606"/>
      <c r="F38" s="620"/>
      <c r="G38" s="614">
        <f>G25+G27</f>
        <v>0.58033000000000001</v>
      </c>
    </row>
    <row r="40" spans="2:8" ht="17.25" x14ac:dyDescent="0.25">
      <c r="B40" s="625" t="s">
        <v>415</v>
      </c>
      <c r="D40" s="625"/>
      <c r="E40" s="625"/>
      <c r="F40" s="626"/>
      <c r="G40" s="626"/>
      <c r="H40" s="626"/>
    </row>
    <row r="45" spans="2:8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90" zoomScaleNormal="90" workbookViewId="0">
      <pane ySplit="8" topLeftCell="A23" activePane="bottomLeft" state="frozen"/>
      <selection activeCell="I41" sqref="I41"/>
      <selection pane="bottomLeft" activeCell="I53" sqref="I53"/>
    </sheetView>
  </sheetViews>
  <sheetFormatPr defaultColWidth="9.140625" defaultRowHeight="15" x14ac:dyDescent="0.25"/>
  <cols>
    <col min="1" max="1" width="3.5703125" style="598" customWidth="1"/>
    <col min="2" max="2" width="19.85546875" style="598" customWidth="1"/>
    <col min="3" max="3" width="8.7109375" style="598" bestFit="1" customWidth="1"/>
    <col min="4" max="4" width="18.5703125" style="598" bestFit="1" customWidth="1"/>
    <col min="5" max="5" width="13.7109375" style="598" customWidth="1"/>
    <col min="6" max="6" width="13.7109375" style="650" customWidth="1"/>
    <col min="7" max="9" width="14.42578125" style="598" customWidth="1"/>
    <col min="10" max="10" width="8.28515625" style="598" customWidth="1"/>
    <col min="11" max="11" width="11.85546875" style="598" bestFit="1" customWidth="1"/>
    <col min="12" max="12" width="11.28515625" style="598" bestFit="1" customWidth="1"/>
    <col min="13" max="13" width="10.5703125" style="598" customWidth="1"/>
    <col min="14" max="16384" width="9.140625" style="598"/>
  </cols>
  <sheetData>
    <row r="1" spans="1:10" ht="15" customHeight="1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0" ht="15" customHeight="1" x14ac:dyDescent="0.25">
      <c r="A2" s="4" t="s">
        <v>416</v>
      </c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x14ac:dyDescent="0.25">
      <c r="A3" s="4" t="s">
        <v>417</v>
      </c>
      <c r="B3" s="4"/>
      <c r="C3" s="4"/>
      <c r="D3" s="4"/>
      <c r="E3" s="4"/>
      <c r="F3" s="4"/>
      <c r="G3" s="4"/>
      <c r="H3" s="4"/>
      <c r="I3" s="4"/>
      <c r="J3" s="4"/>
    </row>
    <row r="4" spans="1:10" ht="15" customHeight="1" x14ac:dyDescent="0.25">
      <c r="A4" s="3" t="s">
        <v>326</v>
      </c>
      <c r="B4" s="3"/>
      <c r="C4" s="3"/>
      <c r="D4" s="3"/>
      <c r="E4" s="3"/>
      <c r="F4" s="3"/>
      <c r="G4" s="3"/>
      <c r="H4" s="3"/>
      <c r="I4" s="3"/>
      <c r="J4" s="3"/>
    </row>
    <row r="6" spans="1:10" x14ac:dyDescent="0.25">
      <c r="D6" s="627" t="s">
        <v>327</v>
      </c>
      <c r="E6" s="628"/>
      <c r="F6" s="629"/>
      <c r="G6" s="628" t="s">
        <v>327</v>
      </c>
      <c r="H6" s="628" t="s">
        <v>327</v>
      </c>
      <c r="I6" s="628" t="s">
        <v>418</v>
      </c>
    </row>
    <row r="7" spans="1:10" x14ac:dyDescent="0.25">
      <c r="C7" s="628" t="s">
        <v>11</v>
      </c>
      <c r="D7" s="627" t="s">
        <v>419</v>
      </c>
      <c r="E7" s="628" t="s">
        <v>78</v>
      </c>
      <c r="F7" s="629" t="s">
        <v>26</v>
      </c>
      <c r="G7" s="628" t="s">
        <v>6</v>
      </c>
      <c r="H7" s="628" t="s">
        <v>6</v>
      </c>
      <c r="I7" s="628" t="s">
        <v>6</v>
      </c>
      <c r="J7" s="627" t="s">
        <v>339</v>
      </c>
    </row>
    <row r="8" spans="1:10" x14ac:dyDescent="0.25">
      <c r="A8" s="2" t="s">
        <v>25</v>
      </c>
      <c r="B8" s="2"/>
      <c r="C8" s="603" t="s">
        <v>7</v>
      </c>
      <c r="D8" s="661" t="s">
        <v>329</v>
      </c>
      <c r="E8" s="603" t="s">
        <v>420</v>
      </c>
      <c r="F8" s="630" t="s">
        <v>11</v>
      </c>
      <c r="G8" s="603" t="s">
        <v>169</v>
      </c>
      <c r="H8" s="603" t="s">
        <v>108</v>
      </c>
      <c r="I8" s="603" t="s">
        <v>73</v>
      </c>
      <c r="J8" s="560" t="s">
        <v>73</v>
      </c>
    </row>
    <row r="9" spans="1:10" x14ac:dyDescent="0.25">
      <c r="A9" s="598" t="s">
        <v>5</v>
      </c>
      <c r="C9" s="628" t="s">
        <v>24</v>
      </c>
      <c r="D9" s="657">
        <v>559577786</v>
      </c>
      <c r="E9" s="631">
        <v>0</v>
      </c>
      <c r="F9" s="632">
        <f>Rates!$J$9</f>
        <v>1.5959999999999998E-2</v>
      </c>
      <c r="G9" s="633">
        <f>D9*(E9)</f>
        <v>0</v>
      </c>
      <c r="H9" s="633">
        <f>D9*(F9)</f>
        <v>8930861.4645599984</v>
      </c>
      <c r="I9" s="634">
        <f>H9-G9</f>
        <v>8930861.4645599984</v>
      </c>
      <c r="J9" s="622">
        <f>IF(G9=0,1,I9/G9)</f>
        <v>1</v>
      </c>
    </row>
    <row r="10" spans="1:10" x14ac:dyDescent="0.25">
      <c r="C10" s="628"/>
      <c r="D10" s="657"/>
      <c r="E10" s="631"/>
      <c r="F10" s="632"/>
      <c r="G10" s="633"/>
      <c r="H10" s="633"/>
      <c r="I10" s="634"/>
    </row>
    <row r="11" spans="1:10" x14ac:dyDescent="0.25">
      <c r="A11" s="598" t="s">
        <v>23</v>
      </c>
      <c r="C11" s="628">
        <v>31</v>
      </c>
      <c r="D11" s="662">
        <v>231737444</v>
      </c>
      <c r="E11" s="631">
        <v>0</v>
      </c>
      <c r="F11" s="632">
        <f>Rates!$J$11</f>
        <v>1.37E-2</v>
      </c>
      <c r="G11" s="633">
        <f>D11*(E11)</f>
        <v>0</v>
      </c>
      <c r="H11" s="633">
        <f>D11*(F11)</f>
        <v>3174802.9827999999</v>
      </c>
      <c r="I11" s="634">
        <f t="shared" ref="I11:I47" si="0">H11-G11</f>
        <v>3174802.9827999999</v>
      </c>
      <c r="J11" s="622">
        <f t="shared" ref="J11:J12" si="1">IF(G11=0,1,I11/G11)</f>
        <v>1</v>
      </c>
    </row>
    <row r="12" spans="1:10" x14ac:dyDescent="0.25">
      <c r="A12" s="598" t="s">
        <v>23</v>
      </c>
      <c r="C12" s="628" t="s">
        <v>372</v>
      </c>
      <c r="D12" s="662">
        <v>0</v>
      </c>
      <c r="E12" s="631">
        <v>0</v>
      </c>
      <c r="F12" s="632">
        <f>Rates!$J$11</f>
        <v>1.37E-2</v>
      </c>
      <c r="G12" s="633">
        <f>D12*(E12)</f>
        <v>0</v>
      </c>
      <c r="H12" s="633">
        <f>D12*(F12)</f>
        <v>0</v>
      </c>
      <c r="I12" s="634">
        <f t="shared" si="0"/>
        <v>0</v>
      </c>
      <c r="J12" s="622">
        <f t="shared" si="1"/>
        <v>1</v>
      </c>
    </row>
    <row r="13" spans="1:10" x14ac:dyDescent="0.25">
      <c r="C13" s="628"/>
      <c r="D13" s="657"/>
      <c r="E13" s="631"/>
      <c r="F13" s="632"/>
      <c r="G13" s="633"/>
      <c r="H13" s="633"/>
      <c r="I13" s="634"/>
    </row>
    <row r="14" spans="1:10" x14ac:dyDescent="0.25">
      <c r="A14" s="598" t="s">
        <v>22</v>
      </c>
      <c r="C14" s="628">
        <v>41</v>
      </c>
      <c r="D14" s="662">
        <v>62192142</v>
      </c>
      <c r="E14" s="631">
        <v>0</v>
      </c>
      <c r="F14" s="632">
        <f>Rates!$J$13</f>
        <v>6.7200000000000003E-3</v>
      </c>
      <c r="G14" s="633">
        <f>D14*(E14)</f>
        <v>0</v>
      </c>
      <c r="H14" s="633">
        <f>D14*(F14)</f>
        <v>417931.19424000004</v>
      </c>
      <c r="I14" s="634">
        <f t="shared" si="0"/>
        <v>417931.19424000004</v>
      </c>
      <c r="J14" s="622">
        <f t="shared" ref="J14:J15" si="2">IF(G14=0,1,I14/G14)</f>
        <v>1</v>
      </c>
    </row>
    <row r="15" spans="1:10" x14ac:dyDescent="0.25">
      <c r="A15" s="598" t="s">
        <v>22</v>
      </c>
      <c r="C15" s="628" t="s">
        <v>374</v>
      </c>
      <c r="D15" s="663">
        <v>21445451</v>
      </c>
      <c r="E15" s="631">
        <v>0</v>
      </c>
      <c r="F15" s="632">
        <f>Rates!$J$13</f>
        <v>6.7200000000000003E-3</v>
      </c>
      <c r="G15" s="633">
        <f>D15*(E15)</f>
        <v>0</v>
      </c>
      <c r="H15" s="633">
        <f>D15*(F15)</f>
        <v>144113.43072</v>
      </c>
      <c r="I15" s="634">
        <f t="shared" si="0"/>
        <v>144113.43072</v>
      </c>
      <c r="J15" s="622">
        <f t="shared" si="2"/>
        <v>1</v>
      </c>
    </row>
    <row r="16" spans="1:10" x14ac:dyDescent="0.25">
      <c r="C16" s="628"/>
      <c r="D16" s="657"/>
      <c r="E16" s="631"/>
      <c r="F16" s="632"/>
      <c r="G16" s="633"/>
      <c r="H16" s="633"/>
      <c r="I16" s="634"/>
    </row>
    <row r="17" spans="1:10" x14ac:dyDescent="0.25">
      <c r="A17" s="598" t="s">
        <v>4</v>
      </c>
      <c r="C17" s="628">
        <v>85</v>
      </c>
      <c r="D17" s="657"/>
      <c r="E17" s="631"/>
      <c r="F17" s="632"/>
      <c r="G17" s="633"/>
      <c r="H17" s="633"/>
      <c r="I17" s="634"/>
    </row>
    <row r="18" spans="1:10" x14ac:dyDescent="0.25">
      <c r="B18" s="598" t="s">
        <v>18</v>
      </c>
      <c r="C18" s="628"/>
      <c r="D18" s="657">
        <v>7147333.7914174534</v>
      </c>
      <c r="E18" s="636">
        <v>0</v>
      </c>
      <c r="F18" s="637">
        <f>Rates!J16</f>
        <v>4.8300000000000001E-3</v>
      </c>
      <c r="G18" s="633">
        <f t="shared" ref="G18:G47" si="3">D18*(E18)</f>
        <v>0</v>
      </c>
      <c r="H18" s="633">
        <f t="shared" ref="H18:H47" si="4">D18*(F18)</f>
        <v>34521.622212546303</v>
      </c>
      <c r="I18" s="634">
        <f t="shared" si="0"/>
        <v>34521.622212546303</v>
      </c>
      <c r="J18" s="622">
        <f t="shared" ref="J18:J21" si="5">IF(G18=0,1,I18/G18)</f>
        <v>1</v>
      </c>
    </row>
    <row r="19" spans="1:10" x14ac:dyDescent="0.25">
      <c r="B19" s="598" t="s">
        <v>17</v>
      </c>
      <c r="C19" s="628"/>
      <c r="D19" s="657">
        <v>3762122.0596059216</v>
      </c>
      <c r="E19" s="636">
        <v>0</v>
      </c>
      <c r="F19" s="637">
        <f>Rates!J17</f>
        <v>2.9499999999999999E-3</v>
      </c>
      <c r="G19" s="633">
        <f t="shared" si="3"/>
        <v>0</v>
      </c>
      <c r="H19" s="633">
        <f t="shared" si="4"/>
        <v>11098.260075837468</v>
      </c>
      <c r="I19" s="634">
        <f t="shared" si="0"/>
        <v>11098.260075837468</v>
      </c>
      <c r="J19" s="622">
        <f t="shared" si="5"/>
        <v>1</v>
      </c>
    </row>
    <row r="20" spans="1:10" x14ac:dyDescent="0.25">
      <c r="B20" s="598" t="s">
        <v>21</v>
      </c>
      <c r="C20" s="628"/>
      <c r="D20" s="657">
        <v>6391256.1489766259</v>
      </c>
      <c r="E20" s="636">
        <v>0</v>
      </c>
      <c r="F20" s="637">
        <f>Rates!J18</f>
        <v>1.6100000000000001E-3</v>
      </c>
      <c r="G20" s="633">
        <f t="shared" si="3"/>
        <v>0</v>
      </c>
      <c r="H20" s="633">
        <f t="shared" si="4"/>
        <v>10289.922399852368</v>
      </c>
      <c r="I20" s="634">
        <f t="shared" si="0"/>
        <v>10289.922399852368</v>
      </c>
      <c r="J20" s="622">
        <f t="shared" si="5"/>
        <v>1</v>
      </c>
    </row>
    <row r="21" spans="1:10" x14ac:dyDescent="0.25">
      <c r="B21" s="598" t="s">
        <v>0</v>
      </c>
      <c r="C21" s="628"/>
      <c r="D21" s="638">
        <f>SUM(D18:D20)</f>
        <v>17300712</v>
      </c>
      <c r="E21" s="631"/>
      <c r="F21" s="632"/>
      <c r="G21" s="639">
        <f>SUM(G18:G20)</f>
        <v>0</v>
      </c>
      <c r="H21" s="639">
        <f t="shared" ref="H21:I21" si="6">SUM(H18:H20)</f>
        <v>55909.804688236138</v>
      </c>
      <c r="I21" s="639">
        <f t="shared" si="6"/>
        <v>55909.804688236138</v>
      </c>
      <c r="J21" s="622">
        <f t="shared" si="5"/>
        <v>1</v>
      </c>
    </row>
    <row r="22" spans="1:10" x14ac:dyDescent="0.25">
      <c r="C22" s="628"/>
      <c r="D22" s="635"/>
      <c r="E22" s="631"/>
      <c r="F22" s="632"/>
      <c r="G22" s="633"/>
      <c r="H22" s="633"/>
      <c r="I22" s="634"/>
    </row>
    <row r="23" spans="1:10" x14ac:dyDescent="0.25">
      <c r="A23" s="598" t="s">
        <v>4</v>
      </c>
      <c r="C23" s="628">
        <v>86</v>
      </c>
      <c r="D23" s="662">
        <v>4924285</v>
      </c>
      <c r="E23" s="631">
        <v>0</v>
      </c>
      <c r="F23" s="632">
        <f>Rates!$J$21</f>
        <v>4.9800000000000001E-3</v>
      </c>
      <c r="G23" s="633">
        <f t="shared" si="3"/>
        <v>0</v>
      </c>
      <c r="H23" s="633">
        <f t="shared" si="4"/>
        <v>24522.939300000002</v>
      </c>
      <c r="I23" s="634">
        <f t="shared" si="0"/>
        <v>24522.939300000002</v>
      </c>
      <c r="J23" s="622">
        <f t="shared" ref="J23:J24" si="7">IF(G23=0,1,I23/G23)</f>
        <v>1</v>
      </c>
    </row>
    <row r="24" spans="1:10" x14ac:dyDescent="0.25">
      <c r="A24" s="598" t="s">
        <v>4</v>
      </c>
      <c r="C24" s="628" t="s">
        <v>377</v>
      </c>
      <c r="D24" s="663">
        <v>1207071</v>
      </c>
      <c r="E24" s="631">
        <v>0</v>
      </c>
      <c r="F24" s="632">
        <f>Rates!$J$21</f>
        <v>4.9800000000000001E-3</v>
      </c>
      <c r="G24" s="633">
        <f t="shared" si="3"/>
        <v>0</v>
      </c>
      <c r="H24" s="633">
        <f t="shared" si="4"/>
        <v>6011.2135799999996</v>
      </c>
      <c r="I24" s="634">
        <f t="shared" si="0"/>
        <v>6011.2135799999996</v>
      </c>
      <c r="J24" s="622">
        <f t="shared" si="7"/>
        <v>1</v>
      </c>
    </row>
    <row r="25" spans="1:10" x14ac:dyDescent="0.25">
      <c r="C25" s="628"/>
      <c r="D25" s="657"/>
      <c r="E25" s="631"/>
      <c r="F25" s="632"/>
      <c r="G25" s="633"/>
      <c r="H25" s="633"/>
      <c r="I25" s="634"/>
    </row>
    <row r="26" spans="1:10" x14ac:dyDescent="0.25">
      <c r="A26" s="598" t="s">
        <v>4</v>
      </c>
      <c r="C26" s="628">
        <v>87</v>
      </c>
      <c r="D26" s="657"/>
      <c r="E26" s="631"/>
      <c r="F26" s="632"/>
      <c r="G26" s="633"/>
      <c r="H26" s="633"/>
      <c r="I26" s="634"/>
    </row>
    <row r="27" spans="1:10" x14ac:dyDescent="0.25">
      <c r="B27" s="598" t="s">
        <v>18</v>
      </c>
      <c r="C27" s="628"/>
      <c r="D27" s="657">
        <v>1448566.2208698611</v>
      </c>
      <c r="E27" s="636">
        <v>0</v>
      </c>
      <c r="F27" s="637">
        <f>Rates!J24</f>
        <v>4.8300000000000001E-3</v>
      </c>
      <c r="G27" s="633">
        <f t="shared" si="3"/>
        <v>0</v>
      </c>
      <c r="H27" s="633">
        <f t="shared" si="4"/>
        <v>6996.574846801429</v>
      </c>
      <c r="I27" s="634">
        <f t="shared" si="0"/>
        <v>6996.574846801429</v>
      </c>
      <c r="J27" s="622">
        <f t="shared" ref="J27:J33" si="8">IF(G27=0,1,I27/G27)</f>
        <v>1</v>
      </c>
    </row>
    <row r="28" spans="1:10" x14ac:dyDescent="0.25">
      <c r="B28" s="598" t="s">
        <v>17</v>
      </c>
      <c r="C28" s="628"/>
      <c r="D28" s="657">
        <v>1339193.4233399543</v>
      </c>
      <c r="E28" s="636">
        <v>0</v>
      </c>
      <c r="F28" s="637">
        <f>Rates!J25</f>
        <v>2.9499999999999999E-3</v>
      </c>
      <c r="G28" s="633">
        <f t="shared" si="3"/>
        <v>0</v>
      </c>
      <c r="H28" s="633">
        <f t="shared" si="4"/>
        <v>3950.6205988528654</v>
      </c>
      <c r="I28" s="634">
        <f t="shared" si="0"/>
        <v>3950.6205988528654</v>
      </c>
      <c r="J28" s="622">
        <f t="shared" si="8"/>
        <v>1</v>
      </c>
    </row>
    <row r="29" spans="1:10" x14ac:dyDescent="0.25">
      <c r="B29" s="598" t="s">
        <v>16</v>
      </c>
      <c r="C29" s="628"/>
      <c r="D29" s="657">
        <v>2219405.0167759866</v>
      </c>
      <c r="E29" s="636">
        <v>0</v>
      </c>
      <c r="F29" s="637">
        <f>Rates!J26</f>
        <v>1.9E-3</v>
      </c>
      <c r="G29" s="633">
        <f t="shared" si="3"/>
        <v>0</v>
      </c>
      <c r="H29" s="633">
        <f t="shared" si="4"/>
        <v>4216.8695318743748</v>
      </c>
      <c r="I29" s="634">
        <f t="shared" si="0"/>
        <v>4216.8695318743748</v>
      </c>
      <c r="J29" s="622">
        <f t="shared" si="8"/>
        <v>1</v>
      </c>
    </row>
    <row r="30" spans="1:10" x14ac:dyDescent="0.25">
      <c r="B30" s="598" t="s">
        <v>15</v>
      </c>
      <c r="C30" s="628"/>
      <c r="D30" s="657">
        <v>2917125.1601762543</v>
      </c>
      <c r="E30" s="636">
        <v>0</v>
      </c>
      <c r="F30" s="637">
        <f>Rates!J27</f>
        <v>1.25E-3</v>
      </c>
      <c r="G30" s="633">
        <f t="shared" si="3"/>
        <v>0</v>
      </c>
      <c r="H30" s="633">
        <f t="shared" si="4"/>
        <v>3646.4064502203182</v>
      </c>
      <c r="I30" s="634">
        <f t="shared" si="0"/>
        <v>3646.4064502203182</v>
      </c>
      <c r="J30" s="622">
        <f t="shared" si="8"/>
        <v>1</v>
      </c>
    </row>
    <row r="31" spans="1:10" x14ac:dyDescent="0.25">
      <c r="B31" s="598" t="s">
        <v>14</v>
      </c>
      <c r="C31" s="628"/>
      <c r="D31" s="657">
        <v>3632488.871049352</v>
      </c>
      <c r="E31" s="636">
        <v>0</v>
      </c>
      <c r="F31" s="637">
        <f>Rates!J28</f>
        <v>9.2000000000000003E-4</v>
      </c>
      <c r="G31" s="633">
        <f t="shared" si="3"/>
        <v>0</v>
      </c>
      <c r="H31" s="633">
        <f t="shared" si="4"/>
        <v>3341.889761365404</v>
      </c>
      <c r="I31" s="634">
        <f t="shared" si="0"/>
        <v>3341.889761365404</v>
      </c>
      <c r="J31" s="622">
        <f t="shared" si="8"/>
        <v>1</v>
      </c>
    </row>
    <row r="32" spans="1:10" x14ac:dyDescent="0.25">
      <c r="B32" s="598" t="s">
        <v>19</v>
      </c>
      <c r="C32" s="628"/>
      <c r="D32" s="657">
        <v>9344605.30778859</v>
      </c>
      <c r="E32" s="636">
        <v>0</v>
      </c>
      <c r="F32" s="637">
        <f>Rates!J29</f>
        <v>5.9999999999999995E-4</v>
      </c>
      <c r="G32" s="633">
        <f t="shared" si="3"/>
        <v>0</v>
      </c>
      <c r="H32" s="633">
        <f t="shared" si="4"/>
        <v>5606.7631846731538</v>
      </c>
      <c r="I32" s="634">
        <f t="shared" si="0"/>
        <v>5606.7631846731538</v>
      </c>
      <c r="J32" s="622">
        <f t="shared" si="8"/>
        <v>1</v>
      </c>
    </row>
    <row r="33" spans="1:10" x14ac:dyDescent="0.25">
      <c r="B33" s="598" t="s">
        <v>0</v>
      </c>
      <c r="C33" s="628"/>
      <c r="D33" s="638">
        <f>SUM(D27:D32)</f>
        <v>20901384</v>
      </c>
      <c r="E33" s="631"/>
      <c r="F33" s="632"/>
      <c r="G33" s="639">
        <f>SUM(G27:G32)</f>
        <v>0</v>
      </c>
      <c r="H33" s="639">
        <f t="shared" ref="H33:I33" si="9">SUM(H27:H32)</f>
        <v>27759.124373787545</v>
      </c>
      <c r="I33" s="639">
        <f t="shared" si="9"/>
        <v>27759.124373787545</v>
      </c>
      <c r="J33" s="622">
        <f t="shared" si="8"/>
        <v>1</v>
      </c>
    </row>
    <row r="34" spans="1:10" x14ac:dyDescent="0.25">
      <c r="C34" s="628"/>
      <c r="D34" s="640"/>
      <c r="E34" s="631"/>
      <c r="F34" s="632"/>
      <c r="G34" s="633"/>
      <c r="H34" s="633"/>
      <c r="I34" s="634"/>
      <c r="J34" s="641"/>
    </row>
    <row r="35" spans="1:10" x14ac:dyDescent="0.25">
      <c r="A35" s="598" t="s">
        <v>20</v>
      </c>
      <c r="C35" s="628" t="s">
        <v>3</v>
      </c>
      <c r="D35" s="640"/>
      <c r="E35" s="631"/>
      <c r="F35" s="632"/>
      <c r="G35" s="633"/>
      <c r="H35" s="633"/>
      <c r="I35" s="634"/>
      <c r="J35" s="641"/>
    </row>
    <row r="36" spans="1:10" x14ac:dyDescent="0.25">
      <c r="B36" s="598" t="s">
        <v>18</v>
      </c>
      <c r="C36" s="628"/>
      <c r="D36" s="662">
        <v>22676913.731819376</v>
      </c>
      <c r="E36" s="636">
        <v>0</v>
      </c>
      <c r="F36" s="637">
        <f>Rates!J33</f>
        <v>4.8300000000000001E-3</v>
      </c>
      <c r="G36" s="633">
        <f t="shared" si="3"/>
        <v>0</v>
      </c>
      <c r="H36" s="633">
        <f t="shared" si="4"/>
        <v>109529.49332468759</v>
      </c>
      <c r="I36" s="634">
        <f t="shared" si="0"/>
        <v>109529.49332468759</v>
      </c>
      <c r="J36" s="622">
        <f t="shared" ref="J36:J37" si="10">IF(G36=0,1,I36/G36)</f>
        <v>1</v>
      </c>
    </row>
    <row r="37" spans="1:10" x14ac:dyDescent="0.25">
      <c r="B37" s="598" t="s">
        <v>17</v>
      </c>
      <c r="C37" s="628"/>
      <c r="D37" s="662">
        <v>16135377.683696801</v>
      </c>
      <c r="E37" s="636">
        <v>0</v>
      </c>
      <c r="F37" s="637">
        <f>Rates!J34</f>
        <v>2.9499999999999999E-3</v>
      </c>
      <c r="G37" s="633">
        <f t="shared" si="3"/>
        <v>0</v>
      </c>
      <c r="H37" s="633">
        <f t="shared" si="4"/>
        <v>47599.364166905558</v>
      </c>
      <c r="I37" s="634">
        <f t="shared" si="0"/>
        <v>47599.364166905558</v>
      </c>
      <c r="J37" s="622">
        <f t="shared" si="10"/>
        <v>1</v>
      </c>
    </row>
    <row r="38" spans="1:10" x14ac:dyDescent="0.25">
      <c r="B38" s="598" t="s">
        <v>21</v>
      </c>
      <c r="C38" s="628"/>
      <c r="D38" s="662">
        <v>25329135.584483825</v>
      </c>
      <c r="E38" s="636">
        <v>0</v>
      </c>
      <c r="F38" s="637">
        <f>Rates!J35</f>
        <v>1.6100000000000001E-3</v>
      </c>
      <c r="G38" s="633">
        <f t="shared" si="3"/>
        <v>0</v>
      </c>
      <c r="H38" s="633">
        <f t="shared" si="4"/>
        <v>40779.908291018961</v>
      </c>
      <c r="I38" s="634">
        <f t="shared" si="0"/>
        <v>40779.908291018961</v>
      </c>
      <c r="J38" s="622">
        <f>IF(G38=0,1,I38/G38)</f>
        <v>1</v>
      </c>
    </row>
    <row r="39" spans="1:10" x14ac:dyDescent="0.25">
      <c r="B39" s="598" t="s">
        <v>0</v>
      </c>
      <c r="C39" s="628"/>
      <c r="D39" s="638">
        <f>SUM(D36:D38)</f>
        <v>64141427</v>
      </c>
      <c r="E39" s="631"/>
      <c r="F39" s="632"/>
      <c r="G39" s="639">
        <f>SUM(G36:G38)</f>
        <v>0</v>
      </c>
      <c r="H39" s="639">
        <f t="shared" ref="H39:I39" si="11">SUM(H36:H38)</f>
        <v>197908.76578261208</v>
      </c>
      <c r="I39" s="639">
        <f t="shared" si="11"/>
        <v>197908.76578261208</v>
      </c>
      <c r="J39" s="622">
        <f>IF(G39=0,1,I39/G39)</f>
        <v>1</v>
      </c>
    </row>
    <row r="40" spans="1:10" x14ac:dyDescent="0.25">
      <c r="C40" s="628"/>
      <c r="D40" s="640"/>
      <c r="E40" s="631"/>
      <c r="F40" s="632"/>
      <c r="G40" s="633"/>
      <c r="H40" s="633"/>
      <c r="I40" s="634"/>
      <c r="J40" s="641"/>
    </row>
    <row r="41" spans="1:10" x14ac:dyDescent="0.25">
      <c r="A41" s="598" t="s">
        <v>20</v>
      </c>
      <c r="C41" s="628" t="s">
        <v>2</v>
      </c>
      <c r="D41" s="640"/>
      <c r="E41" s="631"/>
      <c r="F41" s="632"/>
      <c r="G41" s="633"/>
      <c r="H41" s="633"/>
      <c r="I41" s="634"/>
    </row>
    <row r="42" spans="1:10" x14ac:dyDescent="0.25">
      <c r="B42" s="598" t="s">
        <v>18</v>
      </c>
      <c r="C42" s="628"/>
      <c r="D42" s="662">
        <v>3828915.0117487842</v>
      </c>
      <c r="E42" s="636">
        <v>0</v>
      </c>
      <c r="F42" s="637">
        <f>Rates!J39</f>
        <v>4.8300000000000001E-3</v>
      </c>
      <c r="G42" s="633">
        <f t="shared" si="3"/>
        <v>0</v>
      </c>
      <c r="H42" s="633">
        <f t="shared" si="4"/>
        <v>18493.65950674663</v>
      </c>
      <c r="I42" s="634">
        <f t="shared" si="0"/>
        <v>18493.65950674663</v>
      </c>
      <c r="J42" s="622">
        <f t="shared" ref="J42:J48" si="12">IF(G42=0,1,I42/G42)</f>
        <v>1</v>
      </c>
    </row>
    <row r="43" spans="1:10" x14ac:dyDescent="0.25">
      <c r="B43" s="598" t="s">
        <v>17</v>
      </c>
      <c r="C43" s="628"/>
      <c r="D43" s="662">
        <v>3830460.385454894</v>
      </c>
      <c r="E43" s="636">
        <v>0</v>
      </c>
      <c r="F43" s="637">
        <f>Rates!J40</f>
        <v>2.9499999999999999E-3</v>
      </c>
      <c r="G43" s="633">
        <f t="shared" si="3"/>
        <v>0</v>
      </c>
      <c r="H43" s="633">
        <f t="shared" si="4"/>
        <v>11299.858137091936</v>
      </c>
      <c r="I43" s="634">
        <f t="shared" si="0"/>
        <v>11299.858137091936</v>
      </c>
      <c r="J43" s="622">
        <f t="shared" si="12"/>
        <v>1</v>
      </c>
    </row>
    <row r="44" spans="1:10" x14ac:dyDescent="0.25">
      <c r="B44" s="598" t="s">
        <v>16</v>
      </c>
      <c r="C44" s="628"/>
      <c r="D44" s="662">
        <v>7660920.7709097881</v>
      </c>
      <c r="E44" s="636">
        <v>0</v>
      </c>
      <c r="F44" s="637">
        <f>Rates!J41</f>
        <v>1.9E-3</v>
      </c>
      <c r="G44" s="633">
        <f t="shared" si="3"/>
        <v>0</v>
      </c>
      <c r="H44" s="633">
        <f t="shared" si="4"/>
        <v>14555.749464728597</v>
      </c>
      <c r="I44" s="634">
        <f t="shared" si="0"/>
        <v>14555.749464728597</v>
      </c>
      <c r="J44" s="622">
        <f t="shared" si="12"/>
        <v>1</v>
      </c>
    </row>
    <row r="45" spans="1:10" x14ac:dyDescent="0.25">
      <c r="B45" s="598" t="s">
        <v>15</v>
      </c>
      <c r="C45" s="628"/>
      <c r="D45" s="662">
        <v>14637071.441068338</v>
      </c>
      <c r="E45" s="636">
        <v>0</v>
      </c>
      <c r="F45" s="637">
        <f>Rates!J42</f>
        <v>1.25E-3</v>
      </c>
      <c r="G45" s="633">
        <f t="shared" si="3"/>
        <v>0</v>
      </c>
      <c r="H45" s="633">
        <f t="shared" si="4"/>
        <v>18296.339301335422</v>
      </c>
      <c r="I45" s="634">
        <f t="shared" si="0"/>
        <v>18296.339301335422</v>
      </c>
      <c r="J45" s="622">
        <f t="shared" si="12"/>
        <v>1</v>
      </c>
    </row>
    <row r="46" spans="1:10" x14ac:dyDescent="0.25">
      <c r="B46" s="598" t="s">
        <v>14</v>
      </c>
      <c r="C46" s="628"/>
      <c r="D46" s="662">
        <v>32871226.224957295</v>
      </c>
      <c r="E46" s="636">
        <v>0</v>
      </c>
      <c r="F46" s="637">
        <f>Rates!J43</f>
        <v>9.2000000000000003E-4</v>
      </c>
      <c r="G46" s="633">
        <f t="shared" si="3"/>
        <v>0</v>
      </c>
      <c r="H46" s="633">
        <f t="shared" si="4"/>
        <v>30241.528126960711</v>
      </c>
      <c r="I46" s="634">
        <f t="shared" si="0"/>
        <v>30241.528126960711</v>
      </c>
      <c r="J46" s="622">
        <f t="shared" si="12"/>
        <v>1</v>
      </c>
    </row>
    <row r="47" spans="1:10" x14ac:dyDescent="0.25">
      <c r="B47" s="598" t="s">
        <v>19</v>
      </c>
      <c r="C47" s="628"/>
      <c r="D47" s="662">
        <v>61661912.165860899</v>
      </c>
      <c r="E47" s="636">
        <v>0</v>
      </c>
      <c r="F47" s="637">
        <f>Rates!J44</f>
        <v>5.9999999999999995E-4</v>
      </c>
      <c r="G47" s="633">
        <f t="shared" si="3"/>
        <v>0</v>
      </c>
      <c r="H47" s="633">
        <f t="shared" si="4"/>
        <v>36997.147299516539</v>
      </c>
      <c r="I47" s="634">
        <f t="shared" si="0"/>
        <v>36997.147299516539</v>
      </c>
      <c r="J47" s="622">
        <f t="shared" si="12"/>
        <v>1</v>
      </c>
    </row>
    <row r="48" spans="1:10" x14ac:dyDescent="0.25">
      <c r="B48" s="598" t="s">
        <v>0</v>
      </c>
      <c r="C48" s="628"/>
      <c r="D48" s="638">
        <f>SUM(D42:D47)</f>
        <v>124490506</v>
      </c>
      <c r="E48" s="631"/>
      <c r="F48" s="642"/>
      <c r="G48" s="639">
        <f>SUM(G42:G47)</f>
        <v>0</v>
      </c>
      <c r="H48" s="639">
        <f t="shared" ref="H48:I48" si="13">SUM(H42:H47)</f>
        <v>129884.28183637983</v>
      </c>
      <c r="I48" s="639">
        <f t="shared" si="13"/>
        <v>129884.28183637983</v>
      </c>
      <c r="J48" s="622">
        <f t="shared" si="12"/>
        <v>1</v>
      </c>
    </row>
    <row r="49" spans="2:12" x14ac:dyDescent="0.25">
      <c r="D49" s="643"/>
      <c r="E49" s="644"/>
      <c r="F49" s="644"/>
      <c r="G49" s="645"/>
      <c r="H49" s="646"/>
      <c r="I49" s="634"/>
      <c r="J49" s="599"/>
    </row>
    <row r="50" spans="2:12" x14ac:dyDescent="0.25">
      <c r="B50" s="598" t="s">
        <v>0</v>
      </c>
      <c r="D50" s="647">
        <f>D9+D11+D14+D21+D23+D33+D39+D48+D12+D15+D24</f>
        <v>1107918208</v>
      </c>
      <c r="E50" s="631"/>
      <c r="F50" s="642"/>
      <c r="G50" s="573">
        <f>G9+G11+G14+G21+G23+G33+G39+G48+G12+G15+G24</f>
        <v>0</v>
      </c>
      <c r="H50" s="573">
        <f>H9+H11+H14+H21+H23+H33+H39+H48+H12+H15+H24</f>
        <v>13109705.201881012</v>
      </c>
      <c r="I50" s="573">
        <f>I9+I11+I14+I21+I23+I33+I39+I48+I12+I15+I24</f>
        <v>13109705.201881012</v>
      </c>
      <c r="J50" s="622">
        <f>IF(G50=0,1,I50/G50)</f>
        <v>1</v>
      </c>
    </row>
    <row r="51" spans="2:12" x14ac:dyDescent="0.25">
      <c r="D51" s="599"/>
      <c r="E51" s="599"/>
      <c r="F51" s="648"/>
      <c r="G51" s="599"/>
      <c r="H51" s="599"/>
      <c r="J51" s="641"/>
    </row>
    <row r="52" spans="2:12" x14ac:dyDescent="0.25">
      <c r="D52" s="599"/>
      <c r="E52" s="599"/>
      <c r="F52" s="648"/>
      <c r="G52" s="649"/>
      <c r="H52" s="649"/>
    </row>
    <row r="53" spans="2:12" x14ac:dyDescent="0.25">
      <c r="L53" s="641"/>
    </row>
    <row r="54" spans="2:12" x14ac:dyDescent="0.25">
      <c r="B54" s="651"/>
      <c r="D54" s="652"/>
      <c r="E54" s="652"/>
      <c r="F54" s="653"/>
      <c r="G54" s="634"/>
      <c r="H54" s="634"/>
    </row>
    <row r="55" spans="2:12" x14ac:dyDescent="0.25">
      <c r="C55" s="648"/>
      <c r="D55" s="654"/>
      <c r="E55" s="599"/>
      <c r="F55" s="648"/>
    </row>
    <row r="56" spans="2:12" x14ac:dyDescent="0.25">
      <c r="C56" s="648"/>
      <c r="D56" s="599"/>
      <c r="E56" s="648"/>
      <c r="F56" s="648"/>
    </row>
    <row r="57" spans="2:12" x14ac:dyDescent="0.25">
      <c r="C57" s="648"/>
      <c r="D57" s="599"/>
      <c r="E57" s="655"/>
      <c r="F57" s="656"/>
    </row>
    <row r="58" spans="2:12" x14ac:dyDescent="0.25">
      <c r="C58" s="652"/>
      <c r="D58" s="652"/>
      <c r="E58" s="655"/>
      <c r="F58" s="656"/>
    </row>
    <row r="59" spans="2:12" x14ac:dyDescent="0.25">
      <c r="E59" s="655"/>
      <c r="F59" s="656"/>
    </row>
    <row r="60" spans="2:12" x14ac:dyDescent="0.25">
      <c r="E60" s="599"/>
      <c r="F60" s="648"/>
    </row>
    <row r="61" spans="2:12" x14ac:dyDescent="0.25">
      <c r="E61" s="599"/>
      <c r="F61" s="648"/>
    </row>
    <row r="62" spans="2:12" x14ac:dyDescent="0.25">
      <c r="E62" s="599"/>
      <c r="F62" s="648"/>
    </row>
  </sheetData>
  <mergeCells count="5">
    <mergeCell ref="A1:J1"/>
    <mergeCell ref="A2:J2"/>
    <mergeCell ref="A3:J3"/>
    <mergeCell ref="A4:J4"/>
    <mergeCell ref="A8:B8"/>
  </mergeCells>
  <printOptions horizontalCentered="1"/>
  <pageMargins left="0.75" right="0.75" top="1" bottom="1" header="0.5" footer="0.5"/>
  <pageSetup scale="64" orientation="landscape" blackAndWhite="1" horizontalDpi="300" verticalDpi="300" r:id="rId1"/>
  <headerFooter alignWithMargins="0">
    <oddFooter>&amp;L&amp;F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P24" sqref="P24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2"/>
  <sheetViews>
    <sheetView zoomScale="90" zoomScaleNormal="90" workbookViewId="0">
      <pane ySplit="8" topLeftCell="A9" activePane="bottomLeft" state="frozen"/>
      <selection activeCell="Q23" sqref="Q23"/>
      <selection pane="bottomLeft" activeCell="P36" sqref="P36"/>
    </sheetView>
  </sheetViews>
  <sheetFormatPr defaultColWidth="8.85546875" defaultRowHeight="12.75" x14ac:dyDescent="0.2"/>
  <cols>
    <col min="1" max="1" width="1.5703125" style="47" customWidth="1"/>
    <col min="2" max="2" width="4.5703125" style="47" customWidth="1"/>
    <col min="3" max="3" width="3.140625" style="47" customWidth="1"/>
    <col min="4" max="4" width="25.7109375" style="47" customWidth="1"/>
    <col min="5" max="5" width="12.140625" style="47" customWidth="1"/>
    <col min="6" max="6" width="9" style="47" bestFit="1" customWidth="1"/>
    <col min="7" max="7" width="13.7109375" style="47" customWidth="1"/>
    <col min="8" max="8" width="13.28515625" style="47" customWidth="1"/>
    <col min="9" max="9" width="13.28515625" style="47" bestFit="1" customWidth="1"/>
    <col min="10" max="11" width="12.5703125" style="47" bestFit="1" customWidth="1"/>
    <col min="12" max="12" width="11.42578125" style="47" customWidth="1"/>
    <col min="13" max="13" width="10.85546875" style="47" customWidth="1"/>
    <col min="14" max="14" width="10.140625" style="47" bestFit="1" customWidth="1"/>
    <col min="15" max="15" width="10" style="47" bestFit="1" customWidth="1"/>
    <col min="16" max="16" width="19.5703125" style="47" customWidth="1"/>
    <col min="17" max="22" width="15.7109375" style="47" customWidth="1"/>
    <col min="23" max="16384" width="8.85546875" style="47"/>
  </cols>
  <sheetData>
    <row r="1" spans="2:22" x14ac:dyDescent="0.2">
      <c r="B1" s="1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22" x14ac:dyDescent="0.2">
      <c r="B2" s="148" t="str">
        <f>Rates!$B$2</f>
        <v>2023 Gas Schedule 129D Bill Discount Rate Filing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2:22" x14ac:dyDescent="0.2">
      <c r="B3" s="664" t="s">
        <v>60</v>
      </c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</row>
    <row r="4" spans="2:22" x14ac:dyDescent="0.2">
      <c r="B4" s="64" t="str">
        <f>Rates!B4</f>
        <v>Proposed Effective October 1, 2023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15"/>
    </row>
    <row r="6" spans="2:22" x14ac:dyDescent="0.2">
      <c r="E6" s="155"/>
      <c r="F6" s="155"/>
      <c r="G6" s="155" t="s">
        <v>59</v>
      </c>
      <c r="H6" s="155"/>
      <c r="J6" s="155" t="s">
        <v>38</v>
      </c>
      <c r="K6" s="155" t="s">
        <v>58</v>
      </c>
      <c r="L6" s="155" t="s">
        <v>38</v>
      </c>
      <c r="M6" s="155"/>
      <c r="P6" s="47" t="s">
        <v>109</v>
      </c>
    </row>
    <row r="7" spans="2:22" ht="14.25" x14ac:dyDescent="0.2">
      <c r="E7" s="155" t="s">
        <v>63</v>
      </c>
      <c r="F7" s="155"/>
      <c r="G7" s="155" t="s">
        <v>64</v>
      </c>
      <c r="H7" s="155"/>
      <c r="I7" s="155" t="s">
        <v>44</v>
      </c>
      <c r="J7" s="155" t="s">
        <v>6</v>
      </c>
      <c r="K7" s="155" t="s">
        <v>6</v>
      </c>
      <c r="L7" s="155" t="s">
        <v>57</v>
      </c>
      <c r="M7" s="155" t="s">
        <v>27</v>
      </c>
      <c r="Q7" s="205" t="s">
        <v>315</v>
      </c>
      <c r="R7" s="155" t="s">
        <v>316</v>
      </c>
      <c r="S7" s="205" t="s">
        <v>315</v>
      </c>
      <c r="T7" s="205" t="s">
        <v>315</v>
      </c>
      <c r="U7" s="155" t="s">
        <v>164</v>
      </c>
    </row>
    <row r="8" spans="2:22" ht="14.25" x14ac:dyDescent="0.2">
      <c r="B8" s="83" t="s">
        <v>36</v>
      </c>
      <c r="C8" s="5" t="s">
        <v>56</v>
      </c>
      <c r="D8" s="5"/>
      <c r="E8" s="22" t="s">
        <v>54</v>
      </c>
      <c r="F8" s="22" t="s">
        <v>55</v>
      </c>
      <c r="G8" s="22" t="s">
        <v>54</v>
      </c>
      <c r="H8" s="22" t="s">
        <v>68</v>
      </c>
      <c r="I8" s="22" t="s">
        <v>53</v>
      </c>
      <c r="J8" s="22" t="s">
        <v>34</v>
      </c>
      <c r="K8" s="22" t="s">
        <v>34</v>
      </c>
      <c r="L8" s="22" t="s">
        <v>52</v>
      </c>
      <c r="M8" s="22" t="s">
        <v>6</v>
      </c>
      <c r="Q8" s="155" t="s">
        <v>75</v>
      </c>
      <c r="R8" s="155" t="s">
        <v>76</v>
      </c>
      <c r="S8" s="155" t="s">
        <v>313</v>
      </c>
      <c r="T8" s="155" t="s">
        <v>314</v>
      </c>
      <c r="U8" s="155" t="s">
        <v>165</v>
      </c>
      <c r="V8" s="155"/>
    </row>
    <row r="9" spans="2:22" x14ac:dyDescent="0.2">
      <c r="B9" s="155">
        <v>1</v>
      </c>
      <c r="C9" s="47" t="s">
        <v>51</v>
      </c>
      <c r="E9" s="39"/>
      <c r="F9" s="39"/>
      <c r="G9" s="39"/>
      <c r="Q9" s="155" t="s">
        <v>69</v>
      </c>
      <c r="R9" s="155" t="s">
        <v>71</v>
      </c>
      <c r="S9" s="155" t="s">
        <v>231</v>
      </c>
      <c r="T9" s="155" t="s">
        <v>231</v>
      </c>
      <c r="U9" s="155" t="s">
        <v>163</v>
      </c>
      <c r="V9" s="155" t="s">
        <v>0</v>
      </c>
    </row>
    <row r="10" spans="2:22" x14ac:dyDescent="0.2">
      <c r="B10" s="155">
        <v>2</v>
      </c>
      <c r="D10" s="47" t="s">
        <v>18</v>
      </c>
      <c r="E10" s="462">
        <v>8648056</v>
      </c>
      <c r="F10" s="36">
        <f>+E10/$E$17</f>
        <v>0.42033530953159554</v>
      </c>
      <c r="G10" s="29">
        <f t="shared" ref="G10:G15" si="0">+F10*$G$17</f>
        <v>8773235.6159016266</v>
      </c>
      <c r="H10" s="31">
        <f>H$39</f>
        <v>0.23672000000000001</v>
      </c>
      <c r="I10" s="28">
        <f t="shared" ref="I10:I15" si="1">ROUND(G10*H10,0)</f>
        <v>2076800</v>
      </c>
      <c r="K10" s="28">
        <f>ROUND(I10*$J$48,0)</f>
        <v>42354</v>
      </c>
      <c r="L10" s="31">
        <f>L29</f>
        <v>4.8300000000000001E-3</v>
      </c>
      <c r="M10" s="28">
        <f>G10*L10</f>
        <v>42374.728024804856</v>
      </c>
      <c r="P10" s="47" t="s">
        <v>18</v>
      </c>
      <c r="Q10" s="63">
        <f>'Exh JDT-5 (JDT-INTRPL-RD)'!H128</f>
        <v>0.20754</v>
      </c>
      <c r="R10" s="63">
        <f>'Margin Revenue'!$H$25</f>
        <v>3.7699999999999999E-3</v>
      </c>
      <c r="S10" s="63">
        <f>'Exh JDT-5 (JDT-MYRP)'!H203</f>
        <v>-9.1E-4</v>
      </c>
      <c r="T10" s="63">
        <f>'Exh JDT-5 (JDT-MYRP)'!I203</f>
        <v>2.6460000000000001E-2</v>
      </c>
      <c r="U10" s="63">
        <f>'Margin Revenue'!$L$25</f>
        <v>-1.3999999999999999E-4</v>
      </c>
      <c r="V10" s="46">
        <f>SUM(Q10:U10)</f>
        <v>0.23672000000000001</v>
      </c>
    </row>
    <row r="11" spans="2:22" x14ac:dyDescent="0.2">
      <c r="B11" s="155">
        <v>3</v>
      </c>
      <c r="D11" s="47" t="s">
        <v>17</v>
      </c>
      <c r="E11" s="462">
        <v>5071669</v>
      </c>
      <c r="F11" s="36">
        <f t="shared" ref="F11:F15" si="2">+E11/$E$17</f>
        <v>0.24650644710866784</v>
      </c>
      <c r="G11" s="29">
        <f t="shared" si="0"/>
        <v>5145080.8254322344</v>
      </c>
      <c r="H11" s="31">
        <f>H$40</f>
        <v>0.14448</v>
      </c>
      <c r="I11" s="28">
        <f t="shared" si="1"/>
        <v>743361</v>
      </c>
      <c r="K11" s="28">
        <f t="shared" ref="K11:K15" si="3">ROUND(I11*$J$48,0)</f>
        <v>15160</v>
      </c>
      <c r="L11" s="31">
        <f>L30</f>
        <v>2.9499999999999999E-3</v>
      </c>
      <c r="M11" s="28">
        <f>G11*L11</f>
        <v>15177.98843502509</v>
      </c>
      <c r="P11" s="47" t="s">
        <v>17</v>
      </c>
      <c r="Q11" s="63">
        <f>'Exh JDT-5 (JDT-INTRPL-RD)'!H129</f>
        <v>0.12540999999999999</v>
      </c>
      <c r="R11" s="63">
        <f>'Margin Revenue'!$H$25</f>
        <v>3.7699999999999999E-3</v>
      </c>
      <c r="S11" s="63">
        <f>'Exh JDT-5 (JDT-MYRP)'!H204</f>
        <v>-5.5000000000000003E-4</v>
      </c>
      <c r="T11" s="63">
        <f>'Exh JDT-5 (JDT-MYRP)'!I204</f>
        <v>1.5990000000000001E-2</v>
      </c>
      <c r="U11" s="63">
        <f>'Margin Revenue'!$L$25</f>
        <v>-1.3999999999999999E-4</v>
      </c>
      <c r="V11" s="46">
        <f t="shared" ref="V11:V15" si="4">SUM(Q11:U11)</f>
        <v>0.14448</v>
      </c>
    </row>
    <row r="12" spans="2:22" x14ac:dyDescent="0.2">
      <c r="B12" s="155">
        <v>4</v>
      </c>
      <c r="D12" s="47" t="s">
        <v>16</v>
      </c>
      <c r="E12" s="462">
        <v>4417039</v>
      </c>
      <c r="F12" s="36">
        <f t="shared" si="2"/>
        <v>0.2146884172903285</v>
      </c>
      <c r="G12" s="29">
        <f t="shared" si="0"/>
        <v>4480975.1314776987</v>
      </c>
      <c r="H12" s="31">
        <f>H$41</f>
        <v>9.3259999999999996E-2</v>
      </c>
      <c r="I12" s="28">
        <f t="shared" si="1"/>
        <v>417896</v>
      </c>
      <c r="K12" s="28">
        <f t="shared" si="3"/>
        <v>8523</v>
      </c>
      <c r="L12" s="31"/>
      <c r="P12" s="47" t="s">
        <v>16</v>
      </c>
      <c r="Q12" s="63">
        <f>'Exh JDT-5 (JDT-INTRPL-RD)'!H130</f>
        <v>7.9810000000000006E-2</v>
      </c>
      <c r="R12" s="63">
        <f>'Margin Revenue'!$H$25</f>
        <v>3.7699999999999999E-3</v>
      </c>
      <c r="S12" s="63">
        <f>'Exh JDT-5 (JDT-MYRP)'!H205</f>
        <v>-3.5E-4</v>
      </c>
      <c r="T12" s="63">
        <f>'Exh JDT-5 (JDT-MYRP)'!I205</f>
        <v>1.017E-2</v>
      </c>
      <c r="U12" s="63">
        <f>'Margin Revenue'!$L$25</f>
        <v>-1.3999999999999999E-4</v>
      </c>
      <c r="V12" s="46">
        <f t="shared" si="4"/>
        <v>9.3259999999999996E-2</v>
      </c>
    </row>
    <row r="13" spans="2:22" x14ac:dyDescent="0.2">
      <c r="B13" s="155">
        <v>5</v>
      </c>
      <c r="D13" s="47" t="s">
        <v>15</v>
      </c>
      <c r="E13" s="462">
        <v>1867245</v>
      </c>
      <c r="F13" s="36">
        <f t="shared" si="2"/>
        <v>9.075669781119873E-2</v>
      </c>
      <c r="G13" s="29">
        <f t="shared" si="0"/>
        <v>1894273.1566047019</v>
      </c>
      <c r="H13" s="31">
        <f>H$42</f>
        <v>6.1100000000000002E-2</v>
      </c>
      <c r="I13" s="28">
        <f t="shared" si="1"/>
        <v>115740</v>
      </c>
      <c r="K13" s="28">
        <f t="shared" si="3"/>
        <v>2360</v>
      </c>
      <c r="L13" s="31"/>
      <c r="P13" s="47" t="s">
        <v>15</v>
      </c>
      <c r="Q13" s="63">
        <f>'Exh JDT-5 (JDT-INTRPL-RD)'!H131</f>
        <v>5.117E-2</v>
      </c>
      <c r="R13" s="63">
        <f>'Margin Revenue'!$H$25</f>
        <v>3.7699999999999999E-3</v>
      </c>
      <c r="S13" s="63">
        <f>'Exh JDT-5 (JDT-MYRP)'!H206</f>
        <v>-2.2000000000000001E-4</v>
      </c>
      <c r="T13" s="63">
        <f>'Exh JDT-5 (JDT-MYRP)'!I206</f>
        <v>6.5199999999999998E-3</v>
      </c>
      <c r="U13" s="63">
        <f>'Margin Revenue'!$L$25</f>
        <v>-1.3999999999999999E-4</v>
      </c>
      <c r="V13" s="46">
        <f t="shared" si="4"/>
        <v>6.1100000000000002E-2</v>
      </c>
    </row>
    <row r="14" spans="2:22" x14ac:dyDescent="0.2">
      <c r="B14" s="155">
        <v>6</v>
      </c>
      <c r="D14" s="47" t="s">
        <v>14</v>
      </c>
      <c r="E14" s="462">
        <v>570175</v>
      </c>
      <c r="F14" s="36">
        <f t="shared" si="2"/>
        <v>2.7713128258209416E-2</v>
      </c>
      <c r="G14" s="29">
        <f t="shared" si="0"/>
        <v>578428.21754353924</v>
      </c>
      <c r="H14" s="31">
        <f>H$43</f>
        <v>4.5000000000000005E-2</v>
      </c>
      <c r="I14" s="28">
        <f t="shared" si="1"/>
        <v>26029</v>
      </c>
      <c r="K14" s="28">
        <f t="shared" si="3"/>
        <v>531</v>
      </c>
      <c r="L14" s="31"/>
      <c r="P14" s="47" t="s">
        <v>14</v>
      </c>
      <c r="Q14" s="63">
        <f>'Exh JDT-5 (JDT-INTRPL-RD)'!H132</f>
        <v>3.6830000000000002E-2</v>
      </c>
      <c r="R14" s="63">
        <f>'Margin Revenue'!$H$25</f>
        <v>3.7699999999999999E-3</v>
      </c>
      <c r="S14" s="63">
        <f>'Exh JDT-5 (JDT-MYRP)'!H207</f>
        <v>-1.6000000000000001E-4</v>
      </c>
      <c r="T14" s="63">
        <f>'Exh JDT-5 (JDT-MYRP)'!I207</f>
        <v>4.7000000000000002E-3</v>
      </c>
      <c r="U14" s="63">
        <f>'Margin Revenue'!$L$25</f>
        <v>-1.3999999999999999E-4</v>
      </c>
      <c r="V14" s="46">
        <f t="shared" si="4"/>
        <v>4.5000000000000005E-2</v>
      </c>
    </row>
    <row r="15" spans="2:22" x14ac:dyDescent="0.2">
      <c r="B15" s="155">
        <v>7</v>
      </c>
      <c r="D15" s="47" t="s">
        <v>19</v>
      </c>
      <c r="E15" s="462">
        <v>0</v>
      </c>
      <c r="F15" s="36">
        <f t="shared" si="2"/>
        <v>0</v>
      </c>
      <c r="G15" s="29">
        <f t="shared" si="0"/>
        <v>0</v>
      </c>
      <c r="H15" s="31">
        <f>H$44</f>
        <v>2.9219999999999999E-2</v>
      </c>
      <c r="I15" s="28">
        <f t="shared" si="1"/>
        <v>0</v>
      </c>
      <c r="K15" s="28">
        <f t="shared" si="3"/>
        <v>0</v>
      </c>
      <c r="L15" s="31"/>
      <c r="P15" s="47" t="s">
        <v>19</v>
      </c>
      <c r="Q15" s="63">
        <f>'Exh JDT-5 (JDT-INTRPL-RD)'!H133</f>
        <v>2.4830000000000001E-2</v>
      </c>
      <c r="R15" s="63">
        <f>'Margin Revenue'!$H$25</f>
        <v>3.7699999999999999E-3</v>
      </c>
      <c r="S15" s="63">
        <f>'Exh JDT-5 (JDT-MYRP)'!H208</f>
        <v>-3.0000000000000001E-5</v>
      </c>
      <c r="T15" s="63">
        <f>'Exh JDT-5 (JDT-MYRP)'!I208</f>
        <v>7.9000000000000001E-4</v>
      </c>
      <c r="U15" s="63">
        <f>'Margin Revenue'!$L$25</f>
        <v>-1.3999999999999999E-4</v>
      </c>
      <c r="V15" s="46">
        <f t="shared" si="4"/>
        <v>2.9219999999999999E-2</v>
      </c>
    </row>
    <row r="16" spans="2:22" x14ac:dyDescent="0.2">
      <c r="B16" s="155">
        <v>8</v>
      </c>
      <c r="D16" s="47" t="s">
        <v>48</v>
      </c>
      <c r="E16" s="33">
        <f>SUM(E12:E15)</f>
        <v>6854459</v>
      </c>
      <c r="F16" s="177"/>
      <c r="G16" s="33">
        <f>SUM(G12:G15)</f>
        <v>6953676.5056259399</v>
      </c>
      <c r="H16" s="31"/>
      <c r="I16" s="32">
        <f>SUM(I12:I15)</f>
        <v>559665</v>
      </c>
      <c r="K16" s="32">
        <f>SUM(K12:K15)</f>
        <v>11414</v>
      </c>
      <c r="L16" s="31">
        <f>L35</f>
        <v>1.6100000000000001E-3</v>
      </c>
      <c r="M16" s="30">
        <f>G16*L16</f>
        <v>11195.419174057764</v>
      </c>
      <c r="O16" s="31"/>
    </row>
    <row r="17" spans="2:14" x14ac:dyDescent="0.2">
      <c r="B17" s="155">
        <v>9</v>
      </c>
      <c r="D17" s="47" t="s">
        <v>0</v>
      </c>
      <c r="E17" s="178">
        <f>SUM(E10:E15)</f>
        <v>20574184</v>
      </c>
      <c r="F17" s="35">
        <f>SUM(F10:F15)</f>
        <v>1</v>
      </c>
      <c r="G17" s="60">
        <f>'Margin Revenue'!N19</f>
        <v>20871992.946959801</v>
      </c>
      <c r="H17" s="31"/>
      <c r="I17" s="32">
        <f>SUM(I10:I15)</f>
        <v>3379826</v>
      </c>
      <c r="J17" s="56">
        <f>Rates!I19</f>
        <v>61305.391913889238</v>
      </c>
      <c r="K17" s="32">
        <f>SUM(K10:K15)</f>
        <v>68928</v>
      </c>
      <c r="M17" s="32">
        <f>SUM(M10:M16)</f>
        <v>68748.135633887709</v>
      </c>
      <c r="N17" s="28">
        <f>M17-J17</f>
        <v>7442.7437199984706</v>
      </c>
    </row>
    <row r="18" spans="2:14" x14ac:dyDescent="0.2">
      <c r="B18" s="155"/>
      <c r="E18" s="61"/>
      <c r="F18" s="61"/>
      <c r="G18" s="39"/>
      <c r="H18" s="31"/>
    </row>
    <row r="19" spans="2:14" x14ac:dyDescent="0.2">
      <c r="B19" s="155">
        <v>10</v>
      </c>
      <c r="C19" s="47" t="s">
        <v>50</v>
      </c>
      <c r="E19" s="61"/>
      <c r="F19" s="61"/>
      <c r="G19" s="39"/>
      <c r="H19" s="31"/>
    </row>
    <row r="20" spans="2:14" x14ac:dyDescent="0.2">
      <c r="B20" s="155">
        <v>11</v>
      </c>
      <c r="D20" s="47" t="s">
        <v>18</v>
      </c>
      <c r="E20" s="462">
        <v>1200000</v>
      </c>
      <c r="F20" s="36">
        <f t="shared" ref="F20:F25" si="5">+E20/$E$26</f>
        <v>5.4984692261674351E-2</v>
      </c>
      <c r="G20" s="29">
        <f t="shared" ref="G20:G25" si="6">+F20*$G$26</f>
        <v>1184420.7770205315</v>
      </c>
      <c r="H20" s="31">
        <f>H$39</f>
        <v>0.23672000000000001</v>
      </c>
      <c r="I20" s="28">
        <f t="shared" ref="I20:I25" si="7">ROUND(G20*H20,0)</f>
        <v>280376</v>
      </c>
      <c r="K20" s="28">
        <f t="shared" ref="K20:K25" si="8">ROUND(I20*$J$48,0)</f>
        <v>5718</v>
      </c>
      <c r="L20" s="31">
        <f t="shared" ref="L20:L25" si="9">L39</f>
        <v>4.8300000000000001E-3</v>
      </c>
      <c r="M20" s="28">
        <f t="shared" ref="M20:M25" si="10">G20*L20</f>
        <v>5720.7523530091676</v>
      </c>
    </row>
    <row r="21" spans="2:14" x14ac:dyDescent="0.2">
      <c r="B21" s="155">
        <v>12</v>
      </c>
      <c r="D21" s="47" t="s">
        <v>17</v>
      </c>
      <c r="E21" s="462">
        <v>1200000</v>
      </c>
      <c r="F21" s="36">
        <f t="shared" si="5"/>
        <v>5.4984692261674351E-2</v>
      </c>
      <c r="G21" s="29">
        <f t="shared" si="6"/>
        <v>1184420.7770205315</v>
      </c>
      <c r="H21" s="31">
        <f>H$40</f>
        <v>0.14448</v>
      </c>
      <c r="I21" s="28">
        <f t="shared" si="7"/>
        <v>171125</v>
      </c>
      <c r="K21" s="28">
        <f t="shared" si="8"/>
        <v>3490</v>
      </c>
      <c r="L21" s="31">
        <f t="shared" si="9"/>
        <v>2.9499999999999999E-3</v>
      </c>
      <c r="M21" s="28">
        <f t="shared" si="10"/>
        <v>3494.0412922105679</v>
      </c>
    </row>
    <row r="22" spans="2:14" x14ac:dyDescent="0.2">
      <c r="B22" s="155">
        <v>13</v>
      </c>
      <c r="D22" s="47" t="s">
        <v>16</v>
      </c>
      <c r="E22" s="462">
        <v>2248939</v>
      </c>
      <c r="F22" s="36">
        <f t="shared" si="5"/>
        <v>0.10304768235856471</v>
      </c>
      <c r="G22" s="29">
        <f t="shared" si="6"/>
        <v>2219741.7315431475</v>
      </c>
      <c r="H22" s="31">
        <f>H$41</f>
        <v>9.3259999999999996E-2</v>
      </c>
      <c r="I22" s="28">
        <f t="shared" si="7"/>
        <v>207013</v>
      </c>
      <c r="K22" s="28">
        <f t="shared" si="8"/>
        <v>4222</v>
      </c>
      <c r="L22" s="31">
        <f t="shared" si="9"/>
        <v>1.9E-3</v>
      </c>
      <c r="M22" s="28">
        <f t="shared" si="10"/>
        <v>4217.5092899319798</v>
      </c>
    </row>
    <row r="23" spans="2:14" x14ac:dyDescent="0.2">
      <c r="B23" s="155">
        <v>14</v>
      </c>
      <c r="D23" s="47" t="s">
        <v>15</v>
      </c>
      <c r="E23" s="462">
        <v>3145551</v>
      </c>
      <c r="F23" s="36">
        <f t="shared" si="5"/>
        <v>0.14413096144033502</v>
      </c>
      <c r="G23" s="29">
        <f t="shared" si="6"/>
        <v>3104713.2996480921</v>
      </c>
      <c r="H23" s="31">
        <f>H$42</f>
        <v>6.1100000000000002E-2</v>
      </c>
      <c r="I23" s="28">
        <f t="shared" si="7"/>
        <v>189698</v>
      </c>
      <c r="K23" s="28">
        <f t="shared" si="8"/>
        <v>3869</v>
      </c>
      <c r="L23" s="31">
        <f t="shared" si="9"/>
        <v>1.25E-3</v>
      </c>
      <c r="M23" s="28">
        <f t="shared" si="10"/>
        <v>3880.8916245601154</v>
      </c>
    </row>
    <row r="24" spans="2:14" x14ac:dyDescent="0.2">
      <c r="B24" s="155">
        <v>15</v>
      </c>
      <c r="D24" s="47" t="s">
        <v>14</v>
      </c>
      <c r="E24" s="462">
        <v>3837529</v>
      </c>
      <c r="F24" s="36">
        <f t="shared" si="5"/>
        <v>0.17583779259187576</v>
      </c>
      <c r="G24" s="29">
        <f t="shared" si="6"/>
        <v>3787707.5666823532</v>
      </c>
      <c r="H24" s="31">
        <f>H$43</f>
        <v>4.5000000000000005E-2</v>
      </c>
      <c r="I24" s="28">
        <f t="shared" si="7"/>
        <v>170447</v>
      </c>
      <c r="K24" s="28">
        <f t="shared" si="8"/>
        <v>3476</v>
      </c>
      <c r="L24" s="31">
        <f t="shared" si="9"/>
        <v>9.2000000000000003E-4</v>
      </c>
      <c r="M24" s="28">
        <f t="shared" si="10"/>
        <v>3484.6909613477651</v>
      </c>
    </row>
    <row r="25" spans="2:14" x14ac:dyDescent="0.2">
      <c r="B25" s="155">
        <v>16</v>
      </c>
      <c r="D25" s="47" t="s">
        <v>19</v>
      </c>
      <c r="E25" s="463">
        <v>10192237</v>
      </c>
      <c r="F25" s="37">
        <f t="shared" si="5"/>
        <v>0.46701417908587584</v>
      </c>
      <c r="G25" s="29">
        <f t="shared" si="6"/>
        <v>10059914.389264509</v>
      </c>
      <c r="H25" s="31">
        <f>H$44</f>
        <v>2.9219999999999999E-2</v>
      </c>
      <c r="I25" s="28">
        <f t="shared" si="7"/>
        <v>293951</v>
      </c>
      <c r="K25" s="28">
        <f t="shared" si="8"/>
        <v>5995</v>
      </c>
      <c r="L25" s="31">
        <f t="shared" si="9"/>
        <v>5.9999999999999995E-4</v>
      </c>
      <c r="M25" s="28">
        <f t="shared" si="10"/>
        <v>6035.9486335587053</v>
      </c>
    </row>
    <row r="26" spans="2:14" x14ac:dyDescent="0.2">
      <c r="B26" s="155">
        <v>17</v>
      </c>
      <c r="D26" s="47" t="s">
        <v>0</v>
      </c>
      <c r="E26" s="61">
        <f>SUM(E20:E25)</f>
        <v>21824256</v>
      </c>
      <c r="F26" s="36">
        <f>SUM(F20:F25)</f>
        <v>1</v>
      </c>
      <c r="G26" s="60">
        <f>'Margin Revenue'!N20</f>
        <v>21540918.541179165</v>
      </c>
      <c r="H26" s="31"/>
      <c r="I26" s="32">
        <f>SUM(I20:I25)</f>
        <v>1312610</v>
      </c>
      <c r="J26" s="56">
        <f>Rates!I30</f>
        <v>36949.311439845485</v>
      </c>
      <c r="K26" s="32">
        <f>SUM(K20:K25)</f>
        <v>26770</v>
      </c>
      <c r="M26" s="32">
        <f>SUM(M20:M25)</f>
        <v>26833.8341546183</v>
      </c>
      <c r="N26" s="28">
        <f>M26-J26</f>
        <v>-10115.477285227185</v>
      </c>
    </row>
    <row r="27" spans="2:14" x14ac:dyDescent="0.2">
      <c r="B27" s="155"/>
      <c r="E27" s="61"/>
      <c r="F27" s="61"/>
      <c r="G27" s="8"/>
      <c r="H27" s="31"/>
      <c r="I27" s="11"/>
      <c r="J27" s="7"/>
      <c r="K27" s="11"/>
      <c r="M27" s="11"/>
    </row>
    <row r="28" spans="2:14" x14ac:dyDescent="0.2">
      <c r="B28" s="155">
        <f>B26+1</f>
        <v>18</v>
      </c>
      <c r="C28" s="47" t="s">
        <v>49</v>
      </c>
      <c r="E28" s="61"/>
      <c r="F28" s="61"/>
      <c r="G28" s="8"/>
      <c r="H28" s="31"/>
      <c r="I28" s="11"/>
      <c r="J28" s="7"/>
      <c r="K28" s="11"/>
      <c r="M28" s="11"/>
    </row>
    <row r="29" spans="2:14" x14ac:dyDescent="0.2">
      <c r="B29" s="155">
        <f t="shared" ref="B29:B36" si="11">B28+1</f>
        <v>19</v>
      </c>
      <c r="D29" s="47" t="s">
        <v>18</v>
      </c>
      <c r="E29" s="462">
        <v>23616796</v>
      </c>
      <c r="F29" s="36">
        <f t="shared" ref="F29:F34" si="12">+E29/$E$36</f>
        <v>0.35201829765688414</v>
      </c>
      <c r="G29" s="29">
        <f t="shared" ref="G29:G34" si="13">+F29*$G$36</f>
        <v>23538157.823504049</v>
      </c>
      <c r="H29" s="31">
        <f>H$39</f>
        <v>0.23672000000000001</v>
      </c>
      <c r="I29" s="28">
        <f t="shared" ref="I29:I34" si="14">ROUND(G29*H29,0)</f>
        <v>5571953</v>
      </c>
      <c r="J29" s="7"/>
      <c r="K29" s="28">
        <f t="shared" ref="K29:K34" si="15">ROUND(I29*$J$48,0)</f>
        <v>113634</v>
      </c>
      <c r="L29" s="31">
        <f>L39</f>
        <v>4.8300000000000001E-3</v>
      </c>
      <c r="M29" s="28">
        <f>G29*L29</f>
        <v>113689.30228752457</v>
      </c>
    </row>
    <row r="30" spans="2:14" x14ac:dyDescent="0.2">
      <c r="B30" s="155">
        <f t="shared" si="11"/>
        <v>20</v>
      </c>
      <c r="D30" s="47" t="s">
        <v>17</v>
      </c>
      <c r="E30" s="462">
        <v>16279525</v>
      </c>
      <c r="F30" s="36">
        <f t="shared" si="12"/>
        <v>0.24265318111579093</v>
      </c>
      <c r="G30" s="29">
        <f t="shared" si="13"/>
        <v>16225318.148222974</v>
      </c>
      <c r="H30" s="31">
        <f>H$40</f>
        <v>0.14448</v>
      </c>
      <c r="I30" s="28">
        <f t="shared" si="14"/>
        <v>2344234</v>
      </c>
      <c r="J30" s="7"/>
      <c r="K30" s="28">
        <f t="shared" si="15"/>
        <v>47808</v>
      </c>
      <c r="L30" s="31">
        <f>L40</f>
        <v>2.9499999999999999E-3</v>
      </c>
      <c r="M30" s="28">
        <f>G30*L30</f>
        <v>47864.688537257774</v>
      </c>
    </row>
    <row r="31" spans="2:14" x14ac:dyDescent="0.2">
      <c r="B31" s="155">
        <f t="shared" si="11"/>
        <v>21</v>
      </c>
      <c r="D31" s="47" t="s">
        <v>16</v>
      </c>
      <c r="E31" s="462">
        <v>16126561</v>
      </c>
      <c r="F31" s="36">
        <f t="shared" si="12"/>
        <v>0.24037318822925427</v>
      </c>
      <c r="G31" s="29">
        <f t="shared" si="13"/>
        <v>16072863.481073609</v>
      </c>
      <c r="H31" s="31">
        <f>H$41</f>
        <v>9.3259999999999996E-2</v>
      </c>
      <c r="I31" s="28">
        <f t="shared" si="14"/>
        <v>1498955</v>
      </c>
      <c r="J31" s="7"/>
      <c r="K31" s="28">
        <f t="shared" si="15"/>
        <v>30570</v>
      </c>
      <c r="M31" s="11"/>
    </row>
    <row r="32" spans="2:14" x14ac:dyDescent="0.2">
      <c r="B32" s="155">
        <f t="shared" si="11"/>
        <v>22</v>
      </c>
      <c r="D32" s="47" t="s">
        <v>15</v>
      </c>
      <c r="E32" s="462">
        <v>8289679</v>
      </c>
      <c r="F32" s="36">
        <f t="shared" si="12"/>
        <v>0.12356115917256608</v>
      </c>
      <c r="G32" s="29">
        <f t="shared" si="13"/>
        <v>8262076.3886933364</v>
      </c>
      <c r="H32" s="31">
        <f>H$42</f>
        <v>6.1100000000000002E-2</v>
      </c>
      <c r="I32" s="28">
        <f t="shared" si="14"/>
        <v>504813</v>
      </c>
      <c r="J32" s="7"/>
      <c r="K32" s="28">
        <f t="shared" si="15"/>
        <v>10295</v>
      </c>
      <c r="M32" s="11"/>
    </row>
    <row r="33" spans="2:16" x14ac:dyDescent="0.2">
      <c r="B33" s="155">
        <f t="shared" si="11"/>
        <v>23</v>
      </c>
      <c r="D33" s="47" t="s">
        <v>14</v>
      </c>
      <c r="E33" s="462">
        <v>2523943</v>
      </c>
      <c r="F33" s="36">
        <f t="shared" si="12"/>
        <v>3.7620434128448635E-2</v>
      </c>
      <c r="G33" s="29">
        <f t="shared" si="13"/>
        <v>2515538.8847635505</v>
      </c>
      <c r="H33" s="31">
        <f>H$43</f>
        <v>4.5000000000000005E-2</v>
      </c>
      <c r="I33" s="28">
        <f t="shared" si="14"/>
        <v>113199</v>
      </c>
      <c r="J33" s="7"/>
      <c r="K33" s="28">
        <f t="shared" si="15"/>
        <v>2309</v>
      </c>
      <c r="M33" s="11"/>
    </row>
    <row r="34" spans="2:16" x14ac:dyDescent="0.2">
      <c r="B34" s="155">
        <f t="shared" si="11"/>
        <v>24</v>
      </c>
      <c r="D34" s="47" t="s">
        <v>19</v>
      </c>
      <c r="E34" s="462">
        <v>253179</v>
      </c>
      <c r="F34" s="36">
        <f t="shared" si="12"/>
        <v>3.7737396970559541E-3</v>
      </c>
      <c r="G34" s="29">
        <f t="shared" si="13"/>
        <v>252335.97561654559</v>
      </c>
      <c r="H34" s="31">
        <f>H$44</f>
        <v>2.9219999999999999E-2</v>
      </c>
      <c r="I34" s="28">
        <f t="shared" si="14"/>
        <v>7373</v>
      </c>
      <c r="J34" s="7"/>
      <c r="K34" s="28">
        <f t="shared" si="15"/>
        <v>150</v>
      </c>
      <c r="M34" s="11"/>
    </row>
    <row r="35" spans="2:16" x14ac:dyDescent="0.2">
      <c r="B35" s="155">
        <f t="shared" si="11"/>
        <v>25</v>
      </c>
      <c r="D35" s="47" t="s">
        <v>48</v>
      </c>
      <c r="E35" s="62">
        <f>SUM(E31:E34)</f>
        <v>27193362</v>
      </c>
      <c r="F35" s="65"/>
      <c r="G35" s="62">
        <f>SUM(G31:G34)</f>
        <v>27102814.730147038</v>
      </c>
      <c r="H35" s="31"/>
      <c r="I35" s="30">
        <f>SUM(I31:I34)</f>
        <v>2124340</v>
      </c>
      <c r="K35" s="30">
        <f>SUM(K31:K34)</f>
        <v>43324</v>
      </c>
      <c r="L35" s="31">
        <f>ROUND((K35+K16)/(G35+G16),5)</f>
        <v>1.6100000000000001E-3</v>
      </c>
      <c r="M35" s="30">
        <f>G35*L35</f>
        <v>43635.53171553673</v>
      </c>
    </row>
    <row r="36" spans="2:16" x14ac:dyDescent="0.2">
      <c r="B36" s="155">
        <f t="shared" si="11"/>
        <v>26</v>
      </c>
      <c r="D36" s="47" t="s">
        <v>0</v>
      </c>
      <c r="E36" s="61">
        <f>SUM(E29:E34)</f>
        <v>67089683</v>
      </c>
      <c r="F36" s="36">
        <f>SUM(F29:F34)</f>
        <v>0.99999999999999989</v>
      </c>
      <c r="G36" s="60">
        <f>'Margin Revenue'!N24</f>
        <v>66866290.701874062</v>
      </c>
      <c r="H36" s="31"/>
      <c r="I36" s="11">
        <f>SUM(I29:I34)</f>
        <v>10040527</v>
      </c>
      <c r="J36" s="56">
        <f>Rates!I36</f>
        <v>183169.2133266546</v>
      </c>
      <c r="K36" s="11">
        <f>SUM(K29:K34)</f>
        <v>204766</v>
      </c>
      <c r="M36" s="32">
        <f>SUM(M29:M35)</f>
        <v>205189.52254031907</v>
      </c>
      <c r="N36" s="28">
        <f>M36-J36</f>
        <v>22020.30921366447</v>
      </c>
    </row>
    <row r="37" spans="2:16" x14ac:dyDescent="0.2">
      <c r="B37" s="155"/>
      <c r="E37" s="61"/>
      <c r="F37" s="61"/>
      <c r="G37" s="8"/>
      <c r="H37" s="31"/>
      <c r="I37" s="11"/>
      <c r="J37" s="7"/>
      <c r="K37" s="11"/>
      <c r="M37" s="11"/>
    </row>
    <row r="38" spans="2:16" x14ac:dyDescent="0.2">
      <c r="B38" s="155">
        <f>B36+1</f>
        <v>27</v>
      </c>
      <c r="C38" s="47" t="s">
        <v>47</v>
      </c>
      <c r="E38" s="61"/>
      <c r="F38" s="61"/>
      <c r="G38" s="8"/>
      <c r="H38" s="31"/>
      <c r="I38" s="28"/>
      <c r="J38" s="7"/>
      <c r="K38" s="11"/>
      <c r="M38" s="11"/>
    </row>
    <row r="39" spans="2:16" x14ac:dyDescent="0.2">
      <c r="B39" s="155">
        <f t="shared" ref="B39:B45" si="16">B38+1</f>
        <v>28</v>
      </c>
      <c r="D39" s="47" t="s">
        <v>18</v>
      </c>
      <c r="E39" s="462">
        <v>2975000</v>
      </c>
      <c r="F39" s="36">
        <f t="shared" ref="F39:F44" si="17">+E39/$E$45</f>
        <v>3.1870374242824184E-2</v>
      </c>
      <c r="G39" s="29">
        <f t="shared" ref="G39:G44" si="18">+F39*$G$45</f>
        <v>3035477.9696629848</v>
      </c>
      <c r="H39" s="31">
        <f>V10</f>
        <v>0.23672000000000001</v>
      </c>
      <c r="I39" s="28">
        <f t="shared" ref="I39:I44" si="19">ROUND(G39*H39,0)</f>
        <v>718558</v>
      </c>
      <c r="J39" s="7"/>
      <c r="K39" s="28">
        <f t="shared" ref="K39:K44" si="20">ROUND(I39*$J$48,0)</f>
        <v>14654</v>
      </c>
      <c r="L39" s="31">
        <f t="shared" ref="L39:L44" si="21">ROUND(K39/G39,5)</f>
        <v>4.8300000000000001E-3</v>
      </c>
      <c r="M39" s="28">
        <f t="shared" ref="M39:M44" si="22">G39*L39</f>
        <v>14661.358593472218</v>
      </c>
      <c r="P39" s="31"/>
    </row>
    <row r="40" spans="2:16" x14ac:dyDescent="0.2">
      <c r="B40" s="155">
        <f t="shared" si="16"/>
        <v>29</v>
      </c>
      <c r="D40" s="47" t="s">
        <v>17</v>
      </c>
      <c r="E40" s="462">
        <v>2975000</v>
      </c>
      <c r="F40" s="36">
        <f t="shared" si="17"/>
        <v>3.1870374242824184E-2</v>
      </c>
      <c r="G40" s="29">
        <f t="shared" si="18"/>
        <v>3035477.9696629848</v>
      </c>
      <c r="H40" s="31">
        <f t="shared" ref="H40:H44" si="23">V11</f>
        <v>0.14448</v>
      </c>
      <c r="I40" s="28">
        <f t="shared" si="19"/>
        <v>438566</v>
      </c>
      <c r="J40" s="7"/>
      <c r="K40" s="28">
        <f t="shared" si="20"/>
        <v>8944</v>
      </c>
      <c r="L40" s="31">
        <f t="shared" si="21"/>
        <v>2.9499999999999999E-3</v>
      </c>
      <c r="M40" s="28">
        <f t="shared" si="22"/>
        <v>8954.6600105058042</v>
      </c>
      <c r="P40" s="31"/>
    </row>
    <row r="41" spans="2:16" x14ac:dyDescent="0.2">
      <c r="B41" s="155">
        <f t="shared" si="16"/>
        <v>30</v>
      </c>
      <c r="D41" s="47" t="s">
        <v>16</v>
      </c>
      <c r="E41" s="462">
        <v>5950000</v>
      </c>
      <c r="F41" s="36">
        <f t="shared" si="17"/>
        <v>6.3740748485648369E-2</v>
      </c>
      <c r="G41" s="29">
        <f t="shared" si="18"/>
        <v>6070955.9393259697</v>
      </c>
      <c r="H41" s="31">
        <f>V12</f>
        <v>9.3259999999999996E-2</v>
      </c>
      <c r="I41" s="28">
        <f t="shared" si="19"/>
        <v>566177</v>
      </c>
      <c r="J41" s="7"/>
      <c r="K41" s="28">
        <f t="shared" si="20"/>
        <v>11547</v>
      </c>
      <c r="L41" s="31">
        <f t="shared" si="21"/>
        <v>1.9E-3</v>
      </c>
      <c r="M41" s="28">
        <f t="shared" si="22"/>
        <v>11534.816284719342</v>
      </c>
      <c r="P41" s="31"/>
    </row>
    <row r="42" spans="2:16" x14ac:dyDescent="0.2">
      <c r="B42" s="155">
        <f t="shared" si="16"/>
        <v>31</v>
      </c>
      <c r="D42" s="47" t="s">
        <v>15</v>
      </c>
      <c r="E42" s="462">
        <v>11174541</v>
      </c>
      <c r="F42" s="36">
        <f t="shared" si="17"/>
        <v>0.11970984997034716</v>
      </c>
      <c r="G42" s="29">
        <f t="shared" si="18"/>
        <v>11401705.21902379</v>
      </c>
      <c r="H42" s="31">
        <f t="shared" si="23"/>
        <v>6.1100000000000002E-2</v>
      </c>
      <c r="I42" s="28">
        <f t="shared" si="19"/>
        <v>696644</v>
      </c>
      <c r="J42" s="7"/>
      <c r="K42" s="28">
        <f t="shared" si="20"/>
        <v>14207</v>
      </c>
      <c r="L42" s="31">
        <f t="shared" si="21"/>
        <v>1.25E-3</v>
      </c>
      <c r="M42" s="28">
        <f t="shared" si="22"/>
        <v>14252.131523779739</v>
      </c>
      <c r="P42" s="31"/>
    </row>
    <row r="43" spans="2:16" x14ac:dyDescent="0.2">
      <c r="B43" s="155">
        <f t="shared" si="16"/>
        <v>32</v>
      </c>
      <c r="D43" s="47" t="s">
        <v>14</v>
      </c>
      <c r="E43" s="462">
        <v>25311434</v>
      </c>
      <c r="F43" s="36">
        <f t="shared" si="17"/>
        <v>0.27115457956388045</v>
      </c>
      <c r="G43" s="29">
        <f t="shared" si="18"/>
        <v>25825983.289942399</v>
      </c>
      <c r="H43" s="31">
        <f t="shared" si="23"/>
        <v>4.5000000000000005E-2</v>
      </c>
      <c r="I43" s="28">
        <f t="shared" si="19"/>
        <v>1162169</v>
      </c>
      <c r="J43" s="7"/>
      <c r="K43" s="28">
        <f t="shared" si="20"/>
        <v>23701</v>
      </c>
      <c r="L43" s="31">
        <f t="shared" si="21"/>
        <v>9.2000000000000003E-4</v>
      </c>
      <c r="M43" s="28">
        <f t="shared" si="22"/>
        <v>23759.904626747008</v>
      </c>
      <c r="P43" s="31"/>
    </row>
    <row r="44" spans="2:16" x14ac:dyDescent="0.2">
      <c r="B44" s="155">
        <f t="shared" si="16"/>
        <v>33</v>
      </c>
      <c r="D44" s="47" t="s">
        <v>19</v>
      </c>
      <c r="E44" s="463">
        <v>44960905</v>
      </c>
      <c r="F44" s="37">
        <f t="shared" si="17"/>
        <v>0.48165407349447564</v>
      </c>
      <c r="G44" s="29">
        <f t="shared" si="18"/>
        <v>45874903.066759773</v>
      </c>
      <c r="H44" s="31">
        <f t="shared" si="23"/>
        <v>2.9219999999999999E-2</v>
      </c>
      <c r="I44" s="28">
        <f t="shared" si="19"/>
        <v>1340465</v>
      </c>
      <c r="J44" s="7"/>
      <c r="K44" s="27">
        <f t="shared" si="20"/>
        <v>27337</v>
      </c>
      <c r="L44" s="31">
        <f t="shared" si="21"/>
        <v>5.9999999999999995E-4</v>
      </c>
      <c r="M44" s="27">
        <f t="shared" si="22"/>
        <v>27524.941840055861</v>
      </c>
      <c r="P44" s="31"/>
    </row>
    <row r="45" spans="2:16" x14ac:dyDescent="0.2">
      <c r="B45" s="155">
        <f t="shared" si="16"/>
        <v>34</v>
      </c>
      <c r="D45" s="47" t="s">
        <v>0</v>
      </c>
      <c r="E45" s="61">
        <f>SUM(E39:E44)</f>
        <v>93346880</v>
      </c>
      <c r="F45" s="36">
        <f>SUM(F39:F44)</f>
        <v>1</v>
      </c>
      <c r="G45" s="60">
        <f>'Margin Revenue'!N25</f>
        <v>95244503.454377905</v>
      </c>
      <c r="H45" s="31"/>
      <c r="I45" s="32">
        <f>SUM(I39:I44)</f>
        <v>4922579</v>
      </c>
      <c r="J45" s="56">
        <f>Rates!I45</f>
        <v>119429.89454485108</v>
      </c>
      <c r="K45" s="32">
        <f>SUM(K39:K44)</f>
        <v>100390</v>
      </c>
      <c r="M45" s="11">
        <f>SUM(M39:M44)</f>
        <v>100687.81287927998</v>
      </c>
      <c r="N45" s="28">
        <f>M45-J45</f>
        <v>-18742.081665571095</v>
      </c>
    </row>
    <row r="46" spans="2:16" x14ac:dyDescent="0.2">
      <c r="B46" s="155"/>
      <c r="E46" s="61"/>
      <c r="F46" s="61"/>
      <c r="G46" s="8"/>
      <c r="I46" s="11"/>
      <c r="J46" s="57"/>
      <c r="K46" s="11"/>
      <c r="M46" s="11"/>
    </row>
    <row r="47" spans="2:16" x14ac:dyDescent="0.2">
      <c r="B47" s="155"/>
      <c r="C47" s="47" t="s">
        <v>0</v>
      </c>
      <c r="E47" s="61">
        <f>E17+E26+E36+E45</f>
        <v>202835003</v>
      </c>
      <c r="F47" s="61"/>
      <c r="G47" s="61">
        <f>G17+G26+G36+G45</f>
        <v>204523705.64439094</v>
      </c>
      <c r="I47" s="11">
        <f>I17+I26+I36+I45</f>
        <v>19655542</v>
      </c>
      <c r="J47" s="11">
        <f>J17+J26+J36+J45</f>
        <v>400853.81122524041</v>
      </c>
      <c r="K47" s="11">
        <f>K17+K26+K36+K45</f>
        <v>400854</v>
      </c>
      <c r="M47" s="11">
        <f>M17+M26+M36+M45</f>
        <v>401459.30520810501</v>
      </c>
      <c r="N47" s="26">
        <f>M47-J47</f>
        <v>605.493982864602</v>
      </c>
    </row>
    <row r="48" spans="2:16" x14ac:dyDescent="0.2">
      <c r="B48" s="155"/>
      <c r="C48" s="47" t="s">
        <v>46</v>
      </c>
      <c r="E48" s="160"/>
      <c r="F48" s="160"/>
      <c r="G48" s="8"/>
      <c r="I48" s="11"/>
      <c r="J48" s="58">
        <f>J47/I47</f>
        <v>2.0393933233957141E-2</v>
      </c>
      <c r="K48" s="11"/>
      <c r="M48" s="11"/>
      <c r="N48" s="54">
        <f>N47/K47</f>
        <v>1.5105100182724932E-3</v>
      </c>
    </row>
    <row r="49" spans="2:14" x14ac:dyDescent="0.2">
      <c r="B49" s="155"/>
      <c r="E49" s="160"/>
      <c r="F49" s="160"/>
      <c r="G49" s="8"/>
      <c r="I49" s="11"/>
      <c r="J49" s="58"/>
      <c r="K49" s="11"/>
      <c r="M49" s="11"/>
      <c r="N49" s="54"/>
    </row>
    <row r="50" spans="2:14" x14ac:dyDescent="0.2">
      <c r="B50" s="155"/>
    </row>
    <row r="51" spans="2:14" ht="12.75" customHeight="1" x14ac:dyDescent="0.2">
      <c r="B51" s="179" t="s">
        <v>30</v>
      </c>
      <c r="C51" s="174" t="s">
        <v>317</v>
      </c>
    </row>
    <row r="52" spans="2:14" ht="12.75" customHeight="1" x14ac:dyDescent="0.2">
      <c r="B52" s="173" t="s">
        <v>29</v>
      </c>
      <c r="C52" s="174" t="str">
        <f>'Margin Revenue'!C37</f>
        <v>Weather normalized volume for the year ending December 31, 2022 from the 2022 Commission Basis Report (CBR).</v>
      </c>
      <c r="D52" s="180"/>
      <c r="E52" s="180"/>
      <c r="F52" s="180"/>
      <c r="G52" s="180"/>
      <c r="H52" s="180"/>
      <c r="I52" s="180"/>
      <c r="J52" s="180"/>
      <c r="K52" s="180"/>
      <c r="L52" s="180"/>
      <c r="M52" s="180"/>
    </row>
    <row r="53" spans="2:14" ht="12.6" customHeight="1" x14ac:dyDescent="0.2">
      <c r="B53" s="173" t="s">
        <v>28</v>
      </c>
      <c r="C53" s="15" t="s">
        <v>318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2:14" ht="13.5" thickBot="1" x14ac:dyDescent="0.25"/>
    <row r="55" spans="2:14" x14ac:dyDescent="0.2">
      <c r="G55" s="25" t="s">
        <v>13</v>
      </c>
    </row>
    <row r="56" spans="2:14" x14ac:dyDescent="0.2">
      <c r="G56" s="24">
        <f>G17-SUM(G10:G15)</f>
        <v>0</v>
      </c>
    </row>
    <row r="57" spans="2:14" x14ac:dyDescent="0.2">
      <c r="G57" s="24">
        <f>G26-SUM(G20:G25)</f>
        <v>0</v>
      </c>
    </row>
    <row r="58" spans="2:14" x14ac:dyDescent="0.2">
      <c r="G58" s="24">
        <f>G36-SUM(G29:G34)</f>
        <v>0</v>
      </c>
    </row>
    <row r="59" spans="2:14" ht="13.5" thickBot="1" x14ac:dyDescent="0.25">
      <c r="G59" s="23">
        <f>G45-SUM(G39:G44)</f>
        <v>0</v>
      </c>
    </row>
    <row r="63" spans="2:14" x14ac:dyDescent="0.2">
      <c r="I63" s="59"/>
      <c r="J63" s="59"/>
    </row>
    <row r="64" spans="2:14" x14ac:dyDescent="0.2">
      <c r="G64" s="59"/>
    </row>
    <row r="68" spans="7:10" x14ac:dyDescent="0.2">
      <c r="G68" s="59"/>
    </row>
    <row r="70" spans="7:10" x14ac:dyDescent="0.2">
      <c r="J70" s="59"/>
    </row>
    <row r="72" spans="7:10" x14ac:dyDescent="0.2">
      <c r="J72" s="59"/>
    </row>
  </sheetData>
  <mergeCells count="3">
    <mergeCell ref="C8:D8"/>
    <mergeCell ref="B1:N1"/>
    <mergeCell ref="B3:N3"/>
  </mergeCells>
  <printOptions horizontalCentered="1"/>
  <pageMargins left="0.75" right="0.75" top="1" bottom="1" header="0.5" footer="0.5"/>
  <pageSetup scale="71" orientation="landscape" blackAndWhite="1" horizontalDpi="300" verticalDpi="300" r:id="rId1"/>
  <headerFooter alignWithMargins="0">
    <oddFooter>&amp;L&amp;F 
&amp;A&amp;C&amp;P&amp;R&amp;D</oddFooter>
  </headerFooter>
  <rowBreaks count="1" manualBreakCount="1">
    <brk id="53" min="1" max="13" man="1"/>
  </rowBreaks>
  <colBreaks count="1" manualBreakCount="1">
    <brk id="13" max="1048575" man="1"/>
  </colBreaks>
  <customProperties>
    <customPr name="_pios_id" r:id="rId2"/>
  </customProperties>
  <ignoredErrors>
    <ignoredError sqref="E16 E35" formulaRange="1"/>
    <ignoredError sqref="J17 J26 J36 J4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zoomScale="90" zoomScaleNormal="90" workbookViewId="0">
      <selection activeCell="M31" sqref="M31"/>
    </sheetView>
  </sheetViews>
  <sheetFormatPr defaultColWidth="8.85546875" defaultRowHeight="12.75" x14ac:dyDescent="0.2"/>
  <cols>
    <col min="1" max="1" width="3.140625" style="47" customWidth="1"/>
    <col min="2" max="2" width="3.42578125" style="47" customWidth="1"/>
    <col min="3" max="3" width="24.140625" style="47" customWidth="1"/>
    <col min="4" max="4" width="9" style="47" bestFit="1" customWidth="1"/>
    <col min="5" max="5" width="13.85546875" style="47" customWidth="1"/>
    <col min="6" max="6" width="14.5703125" style="47" customWidth="1"/>
    <col min="7" max="7" width="13.5703125" style="47" customWidth="1"/>
    <col min="8" max="10" width="13.5703125" style="66" customWidth="1"/>
    <col min="11" max="13" width="13.5703125" style="47" customWidth="1"/>
    <col min="14" max="14" width="13.85546875" style="47" customWidth="1"/>
    <col min="15" max="15" width="15.42578125" style="47" bestFit="1" customWidth="1"/>
    <col min="16" max="23" width="9.140625" style="47" customWidth="1"/>
    <col min="24" max="16384" width="8.85546875" style="47"/>
  </cols>
  <sheetData>
    <row r="1" spans="2:20" ht="15" customHeight="1" x14ac:dyDescent="0.2">
      <c r="B1" s="148" t="s">
        <v>12</v>
      </c>
      <c r="C1" s="64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81"/>
      <c r="Q1" s="64"/>
      <c r="R1" s="15"/>
      <c r="S1" s="15"/>
      <c r="T1" s="15"/>
    </row>
    <row r="2" spans="2:20" ht="15" customHeight="1" x14ac:dyDescent="0.2">
      <c r="B2" s="148" t="str">
        <f>Rates!$B$2</f>
        <v>2023 Gas Schedule 129D Bill Discount Rate Filing</v>
      </c>
      <c r="C2" s="148"/>
      <c r="D2" s="148"/>
      <c r="E2" s="148"/>
      <c r="F2" s="148"/>
      <c r="G2" s="148"/>
      <c r="H2" s="148"/>
      <c r="I2" s="148"/>
      <c r="J2" s="148"/>
      <c r="K2" s="156"/>
      <c r="L2" s="156"/>
      <c r="M2" s="156"/>
      <c r="N2" s="156"/>
      <c r="O2" s="156"/>
      <c r="P2" s="181"/>
      <c r="Q2" s="64"/>
      <c r="R2" s="15"/>
      <c r="S2" s="15"/>
      <c r="T2" s="15"/>
    </row>
    <row r="3" spans="2:20" ht="15" customHeight="1" x14ac:dyDescent="0.2">
      <c r="B3" s="64" t="s">
        <v>240</v>
      </c>
      <c r="C3" s="64"/>
      <c r="D3" s="64"/>
      <c r="E3" s="64"/>
      <c r="F3" s="64"/>
      <c r="G3" s="64"/>
      <c r="H3" s="64"/>
      <c r="I3" s="64"/>
      <c r="J3" s="64"/>
      <c r="K3" s="74"/>
      <c r="L3" s="74"/>
      <c r="M3" s="74"/>
      <c r="N3" s="74"/>
      <c r="O3" s="74"/>
      <c r="P3" s="15"/>
      <c r="Q3" s="64"/>
      <c r="R3" s="15"/>
      <c r="S3" s="15"/>
      <c r="T3" s="15"/>
    </row>
    <row r="5" spans="2:20" x14ac:dyDescent="0.2">
      <c r="G5" s="155"/>
      <c r="J5" s="182"/>
    </row>
    <row r="6" spans="2:20" x14ac:dyDescent="0.2">
      <c r="E6" s="157" t="s">
        <v>223</v>
      </c>
      <c r="F6" s="155" t="str">
        <f>$E$6</f>
        <v>UG-220067</v>
      </c>
      <c r="G6" s="155" t="str">
        <f>$E$6</f>
        <v>UG-220067</v>
      </c>
      <c r="H6" s="155" t="s">
        <v>70</v>
      </c>
      <c r="I6" s="155" t="s">
        <v>227</v>
      </c>
      <c r="J6" s="204" t="s">
        <v>228</v>
      </c>
      <c r="K6" s="204" t="s">
        <v>229</v>
      </c>
      <c r="L6" s="204" t="s">
        <v>161</v>
      </c>
      <c r="M6" s="155" t="s">
        <v>0</v>
      </c>
      <c r="N6" s="461">
        <v>2022</v>
      </c>
      <c r="O6" s="49">
        <f>+N6</f>
        <v>2022</v>
      </c>
      <c r="P6" s="49"/>
    </row>
    <row r="7" spans="2:20" x14ac:dyDescent="0.2">
      <c r="D7" s="155" t="s">
        <v>11</v>
      </c>
      <c r="E7" s="49" t="s">
        <v>10</v>
      </c>
      <c r="F7" s="49" t="s">
        <v>69</v>
      </c>
      <c r="G7" s="49" t="s">
        <v>241</v>
      </c>
      <c r="H7" s="49" t="s">
        <v>71</v>
      </c>
      <c r="I7" s="49" t="s">
        <v>230</v>
      </c>
      <c r="J7" s="49" t="s">
        <v>231</v>
      </c>
      <c r="K7" s="49" t="s">
        <v>231</v>
      </c>
      <c r="L7" s="49" t="s">
        <v>163</v>
      </c>
      <c r="M7" s="49" t="s">
        <v>45</v>
      </c>
      <c r="N7" s="49" t="s">
        <v>10</v>
      </c>
      <c r="O7" s="49" t="s">
        <v>37</v>
      </c>
      <c r="P7" s="49"/>
    </row>
    <row r="8" spans="2:20" ht="14.25" x14ac:dyDescent="0.2">
      <c r="B8" s="22" t="s">
        <v>36</v>
      </c>
      <c r="C8" s="22" t="s">
        <v>8</v>
      </c>
      <c r="D8" s="22" t="s">
        <v>7</v>
      </c>
      <c r="E8" s="22" t="s">
        <v>67</v>
      </c>
      <c r="F8" s="22" t="s">
        <v>72</v>
      </c>
      <c r="G8" s="22" t="s">
        <v>167</v>
      </c>
      <c r="H8" s="22" t="s">
        <v>170</v>
      </c>
      <c r="I8" s="22" t="s">
        <v>171</v>
      </c>
      <c r="J8" s="22" t="s">
        <v>172</v>
      </c>
      <c r="K8" s="22" t="s">
        <v>173</v>
      </c>
      <c r="L8" s="203" t="s">
        <v>232</v>
      </c>
      <c r="M8" s="22" t="s">
        <v>43</v>
      </c>
      <c r="N8" s="22" t="s">
        <v>233</v>
      </c>
      <c r="O8" s="22" t="s">
        <v>234</v>
      </c>
      <c r="P8" s="49"/>
    </row>
    <row r="9" spans="2:20" x14ac:dyDescent="0.2">
      <c r="B9" s="155">
        <v>1</v>
      </c>
      <c r="C9" s="14" t="s">
        <v>5</v>
      </c>
      <c r="D9" s="155" t="s">
        <v>24</v>
      </c>
      <c r="E9" s="176">
        <f>'Exh JDT-5 (JDT-RES_RD)'!D13+'Exh JDT-5 (JDT-RES_RD)'!D21</f>
        <v>620836684.05687141</v>
      </c>
      <c r="F9" s="53">
        <f>'Exh JDT-5 (JDT-RES_RD)'!I16+'Exh JDT-5 (JDT-RES_RD)'!I24</f>
        <v>403613457.09474093</v>
      </c>
      <c r="G9" s="46">
        <f>F9/E9</f>
        <v>0.6501121268436002</v>
      </c>
      <c r="H9" s="183">
        <v>2.2849999999999999E-2</v>
      </c>
      <c r="I9" s="63">
        <f>'Exh JDT-5 (JDT-MYRP)'!J11</f>
        <v>3.2599999999999999E-3</v>
      </c>
      <c r="J9" s="63">
        <f>'Exh JDT-5 (JDT-MYRP)'!H11</f>
        <v>-1.6999999999999999E-3</v>
      </c>
      <c r="K9" s="63">
        <f>'Exh JDT-5 (JDT-MYRP)'!I11</f>
        <v>4.8649999999999999E-2</v>
      </c>
      <c r="L9" s="183">
        <v>-1.3699999999999999E-3</v>
      </c>
      <c r="M9" s="46">
        <f>SUM(G9:L9)</f>
        <v>0.72180212684360023</v>
      </c>
      <c r="N9" s="462">
        <v>605484515.28218365</v>
      </c>
      <c r="O9" s="184">
        <f>M9*N9</f>
        <v>437040010.90154654</v>
      </c>
      <c r="P9" s="12"/>
      <c r="S9" s="185"/>
    </row>
    <row r="10" spans="2:20" x14ac:dyDescent="0.2">
      <c r="B10" s="155"/>
      <c r="C10" s="14"/>
      <c r="D10" s="155"/>
      <c r="E10" s="176"/>
      <c r="F10" s="53"/>
      <c r="H10" s="183"/>
      <c r="I10" s="63"/>
      <c r="J10" s="63"/>
      <c r="K10" s="63"/>
      <c r="L10" s="183"/>
      <c r="N10" s="462"/>
      <c r="P10" s="50"/>
    </row>
    <row r="11" spans="2:20" x14ac:dyDescent="0.2">
      <c r="B11" s="155">
        <f>B9+1</f>
        <v>2</v>
      </c>
      <c r="C11" s="149" t="s">
        <v>23</v>
      </c>
      <c r="D11" s="155"/>
      <c r="E11" s="176"/>
      <c r="F11" s="53"/>
      <c r="H11" s="183"/>
      <c r="I11" s="63"/>
      <c r="J11" s="63"/>
      <c r="K11" s="63"/>
      <c r="L11" s="183"/>
      <c r="N11" s="462"/>
      <c r="P11" s="50"/>
    </row>
    <row r="12" spans="2:20" x14ac:dyDescent="0.2">
      <c r="B12" s="155">
        <f t="shared" ref="B12:B27" si="0">B11+1</f>
        <v>3</v>
      </c>
      <c r="C12" s="21" t="s">
        <v>42</v>
      </c>
      <c r="D12" s="155" t="s">
        <v>33</v>
      </c>
      <c r="E12" s="176">
        <f>'Exh JDT-5 (JDT-C&amp;I-RD)'!D32</f>
        <v>222203870.67539161</v>
      </c>
      <c r="F12" s="53">
        <f>'Exh JDT-5 (JDT-C&amp;I-RD)'!I36</f>
        <v>122144982.04000001</v>
      </c>
      <c r="G12" s="46">
        <f>F12/E12</f>
        <v>0.54969781430331843</v>
      </c>
      <c r="H12" s="183">
        <v>2.513E-2</v>
      </c>
      <c r="I12" s="63">
        <f>'Exh JDT-5 (JDT-MYRP)'!J40</f>
        <v>3.0100000000000001E-3</v>
      </c>
      <c r="J12" s="63">
        <f>'Exh JDT-5 (JDT-MYRP)'!H40</f>
        <v>-1.57E-3</v>
      </c>
      <c r="K12" s="63">
        <f>'Exh JDT-5 (JDT-MYRP)'!I40</f>
        <v>4.4909999999999999E-2</v>
      </c>
      <c r="L12" s="183">
        <v>-1.47E-3</v>
      </c>
      <c r="M12" s="46">
        <f>SUM(G12:L12)</f>
        <v>0.61970781430331845</v>
      </c>
      <c r="N12" s="462">
        <v>241041941.4711673</v>
      </c>
      <c r="O12" s="184">
        <f>M12*N12</f>
        <v>149375574.7045255</v>
      </c>
      <c r="P12" s="12"/>
      <c r="S12" s="185"/>
    </row>
    <row r="13" spans="2:20" x14ac:dyDescent="0.2">
      <c r="B13" s="155"/>
      <c r="C13" s="149"/>
      <c r="D13" s="49"/>
      <c r="E13" s="176"/>
      <c r="F13" s="53"/>
      <c r="H13" s="183"/>
      <c r="I13" s="63"/>
      <c r="J13" s="63"/>
      <c r="K13" s="63"/>
      <c r="L13" s="183"/>
      <c r="N13" s="462"/>
      <c r="O13" s="184"/>
      <c r="P13" s="12"/>
    </row>
    <row r="14" spans="2:20" x14ac:dyDescent="0.2">
      <c r="B14" s="155">
        <f>B12+1</f>
        <v>4</v>
      </c>
      <c r="C14" s="14" t="s">
        <v>22</v>
      </c>
      <c r="D14" s="155" t="s">
        <v>32</v>
      </c>
      <c r="E14" s="176">
        <f>'Exh JDT-5 (JDT-C&amp;I-RD)'!D82</f>
        <v>82012496.764967203</v>
      </c>
      <c r="F14" s="53">
        <f>'Exh JDT-5 (JDT-C&amp;I-RD)'!I86</f>
        <v>22261797.053338237</v>
      </c>
      <c r="G14" s="46">
        <f>F14/E14</f>
        <v>0.27144396197492282</v>
      </c>
      <c r="H14" s="183">
        <v>1.004E-2</v>
      </c>
      <c r="I14" s="63">
        <f>'Exh JDT-5 (JDT-MYRP)'!J64</f>
        <v>2.2699999999999999E-3</v>
      </c>
      <c r="J14" s="63">
        <f>'Exh JDT-5 (JDT-MYRP)'!H64</f>
        <v>-7.5000000000000002E-4</v>
      </c>
      <c r="K14" s="63">
        <f>'Exh JDT-5 (JDT-MYRP)'!I64</f>
        <v>2.147E-2</v>
      </c>
      <c r="L14" s="183">
        <v>-5.5999999999999995E-4</v>
      </c>
      <c r="M14" s="46">
        <f>SUM(G14:L14)</f>
        <v>0.30391396197492282</v>
      </c>
      <c r="N14" s="462">
        <v>88992709.206235796</v>
      </c>
      <c r="O14" s="184">
        <f>M14*N14</f>
        <v>27046126.84174931</v>
      </c>
      <c r="P14" s="12"/>
      <c r="S14" s="185"/>
    </row>
    <row r="15" spans="2:20" x14ac:dyDescent="0.2">
      <c r="B15" s="155"/>
      <c r="C15" s="14"/>
      <c r="D15" s="155"/>
      <c r="E15" s="176"/>
      <c r="F15" s="53"/>
      <c r="G15" s="46"/>
      <c r="H15" s="183"/>
      <c r="I15" s="63"/>
      <c r="J15" s="63"/>
      <c r="K15" s="63"/>
      <c r="L15" s="183"/>
      <c r="M15" s="46"/>
      <c r="N15" s="462"/>
      <c r="O15" s="184"/>
      <c r="P15" s="12"/>
    </row>
    <row r="16" spans="2:20" x14ac:dyDescent="0.2">
      <c r="B16" s="155">
        <f>B14+1</f>
        <v>5</v>
      </c>
      <c r="C16" s="14" t="s">
        <v>41</v>
      </c>
      <c r="D16" s="155" t="s">
        <v>31</v>
      </c>
      <c r="E16" s="176">
        <f>'Exh JDT-5 (JDT-INTRPL-RD)'!D96</f>
        <v>7491654.8276905464</v>
      </c>
      <c r="F16" s="53">
        <f>'Exh JDT-5 (JDT-INTRPL-RD)'!I98</f>
        <v>1560031.02</v>
      </c>
      <c r="G16" s="46">
        <f>F16/E16</f>
        <v>0.20823583785972571</v>
      </c>
      <c r="H16" s="183">
        <v>6.7299999999999999E-3</v>
      </c>
      <c r="I16" s="63">
        <f>'Exh JDT-5 (JDT-MYRP)'!J139</f>
        <v>4.8999999999999998E-4</v>
      </c>
      <c r="J16" s="63">
        <f>'Exh JDT-5 (JDT-MYRP)'!H139</f>
        <v>-3.6000000000000002E-4</v>
      </c>
      <c r="K16" s="63">
        <f>'Exh JDT-5 (JDT-MYRP)'!I139</f>
        <v>1.0410000000000001E-2</v>
      </c>
      <c r="L16" s="183">
        <v>-3.3E-4</v>
      </c>
      <c r="M16" s="46">
        <f>SUM(G16:L16)</f>
        <v>0.22517583785972572</v>
      </c>
      <c r="N16" s="462">
        <v>7836608.9315861296</v>
      </c>
      <c r="O16" s="184">
        <f>M16*N16</f>
        <v>1764614.9821489167</v>
      </c>
      <c r="P16" s="12"/>
      <c r="S16" s="185"/>
    </row>
    <row r="17" spans="1:26" x14ac:dyDescent="0.2">
      <c r="B17" s="155"/>
      <c r="C17" s="14"/>
      <c r="D17" s="155"/>
      <c r="E17" s="176"/>
      <c r="F17" s="53"/>
      <c r="H17" s="183"/>
      <c r="I17" s="63"/>
      <c r="J17" s="63"/>
      <c r="K17" s="63"/>
      <c r="L17" s="183"/>
      <c r="N17" s="462"/>
      <c r="O17" s="184"/>
      <c r="P17" s="12"/>
    </row>
    <row r="18" spans="1:26" x14ac:dyDescent="0.2">
      <c r="B18" s="155">
        <f>B16+1</f>
        <v>6</v>
      </c>
      <c r="C18" s="14" t="s">
        <v>4</v>
      </c>
      <c r="D18" s="155"/>
      <c r="E18" s="186"/>
      <c r="F18" s="186"/>
      <c r="H18" s="183"/>
      <c r="I18" s="63"/>
      <c r="J18" s="63"/>
      <c r="K18" s="63"/>
      <c r="L18" s="183"/>
      <c r="N18" s="462"/>
      <c r="O18" s="184"/>
      <c r="P18" s="12"/>
    </row>
    <row r="19" spans="1:26" x14ac:dyDescent="0.2">
      <c r="B19" s="155">
        <f t="shared" si="0"/>
        <v>7</v>
      </c>
      <c r="C19" s="187" t="s">
        <v>4</v>
      </c>
      <c r="D19" s="155">
        <v>85</v>
      </c>
      <c r="E19" s="176">
        <f>'Exh JDT-5 (JDT-INTRPL-RD)'!D21</f>
        <v>19992939.502740219</v>
      </c>
      <c r="F19" s="53">
        <f>'Exh JDT-5 (JDT-INTRPL-RD)'!I23</f>
        <v>2272313.06</v>
      </c>
      <c r="G19" s="46">
        <f>F19/E19</f>
        <v>0.11365577631486147</v>
      </c>
      <c r="H19" s="183">
        <v>5.2900000000000004E-3</v>
      </c>
      <c r="I19" s="63">
        <f>'Exh JDT-5 (JDT-MYRP)'!J102</f>
        <v>1.8400000000000001E-3</v>
      </c>
      <c r="J19" s="63">
        <f>'Exh JDT-5 (JDT-MYRP)'!H102</f>
        <v>-4.4999999999999999E-4</v>
      </c>
      <c r="K19" s="63">
        <f>'Exh JDT-5 (JDT-MYRP)'!I102</f>
        <v>1.277E-2</v>
      </c>
      <c r="L19" s="183">
        <v>-2.7E-4</v>
      </c>
      <c r="M19" s="46">
        <f>SUM(G19:L19)</f>
        <v>0.13283577631486146</v>
      </c>
      <c r="N19" s="462">
        <v>20871992.946959801</v>
      </c>
      <c r="O19" s="184">
        <f>M19*N19</f>
        <v>2772547.3863477181</v>
      </c>
      <c r="P19" s="12"/>
      <c r="S19" s="185"/>
    </row>
    <row r="20" spans="1:26" x14ac:dyDescent="0.2">
      <c r="B20" s="155">
        <f t="shared" si="0"/>
        <v>8</v>
      </c>
      <c r="C20" s="21" t="s">
        <v>40</v>
      </c>
      <c r="D20" s="49">
        <v>87</v>
      </c>
      <c r="E20" s="176">
        <f>'Exh JDT-5 (JDT-INTRPL-RD)'!D116</f>
        <v>21819455.762355208</v>
      </c>
      <c r="F20" s="188">
        <f>'Exh JDT-5 (JDT-INTRPL-RD)'!I118</f>
        <v>1509849.77</v>
      </c>
      <c r="G20" s="46">
        <f>F20/E20</f>
        <v>6.9197407416775353E-2</v>
      </c>
      <c r="H20" s="190">
        <v>3.7699999999999999E-3</v>
      </c>
      <c r="I20" s="189">
        <f>'Exh JDT-5 (JDT-MYRP)'!J173/'Exh JDT-5 (JDT-MYRP)'!E191</f>
        <v>7.970934206126785E-4</v>
      </c>
      <c r="J20" s="189">
        <f>'Exh JDT-5 (JDT-MYRP)'!H173/'Exh JDT-5 (JDT-MYRP)'!E173</f>
        <v>-1.4267451744747877E-4</v>
      </c>
      <c r="K20" s="189">
        <f>'Exh JDT-5 (JDT-MYRP)'!I173/'Exh JDT-5 (JDT-MYRP)'!E173</f>
        <v>4.0932900241988229E-3</v>
      </c>
      <c r="L20" s="190">
        <v>-1.3999999999999999E-4</v>
      </c>
      <c r="M20" s="46">
        <f>SUM(G20:L20)</f>
        <v>7.7575116344139369E-2</v>
      </c>
      <c r="N20" s="462">
        <v>21540918.541179165</v>
      </c>
      <c r="O20" s="184">
        <f>M20*N20</f>
        <v>1671039.2619916026</v>
      </c>
      <c r="P20" s="12"/>
      <c r="S20" s="185"/>
    </row>
    <row r="21" spans="1:26" x14ac:dyDescent="0.2">
      <c r="B21" s="155">
        <f t="shared" si="0"/>
        <v>9</v>
      </c>
      <c r="C21" s="21" t="s">
        <v>1</v>
      </c>
      <c r="D21" s="49"/>
      <c r="E21" s="20">
        <f t="shared" ref="E21" si="1">SUM(E19:E20)</f>
        <v>41812395.265095428</v>
      </c>
      <c r="F21" s="16">
        <f t="shared" ref="F21" si="2">SUM(F19:F20)</f>
        <v>3782162.83</v>
      </c>
      <c r="G21" s="46"/>
      <c r="H21" s="190"/>
      <c r="I21" s="190"/>
      <c r="J21" s="190"/>
      <c r="K21" s="190"/>
      <c r="L21" s="190"/>
      <c r="M21" s="46"/>
      <c r="N21" s="20">
        <f>SUM(N19:N20)</f>
        <v>42412911.488138966</v>
      </c>
      <c r="O21" s="16">
        <f>SUM(O19:O20)</f>
        <v>4443586.6483393209</v>
      </c>
      <c r="P21" s="12"/>
      <c r="S21" s="185"/>
    </row>
    <row r="22" spans="1:26" x14ac:dyDescent="0.2">
      <c r="B22" s="155"/>
      <c r="C22" s="21"/>
      <c r="D22" s="49"/>
      <c r="E22" s="44"/>
      <c r="F22" s="12"/>
      <c r="G22" s="46"/>
      <c r="H22" s="190"/>
      <c r="I22" s="190"/>
      <c r="J22" s="190"/>
      <c r="K22" s="190"/>
      <c r="L22" s="190"/>
      <c r="M22" s="46"/>
      <c r="N22" s="44"/>
      <c r="O22" s="12"/>
      <c r="P22" s="12"/>
    </row>
    <row r="23" spans="1:26" x14ac:dyDescent="0.2">
      <c r="B23" s="155">
        <f>B21+1</f>
        <v>10</v>
      </c>
      <c r="C23" s="149" t="s">
        <v>20</v>
      </c>
      <c r="D23" s="49"/>
      <c r="E23" s="19"/>
      <c r="F23" s="13"/>
      <c r="H23" s="190"/>
      <c r="I23" s="190"/>
      <c r="J23" s="190"/>
      <c r="K23" s="190"/>
      <c r="L23" s="190"/>
      <c r="N23" s="39"/>
      <c r="O23" s="184"/>
      <c r="P23" s="12"/>
    </row>
    <row r="24" spans="1:26" x14ac:dyDescent="0.2">
      <c r="B24" s="155">
        <f t="shared" si="0"/>
        <v>11</v>
      </c>
      <c r="C24" s="187" t="s">
        <v>4</v>
      </c>
      <c r="D24" s="49" t="s">
        <v>3</v>
      </c>
      <c r="E24" s="176">
        <f>'Exh JDT-5 (JDT-INTRPL-RD)'!D36</f>
        <v>68886791.019958794</v>
      </c>
      <c r="F24" s="188">
        <f>'Exh JDT-5 (JDT-INTRPL-RD)'!I38</f>
        <v>7339677.3100000005</v>
      </c>
      <c r="G24" s="46">
        <f t="shared" ref="G24:G25" si="3">F24/E24</f>
        <v>0.1065469475544804</v>
      </c>
      <c r="H24" s="170">
        <f t="shared" ref="H24:K25" si="4">H19</f>
        <v>5.2900000000000004E-3</v>
      </c>
      <c r="I24" s="170"/>
      <c r="J24" s="170">
        <f t="shared" si="4"/>
        <v>-4.4999999999999999E-4</v>
      </c>
      <c r="K24" s="170">
        <f t="shared" si="4"/>
        <v>1.277E-2</v>
      </c>
      <c r="L24" s="170">
        <f t="shared" ref="L24" si="5">L19</f>
        <v>-2.7E-4</v>
      </c>
      <c r="M24" s="46">
        <f>SUM(G24:L24)</f>
        <v>0.12388694755448039</v>
      </c>
      <c r="N24" s="462">
        <v>66866290.701874062</v>
      </c>
      <c r="O24" s="184">
        <f>M24*N24</f>
        <v>8283860.6493457118</v>
      </c>
      <c r="P24" s="12"/>
      <c r="S24" s="185"/>
    </row>
    <row r="25" spans="1:26" x14ac:dyDescent="0.2">
      <c r="B25" s="155">
        <f t="shared" si="0"/>
        <v>12</v>
      </c>
      <c r="C25" s="21" t="s">
        <v>40</v>
      </c>
      <c r="D25" s="49" t="s">
        <v>2</v>
      </c>
      <c r="E25" s="176">
        <f>'Exh JDT-5 (JDT-INTRPL-RD)'!D134</f>
        <v>97500425.645479575</v>
      </c>
      <c r="F25" s="188">
        <f>'Exh JDT-5 (JDT-INTRPL-RD)'!I136</f>
        <v>4790056.76</v>
      </c>
      <c r="G25" s="46">
        <f t="shared" si="3"/>
        <v>4.9128572806616068E-2</v>
      </c>
      <c r="H25" s="170">
        <f t="shared" si="4"/>
        <v>3.7699999999999999E-3</v>
      </c>
      <c r="I25" s="170"/>
      <c r="J25" s="170">
        <f t="shared" si="4"/>
        <v>-1.4267451744747877E-4</v>
      </c>
      <c r="K25" s="170">
        <f t="shared" si="4"/>
        <v>4.0932900241988229E-3</v>
      </c>
      <c r="L25" s="170">
        <f t="shared" ref="L25" si="6">L20</f>
        <v>-1.3999999999999999E-4</v>
      </c>
      <c r="M25" s="46">
        <f>SUM(G25:L25)</f>
        <v>5.6709188313367416E-2</v>
      </c>
      <c r="N25" s="462">
        <v>95244503.454377905</v>
      </c>
      <c r="O25" s="191">
        <f>M25*N25</f>
        <v>5401238.4822074901</v>
      </c>
      <c r="P25" s="12"/>
      <c r="S25" s="185"/>
    </row>
    <row r="26" spans="1:26" x14ac:dyDescent="0.2">
      <c r="B26" s="155">
        <f t="shared" si="0"/>
        <v>13</v>
      </c>
      <c r="C26" s="149" t="s">
        <v>39</v>
      </c>
      <c r="D26" s="49"/>
      <c r="E26" s="18">
        <f t="shared" ref="E26" si="7">SUM(E24:E25)</f>
        <v>166387216.66543835</v>
      </c>
      <c r="F26" s="17">
        <f t="shared" ref="F26" si="8">SUM(F24:F25)</f>
        <v>12129734.07</v>
      </c>
      <c r="G26" s="46"/>
      <c r="H26" s="154"/>
      <c r="I26" s="154"/>
      <c r="J26" s="154"/>
      <c r="M26" s="46"/>
      <c r="N26" s="18">
        <f>SUM(N24:N25)</f>
        <v>162110794.15625197</v>
      </c>
      <c r="O26" s="192">
        <f>SUM(O24:O25)</f>
        <v>13685099.131553203</v>
      </c>
      <c r="P26" s="193"/>
      <c r="S26" s="185"/>
    </row>
    <row r="27" spans="1:26" x14ac:dyDescent="0.2">
      <c r="B27" s="155">
        <f t="shared" si="0"/>
        <v>14</v>
      </c>
      <c r="C27" s="149" t="s">
        <v>0</v>
      </c>
      <c r="D27" s="149"/>
      <c r="E27" s="20">
        <f t="shared" ref="E27" si="9">E9+E12+E14+E16+E21+E26</f>
        <v>1140744318.2554548</v>
      </c>
      <c r="F27" s="16">
        <f t="shared" ref="F27" si="10">F9+F12+F14+F16+F21+F26</f>
        <v>565492164.10807931</v>
      </c>
      <c r="G27" s="46"/>
      <c r="H27" s="68"/>
      <c r="I27" s="68"/>
      <c r="J27" s="68"/>
      <c r="M27" s="46"/>
      <c r="N27" s="20">
        <f>N9+N12+N14+N16+N21+N26</f>
        <v>1147879480.5355637</v>
      </c>
      <c r="O27" s="16">
        <f>O9+O12+O14+O16+O21+O26</f>
        <v>633355013.20986271</v>
      </c>
      <c r="P27" s="12"/>
      <c r="S27" s="185"/>
    </row>
    <row r="28" spans="1:26" x14ac:dyDescent="0.2">
      <c r="C28" s="14"/>
      <c r="D28" s="14"/>
      <c r="E28" s="44"/>
      <c r="F28" s="152"/>
      <c r="G28" s="152"/>
      <c r="H28" s="69"/>
      <c r="I28" s="69"/>
      <c r="J28" s="69"/>
      <c r="P28" s="50"/>
    </row>
    <row r="29" spans="1:26" x14ac:dyDescent="0.2">
      <c r="C29" s="14"/>
      <c r="D29" s="14"/>
      <c r="E29" s="44"/>
      <c r="F29" s="152"/>
      <c r="G29" s="152"/>
      <c r="H29" s="69"/>
      <c r="I29" s="69"/>
      <c r="J29" s="69"/>
      <c r="K29" s="152"/>
      <c r="L29" s="152"/>
      <c r="P29" s="50"/>
    </row>
    <row r="30" spans="1:26" ht="14.25" x14ac:dyDescent="0.2">
      <c r="B30" s="173" t="s">
        <v>30</v>
      </c>
      <c r="C30" s="15" t="s">
        <v>224</v>
      </c>
      <c r="D30" s="15"/>
      <c r="E30" s="15"/>
      <c r="F30" s="15"/>
      <c r="G30" s="15"/>
      <c r="H30" s="153"/>
      <c r="I30" s="153"/>
      <c r="J30" s="153"/>
      <c r="K30" s="15"/>
      <c r="L30" s="15"/>
      <c r="M30" s="15"/>
      <c r="N30" s="15"/>
      <c r="O30" s="15"/>
      <c r="P30" s="15"/>
      <c r="Q30" s="15"/>
      <c r="U30" s="50"/>
      <c r="V30" s="50"/>
      <c r="W30" s="50"/>
      <c r="X30" s="50"/>
      <c r="Y30" s="50"/>
      <c r="Z30" s="50"/>
    </row>
    <row r="31" spans="1:26" ht="14.25" x14ac:dyDescent="0.2">
      <c r="B31" s="173" t="s">
        <v>29</v>
      </c>
      <c r="C31" s="15" t="s">
        <v>225</v>
      </c>
      <c r="D31" s="180"/>
      <c r="E31" s="180"/>
      <c r="F31" s="180"/>
      <c r="G31" s="180"/>
      <c r="H31" s="67"/>
      <c r="I31" s="67"/>
      <c r="J31" s="67"/>
      <c r="K31" s="180"/>
      <c r="L31" s="180"/>
      <c r="M31" s="180"/>
      <c r="N31" s="180"/>
      <c r="O31" s="180"/>
      <c r="P31" s="180"/>
      <c r="Q31" s="180"/>
      <c r="U31" s="50"/>
      <c r="V31" s="50"/>
      <c r="W31" s="50"/>
      <c r="X31" s="50"/>
      <c r="Y31" s="50"/>
      <c r="Z31" s="50"/>
    </row>
    <row r="32" spans="1:26" s="66" customFormat="1" ht="14.25" x14ac:dyDescent="0.2">
      <c r="A32" s="47"/>
      <c r="B32" s="173" t="s">
        <v>28</v>
      </c>
      <c r="C32" s="47" t="s">
        <v>226</v>
      </c>
      <c r="D32" s="194"/>
      <c r="E32" s="194"/>
      <c r="F32" s="194"/>
      <c r="G32" s="194"/>
      <c r="H32" s="67"/>
      <c r="I32" s="67"/>
      <c r="J32" s="67"/>
      <c r="K32" s="194"/>
      <c r="L32" s="194"/>
      <c r="M32" s="194"/>
      <c r="N32" s="180"/>
      <c r="O32" s="194"/>
      <c r="P32" s="194"/>
      <c r="Q32" s="194"/>
      <c r="U32" s="151"/>
      <c r="V32" s="151"/>
      <c r="W32" s="151"/>
      <c r="X32" s="151"/>
      <c r="Y32" s="151"/>
      <c r="Z32" s="151"/>
    </row>
    <row r="33" spans="1:26" s="66" customFormat="1" ht="14.25" x14ac:dyDescent="0.2">
      <c r="A33" s="47"/>
      <c r="B33" s="173" t="s">
        <v>158</v>
      </c>
      <c r="C33" s="47" t="s">
        <v>235</v>
      </c>
      <c r="D33" s="194"/>
      <c r="E33" s="194"/>
      <c r="F33" s="194"/>
      <c r="G33" s="194"/>
      <c r="H33" s="67"/>
      <c r="I33" s="67"/>
      <c r="J33" s="67"/>
      <c r="K33" s="194"/>
      <c r="L33" s="194"/>
      <c r="M33" s="194"/>
      <c r="N33" s="180"/>
      <c r="O33" s="194"/>
      <c r="P33" s="194"/>
      <c r="Q33" s="194"/>
      <c r="U33" s="151"/>
      <c r="V33" s="151"/>
      <c r="W33" s="151"/>
      <c r="X33" s="151"/>
      <c r="Y33" s="151"/>
      <c r="Z33" s="151"/>
    </row>
    <row r="34" spans="1:26" ht="14.25" x14ac:dyDescent="0.2">
      <c r="B34" s="173" t="s">
        <v>157</v>
      </c>
      <c r="C34" s="47" t="s">
        <v>236</v>
      </c>
      <c r="D34" s="180"/>
      <c r="E34" s="180"/>
      <c r="F34" s="180"/>
      <c r="G34" s="180"/>
      <c r="H34" s="10"/>
      <c r="I34" s="10"/>
      <c r="J34" s="10"/>
      <c r="K34" s="180"/>
      <c r="L34" s="180"/>
      <c r="M34" s="180"/>
      <c r="N34" s="180"/>
      <c r="O34" s="180"/>
      <c r="P34" s="180"/>
      <c r="Q34" s="180"/>
      <c r="U34" s="50"/>
      <c r="V34" s="50"/>
      <c r="W34" s="50"/>
      <c r="X34" s="50"/>
      <c r="Y34" s="50"/>
      <c r="Z34" s="50"/>
    </row>
    <row r="35" spans="1:26" ht="14.25" x14ac:dyDescent="0.2">
      <c r="B35" s="173" t="s">
        <v>159</v>
      </c>
      <c r="C35" s="47" t="s">
        <v>237</v>
      </c>
      <c r="D35" s="180"/>
      <c r="E35" s="180"/>
      <c r="F35" s="180"/>
      <c r="G35" s="180"/>
      <c r="H35" s="67"/>
      <c r="I35" s="67"/>
      <c r="J35" s="67"/>
      <c r="K35" s="180"/>
      <c r="L35" s="180"/>
      <c r="M35" s="180"/>
      <c r="N35" s="180"/>
      <c r="O35" s="180"/>
      <c r="P35" s="180"/>
      <c r="Q35" s="180"/>
      <c r="U35" s="50"/>
      <c r="V35" s="50"/>
      <c r="W35" s="50"/>
      <c r="X35" s="50"/>
      <c r="Y35" s="50"/>
      <c r="Z35" s="50"/>
    </row>
    <row r="36" spans="1:26" ht="14.25" x14ac:dyDescent="0.2">
      <c r="B36" s="173" t="s">
        <v>160</v>
      </c>
      <c r="C36" s="47" t="s">
        <v>166</v>
      </c>
      <c r="D36" s="155"/>
      <c r="E36" s="49"/>
      <c r="F36" s="49"/>
      <c r="G36" s="49"/>
      <c r="H36" s="150"/>
      <c r="I36" s="150"/>
      <c r="J36" s="150"/>
      <c r="K36" s="49"/>
      <c r="L36" s="49"/>
      <c r="M36" s="49"/>
      <c r="N36" s="14"/>
      <c r="O36" s="14"/>
      <c r="P36" s="14"/>
      <c r="Q36" s="14"/>
      <c r="U36" s="50"/>
      <c r="V36" s="50"/>
      <c r="W36" s="50"/>
      <c r="X36" s="50"/>
      <c r="Y36" s="50"/>
      <c r="Z36" s="50"/>
    </row>
    <row r="37" spans="1:26" ht="14.25" x14ac:dyDescent="0.2">
      <c r="B37" s="173" t="s">
        <v>162</v>
      </c>
      <c r="C37" s="47" t="s">
        <v>239</v>
      </c>
      <c r="D37" s="14"/>
      <c r="E37" s="14"/>
      <c r="F37" s="14"/>
      <c r="G37" s="14"/>
      <c r="H37" s="67"/>
      <c r="I37" s="67"/>
      <c r="J37" s="67"/>
      <c r="K37" s="14"/>
      <c r="L37" s="14"/>
      <c r="M37" s="14"/>
      <c r="N37" s="14"/>
      <c r="O37" s="14"/>
      <c r="P37" s="14"/>
      <c r="Q37" s="14"/>
      <c r="U37" s="50"/>
      <c r="V37" s="50"/>
      <c r="W37" s="50"/>
      <c r="X37" s="50"/>
      <c r="Y37" s="50"/>
      <c r="Z37" s="50"/>
    </row>
    <row r="38" spans="1:26" ht="14.25" x14ac:dyDescent="0.2">
      <c r="B38" s="173" t="s">
        <v>238</v>
      </c>
      <c r="C38" s="47" t="s">
        <v>176</v>
      </c>
      <c r="D38" s="14"/>
      <c r="E38" s="14"/>
      <c r="F38" s="14"/>
      <c r="G38" s="14"/>
      <c r="H38" s="67"/>
      <c r="I38" s="67"/>
      <c r="J38" s="67"/>
      <c r="K38" s="14"/>
      <c r="L38" s="14"/>
      <c r="M38" s="14"/>
      <c r="N38" s="14"/>
      <c r="O38" s="14"/>
      <c r="P38" s="14"/>
      <c r="Q38" s="14"/>
      <c r="U38" s="50"/>
      <c r="V38" s="50"/>
      <c r="W38" s="50"/>
      <c r="X38" s="50"/>
      <c r="Y38" s="50"/>
      <c r="Z38" s="50"/>
    </row>
    <row r="39" spans="1:26" x14ac:dyDescent="0.2">
      <c r="C39" s="14"/>
      <c r="D39" s="14"/>
      <c r="E39" s="14"/>
      <c r="F39" s="14"/>
      <c r="G39" s="14"/>
      <c r="H39" s="67"/>
      <c r="I39" s="67"/>
      <c r="J39" s="67"/>
      <c r="K39" s="14"/>
      <c r="L39" s="14"/>
      <c r="M39" s="14"/>
      <c r="N39" s="14"/>
      <c r="O39" s="14"/>
      <c r="P39" s="14"/>
      <c r="Q39" s="14"/>
      <c r="U39" s="50"/>
      <c r="V39" s="50"/>
      <c r="W39" s="50"/>
      <c r="X39" s="50"/>
      <c r="Y39" s="50"/>
      <c r="Z39" s="50"/>
    </row>
    <row r="40" spans="1:26" x14ac:dyDescent="0.2">
      <c r="C40" s="14"/>
      <c r="D40" s="14"/>
      <c r="E40" s="14"/>
      <c r="F40" s="14"/>
      <c r="G40" s="14"/>
      <c r="H40" s="67"/>
      <c r="I40" s="67"/>
      <c r="J40" s="67"/>
      <c r="K40" s="14"/>
      <c r="L40" s="14"/>
      <c r="M40" s="14"/>
      <c r="N40" s="14"/>
      <c r="O40" s="14"/>
      <c r="P40" s="14"/>
      <c r="Q40" s="14"/>
      <c r="U40" s="50"/>
      <c r="V40" s="50"/>
      <c r="W40" s="50"/>
      <c r="X40" s="50"/>
      <c r="Y40" s="50"/>
      <c r="Z40" s="50"/>
    </row>
    <row r="41" spans="1:26" x14ac:dyDescent="0.2">
      <c r="E41" s="10"/>
      <c r="F41" s="10"/>
      <c r="G41" s="10"/>
      <c r="H41" s="67"/>
      <c r="I41" s="67"/>
      <c r="J41" s="67"/>
      <c r="K41" s="10"/>
      <c r="L41" s="10"/>
      <c r="M41" s="10"/>
      <c r="N41" s="10"/>
      <c r="O41" s="10"/>
      <c r="P41" s="10"/>
      <c r="Q41" s="10"/>
      <c r="R41" s="50"/>
      <c r="S41" s="50"/>
      <c r="T41" s="50"/>
      <c r="U41" s="10"/>
      <c r="V41" s="50"/>
      <c r="W41" s="50"/>
      <c r="X41" s="50"/>
      <c r="Y41" s="50"/>
      <c r="Z41" s="50"/>
    </row>
    <row r="42" spans="1:26" x14ac:dyDescent="0.2">
      <c r="E42" s="10"/>
      <c r="F42" s="10"/>
      <c r="G42" s="10"/>
      <c r="H42" s="67"/>
      <c r="I42" s="67"/>
      <c r="J42" s="67"/>
      <c r="K42" s="10"/>
      <c r="L42" s="10"/>
      <c r="M42" s="10"/>
      <c r="N42" s="10"/>
      <c r="O42" s="10"/>
      <c r="P42" s="10"/>
      <c r="Q42" s="10"/>
      <c r="R42" s="50"/>
      <c r="S42" s="50"/>
      <c r="T42" s="10"/>
      <c r="U42" s="10"/>
      <c r="V42" s="50"/>
      <c r="W42" s="50"/>
      <c r="X42" s="50"/>
      <c r="Y42" s="50"/>
      <c r="Z42" s="50"/>
    </row>
    <row r="43" spans="1:26" x14ac:dyDescent="0.2">
      <c r="E43" s="10"/>
      <c r="F43" s="10"/>
      <c r="G43" s="10"/>
      <c r="H43" s="67"/>
      <c r="I43" s="67"/>
      <c r="J43" s="67"/>
      <c r="K43" s="10"/>
      <c r="L43" s="10"/>
      <c r="M43" s="10"/>
      <c r="N43" s="10"/>
      <c r="O43" s="10"/>
      <c r="P43" s="10"/>
      <c r="Q43" s="10"/>
      <c r="R43" s="50"/>
      <c r="S43" s="50"/>
      <c r="T43" s="44"/>
      <c r="U43" s="10"/>
      <c r="V43" s="50"/>
      <c r="W43" s="50"/>
      <c r="X43" s="50"/>
      <c r="Y43" s="50"/>
      <c r="Z43" s="50"/>
    </row>
    <row r="44" spans="1:26" x14ac:dyDescent="0.2">
      <c r="E44" s="10"/>
      <c r="F44" s="10"/>
      <c r="G44" s="10"/>
      <c r="H44" s="67"/>
      <c r="I44" s="67"/>
      <c r="J44" s="67"/>
      <c r="K44" s="10"/>
      <c r="L44" s="10"/>
      <c r="M44" s="10"/>
      <c r="N44" s="10"/>
      <c r="O44" s="10"/>
      <c r="P44" s="10"/>
      <c r="Q44" s="10"/>
      <c r="R44" s="50"/>
      <c r="S44" s="50"/>
      <c r="T44" s="10"/>
      <c r="U44" s="10"/>
      <c r="V44" s="50"/>
      <c r="W44" s="50"/>
      <c r="X44" s="50"/>
      <c r="Y44" s="50"/>
      <c r="Z44" s="50"/>
    </row>
    <row r="45" spans="1:26" x14ac:dyDescent="0.2">
      <c r="E45" s="10"/>
      <c r="F45" s="10"/>
      <c r="G45" s="10"/>
      <c r="H45" s="67"/>
      <c r="I45" s="67"/>
      <c r="J45" s="67"/>
      <c r="K45" s="10"/>
      <c r="L45" s="10"/>
      <c r="M45" s="10"/>
      <c r="N45" s="10"/>
      <c r="O45" s="10"/>
      <c r="P45" s="10"/>
      <c r="Q45" s="10"/>
      <c r="R45" s="50"/>
      <c r="S45" s="50"/>
      <c r="T45" s="10"/>
      <c r="U45" s="10"/>
      <c r="V45" s="50"/>
      <c r="W45" s="50"/>
      <c r="X45" s="50"/>
      <c r="Y45" s="50"/>
      <c r="Z45" s="50"/>
    </row>
    <row r="46" spans="1:26" x14ac:dyDescent="0.2">
      <c r="E46" s="10"/>
      <c r="F46" s="10"/>
      <c r="G46" s="10"/>
      <c r="H46" s="67"/>
      <c r="I46" s="67"/>
      <c r="J46" s="67"/>
      <c r="K46" s="10"/>
      <c r="L46" s="10"/>
      <c r="M46" s="10"/>
      <c r="N46" s="10"/>
      <c r="O46" s="10"/>
      <c r="P46" s="10"/>
      <c r="Q46" s="10"/>
      <c r="R46" s="50"/>
      <c r="S46" s="50"/>
      <c r="T46" s="44"/>
      <c r="U46" s="10"/>
      <c r="V46" s="50"/>
      <c r="W46" s="50"/>
      <c r="X46" s="50"/>
      <c r="Y46" s="50"/>
      <c r="Z46" s="50"/>
    </row>
    <row r="47" spans="1:26" x14ac:dyDescent="0.2">
      <c r="E47" s="10"/>
      <c r="F47" s="10"/>
      <c r="G47" s="10"/>
      <c r="H47" s="67"/>
      <c r="I47" s="67"/>
      <c r="J47" s="67"/>
      <c r="K47" s="10"/>
      <c r="L47" s="10"/>
      <c r="M47" s="10"/>
      <c r="N47" s="10"/>
      <c r="O47" s="10"/>
      <c r="P47" s="10"/>
      <c r="Q47" s="10"/>
      <c r="R47" s="50"/>
      <c r="S47" s="50"/>
      <c r="T47" s="50"/>
      <c r="U47" s="10"/>
    </row>
    <row r="48" spans="1:26" x14ac:dyDescent="0.2">
      <c r="E48" s="10"/>
      <c r="F48" s="10"/>
      <c r="G48" s="10"/>
      <c r="H48" s="67"/>
      <c r="I48" s="67"/>
      <c r="J48" s="67"/>
      <c r="K48" s="10"/>
      <c r="L48" s="10"/>
      <c r="M48" s="10"/>
      <c r="N48" s="10"/>
      <c r="O48" s="10"/>
      <c r="P48" s="10"/>
      <c r="Q48" s="10"/>
      <c r="R48" s="50"/>
      <c r="S48" s="50"/>
      <c r="T48" s="50"/>
      <c r="U48" s="10"/>
    </row>
    <row r="49" spans="5:21" x14ac:dyDescent="0.2">
      <c r="E49" s="10"/>
      <c r="F49" s="10"/>
      <c r="G49" s="10"/>
      <c r="H49" s="67"/>
      <c r="I49" s="67"/>
      <c r="J49" s="67"/>
      <c r="K49" s="10"/>
      <c r="L49" s="10"/>
      <c r="M49" s="10"/>
      <c r="N49" s="10"/>
      <c r="O49" s="10"/>
      <c r="P49" s="10"/>
      <c r="Q49" s="10"/>
      <c r="R49" s="50"/>
      <c r="S49" s="50"/>
      <c r="T49" s="50"/>
      <c r="U49" s="10"/>
    </row>
    <row r="50" spans="5:21" x14ac:dyDescent="0.2">
      <c r="E50" s="10"/>
      <c r="F50" s="10"/>
      <c r="G50" s="10"/>
      <c r="H50" s="67"/>
      <c r="I50" s="67"/>
      <c r="J50" s="67"/>
      <c r="K50" s="10"/>
      <c r="L50" s="10"/>
      <c r="M50" s="10"/>
      <c r="N50" s="10"/>
      <c r="O50" s="10"/>
      <c r="P50" s="10"/>
      <c r="Q50" s="10"/>
      <c r="R50" s="50"/>
      <c r="S50" s="50"/>
      <c r="T50" s="50"/>
      <c r="U50" s="10"/>
    </row>
    <row r="51" spans="5:21" x14ac:dyDescent="0.2">
      <c r="E51" s="10"/>
      <c r="F51" s="10"/>
      <c r="G51" s="10"/>
      <c r="H51" s="67"/>
      <c r="I51" s="67"/>
      <c r="J51" s="67"/>
      <c r="K51" s="10"/>
      <c r="L51" s="10"/>
      <c r="M51" s="10"/>
      <c r="N51" s="10"/>
      <c r="O51" s="10"/>
      <c r="P51" s="10"/>
      <c r="Q51" s="10"/>
      <c r="R51" s="50"/>
      <c r="S51" s="50"/>
      <c r="T51" s="50"/>
      <c r="U51" s="10"/>
    </row>
    <row r="52" spans="5:21" x14ac:dyDescent="0.2">
      <c r="E52" s="10"/>
      <c r="F52" s="10"/>
      <c r="G52" s="10"/>
      <c r="H52" s="67"/>
      <c r="I52" s="67"/>
      <c r="J52" s="67"/>
      <c r="K52" s="10"/>
      <c r="L52" s="10"/>
      <c r="M52" s="10"/>
      <c r="N52" s="10"/>
      <c r="O52" s="10"/>
      <c r="P52" s="10"/>
      <c r="Q52" s="10"/>
      <c r="R52" s="50"/>
      <c r="S52" s="50"/>
      <c r="T52" s="50"/>
      <c r="U52" s="10"/>
    </row>
    <row r="53" spans="5:21" x14ac:dyDescent="0.2">
      <c r="E53" s="10"/>
      <c r="F53" s="10"/>
      <c r="G53" s="10"/>
      <c r="H53" s="67"/>
      <c r="I53" s="67"/>
      <c r="J53" s="67"/>
      <c r="K53" s="10"/>
      <c r="L53" s="10"/>
      <c r="M53" s="10"/>
      <c r="N53" s="10"/>
      <c r="O53" s="10"/>
      <c r="P53" s="10"/>
      <c r="Q53" s="10"/>
      <c r="R53" s="50"/>
      <c r="S53" s="50"/>
      <c r="T53" s="50"/>
      <c r="U53" s="10"/>
    </row>
    <row r="54" spans="5:21" x14ac:dyDescent="0.2">
      <c r="E54" s="50"/>
      <c r="F54" s="13"/>
      <c r="G54" s="13"/>
      <c r="H54" s="70"/>
      <c r="I54" s="70"/>
      <c r="J54" s="70"/>
      <c r="K54" s="13"/>
      <c r="L54" s="13"/>
      <c r="M54" s="50"/>
      <c r="N54" s="50"/>
      <c r="O54" s="50"/>
      <c r="P54" s="50"/>
      <c r="Q54" s="50"/>
      <c r="R54" s="50"/>
      <c r="S54" s="50"/>
      <c r="T54" s="50"/>
      <c r="U54" s="10"/>
    </row>
    <row r="55" spans="5:21" x14ac:dyDescent="0.2">
      <c r="E55" s="50"/>
      <c r="F55" s="12"/>
      <c r="G55" s="12"/>
      <c r="H55" s="71"/>
      <c r="I55" s="71"/>
      <c r="J55" s="71"/>
      <c r="K55" s="12"/>
      <c r="L55" s="12"/>
      <c r="M55" s="50"/>
      <c r="N55" s="50"/>
      <c r="O55" s="50"/>
      <c r="P55" s="50"/>
      <c r="Q55" s="50"/>
      <c r="R55" s="50"/>
      <c r="S55" s="50"/>
      <c r="T55" s="50"/>
      <c r="U55" s="10"/>
    </row>
    <row r="56" spans="5:21" x14ac:dyDescent="0.2">
      <c r="E56" s="50"/>
      <c r="F56" s="50"/>
      <c r="G56" s="50"/>
      <c r="H56" s="151"/>
      <c r="I56" s="151"/>
      <c r="J56" s="151"/>
      <c r="K56" s="50"/>
      <c r="L56" s="50"/>
      <c r="M56" s="50"/>
      <c r="N56" s="50"/>
      <c r="O56" s="50"/>
      <c r="P56" s="10"/>
      <c r="Q56" s="10"/>
      <c r="R56" s="50"/>
      <c r="S56" s="50"/>
      <c r="T56" s="50"/>
      <c r="U56" s="10"/>
    </row>
    <row r="57" spans="5:21" x14ac:dyDescent="0.2">
      <c r="E57" s="50"/>
      <c r="F57" s="11"/>
      <c r="G57" s="11"/>
      <c r="H57" s="151"/>
      <c r="I57" s="151"/>
      <c r="J57" s="151"/>
      <c r="K57" s="11"/>
      <c r="L57" s="11"/>
      <c r="M57" s="50"/>
      <c r="N57" s="11"/>
      <c r="O57" s="50"/>
      <c r="P57" s="10"/>
      <c r="Q57" s="11"/>
      <c r="R57" s="50"/>
      <c r="S57" s="50"/>
      <c r="T57" s="50"/>
      <c r="U57" s="50"/>
    </row>
    <row r="58" spans="5:21" x14ac:dyDescent="0.2">
      <c r="E58" s="50"/>
      <c r="F58" s="11"/>
      <c r="G58" s="11"/>
      <c r="H58" s="151"/>
      <c r="I58" s="151"/>
      <c r="J58" s="151"/>
      <c r="K58" s="11"/>
      <c r="L58" s="11"/>
      <c r="M58" s="10"/>
      <c r="N58" s="11"/>
      <c r="O58" s="10"/>
      <c r="P58" s="10"/>
      <c r="Q58" s="11"/>
      <c r="R58" s="50"/>
      <c r="S58" s="50"/>
      <c r="T58" s="50"/>
      <c r="U58" s="50"/>
    </row>
    <row r="59" spans="5:21" x14ac:dyDescent="0.2">
      <c r="E59" s="50"/>
      <c r="F59" s="11"/>
      <c r="G59" s="11"/>
      <c r="H59" s="151"/>
      <c r="I59" s="151"/>
      <c r="J59" s="151"/>
      <c r="K59" s="11"/>
      <c r="L59" s="11"/>
      <c r="M59" s="10"/>
      <c r="N59" s="11"/>
      <c r="O59" s="10"/>
      <c r="P59" s="10"/>
      <c r="Q59" s="10"/>
      <c r="R59" s="50"/>
      <c r="S59" s="50"/>
      <c r="T59" s="50"/>
      <c r="U59" s="50"/>
    </row>
    <row r="60" spans="5:21" x14ac:dyDescent="0.2">
      <c r="E60" s="12"/>
      <c r="F60" s="50"/>
      <c r="G60" s="50"/>
      <c r="H60" s="151"/>
      <c r="I60" s="151"/>
      <c r="J60" s="151"/>
      <c r="K60" s="50"/>
      <c r="L60" s="50"/>
      <c r="M60" s="10"/>
      <c r="N60" s="11"/>
      <c r="O60" s="10"/>
      <c r="P60" s="10"/>
      <c r="Q60" s="10"/>
      <c r="R60" s="50"/>
      <c r="S60" s="50"/>
      <c r="T60" s="50"/>
      <c r="U60" s="50"/>
    </row>
    <row r="61" spans="5:21" x14ac:dyDescent="0.2">
      <c r="E61" s="50"/>
      <c r="F61" s="50"/>
      <c r="G61" s="50"/>
      <c r="H61" s="151"/>
      <c r="I61" s="151"/>
      <c r="J61" s="151"/>
      <c r="K61" s="50"/>
      <c r="L61" s="50"/>
      <c r="M61" s="10"/>
      <c r="N61" s="11"/>
      <c r="O61" s="10"/>
      <c r="P61" s="10"/>
      <c r="Q61" s="10"/>
      <c r="R61" s="50"/>
      <c r="S61" s="50"/>
      <c r="T61" s="50"/>
      <c r="U61" s="50"/>
    </row>
    <row r="62" spans="5:21" x14ac:dyDescent="0.2">
      <c r="E62" s="50"/>
      <c r="F62" s="50"/>
      <c r="G62" s="50"/>
      <c r="H62" s="151"/>
      <c r="I62" s="151"/>
      <c r="J62" s="151"/>
      <c r="K62" s="50"/>
      <c r="L62" s="50"/>
      <c r="M62" s="50"/>
      <c r="N62" s="11"/>
      <c r="O62" s="10"/>
      <c r="P62" s="10"/>
      <c r="Q62" s="10"/>
      <c r="R62" s="50"/>
      <c r="S62" s="50"/>
      <c r="T62" s="50"/>
      <c r="U62" s="50"/>
    </row>
    <row r="63" spans="5:21" x14ac:dyDescent="0.2">
      <c r="E63" s="50"/>
      <c r="F63" s="50"/>
      <c r="G63" s="50"/>
      <c r="H63" s="151"/>
      <c r="I63" s="151"/>
      <c r="J63" s="151"/>
      <c r="K63" s="50"/>
      <c r="L63" s="50"/>
      <c r="M63" s="50"/>
      <c r="N63" s="50"/>
      <c r="O63" s="10"/>
      <c r="P63" s="10"/>
      <c r="Q63" s="10"/>
      <c r="R63" s="50"/>
      <c r="S63" s="50"/>
      <c r="T63" s="50"/>
      <c r="U63" s="50"/>
    </row>
    <row r="64" spans="5:21" x14ac:dyDescent="0.2">
      <c r="E64" s="50"/>
      <c r="F64" s="50"/>
      <c r="G64" s="50"/>
      <c r="H64" s="151"/>
      <c r="I64" s="151"/>
      <c r="J64" s="151"/>
      <c r="K64" s="50"/>
      <c r="L64" s="50"/>
      <c r="M64" s="10"/>
      <c r="N64" s="10"/>
      <c r="O64" s="10"/>
      <c r="P64" s="10"/>
      <c r="Q64" s="10"/>
      <c r="R64" s="50"/>
      <c r="S64" s="50"/>
      <c r="T64" s="11"/>
      <c r="U64" s="50"/>
    </row>
    <row r="65" spans="5:21" x14ac:dyDescent="0.2">
      <c r="E65" s="50"/>
      <c r="F65" s="11"/>
      <c r="G65" s="11"/>
      <c r="H65" s="72"/>
      <c r="I65" s="72"/>
      <c r="J65" s="72"/>
      <c r="K65" s="11"/>
      <c r="L65" s="11"/>
      <c r="M65" s="11"/>
      <c r="N65" s="11"/>
      <c r="O65" s="11"/>
      <c r="P65" s="11"/>
      <c r="Q65" s="11"/>
      <c r="R65" s="11"/>
      <c r="S65" s="11"/>
      <c r="T65" s="195"/>
      <c r="U65" s="50"/>
    </row>
    <row r="66" spans="5:21" x14ac:dyDescent="0.2">
      <c r="E66" s="50"/>
      <c r="F66" s="11"/>
      <c r="G66" s="11"/>
      <c r="H66" s="72"/>
      <c r="I66" s="72"/>
      <c r="J66" s="72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50"/>
    </row>
    <row r="67" spans="5:21" x14ac:dyDescent="0.2">
      <c r="E67" s="50"/>
      <c r="F67" s="11"/>
      <c r="G67" s="11"/>
      <c r="H67" s="72"/>
      <c r="I67" s="72"/>
      <c r="J67" s="72"/>
      <c r="K67" s="11"/>
      <c r="L67" s="11"/>
      <c r="M67" s="11"/>
      <c r="N67" s="10"/>
      <c r="O67" s="11"/>
      <c r="P67" s="11"/>
      <c r="Q67" s="11"/>
      <c r="R67" s="11"/>
      <c r="S67" s="11"/>
      <c r="T67" s="11"/>
      <c r="U67" s="50"/>
    </row>
    <row r="68" spans="5:21" x14ac:dyDescent="0.2">
      <c r="E68" s="50"/>
      <c r="F68" s="11"/>
      <c r="G68" s="11"/>
      <c r="H68" s="73"/>
      <c r="I68" s="73"/>
      <c r="J68" s="73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50"/>
    </row>
    <row r="69" spans="5:21" x14ac:dyDescent="0.2">
      <c r="E69" s="50"/>
      <c r="F69" s="11"/>
      <c r="G69" s="11"/>
      <c r="H69" s="73"/>
      <c r="I69" s="73"/>
      <c r="J69" s="73"/>
      <c r="K69" s="11"/>
      <c r="L69" s="11"/>
      <c r="M69" s="11"/>
      <c r="N69" s="11"/>
      <c r="O69" s="11"/>
      <c r="P69" s="11"/>
      <c r="Q69" s="11"/>
      <c r="R69" s="11"/>
      <c r="S69" s="11"/>
      <c r="T69" s="50"/>
      <c r="U69" s="50"/>
    </row>
    <row r="70" spans="5:21" x14ac:dyDescent="0.2">
      <c r="E70" s="50"/>
      <c r="F70" s="50"/>
      <c r="G70" s="50"/>
      <c r="H70" s="150"/>
      <c r="I70" s="150"/>
      <c r="J70" s="150"/>
      <c r="K70" s="50"/>
      <c r="L70" s="50"/>
      <c r="M70" s="10"/>
      <c r="N70" s="10"/>
      <c r="O70" s="10"/>
      <c r="P70" s="10"/>
      <c r="Q70" s="10"/>
      <c r="R70" s="50"/>
      <c r="S70" s="50"/>
      <c r="T70" s="50"/>
      <c r="U70" s="50"/>
    </row>
    <row r="71" spans="5:21" x14ac:dyDescent="0.2">
      <c r="E71" s="50"/>
      <c r="F71" s="50"/>
      <c r="G71" s="50"/>
      <c r="H71" s="150"/>
      <c r="I71" s="150"/>
      <c r="J71" s="150"/>
      <c r="K71" s="50"/>
      <c r="L71" s="50"/>
      <c r="M71" s="10"/>
      <c r="N71" s="10"/>
      <c r="O71" s="10"/>
      <c r="P71" s="10"/>
      <c r="Q71" s="10"/>
      <c r="R71" s="10"/>
      <c r="S71" s="50"/>
      <c r="T71" s="50"/>
      <c r="U71" s="50"/>
    </row>
    <row r="72" spans="5:21" x14ac:dyDescent="0.2">
      <c r="M72" s="9"/>
      <c r="N72" s="9"/>
      <c r="O72" s="9"/>
      <c r="P72" s="9"/>
      <c r="Q72" s="9"/>
      <c r="R72" s="9"/>
    </row>
    <row r="73" spans="5:21" x14ac:dyDescent="0.2">
      <c r="M73" s="9"/>
      <c r="N73" s="9"/>
      <c r="O73" s="9"/>
      <c r="P73" s="9"/>
      <c r="Q73" s="9"/>
      <c r="R73" s="9"/>
    </row>
    <row r="74" spans="5:21" x14ac:dyDescent="0.2">
      <c r="M74" s="9"/>
      <c r="N74" s="9"/>
      <c r="O74" s="9"/>
      <c r="P74" s="9"/>
      <c r="Q74" s="9"/>
      <c r="R74" s="9"/>
    </row>
    <row r="75" spans="5:21" x14ac:dyDescent="0.2">
      <c r="F75" s="9"/>
      <c r="G75" s="9"/>
      <c r="K75" s="9"/>
      <c r="L75" s="9"/>
      <c r="M75" s="9"/>
      <c r="N75" s="9"/>
      <c r="O75" s="9"/>
      <c r="P75" s="9"/>
      <c r="Q75" s="9"/>
      <c r="R75" s="9"/>
    </row>
    <row r="76" spans="5:21" x14ac:dyDescent="0.2">
      <c r="F76" s="52"/>
      <c r="G76" s="52"/>
      <c r="K76" s="52"/>
      <c r="L76" s="52"/>
      <c r="M76" s="9"/>
      <c r="N76" s="9"/>
      <c r="O76" s="9"/>
      <c r="P76" s="9"/>
      <c r="Q76" s="9"/>
      <c r="R76" s="9"/>
    </row>
    <row r="77" spans="5:21" x14ac:dyDescent="0.2">
      <c r="F77" s="52"/>
      <c r="G77" s="52"/>
      <c r="K77" s="52"/>
      <c r="L77" s="52"/>
      <c r="M77" s="9"/>
      <c r="N77" s="9"/>
      <c r="O77" s="9"/>
      <c r="P77" s="9"/>
      <c r="Q77" s="9"/>
      <c r="R77" s="9"/>
    </row>
    <row r="78" spans="5:21" x14ac:dyDescent="0.2">
      <c r="F78" s="52"/>
      <c r="G78" s="52"/>
      <c r="K78" s="52"/>
      <c r="L78" s="52"/>
      <c r="M78" s="9"/>
      <c r="N78" s="9"/>
      <c r="O78" s="9"/>
      <c r="P78" s="9"/>
      <c r="Q78" s="9"/>
      <c r="R78" s="9"/>
    </row>
    <row r="79" spans="5:21" x14ac:dyDescent="0.2">
      <c r="M79" s="9"/>
      <c r="N79" s="9"/>
      <c r="O79" s="9"/>
      <c r="P79" s="9"/>
      <c r="Q79" s="9"/>
      <c r="R79" s="9"/>
    </row>
    <row r="80" spans="5:21" x14ac:dyDescent="0.2">
      <c r="M80" s="9"/>
      <c r="N80" s="9"/>
      <c r="O80" s="9"/>
      <c r="P80" s="9"/>
      <c r="Q80" s="9"/>
      <c r="R80" s="9"/>
    </row>
    <row r="81" spans="13:18" x14ac:dyDescent="0.2">
      <c r="M81" s="9"/>
      <c r="N81" s="9"/>
      <c r="O81" s="9"/>
      <c r="P81" s="9"/>
      <c r="Q81" s="9"/>
      <c r="R81" s="9"/>
    </row>
    <row r="82" spans="13:18" x14ac:dyDescent="0.2">
      <c r="M82" s="9"/>
      <c r="N82" s="9"/>
      <c r="O82" s="9"/>
      <c r="P82" s="9"/>
    </row>
  </sheetData>
  <printOptions horizontalCentered="1"/>
  <pageMargins left="0.5" right="0.5" top="1" bottom="1" header="0.5" footer="0.5"/>
  <pageSetup scale="68" orientation="landscape" blackAndWhite="1" horizontalDpi="300" verticalDpi="300" r:id="rId1"/>
  <headerFooter alignWithMargins="0">
    <oddFooter>&amp;L&amp;F 
&amp;A&amp;C&amp;P&amp;R&amp;D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778"/>
  <sheetViews>
    <sheetView zoomScaleNormal="100" zoomScaleSheetLayoutView="80" workbookViewId="0">
      <pane xSplit="7" ySplit="11" topLeftCell="H12" activePane="bottomRight" state="frozen"/>
      <selection pane="topRight" activeCell="H1" sqref="H1"/>
      <selection pane="bottomLeft" activeCell="A12" sqref="A12"/>
      <selection pane="bottomRight" activeCell="V46" sqref="V46"/>
    </sheetView>
  </sheetViews>
  <sheetFormatPr defaultColWidth="10.28515625" defaultRowHeight="11.25" x14ac:dyDescent="0.2"/>
  <cols>
    <col min="1" max="1" width="2.42578125" style="468" customWidth="1"/>
    <col min="2" max="2" width="6" style="472" bestFit="1" customWidth="1"/>
    <col min="3" max="3" width="27.7109375" style="473" customWidth="1"/>
    <col min="4" max="4" width="7" style="474" bestFit="1" customWidth="1"/>
    <col min="5" max="5" width="22.85546875" style="468" customWidth="1"/>
    <col min="6" max="6" width="8" style="468" bestFit="1" customWidth="1"/>
    <col min="7" max="7" width="1" style="485" customWidth="1"/>
    <col min="8" max="8" width="9.140625" style="468" bestFit="1" customWidth="1"/>
    <col min="9" max="9" width="11.5703125" style="468" bestFit="1" customWidth="1"/>
    <col min="10" max="10" width="11.28515625" style="468" bestFit="1" customWidth="1"/>
    <col min="11" max="11" width="1.140625" style="468" customWidth="1"/>
    <col min="12" max="12" width="1" style="468" customWidth="1"/>
    <col min="13" max="13" width="6.7109375" style="468" bestFit="1" customWidth="1"/>
    <col min="14" max="14" width="10.42578125" style="468" bestFit="1" customWidth="1"/>
    <col min="15" max="15" width="11" style="468" bestFit="1" customWidth="1"/>
    <col min="16" max="16" width="1" style="468" customWidth="1"/>
    <col min="17" max="17" width="15" style="468" bestFit="1" customWidth="1"/>
    <col min="18" max="18" width="11.42578125" style="468" bestFit="1" customWidth="1"/>
    <col min="19" max="19" width="11.5703125" style="468" bestFit="1" customWidth="1"/>
    <col min="20" max="20" width="15" style="468" bestFit="1" customWidth="1"/>
    <col min="21" max="21" width="10" style="468" bestFit="1" customWidth="1"/>
    <col min="22" max="22" width="14.42578125" style="468" bestFit="1" customWidth="1"/>
    <col min="23" max="23" width="3.5703125" style="468" customWidth="1"/>
    <col min="24" max="16384" width="10.28515625" style="468"/>
  </cols>
  <sheetData>
    <row r="1" spans="2:22" x14ac:dyDescent="0.2">
      <c r="B1" s="465" t="s">
        <v>12</v>
      </c>
      <c r="C1" s="466"/>
      <c r="D1" s="466"/>
      <c r="E1" s="466"/>
      <c r="F1" s="466"/>
      <c r="G1" s="467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</row>
    <row r="2" spans="2:22" x14ac:dyDescent="0.2">
      <c r="B2" s="469" t="s">
        <v>242</v>
      </c>
      <c r="C2" s="470"/>
      <c r="D2" s="470"/>
      <c r="E2" s="470"/>
      <c r="F2" s="470"/>
      <c r="G2" s="471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</row>
    <row r="3" spans="2:22" x14ac:dyDescent="0.2">
      <c r="B3" s="469" t="s">
        <v>320</v>
      </c>
      <c r="C3" s="470"/>
      <c r="D3" s="470"/>
      <c r="E3" s="470"/>
      <c r="F3" s="470"/>
      <c r="G3" s="471"/>
      <c r="H3" s="470"/>
      <c r="I3" s="470"/>
      <c r="J3" s="470"/>
      <c r="K3" s="470"/>
      <c r="L3" s="470"/>
      <c r="M3" s="469"/>
      <c r="N3" s="469"/>
      <c r="O3" s="469"/>
      <c r="P3" s="469"/>
      <c r="Q3" s="469"/>
      <c r="R3" s="469"/>
      <c r="S3" s="469"/>
      <c r="T3" s="469"/>
      <c r="U3" s="469"/>
      <c r="V3" s="469"/>
    </row>
    <row r="4" spans="2:22" x14ac:dyDescent="0.2">
      <c r="E4" s="475"/>
      <c r="F4" s="475"/>
      <c r="G4" s="476"/>
      <c r="V4" s="477"/>
    </row>
    <row r="5" spans="2:22" x14ac:dyDescent="0.2">
      <c r="E5" s="475"/>
      <c r="F5" s="475"/>
      <c r="G5" s="476"/>
      <c r="S5" s="478"/>
      <c r="U5" s="477"/>
      <c r="V5" s="478" t="s">
        <v>243</v>
      </c>
    </row>
    <row r="6" spans="2:22" x14ac:dyDescent="0.2">
      <c r="E6" s="479"/>
      <c r="F6" s="479"/>
      <c r="G6" s="480"/>
      <c r="H6" s="665" t="s">
        <v>321</v>
      </c>
      <c r="I6" s="665"/>
      <c r="J6" s="665"/>
      <c r="K6" s="665"/>
      <c r="L6" s="476"/>
      <c r="M6" s="666" t="s">
        <v>244</v>
      </c>
      <c r="N6" s="666"/>
      <c r="O6" s="666"/>
      <c r="P6" s="481"/>
      <c r="Q6" s="478"/>
      <c r="R6" s="478" t="s">
        <v>26</v>
      </c>
      <c r="T6" s="482"/>
      <c r="U6" s="478" t="s">
        <v>245</v>
      </c>
      <c r="V6" s="478" t="s">
        <v>246</v>
      </c>
    </row>
    <row r="7" spans="2:22" x14ac:dyDescent="0.2">
      <c r="G7" s="483"/>
      <c r="I7" s="475" t="s">
        <v>247</v>
      </c>
      <c r="J7" s="475" t="s">
        <v>248</v>
      </c>
      <c r="K7" s="484"/>
      <c r="L7" s="485"/>
      <c r="M7" s="478"/>
      <c r="N7" s="478" t="s">
        <v>249</v>
      </c>
      <c r="O7" s="478" t="s">
        <v>249</v>
      </c>
      <c r="P7" s="475"/>
      <c r="Q7" s="478"/>
      <c r="R7" s="478" t="s">
        <v>0</v>
      </c>
      <c r="S7" s="482"/>
      <c r="T7" s="478" t="s">
        <v>246</v>
      </c>
      <c r="U7" s="486" t="s">
        <v>250</v>
      </c>
      <c r="V7" s="486" t="s">
        <v>251</v>
      </c>
    </row>
    <row r="8" spans="2:22" x14ac:dyDescent="0.2">
      <c r="B8" s="487"/>
      <c r="C8" s="488"/>
      <c r="E8" s="479"/>
      <c r="F8" s="489" t="s">
        <v>26</v>
      </c>
      <c r="G8" s="490"/>
      <c r="I8" s="475" t="s">
        <v>252</v>
      </c>
      <c r="J8" s="475" t="s">
        <v>252</v>
      </c>
      <c r="K8" s="475"/>
      <c r="L8" s="476"/>
      <c r="M8" s="478"/>
      <c r="N8" s="478" t="s">
        <v>253</v>
      </c>
      <c r="O8" s="478" t="s">
        <v>253</v>
      </c>
      <c r="P8" s="475"/>
      <c r="Q8" s="478"/>
      <c r="R8" s="478" t="s">
        <v>246</v>
      </c>
      <c r="S8" s="486" t="s">
        <v>26</v>
      </c>
      <c r="T8" s="486" t="s">
        <v>251</v>
      </c>
      <c r="U8" s="491" t="s">
        <v>254</v>
      </c>
      <c r="V8" s="491" t="s">
        <v>11</v>
      </c>
    </row>
    <row r="9" spans="2:22" x14ac:dyDescent="0.2">
      <c r="B9" s="487"/>
      <c r="C9" s="488"/>
      <c r="D9" s="492" t="s">
        <v>255</v>
      </c>
      <c r="E9" s="475" t="s">
        <v>256</v>
      </c>
      <c r="F9" s="493" t="s">
        <v>246</v>
      </c>
      <c r="G9" s="490"/>
      <c r="H9" s="475" t="s">
        <v>257</v>
      </c>
      <c r="I9" s="475" t="s">
        <v>258</v>
      </c>
      <c r="J9" s="475" t="s">
        <v>259</v>
      </c>
      <c r="K9" s="494"/>
      <c r="L9" s="476"/>
      <c r="M9" s="475" t="s">
        <v>260</v>
      </c>
      <c r="N9" s="475" t="s">
        <v>261</v>
      </c>
      <c r="O9" s="475" t="s">
        <v>261</v>
      </c>
      <c r="P9" s="475"/>
      <c r="Q9" s="475" t="s">
        <v>262</v>
      </c>
      <c r="R9" s="475" t="s">
        <v>251</v>
      </c>
      <c r="S9" s="486" t="s">
        <v>250</v>
      </c>
      <c r="T9" s="491" t="s">
        <v>11</v>
      </c>
      <c r="U9" s="486" t="s">
        <v>263</v>
      </c>
      <c r="V9" s="491" t="s">
        <v>264</v>
      </c>
    </row>
    <row r="10" spans="2:22" x14ac:dyDescent="0.2">
      <c r="B10" s="476" t="s">
        <v>36</v>
      </c>
      <c r="C10" s="495" t="s">
        <v>62</v>
      </c>
      <c r="D10" s="492" t="s">
        <v>11</v>
      </c>
      <c r="E10" s="475" t="s">
        <v>265</v>
      </c>
      <c r="F10" s="490" t="s">
        <v>251</v>
      </c>
      <c r="G10" s="490"/>
      <c r="H10" s="475" t="s">
        <v>266</v>
      </c>
      <c r="I10" s="475" t="s">
        <v>0</v>
      </c>
      <c r="J10" s="475" t="s">
        <v>0</v>
      </c>
      <c r="K10" s="475"/>
      <c r="L10" s="476"/>
      <c r="M10" s="475" t="s">
        <v>261</v>
      </c>
      <c r="N10" s="476" t="s">
        <v>267</v>
      </c>
      <c r="O10" s="476" t="s">
        <v>268</v>
      </c>
      <c r="P10" s="476"/>
      <c r="Q10" s="476" t="s">
        <v>6</v>
      </c>
      <c r="R10" s="475" t="s">
        <v>269</v>
      </c>
      <c r="S10" s="491" t="s">
        <v>270</v>
      </c>
      <c r="T10" s="491" t="s">
        <v>6</v>
      </c>
      <c r="U10" s="491" t="s">
        <v>271</v>
      </c>
      <c r="V10" s="491" t="s">
        <v>6</v>
      </c>
    </row>
    <row r="11" spans="2:22" x14ac:dyDescent="0.2">
      <c r="B11" s="496" t="s">
        <v>272</v>
      </c>
      <c r="C11" s="497" t="s">
        <v>25</v>
      </c>
      <c r="D11" s="498" t="s">
        <v>7</v>
      </c>
      <c r="E11" s="499" t="s">
        <v>273</v>
      </c>
      <c r="F11" s="500" t="s">
        <v>11</v>
      </c>
      <c r="G11" s="490"/>
      <c r="H11" s="496" t="s">
        <v>85</v>
      </c>
      <c r="I11" s="496" t="s">
        <v>274</v>
      </c>
      <c r="J11" s="496" t="s">
        <v>274</v>
      </c>
      <c r="K11" s="496"/>
      <c r="L11" s="476"/>
      <c r="M11" s="496" t="s">
        <v>275</v>
      </c>
      <c r="N11" s="496" t="s">
        <v>276</v>
      </c>
      <c r="O11" s="496" t="s">
        <v>276</v>
      </c>
      <c r="P11" s="476"/>
      <c r="Q11" s="496" t="s">
        <v>112</v>
      </c>
      <c r="R11" s="496" t="s">
        <v>277</v>
      </c>
      <c r="S11" s="496" t="s">
        <v>278</v>
      </c>
      <c r="T11" s="501" t="s">
        <v>34</v>
      </c>
      <c r="U11" s="501" t="s">
        <v>279</v>
      </c>
      <c r="V11" s="501" t="s">
        <v>34</v>
      </c>
    </row>
    <row r="12" spans="2:22" s="507" customFormat="1" ht="3" customHeight="1" x14ac:dyDescent="0.2">
      <c r="B12" s="502"/>
      <c r="C12" s="503"/>
      <c r="D12" s="504"/>
      <c r="E12" s="502"/>
      <c r="F12" s="505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6"/>
      <c r="T12" s="506"/>
      <c r="U12" s="506"/>
      <c r="V12" s="506"/>
    </row>
    <row r="13" spans="2:22" x14ac:dyDescent="0.2">
      <c r="B13" s="478">
        <v>1</v>
      </c>
      <c r="C13" s="473" t="s">
        <v>280</v>
      </c>
      <c r="D13" s="492" t="s">
        <v>281</v>
      </c>
      <c r="E13" s="508" t="s">
        <v>282</v>
      </c>
      <c r="F13" s="509">
        <v>-0.45</v>
      </c>
      <c r="G13" s="510"/>
      <c r="H13" s="511">
        <v>80946.419961104533</v>
      </c>
      <c r="I13" s="511">
        <v>27514452.534882426</v>
      </c>
      <c r="J13" s="511">
        <v>74362397.825975448</v>
      </c>
      <c r="K13" s="512"/>
      <c r="L13" s="513"/>
      <c r="M13" s="514">
        <v>7.49</v>
      </c>
      <c r="N13" s="515">
        <v>0.11076900000000001</v>
      </c>
      <c r="O13" s="515">
        <v>0.130186</v>
      </c>
      <c r="P13" s="516"/>
      <c r="Q13" s="517">
        <f>(M13*H13+I13*N13+J13*O13)</f>
        <v>13334980.201717503</v>
      </c>
      <c r="R13" s="517">
        <f>Q13*F13</f>
        <v>-6000741.0907728765</v>
      </c>
      <c r="S13" s="518"/>
      <c r="T13" s="518"/>
      <c r="U13" s="518"/>
      <c r="V13" s="518"/>
    </row>
    <row r="14" spans="2:22" x14ac:dyDescent="0.2">
      <c r="B14" s="478">
        <v>2</v>
      </c>
      <c r="C14" s="473" t="s">
        <v>283</v>
      </c>
      <c r="D14" s="492" t="s">
        <v>281</v>
      </c>
      <c r="E14" s="508" t="s">
        <v>284</v>
      </c>
      <c r="F14" s="509">
        <v>-0.4</v>
      </c>
      <c r="G14" s="510"/>
      <c r="H14" s="511">
        <v>104821.98245716344</v>
      </c>
      <c r="I14" s="511">
        <v>54681936.628555708</v>
      </c>
      <c r="J14" s="511">
        <v>44844399.535549469</v>
      </c>
      <c r="K14" s="512"/>
      <c r="L14" s="512"/>
      <c r="M14" s="519">
        <f>M13</f>
        <v>7.49</v>
      </c>
      <c r="N14" s="520">
        <f t="shared" ref="N14:O14" si="0">N13</f>
        <v>0.11076900000000001</v>
      </c>
      <c r="O14" s="520">
        <f t="shared" si="0"/>
        <v>0.130186</v>
      </c>
      <c r="P14" s="521"/>
      <c r="Q14" s="517">
        <f>(M14*H14+I14*N14+J14*O14)</f>
        <v>12680293.084947683</v>
      </c>
      <c r="R14" s="517">
        <f>Q14*F14</f>
        <v>-5072117.2339790734</v>
      </c>
      <c r="S14" s="518"/>
      <c r="T14" s="518"/>
      <c r="U14" s="518"/>
      <c r="V14" s="518"/>
    </row>
    <row r="15" spans="2:22" x14ac:dyDescent="0.2">
      <c r="B15" s="478">
        <v>3</v>
      </c>
      <c r="C15" s="473" t="s">
        <v>285</v>
      </c>
      <c r="D15" s="492" t="s">
        <v>281</v>
      </c>
      <c r="E15" s="508" t="s">
        <v>286</v>
      </c>
      <c r="F15" s="509">
        <v>-0.2</v>
      </c>
      <c r="G15" s="510"/>
      <c r="H15" s="511">
        <v>188921.96362313849</v>
      </c>
      <c r="I15" s="511">
        <v>107380103.92660625</v>
      </c>
      <c r="J15" s="511">
        <v>73735808.49286139</v>
      </c>
      <c r="K15" s="512"/>
      <c r="L15" s="522"/>
      <c r="M15" s="519">
        <f t="shared" ref="M15:O18" si="1">M14</f>
        <v>7.49</v>
      </c>
      <c r="N15" s="520">
        <f t="shared" si="1"/>
        <v>0.11076900000000001</v>
      </c>
      <c r="O15" s="520">
        <f t="shared" si="1"/>
        <v>0.130186</v>
      </c>
      <c r="P15" s="523"/>
      <c r="Q15" s="517">
        <f t="shared" ref="Q15:Q18" si="2">(M15*H15+I15*N15+J15*O15)</f>
        <v>22908782.203835208</v>
      </c>
      <c r="R15" s="517">
        <f t="shared" ref="R15:R18" si="3">Q15*F15</f>
        <v>-4581756.4407670414</v>
      </c>
      <c r="S15" s="518"/>
      <c r="T15" s="518"/>
      <c r="U15" s="518"/>
      <c r="V15" s="518"/>
    </row>
    <row r="16" spans="2:22" x14ac:dyDescent="0.2">
      <c r="B16" s="478">
        <v>4</v>
      </c>
      <c r="C16" s="473" t="s">
        <v>287</v>
      </c>
      <c r="D16" s="492" t="s">
        <v>281</v>
      </c>
      <c r="E16" s="508" t="s">
        <v>288</v>
      </c>
      <c r="F16" s="509">
        <v>-0.15</v>
      </c>
      <c r="G16" s="510"/>
      <c r="H16" s="511">
        <v>147982.14628504164</v>
      </c>
      <c r="I16" s="511">
        <v>88975136.330827847</v>
      </c>
      <c r="J16" s="511">
        <v>60566383.581306137</v>
      </c>
      <c r="K16" s="512"/>
      <c r="L16" s="522"/>
      <c r="M16" s="519">
        <f t="shared" si="1"/>
        <v>7.49</v>
      </c>
      <c r="N16" s="520">
        <f t="shared" si="1"/>
        <v>0.11076900000000001</v>
      </c>
      <c r="O16" s="520">
        <f t="shared" si="1"/>
        <v>0.130186</v>
      </c>
      <c r="P16" s="523"/>
      <c r="Q16" s="517">
        <f t="shared" si="2"/>
        <v>18848968.364820354</v>
      </c>
      <c r="R16" s="517">
        <f t="shared" si="3"/>
        <v>-2827345.254723053</v>
      </c>
      <c r="S16" s="518"/>
      <c r="T16" s="518"/>
      <c r="U16" s="518"/>
      <c r="V16" s="518"/>
    </row>
    <row r="17" spans="2:22" x14ac:dyDescent="0.2">
      <c r="B17" s="478">
        <v>5</v>
      </c>
      <c r="C17" s="473" t="s">
        <v>289</v>
      </c>
      <c r="D17" s="492" t="s">
        <v>281</v>
      </c>
      <c r="E17" s="508" t="s">
        <v>290</v>
      </c>
      <c r="F17" s="509">
        <v>-0.1</v>
      </c>
      <c r="G17" s="510"/>
      <c r="H17" s="511">
        <v>21449.395152181951</v>
      </c>
      <c r="I17" s="511">
        <v>13914007.42191297</v>
      </c>
      <c r="J17" s="511">
        <v>12915935.840437703</v>
      </c>
      <c r="K17" s="512"/>
      <c r="L17" s="522"/>
      <c r="M17" s="519">
        <f t="shared" si="1"/>
        <v>7.49</v>
      </c>
      <c r="N17" s="520">
        <f t="shared" si="1"/>
        <v>0.11076900000000001</v>
      </c>
      <c r="O17" s="520">
        <f t="shared" si="1"/>
        <v>0.130186</v>
      </c>
      <c r="P17" s="523"/>
      <c r="Q17" s="517">
        <f t="shared" si="2"/>
        <v>3383370.6811309434</v>
      </c>
      <c r="R17" s="517">
        <f t="shared" si="3"/>
        <v>-338337.06811309437</v>
      </c>
      <c r="S17" s="518"/>
      <c r="T17" s="518"/>
      <c r="U17" s="518"/>
      <c r="V17" s="518"/>
    </row>
    <row r="18" spans="2:22" x14ac:dyDescent="0.2">
      <c r="B18" s="478">
        <v>6</v>
      </c>
      <c r="C18" s="473" t="s">
        <v>291</v>
      </c>
      <c r="D18" s="492" t="s">
        <v>281</v>
      </c>
      <c r="E18" s="508" t="s">
        <v>292</v>
      </c>
      <c r="F18" s="509">
        <v>-0.05</v>
      </c>
      <c r="G18" s="510"/>
      <c r="H18" s="511">
        <v>31291.191288725146</v>
      </c>
      <c r="I18" s="511">
        <v>20817286.076398555</v>
      </c>
      <c r="J18" s="511">
        <v>18413314.931027547</v>
      </c>
      <c r="K18" s="512"/>
      <c r="L18" s="522"/>
      <c r="M18" s="519">
        <f t="shared" si="1"/>
        <v>7.49</v>
      </c>
      <c r="N18" s="520">
        <f t="shared" si="1"/>
        <v>0.11076900000000001</v>
      </c>
      <c r="O18" s="520">
        <f t="shared" si="1"/>
        <v>0.130186</v>
      </c>
      <c r="P18" s="523"/>
      <c r="Q18" s="517">
        <f t="shared" si="2"/>
        <v>4937436.8017598949</v>
      </c>
      <c r="R18" s="517">
        <f t="shared" si="3"/>
        <v>-246871.84008799476</v>
      </c>
      <c r="S18" s="518"/>
      <c r="T18" s="518"/>
      <c r="U18" s="518"/>
      <c r="V18" s="518"/>
    </row>
    <row r="19" spans="2:22" x14ac:dyDescent="0.2">
      <c r="B19" s="478"/>
      <c r="H19" s="524"/>
      <c r="P19" s="485"/>
      <c r="S19" s="525"/>
      <c r="T19" s="525"/>
      <c r="U19" s="525"/>
      <c r="V19" s="525"/>
    </row>
    <row r="20" spans="2:22" x14ac:dyDescent="0.2">
      <c r="B20" s="478">
        <v>7</v>
      </c>
      <c r="C20" s="473" t="s">
        <v>293</v>
      </c>
      <c r="H20" s="526"/>
      <c r="I20" s="526"/>
      <c r="J20" s="526"/>
      <c r="K20" s="526"/>
      <c r="L20" s="526"/>
      <c r="P20" s="485"/>
      <c r="Q20" s="517">
        <f>SUM(Q13:Q18)</f>
        <v>76093831.338211596</v>
      </c>
      <c r="R20" s="517">
        <f>SUM(R13:R18)</f>
        <v>-19067168.928443138</v>
      </c>
      <c r="S20" s="518">
        <v>0</v>
      </c>
      <c r="T20" s="518">
        <v>20063354.611619256</v>
      </c>
      <c r="U20" s="518"/>
      <c r="V20" s="518"/>
    </row>
    <row r="21" spans="2:22" x14ac:dyDescent="0.2">
      <c r="B21" s="478"/>
      <c r="H21" s="526"/>
      <c r="P21" s="485"/>
      <c r="S21" s="525"/>
      <c r="T21" s="525"/>
      <c r="U21" s="525"/>
      <c r="V21" s="525"/>
    </row>
    <row r="22" spans="2:22" x14ac:dyDescent="0.2">
      <c r="B22" s="478">
        <v>8</v>
      </c>
      <c r="C22" s="473" t="s">
        <v>294</v>
      </c>
      <c r="H22" s="524"/>
      <c r="J22" s="527"/>
      <c r="P22" s="485"/>
      <c r="S22" s="525"/>
      <c r="T22" s="525"/>
      <c r="U22" s="518">
        <v>8126264</v>
      </c>
      <c r="V22" s="525"/>
    </row>
    <row r="23" spans="2:22" x14ac:dyDescent="0.2">
      <c r="B23" s="478"/>
      <c r="C23" s="528"/>
      <c r="D23" s="529"/>
      <c r="E23" s="530"/>
      <c r="F23" s="530"/>
      <c r="H23" s="530"/>
      <c r="I23" s="530"/>
      <c r="J23" s="530"/>
      <c r="K23" s="530"/>
      <c r="L23" s="485"/>
      <c r="M23" s="530"/>
      <c r="N23" s="530"/>
      <c r="O23" s="530"/>
      <c r="P23" s="485"/>
      <c r="Q23" s="530"/>
      <c r="R23" s="531"/>
      <c r="S23" s="532"/>
      <c r="T23" s="532"/>
      <c r="U23" s="532"/>
      <c r="V23" s="532"/>
    </row>
    <row r="24" spans="2:22" x14ac:dyDescent="0.2">
      <c r="B24" s="478">
        <v>9</v>
      </c>
      <c r="C24" s="533" t="s">
        <v>295</v>
      </c>
      <c r="P24" s="485"/>
      <c r="S24" s="525"/>
      <c r="T24" s="525"/>
      <c r="U24" s="534"/>
      <c r="V24" s="534">
        <f>T20-U22</f>
        <v>11937090.611619256</v>
      </c>
    </row>
    <row r="25" spans="2:22" x14ac:dyDescent="0.2">
      <c r="B25" s="478"/>
      <c r="C25" s="533"/>
      <c r="P25" s="485"/>
      <c r="S25" s="525"/>
      <c r="T25" s="525"/>
      <c r="U25" s="534"/>
      <c r="V25" s="534"/>
    </row>
    <row r="26" spans="2:22" x14ac:dyDescent="0.2">
      <c r="B26" s="478"/>
      <c r="C26" s="533"/>
      <c r="P26" s="485"/>
      <c r="S26" s="525"/>
      <c r="T26" s="525"/>
      <c r="U26" s="534"/>
      <c r="V26" s="486"/>
    </row>
    <row r="27" spans="2:22" x14ac:dyDescent="0.2">
      <c r="B27" s="478"/>
      <c r="C27" s="533"/>
      <c r="P27" s="485"/>
      <c r="S27" s="486"/>
      <c r="T27" s="525"/>
      <c r="U27" s="486"/>
      <c r="V27" s="486" t="s">
        <v>243</v>
      </c>
    </row>
    <row r="28" spans="2:22" x14ac:dyDescent="0.2">
      <c r="B28" s="478"/>
      <c r="E28" s="479"/>
      <c r="F28" s="479"/>
      <c r="G28" s="480"/>
      <c r="H28" s="665" t="s">
        <v>321</v>
      </c>
      <c r="I28" s="665"/>
      <c r="J28" s="665"/>
      <c r="K28" s="665"/>
      <c r="L28" s="476"/>
      <c r="M28" s="666" t="s">
        <v>244</v>
      </c>
      <c r="N28" s="666"/>
      <c r="O28" s="666"/>
      <c r="P28" s="481"/>
      <c r="Q28" s="478"/>
      <c r="R28" s="478" t="s">
        <v>26</v>
      </c>
      <c r="S28" s="525"/>
      <c r="T28" s="486"/>
      <c r="U28" s="486" t="s">
        <v>245</v>
      </c>
      <c r="V28" s="486" t="s">
        <v>246</v>
      </c>
    </row>
    <row r="29" spans="2:22" x14ac:dyDescent="0.2">
      <c r="B29" s="478"/>
      <c r="E29" s="479"/>
      <c r="F29" s="479"/>
      <c r="G29" s="480"/>
      <c r="H29" s="476"/>
      <c r="I29" s="476"/>
      <c r="J29" s="476"/>
      <c r="K29" s="484"/>
      <c r="L29" s="476"/>
      <c r="M29" s="481"/>
      <c r="N29" s="481"/>
      <c r="O29" s="481"/>
      <c r="P29" s="481"/>
      <c r="Q29" s="478"/>
      <c r="R29" s="478" t="s">
        <v>0</v>
      </c>
      <c r="S29" s="486"/>
      <c r="T29" s="486" t="s">
        <v>246</v>
      </c>
      <c r="U29" s="486" t="s">
        <v>250</v>
      </c>
      <c r="V29" s="486" t="s">
        <v>251</v>
      </c>
    </row>
    <row r="30" spans="2:22" x14ac:dyDescent="0.2">
      <c r="B30" s="478"/>
      <c r="D30" s="492"/>
      <c r="E30" s="479"/>
      <c r="F30" s="489" t="s">
        <v>26</v>
      </c>
      <c r="G30" s="483"/>
      <c r="I30" s="475"/>
      <c r="J30" s="475"/>
      <c r="K30" s="475"/>
      <c r="L30" s="485"/>
      <c r="M30" s="478"/>
      <c r="N30" s="478"/>
      <c r="O30" s="478" t="s">
        <v>249</v>
      </c>
      <c r="P30" s="475"/>
      <c r="Q30" s="478"/>
      <c r="R30" s="478" t="s">
        <v>246</v>
      </c>
      <c r="S30" s="486" t="s">
        <v>26</v>
      </c>
      <c r="T30" s="486" t="s">
        <v>251</v>
      </c>
      <c r="U30" s="491" t="s">
        <v>254</v>
      </c>
      <c r="V30" s="491" t="s">
        <v>11</v>
      </c>
    </row>
    <row r="31" spans="2:22" x14ac:dyDescent="0.2">
      <c r="B31" s="478"/>
      <c r="C31" s="488"/>
      <c r="D31" s="492" t="s">
        <v>255</v>
      </c>
      <c r="E31" s="475" t="s">
        <v>256</v>
      </c>
      <c r="F31" s="493" t="s">
        <v>246</v>
      </c>
      <c r="G31" s="490"/>
      <c r="H31" s="475" t="s">
        <v>257</v>
      </c>
      <c r="I31" s="475"/>
      <c r="J31" s="475"/>
      <c r="K31" s="494"/>
      <c r="L31" s="476"/>
      <c r="M31" s="475" t="s">
        <v>260</v>
      </c>
      <c r="N31" s="475"/>
      <c r="O31" s="475" t="s">
        <v>296</v>
      </c>
      <c r="P31" s="475"/>
      <c r="Q31" s="475" t="s">
        <v>262</v>
      </c>
      <c r="R31" s="475" t="s">
        <v>251</v>
      </c>
      <c r="S31" s="486" t="s">
        <v>250</v>
      </c>
      <c r="T31" s="491" t="s">
        <v>11</v>
      </c>
      <c r="U31" s="486" t="s">
        <v>263</v>
      </c>
      <c r="V31" s="491" t="s">
        <v>264</v>
      </c>
    </row>
    <row r="32" spans="2:22" x14ac:dyDescent="0.2">
      <c r="B32" s="478"/>
      <c r="C32" s="495" t="s">
        <v>61</v>
      </c>
      <c r="D32" s="492" t="s">
        <v>11</v>
      </c>
      <c r="E32" s="475" t="s">
        <v>265</v>
      </c>
      <c r="F32" s="490" t="s">
        <v>251</v>
      </c>
      <c r="G32" s="490"/>
      <c r="H32" s="475" t="s">
        <v>266</v>
      </c>
      <c r="I32" s="475"/>
      <c r="J32" s="475" t="s">
        <v>0</v>
      </c>
      <c r="K32" s="475"/>
      <c r="L32" s="476"/>
      <c r="M32" s="475" t="s">
        <v>261</v>
      </c>
      <c r="N32" s="475"/>
      <c r="O32" s="475" t="s">
        <v>261</v>
      </c>
      <c r="P32" s="476"/>
      <c r="Q32" s="476" t="s">
        <v>6</v>
      </c>
      <c r="R32" s="475" t="s">
        <v>269</v>
      </c>
      <c r="S32" s="491" t="s">
        <v>270</v>
      </c>
      <c r="T32" s="491" t="s">
        <v>6</v>
      </c>
      <c r="U32" s="491" t="s">
        <v>271</v>
      </c>
      <c r="V32" s="491" t="s">
        <v>6</v>
      </c>
    </row>
    <row r="33" spans="2:22" x14ac:dyDescent="0.2">
      <c r="B33" s="478"/>
      <c r="C33" s="497" t="s">
        <v>25</v>
      </c>
      <c r="D33" s="498" t="s">
        <v>7</v>
      </c>
      <c r="E33" s="499" t="s">
        <v>273</v>
      </c>
      <c r="F33" s="500" t="s">
        <v>11</v>
      </c>
      <c r="G33" s="490"/>
      <c r="H33" s="496" t="s">
        <v>85</v>
      </c>
      <c r="I33" s="496"/>
      <c r="J33" s="496" t="s">
        <v>87</v>
      </c>
      <c r="K33" s="496"/>
      <c r="L33" s="476"/>
      <c r="M33" s="496" t="s">
        <v>275</v>
      </c>
      <c r="N33" s="496"/>
      <c r="O33" s="496" t="s">
        <v>297</v>
      </c>
      <c r="P33" s="476"/>
      <c r="Q33" s="496" t="s">
        <v>112</v>
      </c>
      <c r="R33" s="496" t="s">
        <v>277</v>
      </c>
      <c r="S33" s="496" t="s">
        <v>278</v>
      </c>
      <c r="T33" s="501" t="s">
        <v>34</v>
      </c>
      <c r="U33" s="501" t="s">
        <v>279</v>
      </c>
      <c r="V33" s="501" t="s">
        <v>34</v>
      </c>
    </row>
    <row r="34" spans="2:22" s="507" customFormat="1" ht="5.45" customHeight="1" x14ac:dyDescent="0.2">
      <c r="B34" s="535"/>
      <c r="C34" s="503"/>
      <c r="D34" s="504"/>
      <c r="E34" s="502"/>
      <c r="F34" s="505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6"/>
      <c r="T34" s="506"/>
      <c r="U34" s="506"/>
      <c r="V34" s="506"/>
    </row>
    <row r="35" spans="2:22" x14ac:dyDescent="0.2">
      <c r="B35" s="478">
        <v>10</v>
      </c>
      <c r="C35" s="473" t="s">
        <v>280</v>
      </c>
      <c r="D35" s="492" t="s">
        <v>298</v>
      </c>
      <c r="E35" s="508" t="s">
        <v>282</v>
      </c>
      <c r="F35" s="509">
        <v>-0.45</v>
      </c>
      <c r="G35" s="510"/>
      <c r="H35" s="536">
        <v>32754.741850697592</v>
      </c>
      <c r="I35" s="536"/>
      <c r="J35" s="536">
        <v>2820600.1475018011</v>
      </c>
      <c r="K35" s="512"/>
      <c r="L35" s="513"/>
      <c r="M35" s="514">
        <v>12.5</v>
      </c>
      <c r="N35" s="537"/>
      <c r="O35" s="537">
        <v>1.2949200000000001</v>
      </c>
      <c r="P35" s="516"/>
      <c r="Q35" s="517">
        <f>(M35*H35+J35*O35)</f>
        <v>4061885.8161367523</v>
      </c>
      <c r="R35" s="517">
        <f>Q35*F35</f>
        <v>-1827848.6172615385</v>
      </c>
      <c r="S35" s="518"/>
      <c r="T35" s="518"/>
      <c r="U35" s="518"/>
      <c r="V35" s="518"/>
    </row>
    <row r="36" spans="2:22" x14ac:dyDescent="0.2">
      <c r="B36" s="478">
        <v>11</v>
      </c>
      <c r="C36" s="473" t="s">
        <v>283</v>
      </c>
      <c r="D36" s="492" t="s">
        <v>298</v>
      </c>
      <c r="E36" s="508" t="s">
        <v>284</v>
      </c>
      <c r="F36" s="509">
        <v>-0.4</v>
      </c>
      <c r="G36" s="510"/>
      <c r="H36" s="536">
        <v>107119.30280218876</v>
      </c>
      <c r="I36" s="536"/>
      <c r="J36" s="536">
        <v>5811508.8201668374</v>
      </c>
      <c r="K36" s="512"/>
      <c r="L36" s="512"/>
      <c r="M36" s="519">
        <f>M35</f>
        <v>12.5</v>
      </c>
      <c r="N36" s="538"/>
      <c r="O36" s="538">
        <f t="shared" ref="O36:O40" si="4">O35</f>
        <v>1.2949200000000001</v>
      </c>
      <c r="P36" s="521"/>
      <c r="Q36" s="517">
        <f>(M36*H36+J36*O36)</f>
        <v>8864430.2864378002</v>
      </c>
      <c r="R36" s="517">
        <f>Q36*F36</f>
        <v>-3545772.1145751202</v>
      </c>
      <c r="S36" s="518"/>
      <c r="T36" s="518"/>
      <c r="U36" s="518"/>
      <c r="V36" s="518"/>
    </row>
    <row r="37" spans="2:22" x14ac:dyDescent="0.2">
      <c r="B37" s="486">
        <v>12</v>
      </c>
      <c r="C37" s="473" t="s">
        <v>285</v>
      </c>
      <c r="D37" s="492" t="s">
        <v>298</v>
      </c>
      <c r="E37" s="508" t="s">
        <v>286</v>
      </c>
      <c r="F37" s="509">
        <v>-0.2</v>
      </c>
      <c r="G37" s="510"/>
      <c r="H37" s="536">
        <v>289356.16622488305</v>
      </c>
      <c r="I37" s="536"/>
      <c r="J37" s="536">
        <v>16287974.387721471</v>
      </c>
      <c r="K37" s="512"/>
      <c r="L37" s="522"/>
      <c r="M37" s="519">
        <f t="shared" ref="M37:M40" si="5">M36</f>
        <v>12.5</v>
      </c>
      <c r="N37" s="538"/>
      <c r="O37" s="538">
        <f t="shared" si="4"/>
        <v>1.2949200000000001</v>
      </c>
      <c r="P37" s="523"/>
      <c r="Q37" s="517">
        <f t="shared" ref="Q37:Q40" si="6">(M37*H37+J37*O37)</f>
        <v>24708575.871959329</v>
      </c>
      <c r="R37" s="517">
        <f t="shared" ref="R37:R40" si="7">Q37*F37</f>
        <v>-4941715.1743918657</v>
      </c>
      <c r="S37" s="518"/>
      <c r="T37" s="518"/>
      <c r="U37" s="518"/>
      <c r="V37" s="518"/>
    </row>
    <row r="38" spans="2:22" x14ac:dyDescent="0.2">
      <c r="B38" s="486">
        <v>13</v>
      </c>
      <c r="C38" s="473" t="s">
        <v>287</v>
      </c>
      <c r="D38" s="492" t="s">
        <v>298</v>
      </c>
      <c r="E38" s="508" t="s">
        <v>288</v>
      </c>
      <c r="F38" s="509">
        <v>-0.15</v>
      </c>
      <c r="G38" s="510"/>
      <c r="H38" s="536">
        <v>321711.65396678582</v>
      </c>
      <c r="I38" s="536"/>
      <c r="J38" s="536">
        <v>20076008.620903209</v>
      </c>
      <c r="K38" s="512"/>
      <c r="L38" s="522"/>
      <c r="M38" s="519">
        <f t="shared" si="5"/>
        <v>12.5</v>
      </c>
      <c r="N38" s="538"/>
      <c r="O38" s="538">
        <f t="shared" si="4"/>
        <v>1.2949200000000001</v>
      </c>
      <c r="P38" s="523"/>
      <c r="Q38" s="517">
        <f t="shared" si="6"/>
        <v>30018220.757964805</v>
      </c>
      <c r="R38" s="517">
        <f t="shared" si="7"/>
        <v>-4502733.1136947209</v>
      </c>
      <c r="S38" s="518"/>
      <c r="T38" s="518"/>
      <c r="U38" s="518"/>
      <c r="V38" s="518"/>
    </row>
    <row r="39" spans="2:22" x14ac:dyDescent="0.2">
      <c r="B39" s="486">
        <v>14</v>
      </c>
      <c r="C39" s="473" t="s">
        <v>289</v>
      </c>
      <c r="D39" s="492" t="s">
        <v>298</v>
      </c>
      <c r="E39" s="508" t="s">
        <v>290</v>
      </c>
      <c r="F39" s="509">
        <v>-0.1</v>
      </c>
      <c r="G39" s="510"/>
      <c r="H39" s="536">
        <v>6944.4949977830975</v>
      </c>
      <c r="I39" s="536"/>
      <c r="J39" s="536">
        <v>737699.97059642675</v>
      </c>
      <c r="K39" s="512"/>
      <c r="L39" s="522"/>
      <c r="M39" s="519">
        <f t="shared" si="5"/>
        <v>12.5</v>
      </c>
      <c r="N39" s="538"/>
      <c r="O39" s="538">
        <f t="shared" si="4"/>
        <v>1.2949200000000001</v>
      </c>
      <c r="P39" s="523"/>
      <c r="Q39" s="517">
        <f t="shared" si="6"/>
        <v>1042068.6333970138</v>
      </c>
      <c r="R39" s="517">
        <f t="shared" si="7"/>
        <v>-104206.86333970138</v>
      </c>
      <c r="S39" s="518"/>
      <c r="T39" s="518"/>
      <c r="U39" s="518"/>
      <c r="V39" s="518"/>
    </row>
    <row r="40" spans="2:22" x14ac:dyDescent="0.2">
      <c r="B40" s="486">
        <v>15</v>
      </c>
      <c r="C40" s="473" t="s">
        <v>291</v>
      </c>
      <c r="D40" s="492" t="s">
        <v>298</v>
      </c>
      <c r="E40" s="508" t="s">
        <v>292</v>
      </c>
      <c r="F40" s="509">
        <v>-0.05</v>
      </c>
      <c r="G40" s="510"/>
      <c r="H40" s="536">
        <v>15073.398029434042</v>
      </c>
      <c r="I40" s="536"/>
      <c r="J40" s="536">
        <v>1500076.1660762429</v>
      </c>
      <c r="K40" s="512"/>
      <c r="L40" s="522"/>
      <c r="M40" s="519">
        <f t="shared" si="5"/>
        <v>12.5</v>
      </c>
      <c r="N40" s="538"/>
      <c r="O40" s="538">
        <f t="shared" si="4"/>
        <v>1.2949200000000001</v>
      </c>
      <c r="P40" s="523"/>
      <c r="Q40" s="517">
        <f t="shared" si="6"/>
        <v>2130896.1043433743</v>
      </c>
      <c r="R40" s="517">
        <f t="shared" si="7"/>
        <v>-106544.80521716872</v>
      </c>
      <c r="S40" s="518"/>
      <c r="T40" s="518"/>
      <c r="U40" s="518"/>
      <c r="V40" s="518"/>
    </row>
    <row r="41" spans="2:22" x14ac:dyDescent="0.2">
      <c r="B41" s="486"/>
      <c r="D41" s="492"/>
      <c r="F41" s="509"/>
      <c r="G41" s="510"/>
      <c r="H41" s="511"/>
      <c r="I41" s="511"/>
      <c r="J41" s="511"/>
      <c r="K41" s="512"/>
      <c r="L41" s="522"/>
      <c r="M41" s="519"/>
      <c r="N41" s="538"/>
      <c r="O41" s="538"/>
      <c r="P41" s="523"/>
      <c r="Q41" s="517"/>
      <c r="R41" s="517"/>
      <c r="S41" s="518"/>
      <c r="T41" s="518"/>
      <c r="U41" s="518"/>
      <c r="V41" s="518"/>
    </row>
    <row r="42" spans="2:22" x14ac:dyDescent="0.2">
      <c r="B42" s="478">
        <v>16</v>
      </c>
      <c r="C42" s="473" t="s">
        <v>299</v>
      </c>
      <c r="H42" s="526"/>
      <c r="I42" s="526"/>
      <c r="J42" s="526"/>
      <c r="K42" s="526"/>
      <c r="L42" s="526"/>
      <c r="P42" s="485"/>
      <c r="Q42" s="517">
        <f>SUM(Q35:Q40)</f>
        <v>70826077.470239073</v>
      </c>
      <c r="R42" s="517">
        <f>SUM(R35:R40)</f>
        <v>-15028820.688480115</v>
      </c>
      <c r="S42" s="518">
        <v>0</v>
      </c>
      <c r="T42" s="518">
        <v>15762667.433514832</v>
      </c>
      <c r="U42" s="518"/>
      <c r="V42" s="518"/>
    </row>
    <row r="43" spans="2:22" x14ac:dyDescent="0.2">
      <c r="B43" s="478"/>
      <c r="H43" s="526"/>
      <c r="P43" s="485"/>
      <c r="S43" s="525"/>
      <c r="T43" s="525"/>
      <c r="U43" s="525"/>
      <c r="V43" s="525"/>
    </row>
    <row r="44" spans="2:22" x14ac:dyDescent="0.2">
      <c r="B44" s="478">
        <v>17</v>
      </c>
      <c r="C44" s="473" t="s">
        <v>300</v>
      </c>
      <c r="P44" s="485"/>
      <c r="S44" s="525"/>
      <c r="T44" s="525"/>
      <c r="U44" s="518">
        <v>1758190</v>
      </c>
      <c r="V44" s="525"/>
    </row>
    <row r="45" spans="2:22" x14ac:dyDescent="0.2">
      <c r="B45" s="478"/>
      <c r="C45" s="528"/>
      <c r="D45" s="529"/>
      <c r="E45" s="530"/>
      <c r="F45" s="530"/>
      <c r="H45" s="530"/>
      <c r="I45" s="530"/>
      <c r="J45" s="530"/>
      <c r="K45" s="530"/>
      <c r="L45" s="485"/>
      <c r="M45" s="530"/>
      <c r="N45" s="530"/>
      <c r="O45" s="530"/>
      <c r="P45" s="485"/>
      <c r="Q45" s="530"/>
      <c r="R45" s="531"/>
      <c r="S45" s="532"/>
      <c r="T45" s="532"/>
      <c r="U45" s="532"/>
      <c r="V45" s="532"/>
    </row>
    <row r="46" spans="2:22" x14ac:dyDescent="0.2">
      <c r="B46" s="478">
        <v>18</v>
      </c>
      <c r="C46" s="533" t="s">
        <v>301</v>
      </c>
      <c r="P46" s="485"/>
      <c r="R46" s="539"/>
      <c r="S46" s="534"/>
      <c r="T46" s="534"/>
      <c r="U46" s="534"/>
      <c r="V46" s="534">
        <f>T42-U44</f>
        <v>14004477.433514832</v>
      </c>
    </row>
    <row r="47" spans="2:22" x14ac:dyDescent="0.2">
      <c r="B47" s="478"/>
      <c r="C47" s="533"/>
      <c r="P47" s="485"/>
      <c r="R47" s="539"/>
      <c r="S47" s="534"/>
      <c r="T47" s="534"/>
      <c r="U47" s="534"/>
      <c r="V47" s="534"/>
    </row>
    <row r="48" spans="2:22" x14ac:dyDescent="0.2">
      <c r="B48" s="478">
        <v>19</v>
      </c>
      <c r="C48" s="473" t="s">
        <v>302</v>
      </c>
      <c r="P48" s="485"/>
      <c r="Q48" s="540"/>
      <c r="R48" s="540"/>
      <c r="S48" s="541"/>
      <c r="T48" s="541">
        <f>SUM(T20,T42)</f>
        <v>35826022.04513409</v>
      </c>
      <c r="U48" s="541">
        <f>SUM(U22,U44)</f>
        <v>9884454</v>
      </c>
      <c r="V48" s="534"/>
    </row>
    <row r="49" spans="2:22" x14ac:dyDescent="0.2">
      <c r="B49" s="478"/>
      <c r="P49" s="485"/>
      <c r="S49" s="525"/>
      <c r="T49" s="525"/>
      <c r="U49" s="525"/>
      <c r="V49" s="525"/>
    </row>
    <row r="50" spans="2:22" x14ac:dyDescent="0.2">
      <c r="B50" s="478">
        <v>20</v>
      </c>
      <c r="C50" s="542" t="s">
        <v>303</v>
      </c>
      <c r="D50" s="543"/>
      <c r="E50" s="544"/>
      <c r="F50" s="544"/>
      <c r="G50" s="544"/>
      <c r="H50" s="544"/>
      <c r="I50" s="544"/>
      <c r="J50" s="544"/>
      <c r="K50" s="544"/>
      <c r="L50" s="544"/>
      <c r="M50" s="544"/>
      <c r="N50" s="544"/>
      <c r="O50" s="544"/>
      <c r="P50" s="544"/>
      <c r="Q50" s="544"/>
      <c r="R50" s="544"/>
      <c r="S50" s="545"/>
      <c r="T50" s="545"/>
      <c r="U50" s="546"/>
      <c r="V50" s="547">
        <f>SUM(V24,V46)</f>
        <v>25941568.04513409</v>
      </c>
    </row>
    <row r="51" spans="2:22" x14ac:dyDescent="0.2">
      <c r="P51" s="485"/>
      <c r="S51" s="525"/>
      <c r="T51" s="525"/>
      <c r="U51" s="525"/>
      <c r="V51" s="548">
        <f>T48-U48-V50</f>
        <v>0</v>
      </c>
    </row>
    <row r="52" spans="2:22" x14ac:dyDescent="0.2">
      <c r="P52" s="485"/>
      <c r="S52" s="525"/>
      <c r="T52" s="525"/>
      <c r="U52" s="525"/>
      <c r="V52" s="549"/>
    </row>
    <row r="53" spans="2:22" x14ac:dyDescent="0.2">
      <c r="B53" s="472" t="s">
        <v>304</v>
      </c>
      <c r="P53" s="485"/>
      <c r="S53" s="525"/>
      <c r="T53" s="525"/>
      <c r="U53" s="525"/>
      <c r="V53" s="525"/>
    </row>
    <row r="54" spans="2:22" x14ac:dyDescent="0.2">
      <c r="B54" s="550" t="s">
        <v>30</v>
      </c>
      <c r="C54" s="551" t="s">
        <v>305</v>
      </c>
      <c r="P54" s="485"/>
    </row>
    <row r="55" spans="2:22" x14ac:dyDescent="0.2">
      <c r="B55" s="550" t="s">
        <v>29</v>
      </c>
      <c r="C55" s="551" t="s">
        <v>306</v>
      </c>
    </row>
    <row r="56" spans="2:22" x14ac:dyDescent="0.2">
      <c r="B56" s="550" t="s">
        <v>28</v>
      </c>
      <c r="C56" s="551" t="s">
        <v>307</v>
      </c>
    </row>
    <row r="57" spans="2:22" s="525" customFormat="1" x14ac:dyDescent="0.2">
      <c r="B57" s="550" t="s">
        <v>158</v>
      </c>
      <c r="C57" s="551" t="s">
        <v>308</v>
      </c>
      <c r="D57" s="474"/>
      <c r="G57" s="552"/>
    </row>
    <row r="58" spans="2:22" x14ac:dyDescent="0.2">
      <c r="B58" s="550" t="s">
        <v>157</v>
      </c>
      <c r="C58" s="551" t="s">
        <v>309</v>
      </c>
    </row>
    <row r="59" spans="2:22" x14ac:dyDescent="0.2">
      <c r="B59" s="550" t="s">
        <v>159</v>
      </c>
      <c r="C59" s="551" t="s">
        <v>322</v>
      </c>
    </row>
    <row r="60" spans="2:22" s="525" customFormat="1" x14ac:dyDescent="0.2">
      <c r="B60" s="550" t="s">
        <v>160</v>
      </c>
      <c r="C60" s="551" t="s">
        <v>323</v>
      </c>
      <c r="G60" s="552"/>
    </row>
    <row r="61" spans="2:22" x14ac:dyDescent="0.2">
      <c r="B61" s="468"/>
      <c r="C61" s="468"/>
      <c r="D61" s="525"/>
    </row>
    <row r="62" spans="2:22" x14ac:dyDescent="0.2">
      <c r="B62" s="468"/>
      <c r="C62" s="468"/>
      <c r="D62" s="525"/>
    </row>
    <row r="63" spans="2:22" x14ac:dyDescent="0.2">
      <c r="B63" s="468"/>
      <c r="C63" s="468"/>
      <c r="D63" s="525"/>
    </row>
    <row r="64" spans="2:22" x14ac:dyDescent="0.2">
      <c r="B64" s="468"/>
      <c r="C64" s="468"/>
      <c r="D64" s="525"/>
    </row>
    <row r="65" spans="2:4" x14ac:dyDescent="0.2">
      <c r="B65" s="468"/>
      <c r="C65" s="468"/>
      <c r="D65" s="525"/>
    </row>
    <row r="66" spans="2:4" x14ac:dyDescent="0.2">
      <c r="B66" s="468"/>
      <c r="C66" s="468"/>
      <c r="D66" s="525"/>
    </row>
    <row r="67" spans="2:4" x14ac:dyDescent="0.2">
      <c r="B67" s="468"/>
      <c r="C67" s="468"/>
      <c r="D67" s="525"/>
    </row>
    <row r="68" spans="2:4" x14ac:dyDescent="0.2">
      <c r="B68" s="468"/>
      <c r="C68" s="468"/>
      <c r="D68" s="525"/>
    </row>
    <row r="69" spans="2:4" x14ac:dyDescent="0.2">
      <c r="B69" s="468"/>
      <c r="C69" s="468"/>
      <c r="D69" s="525"/>
    </row>
    <row r="70" spans="2:4" x14ac:dyDescent="0.2">
      <c r="B70" s="468"/>
      <c r="C70" s="468"/>
      <c r="D70" s="525"/>
    </row>
    <row r="71" spans="2:4" x14ac:dyDescent="0.2">
      <c r="B71" s="468"/>
      <c r="C71" s="468"/>
      <c r="D71" s="525"/>
    </row>
    <row r="72" spans="2:4" x14ac:dyDescent="0.2">
      <c r="B72" s="468"/>
      <c r="C72" s="468"/>
      <c r="D72" s="525"/>
    </row>
    <row r="73" spans="2:4" x14ac:dyDescent="0.2">
      <c r="B73" s="468"/>
      <c r="C73" s="468"/>
      <c r="D73" s="525"/>
    </row>
    <row r="74" spans="2:4" x14ac:dyDescent="0.2">
      <c r="B74" s="468"/>
      <c r="C74" s="468"/>
      <c r="D74" s="525"/>
    </row>
    <row r="75" spans="2:4" x14ac:dyDescent="0.2">
      <c r="B75" s="468"/>
      <c r="C75" s="468"/>
      <c r="D75" s="525"/>
    </row>
    <row r="76" spans="2:4" x14ac:dyDescent="0.2">
      <c r="B76" s="468"/>
      <c r="C76" s="468"/>
      <c r="D76" s="525"/>
    </row>
    <row r="77" spans="2:4" x14ac:dyDescent="0.2">
      <c r="B77" s="468"/>
      <c r="C77" s="468"/>
      <c r="D77" s="525"/>
    </row>
    <row r="78" spans="2:4" x14ac:dyDescent="0.2">
      <c r="B78" s="468"/>
      <c r="C78" s="468"/>
      <c r="D78" s="525"/>
    </row>
    <row r="79" spans="2:4" x14ac:dyDescent="0.2">
      <c r="B79" s="468"/>
      <c r="C79" s="468"/>
      <c r="D79" s="525"/>
    </row>
    <row r="80" spans="2:4" x14ac:dyDescent="0.2">
      <c r="B80" s="468"/>
      <c r="C80" s="468"/>
      <c r="D80" s="525"/>
    </row>
    <row r="81" spans="2:4" x14ac:dyDescent="0.2">
      <c r="B81" s="468"/>
      <c r="C81" s="468"/>
      <c r="D81" s="525"/>
    </row>
    <row r="82" spans="2:4" x14ac:dyDescent="0.2">
      <c r="B82" s="468"/>
      <c r="C82" s="468"/>
      <c r="D82" s="525"/>
    </row>
    <row r="83" spans="2:4" x14ac:dyDescent="0.2">
      <c r="B83" s="468"/>
      <c r="C83" s="468"/>
      <c r="D83" s="525"/>
    </row>
    <row r="84" spans="2:4" x14ac:dyDescent="0.2">
      <c r="B84" s="468"/>
      <c r="C84" s="468"/>
      <c r="D84" s="525"/>
    </row>
    <row r="85" spans="2:4" x14ac:dyDescent="0.2">
      <c r="B85" s="468"/>
      <c r="C85" s="468"/>
      <c r="D85" s="525"/>
    </row>
    <row r="86" spans="2:4" x14ac:dyDescent="0.2">
      <c r="B86" s="468"/>
      <c r="C86" s="468"/>
      <c r="D86" s="525"/>
    </row>
    <row r="87" spans="2:4" x14ac:dyDescent="0.2">
      <c r="B87" s="468"/>
      <c r="C87" s="468"/>
      <c r="D87" s="525"/>
    </row>
    <row r="88" spans="2:4" x14ac:dyDescent="0.2">
      <c r="B88" s="468"/>
      <c r="C88" s="468"/>
      <c r="D88" s="525"/>
    </row>
    <row r="89" spans="2:4" x14ac:dyDescent="0.2">
      <c r="B89" s="468"/>
      <c r="C89" s="468"/>
      <c r="D89" s="525"/>
    </row>
    <row r="90" spans="2:4" x14ac:dyDescent="0.2">
      <c r="B90" s="468"/>
      <c r="C90" s="468"/>
      <c r="D90" s="525"/>
    </row>
    <row r="91" spans="2:4" x14ac:dyDescent="0.2">
      <c r="B91" s="468"/>
      <c r="C91" s="468"/>
      <c r="D91" s="525"/>
    </row>
    <row r="92" spans="2:4" x14ac:dyDescent="0.2">
      <c r="B92" s="468"/>
      <c r="C92" s="468"/>
      <c r="D92" s="525"/>
    </row>
    <row r="93" spans="2:4" x14ac:dyDescent="0.2">
      <c r="B93" s="468"/>
      <c r="C93" s="468"/>
      <c r="D93" s="525"/>
    </row>
    <row r="94" spans="2:4" x14ac:dyDescent="0.2">
      <c r="B94" s="468"/>
      <c r="C94" s="468"/>
      <c r="D94" s="525"/>
    </row>
    <row r="95" spans="2:4" x14ac:dyDescent="0.2">
      <c r="B95" s="468"/>
      <c r="C95" s="468"/>
      <c r="D95" s="525"/>
    </row>
    <row r="96" spans="2:4" x14ac:dyDescent="0.2">
      <c r="B96" s="468"/>
      <c r="C96" s="468"/>
      <c r="D96" s="525"/>
    </row>
    <row r="97" spans="2:4" x14ac:dyDescent="0.2">
      <c r="B97" s="468"/>
      <c r="C97" s="468"/>
      <c r="D97" s="525"/>
    </row>
    <row r="98" spans="2:4" x14ac:dyDescent="0.2">
      <c r="B98" s="468"/>
      <c r="C98" s="468"/>
      <c r="D98" s="525"/>
    </row>
    <row r="99" spans="2:4" x14ac:dyDescent="0.2">
      <c r="B99" s="468"/>
      <c r="C99" s="468"/>
      <c r="D99" s="525"/>
    </row>
    <row r="100" spans="2:4" x14ac:dyDescent="0.2">
      <c r="B100" s="468"/>
      <c r="C100" s="468"/>
      <c r="D100" s="525"/>
    </row>
    <row r="101" spans="2:4" x14ac:dyDescent="0.2">
      <c r="B101" s="468"/>
      <c r="C101" s="468"/>
      <c r="D101" s="525"/>
    </row>
    <row r="102" spans="2:4" x14ac:dyDescent="0.2">
      <c r="B102" s="468"/>
      <c r="C102" s="468"/>
      <c r="D102" s="525"/>
    </row>
    <row r="103" spans="2:4" x14ac:dyDescent="0.2">
      <c r="B103" s="468"/>
      <c r="C103" s="468"/>
      <c r="D103" s="525"/>
    </row>
    <row r="104" spans="2:4" x14ac:dyDescent="0.2">
      <c r="B104" s="468"/>
      <c r="C104" s="468"/>
      <c r="D104" s="525"/>
    </row>
    <row r="105" spans="2:4" x14ac:dyDescent="0.2">
      <c r="B105" s="468"/>
      <c r="C105" s="468"/>
      <c r="D105" s="525"/>
    </row>
    <row r="106" spans="2:4" x14ac:dyDescent="0.2">
      <c r="B106" s="468"/>
      <c r="C106" s="468"/>
      <c r="D106" s="525"/>
    </row>
    <row r="107" spans="2:4" x14ac:dyDescent="0.2">
      <c r="B107" s="468"/>
      <c r="C107" s="468"/>
      <c r="D107" s="525"/>
    </row>
    <row r="108" spans="2:4" x14ac:dyDescent="0.2">
      <c r="B108" s="468"/>
      <c r="C108" s="468"/>
      <c r="D108" s="525"/>
    </row>
    <row r="109" spans="2:4" x14ac:dyDescent="0.2">
      <c r="B109" s="468"/>
      <c r="C109" s="468"/>
      <c r="D109" s="525"/>
    </row>
    <row r="110" spans="2:4" x14ac:dyDescent="0.2">
      <c r="B110" s="468"/>
      <c r="C110" s="468"/>
      <c r="D110" s="525"/>
    </row>
    <row r="111" spans="2:4" x14ac:dyDescent="0.2">
      <c r="B111" s="468"/>
      <c r="C111" s="468"/>
      <c r="D111" s="525"/>
    </row>
    <row r="112" spans="2:4" x14ac:dyDescent="0.2">
      <c r="B112" s="468"/>
      <c r="C112" s="468"/>
      <c r="D112" s="525"/>
    </row>
    <row r="113" spans="2:4" x14ac:dyDescent="0.2">
      <c r="B113" s="468"/>
      <c r="C113" s="468"/>
      <c r="D113" s="525"/>
    </row>
    <row r="114" spans="2:4" x14ac:dyDescent="0.2">
      <c r="B114" s="468"/>
      <c r="C114" s="468"/>
      <c r="D114" s="525"/>
    </row>
    <row r="115" spans="2:4" x14ac:dyDescent="0.2">
      <c r="B115" s="468"/>
      <c r="C115" s="468"/>
      <c r="D115" s="525"/>
    </row>
    <row r="116" spans="2:4" x14ac:dyDescent="0.2">
      <c r="B116" s="468"/>
      <c r="C116" s="468"/>
      <c r="D116" s="525"/>
    </row>
    <row r="117" spans="2:4" x14ac:dyDescent="0.2">
      <c r="B117" s="468"/>
      <c r="C117" s="468"/>
      <c r="D117" s="525"/>
    </row>
    <row r="118" spans="2:4" x14ac:dyDescent="0.2">
      <c r="B118" s="468"/>
      <c r="C118" s="468"/>
      <c r="D118" s="525"/>
    </row>
    <row r="119" spans="2:4" x14ac:dyDescent="0.2">
      <c r="B119" s="468"/>
      <c r="C119" s="468"/>
      <c r="D119" s="525"/>
    </row>
    <row r="120" spans="2:4" x14ac:dyDescent="0.2">
      <c r="B120" s="468"/>
      <c r="C120" s="468"/>
      <c r="D120" s="525"/>
    </row>
    <row r="121" spans="2:4" x14ac:dyDescent="0.2">
      <c r="B121" s="468"/>
      <c r="C121" s="468"/>
      <c r="D121" s="525"/>
    </row>
    <row r="122" spans="2:4" x14ac:dyDescent="0.2">
      <c r="B122" s="468"/>
      <c r="C122" s="468"/>
      <c r="D122" s="525"/>
    </row>
    <row r="123" spans="2:4" x14ac:dyDescent="0.2">
      <c r="B123" s="468"/>
      <c r="C123" s="468"/>
      <c r="D123" s="525"/>
    </row>
    <row r="124" spans="2:4" x14ac:dyDescent="0.2">
      <c r="B124" s="468"/>
      <c r="C124" s="468"/>
      <c r="D124" s="525"/>
    </row>
    <row r="125" spans="2:4" x14ac:dyDescent="0.2">
      <c r="B125" s="468"/>
      <c r="C125" s="468"/>
      <c r="D125" s="525"/>
    </row>
    <row r="126" spans="2:4" x14ac:dyDescent="0.2">
      <c r="B126" s="468"/>
      <c r="C126" s="468"/>
      <c r="D126" s="525"/>
    </row>
    <row r="127" spans="2:4" x14ac:dyDescent="0.2">
      <c r="B127" s="468"/>
      <c r="C127" s="468"/>
      <c r="D127" s="525"/>
    </row>
    <row r="128" spans="2:4" x14ac:dyDescent="0.2">
      <c r="B128" s="468"/>
      <c r="C128" s="468"/>
      <c r="D128" s="525"/>
    </row>
    <row r="129" spans="2:4" x14ac:dyDescent="0.2">
      <c r="B129" s="468"/>
      <c r="C129" s="468"/>
      <c r="D129" s="525"/>
    </row>
    <row r="130" spans="2:4" x14ac:dyDescent="0.2">
      <c r="B130" s="468"/>
      <c r="C130" s="468"/>
      <c r="D130" s="525"/>
    </row>
    <row r="131" spans="2:4" x14ac:dyDescent="0.2">
      <c r="B131" s="468"/>
      <c r="C131" s="468"/>
      <c r="D131" s="525"/>
    </row>
    <row r="132" spans="2:4" x14ac:dyDescent="0.2">
      <c r="B132" s="468"/>
      <c r="C132" s="468"/>
      <c r="D132" s="525"/>
    </row>
    <row r="133" spans="2:4" x14ac:dyDescent="0.2">
      <c r="B133" s="468"/>
      <c r="C133" s="468"/>
      <c r="D133" s="525"/>
    </row>
    <row r="134" spans="2:4" x14ac:dyDescent="0.2">
      <c r="B134" s="468"/>
      <c r="C134" s="468"/>
      <c r="D134" s="525"/>
    </row>
    <row r="135" spans="2:4" x14ac:dyDescent="0.2">
      <c r="B135" s="468"/>
      <c r="C135" s="468"/>
      <c r="D135" s="525"/>
    </row>
    <row r="136" spans="2:4" x14ac:dyDescent="0.2">
      <c r="B136" s="468"/>
      <c r="C136" s="468"/>
      <c r="D136" s="525"/>
    </row>
    <row r="137" spans="2:4" x14ac:dyDescent="0.2">
      <c r="B137" s="468"/>
      <c r="C137" s="468"/>
      <c r="D137" s="525"/>
    </row>
    <row r="138" spans="2:4" x14ac:dyDescent="0.2">
      <c r="B138" s="468"/>
      <c r="C138" s="468"/>
      <c r="D138" s="525"/>
    </row>
    <row r="139" spans="2:4" x14ac:dyDescent="0.2">
      <c r="B139" s="468"/>
      <c r="C139" s="468"/>
      <c r="D139" s="525"/>
    </row>
    <row r="140" spans="2:4" x14ac:dyDescent="0.2">
      <c r="B140" s="468"/>
      <c r="C140" s="468"/>
      <c r="D140" s="525"/>
    </row>
    <row r="141" spans="2:4" x14ac:dyDescent="0.2">
      <c r="B141" s="468"/>
      <c r="C141" s="468"/>
      <c r="D141" s="525"/>
    </row>
    <row r="142" spans="2:4" x14ac:dyDescent="0.2">
      <c r="B142" s="468"/>
      <c r="C142" s="468"/>
      <c r="D142" s="525"/>
    </row>
    <row r="143" spans="2:4" x14ac:dyDescent="0.2">
      <c r="B143" s="468"/>
      <c r="C143" s="468"/>
      <c r="D143" s="525"/>
    </row>
    <row r="144" spans="2:4" x14ac:dyDescent="0.2">
      <c r="B144" s="468"/>
      <c r="C144" s="468"/>
      <c r="D144" s="525"/>
    </row>
    <row r="145" spans="2:4" x14ac:dyDescent="0.2">
      <c r="B145" s="468"/>
      <c r="C145" s="468"/>
      <c r="D145" s="525"/>
    </row>
    <row r="146" spans="2:4" x14ac:dyDescent="0.2">
      <c r="B146" s="468"/>
      <c r="C146" s="468"/>
      <c r="D146" s="525"/>
    </row>
    <row r="147" spans="2:4" x14ac:dyDescent="0.2">
      <c r="B147" s="468"/>
      <c r="C147" s="468"/>
      <c r="D147" s="525"/>
    </row>
    <row r="148" spans="2:4" x14ac:dyDescent="0.2">
      <c r="B148" s="468"/>
      <c r="C148" s="468"/>
      <c r="D148" s="525"/>
    </row>
    <row r="149" spans="2:4" x14ac:dyDescent="0.2">
      <c r="B149" s="468"/>
      <c r="C149" s="468"/>
      <c r="D149" s="525"/>
    </row>
    <row r="150" spans="2:4" x14ac:dyDescent="0.2">
      <c r="B150" s="468"/>
      <c r="C150" s="468"/>
      <c r="D150" s="525"/>
    </row>
    <row r="151" spans="2:4" x14ac:dyDescent="0.2">
      <c r="B151" s="468"/>
      <c r="C151" s="468"/>
      <c r="D151" s="525"/>
    </row>
    <row r="152" spans="2:4" x14ac:dyDescent="0.2">
      <c r="B152" s="468"/>
      <c r="C152" s="468"/>
      <c r="D152" s="525"/>
    </row>
    <row r="153" spans="2:4" x14ac:dyDescent="0.2">
      <c r="B153" s="468"/>
      <c r="C153" s="468"/>
      <c r="D153" s="525"/>
    </row>
    <row r="154" spans="2:4" x14ac:dyDescent="0.2">
      <c r="B154" s="468"/>
      <c r="C154" s="468"/>
      <c r="D154" s="525"/>
    </row>
    <row r="155" spans="2:4" x14ac:dyDescent="0.2">
      <c r="B155" s="468"/>
      <c r="C155" s="468"/>
      <c r="D155" s="525"/>
    </row>
    <row r="156" spans="2:4" x14ac:dyDescent="0.2">
      <c r="B156" s="468"/>
      <c r="C156" s="468"/>
      <c r="D156" s="525"/>
    </row>
    <row r="157" spans="2:4" x14ac:dyDescent="0.2">
      <c r="B157" s="468"/>
      <c r="C157" s="468"/>
      <c r="D157" s="525"/>
    </row>
    <row r="158" spans="2:4" x14ac:dyDescent="0.2">
      <c r="B158" s="468"/>
      <c r="C158" s="468"/>
      <c r="D158" s="525"/>
    </row>
    <row r="159" spans="2:4" x14ac:dyDescent="0.2">
      <c r="B159" s="468"/>
      <c r="C159" s="468"/>
      <c r="D159" s="525"/>
    </row>
    <row r="160" spans="2:4" x14ac:dyDescent="0.2">
      <c r="B160" s="468"/>
      <c r="C160" s="468"/>
      <c r="D160" s="525"/>
    </row>
    <row r="161" spans="2:4" x14ac:dyDescent="0.2">
      <c r="B161" s="468"/>
      <c r="C161" s="468"/>
      <c r="D161" s="525"/>
    </row>
    <row r="162" spans="2:4" x14ac:dyDescent="0.2">
      <c r="B162" s="468"/>
      <c r="C162" s="468"/>
      <c r="D162" s="525"/>
    </row>
    <row r="163" spans="2:4" x14ac:dyDescent="0.2">
      <c r="B163" s="468"/>
      <c r="C163" s="468"/>
      <c r="D163" s="525"/>
    </row>
    <row r="164" spans="2:4" x14ac:dyDescent="0.2">
      <c r="B164" s="468"/>
      <c r="C164" s="468"/>
      <c r="D164" s="525"/>
    </row>
    <row r="165" spans="2:4" x14ac:dyDescent="0.2">
      <c r="B165" s="468"/>
      <c r="C165" s="468"/>
      <c r="D165" s="525"/>
    </row>
    <row r="166" spans="2:4" x14ac:dyDescent="0.2">
      <c r="B166" s="468"/>
      <c r="C166" s="468"/>
      <c r="D166" s="525"/>
    </row>
    <row r="167" spans="2:4" x14ac:dyDescent="0.2">
      <c r="B167" s="468"/>
      <c r="C167" s="468"/>
      <c r="D167" s="525"/>
    </row>
    <row r="168" spans="2:4" x14ac:dyDescent="0.2">
      <c r="B168" s="468"/>
      <c r="C168" s="468"/>
      <c r="D168" s="525"/>
    </row>
    <row r="169" spans="2:4" x14ac:dyDescent="0.2">
      <c r="B169" s="468"/>
      <c r="C169" s="468"/>
      <c r="D169" s="525"/>
    </row>
    <row r="170" spans="2:4" x14ac:dyDescent="0.2">
      <c r="B170" s="468"/>
      <c r="C170" s="468"/>
      <c r="D170" s="525"/>
    </row>
    <row r="171" spans="2:4" x14ac:dyDescent="0.2">
      <c r="B171" s="468"/>
      <c r="C171" s="468"/>
      <c r="D171" s="525"/>
    </row>
    <row r="172" spans="2:4" x14ac:dyDescent="0.2">
      <c r="B172" s="468"/>
      <c r="C172" s="468"/>
      <c r="D172" s="525"/>
    </row>
    <row r="173" spans="2:4" x14ac:dyDescent="0.2">
      <c r="B173" s="468"/>
      <c r="C173" s="468"/>
      <c r="D173" s="525"/>
    </row>
    <row r="174" spans="2:4" x14ac:dyDescent="0.2">
      <c r="B174" s="468"/>
      <c r="C174" s="468"/>
      <c r="D174" s="525"/>
    </row>
    <row r="175" spans="2:4" x14ac:dyDescent="0.2">
      <c r="B175" s="468"/>
      <c r="C175" s="468"/>
      <c r="D175" s="525"/>
    </row>
    <row r="176" spans="2:4" x14ac:dyDescent="0.2">
      <c r="B176" s="468"/>
      <c r="C176" s="468"/>
      <c r="D176" s="525"/>
    </row>
    <row r="177" spans="2:4" x14ac:dyDescent="0.2">
      <c r="B177" s="468"/>
      <c r="C177" s="468"/>
      <c r="D177" s="525"/>
    </row>
    <row r="178" spans="2:4" x14ac:dyDescent="0.2">
      <c r="B178" s="468"/>
      <c r="C178" s="468"/>
      <c r="D178" s="525"/>
    </row>
    <row r="179" spans="2:4" x14ac:dyDescent="0.2">
      <c r="B179" s="468"/>
      <c r="C179" s="468"/>
      <c r="D179" s="525"/>
    </row>
    <row r="180" spans="2:4" x14ac:dyDescent="0.2">
      <c r="B180" s="468"/>
      <c r="C180" s="468"/>
      <c r="D180" s="525"/>
    </row>
    <row r="181" spans="2:4" x14ac:dyDescent="0.2">
      <c r="B181" s="468"/>
      <c r="C181" s="468"/>
      <c r="D181" s="525"/>
    </row>
    <row r="182" spans="2:4" x14ac:dyDescent="0.2">
      <c r="B182" s="468"/>
      <c r="C182" s="468"/>
      <c r="D182" s="525"/>
    </row>
    <row r="183" spans="2:4" x14ac:dyDescent="0.2">
      <c r="B183" s="468"/>
      <c r="C183" s="468"/>
      <c r="D183" s="525"/>
    </row>
    <row r="184" spans="2:4" x14ac:dyDescent="0.2">
      <c r="B184" s="468"/>
      <c r="C184" s="468"/>
      <c r="D184" s="525"/>
    </row>
    <row r="185" spans="2:4" x14ac:dyDescent="0.2">
      <c r="B185" s="468"/>
      <c r="C185" s="468"/>
      <c r="D185" s="525"/>
    </row>
    <row r="186" spans="2:4" x14ac:dyDescent="0.2">
      <c r="B186" s="468"/>
      <c r="C186" s="468"/>
      <c r="D186" s="525"/>
    </row>
    <row r="187" spans="2:4" x14ac:dyDescent="0.2">
      <c r="B187" s="468"/>
      <c r="C187" s="468"/>
      <c r="D187" s="525"/>
    </row>
    <row r="188" spans="2:4" x14ac:dyDescent="0.2">
      <c r="B188" s="468"/>
      <c r="C188" s="468"/>
      <c r="D188" s="525"/>
    </row>
    <row r="189" spans="2:4" x14ac:dyDescent="0.2">
      <c r="B189" s="468"/>
      <c r="C189" s="468"/>
      <c r="D189" s="525"/>
    </row>
    <row r="190" spans="2:4" x14ac:dyDescent="0.2">
      <c r="B190" s="468"/>
      <c r="C190" s="468"/>
      <c r="D190" s="525"/>
    </row>
    <row r="191" spans="2:4" x14ac:dyDescent="0.2">
      <c r="B191" s="468"/>
      <c r="C191" s="468"/>
      <c r="D191" s="525"/>
    </row>
    <row r="192" spans="2:4" x14ac:dyDescent="0.2">
      <c r="B192" s="468"/>
      <c r="C192" s="468"/>
      <c r="D192" s="525"/>
    </row>
    <row r="193" spans="2:4" x14ac:dyDescent="0.2">
      <c r="B193" s="468"/>
      <c r="C193" s="468"/>
      <c r="D193" s="525"/>
    </row>
    <row r="194" spans="2:4" x14ac:dyDescent="0.2">
      <c r="B194" s="468"/>
      <c r="C194" s="468"/>
      <c r="D194" s="525"/>
    </row>
    <row r="195" spans="2:4" x14ac:dyDescent="0.2">
      <c r="B195" s="468"/>
      <c r="C195" s="468"/>
      <c r="D195" s="525"/>
    </row>
    <row r="196" spans="2:4" x14ac:dyDescent="0.2">
      <c r="B196" s="468"/>
      <c r="C196" s="468"/>
      <c r="D196" s="525"/>
    </row>
    <row r="197" spans="2:4" x14ac:dyDescent="0.2">
      <c r="B197" s="468"/>
      <c r="C197" s="468"/>
      <c r="D197" s="525"/>
    </row>
    <row r="198" spans="2:4" x14ac:dyDescent="0.2">
      <c r="B198" s="468"/>
      <c r="C198" s="468"/>
      <c r="D198" s="525"/>
    </row>
    <row r="199" spans="2:4" x14ac:dyDescent="0.2">
      <c r="B199" s="468"/>
      <c r="C199" s="468"/>
      <c r="D199" s="525"/>
    </row>
    <row r="200" spans="2:4" x14ac:dyDescent="0.2">
      <c r="B200" s="468"/>
      <c r="C200" s="468"/>
      <c r="D200" s="525"/>
    </row>
    <row r="201" spans="2:4" x14ac:dyDescent="0.2">
      <c r="B201" s="468"/>
      <c r="C201" s="468"/>
      <c r="D201" s="525"/>
    </row>
    <row r="202" spans="2:4" x14ac:dyDescent="0.2">
      <c r="B202" s="468"/>
      <c r="C202" s="468"/>
      <c r="D202" s="525"/>
    </row>
    <row r="203" spans="2:4" x14ac:dyDescent="0.2">
      <c r="B203" s="468"/>
      <c r="C203" s="468"/>
      <c r="D203" s="525"/>
    </row>
    <row r="204" spans="2:4" x14ac:dyDescent="0.2">
      <c r="B204" s="468"/>
      <c r="C204" s="468"/>
      <c r="D204" s="525"/>
    </row>
    <row r="205" spans="2:4" x14ac:dyDescent="0.2">
      <c r="B205" s="468"/>
      <c r="C205" s="468"/>
      <c r="D205" s="525"/>
    </row>
    <row r="206" spans="2:4" x14ac:dyDescent="0.2">
      <c r="B206" s="468"/>
      <c r="C206" s="468"/>
      <c r="D206" s="525"/>
    </row>
    <row r="207" spans="2:4" x14ac:dyDescent="0.2">
      <c r="B207" s="468"/>
      <c r="C207" s="468"/>
      <c r="D207" s="525"/>
    </row>
    <row r="208" spans="2:4" x14ac:dyDescent="0.2">
      <c r="B208" s="468"/>
      <c r="C208" s="468"/>
      <c r="D208" s="525"/>
    </row>
    <row r="209" spans="2:4" x14ac:dyDescent="0.2">
      <c r="B209" s="468"/>
      <c r="C209" s="468"/>
      <c r="D209" s="525"/>
    </row>
    <row r="210" spans="2:4" x14ac:dyDescent="0.2">
      <c r="B210" s="468"/>
      <c r="C210" s="468"/>
      <c r="D210" s="525"/>
    </row>
    <row r="211" spans="2:4" x14ac:dyDescent="0.2">
      <c r="B211" s="468"/>
      <c r="C211" s="468"/>
      <c r="D211" s="525"/>
    </row>
    <row r="212" spans="2:4" x14ac:dyDescent="0.2">
      <c r="B212" s="468"/>
      <c r="C212" s="468"/>
      <c r="D212" s="525"/>
    </row>
    <row r="213" spans="2:4" x14ac:dyDescent="0.2">
      <c r="B213" s="468"/>
      <c r="C213" s="468"/>
      <c r="D213" s="525"/>
    </row>
    <row r="214" spans="2:4" x14ac:dyDescent="0.2">
      <c r="B214" s="468"/>
      <c r="C214" s="468"/>
      <c r="D214" s="525"/>
    </row>
    <row r="215" spans="2:4" x14ac:dyDescent="0.2">
      <c r="B215" s="468"/>
      <c r="C215" s="468"/>
      <c r="D215" s="525"/>
    </row>
    <row r="216" spans="2:4" x14ac:dyDescent="0.2">
      <c r="B216" s="468"/>
      <c r="C216" s="468"/>
      <c r="D216" s="525"/>
    </row>
    <row r="217" spans="2:4" x14ac:dyDescent="0.2">
      <c r="B217" s="468"/>
      <c r="C217" s="468"/>
      <c r="D217" s="525"/>
    </row>
    <row r="218" spans="2:4" x14ac:dyDescent="0.2">
      <c r="B218" s="468"/>
      <c r="C218" s="468"/>
      <c r="D218" s="525"/>
    </row>
    <row r="219" spans="2:4" x14ac:dyDescent="0.2">
      <c r="B219" s="468"/>
      <c r="C219" s="468"/>
      <c r="D219" s="525"/>
    </row>
    <row r="220" spans="2:4" x14ac:dyDescent="0.2">
      <c r="B220" s="468"/>
      <c r="C220" s="468"/>
      <c r="D220" s="525"/>
    </row>
    <row r="221" spans="2:4" x14ac:dyDescent="0.2">
      <c r="B221" s="468"/>
      <c r="C221" s="468"/>
      <c r="D221" s="525"/>
    </row>
    <row r="222" spans="2:4" x14ac:dyDescent="0.2">
      <c r="B222" s="468"/>
      <c r="C222" s="468"/>
      <c r="D222" s="525"/>
    </row>
    <row r="223" spans="2:4" x14ac:dyDescent="0.2">
      <c r="B223" s="468"/>
      <c r="C223" s="468"/>
      <c r="D223" s="525"/>
    </row>
    <row r="224" spans="2:4" x14ac:dyDescent="0.2">
      <c r="B224" s="468"/>
      <c r="C224" s="468"/>
      <c r="D224" s="525"/>
    </row>
    <row r="225" spans="2:4" x14ac:dyDescent="0.2">
      <c r="B225" s="468"/>
      <c r="C225" s="468"/>
      <c r="D225" s="525"/>
    </row>
    <row r="226" spans="2:4" x14ac:dyDescent="0.2">
      <c r="B226" s="468"/>
      <c r="C226" s="468"/>
      <c r="D226" s="525"/>
    </row>
    <row r="227" spans="2:4" x14ac:dyDescent="0.2">
      <c r="B227" s="468"/>
      <c r="C227" s="468"/>
      <c r="D227" s="525"/>
    </row>
    <row r="228" spans="2:4" x14ac:dyDescent="0.2">
      <c r="B228" s="468"/>
      <c r="C228" s="468"/>
      <c r="D228" s="525"/>
    </row>
    <row r="229" spans="2:4" x14ac:dyDescent="0.2">
      <c r="B229" s="468"/>
      <c r="C229" s="468"/>
      <c r="D229" s="525"/>
    </row>
    <row r="230" spans="2:4" x14ac:dyDescent="0.2">
      <c r="B230" s="468"/>
      <c r="C230" s="468"/>
      <c r="D230" s="525"/>
    </row>
    <row r="231" spans="2:4" x14ac:dyDescent="0.2">
      <c r="B231" s="468"/>
      <c r="C231" s="468"/>
      <c r="D231" s="525"/>
    </row>
    <row r="232" spans="2:4" x14ac:dyDescent="0.2">
      <c r="B232" s="468"/>
      <c r="C232" s="468"/>
      <c r="D232" s="525"/>
    </row>
    <row r="233" spans="2:4" x14ac:dyDescent="0.2">
      <c r="B233" s="468"/>
      <c r="C233" s="468"/>
      <c r="D233" s="525"/>
    </row>
    <row r="234" spans="2:4" x14ac:dyDescent="0.2">
      <c r="B234" s="468"/>
      <c r="C234" s="468"/>
      <c r="D234" s="525"/>
    </row>
    <row r="235" spans="2:4" x14ac:dyDescent="0.2">
      <c r="B235" s="468"/>
      <c r="C235" s="468"/>
      <c r="D235" s="525"/>
    </row>
    <row r="236" spans="2:4" x14ac:dyDescent="0.2">
      <c r="B236" s="468"/>
      <c r="C236" s="468"/>
      <c r="D236" s="525"/>
    </row>
    <row r="237" spans="2:4" x14ac:dyDescent="0.2">
      <c r="B237" s="468"/>
      <c r="C237" s="468"/>
      <c r="D237" s="525"/>
    </row>
    <row r="238" spans="2:4" x14ac:dyDescent="0.2">
      <c r="B238" s="468"/>
      <c r="C238" s="468"/>
      <c r="D238" s="525"/>
    </row>
    <row r="239" spans="2:4" x14ac:dyDescent="0.2">
      <c r="B239" s="468"/>
      <c r="C239" s="468"/>
      <c r="D239" s="525"/>
    </row>
    <row r="240" spans="2:4" x14ac:dyDescent="0.2">
      <c r="B240" s="468"/>
      <c r="C240" s="468"/>
      <c r="D240" s="525"/>
    </row>
    <row r="241" spans="2:4" x14ac:dyDescent="0.2">
      <c r="B241" s="468"/>
      <c r="C241" s="468"/>
      <c r="D241" s="525"/>
    </row>
    <row r="242" spans="2:4" x14ac:dyDescent="0.2">
      <c r="B242" s="468"/>
      <c r="C242" s="468"/>
      <c r="D242" s="525"/>
    </row>
    <row r="243" spans="2:4" x14ac:dyDescent="0.2">
      <c r="B243" s="468"/>
      <c r="C243" s="468"/>
      <c r="D243" s="525"/>
    </row>
    <row r="244" spans="2:4" x14ac:dyDescent="0.2">
      <c r="B244" s="468"/>
      <c r="C244" s="468"/>
      <c r="D244" s="525"/>
    </row>
    <row r="245" spans="2:4" x14ac:dyDescent="0.2">
      <c r="B245" s="468"/>
      <c r="C245" s="468"/>
      <c r="D245" s="525"/>
    </row>
    <row r="246" spans="2:4" x14ac:dyDescent="0.2">
      <c r="B246" s="468"/>
      <c r="C246" s="468"/>
      <c r="D246" s="525"/>
    </row>
    <row r="247" spans="2:4" x14ac:dyDescent="0.2">
      <c r="B247" s="468"/>
      <c r="C247" s="468"/>
      <c r="D247" s="525"/>
    </row>
    <row r="248" spans="2:4" x14ac:dyDescent="0.2">
      <c r="B248" s="468"/>
      <c r="C248" s="468"/>
      <c r="D248" s="525"/>
    </row>
    <row r="249" spans="2:4" x14ac:dyDescent="0.2">
      <c r="B249" s="468"/>
      <c r="C249" s="468"/>
      <c r="D249" s="525"/>
    </row>
    <row r="250" spans="2:4" x14ac:dyDescent="0.2">
      <c r="B250" s="468"/>
      <c r="C250" s="468"/>
      <c r="D250" s="525"/>
    </row>
    <row r="251" spans="2:4" x14ac:dyDescent="0.2">
      <c r="B251" s="468"/>
      <c r="C251" s="468"/>
      <c r="D251" s="525"/>
    </row>
    <row r="252" spans="2:4" x14ac:dyDescent="0.2">
      <c r="B252" s="468"/>
      <c r="C252" s="468"/>
      <c r="D252" s="525"/>
    </row>
    <row r="253" spans="2:4" x14ac:dyDescent="0.2">
      <c r="B253" s="468"/>
      <c r="C253" s="468"/>
      <c r="D253" s="525"/>
    </row>
    <row r="254" spans="2:4" x14ac:dyDescent="0.2">
      <c r="B254" s="468"/>
      <c r="C254" s="468"/>
      <c r="D254" s="525"/>
    </row>
    <row r="255" spans="2:4" x14ac:dyDescent="0.2">
      <c r="B255" s="468"/>
      <c r="C255" s="468"/>
      <c r="D255" s="525"/>
    </row>
    <row r="256" spans="2:4" x14ac:dyDescent="0.2">
      <c r="B256" s="468"/>
      <c r="C256" s="468"/>
      <c r="D256" s="525"/>
    </row>
    <row r="257" spans="2:4" x14ac:dyDescent="0.2">
      <c r="B257" s="468"/>
      <c r="C257" s="468"/>
      <c r="D257" s="525"/>
    </row>
    <row r="258" spans="2:4" x14ac:dyDescent="0.2">
      <c r="B258" s="468"/>
      <c r="C258" s="468"/>
      <c r="D258" s="525"/>
    </row>
    <row r="259" spans="2:4" x14ac:dyDescent="0.2">
      <c r="B259" s="468"/>
      <c r="C259" s="468"/>
      <c r="D259" s="525"/>
    </row>
    <row r="260" spans="2:4" x14ac:dyDescent="0.2">
      <c r="B260" s="468"/>
      <c r="C260" s="468"/>
      <c r="D260" s="525"/>
    </row>
    <row r="261" spans="2:4" x14ac:dyDescent="0.2">
      <c r="B261" s="468"/>
      <c r="C261" s="468"/>
      <c r="D261" s="525"/>
    </row>
    <row r="262" spans="2:4" x14ac:dyDescent="0.2">
      <c r="B262" s="468"/>
      <c r="C262" s="468"/>
      <c r="D262" s="525"/>
    </row>
    <row r="263" spans="2:4" x14ac:dyDescent="0.2">
      <c r="B263" s="468"/>
      <c r="C263" s="468"/>
      <c r="D263" s="525"/>
    </row>
    <row r="264" spans="2:4" x14ac:dyDescent="0.2">
      <c r="B264" s="468"/>
      <c r="C264" s="468"/>
      <c r="D264" s="525"/>
    </row>
    <row r="265" spans="2:4" x14ac:dyDescent="0.2">
      <c r="B265" s="468"/>
      <c r="C265" s="468"/>
      <c r="D265" s="525"/>
    </row>
    <row r="266" spans="2:4" x14ac:dyDescent="0.2">
      <c r="B266" s="468"/>
      <c r="C266" s="468"/>
      <c r="D266" s="525"/>
    </row>
    <row r="267" spans="2:4" x14ac:dyDescent="0.2">
      <c r="B267" s="468"/>
      <c r="C267" s="468"/>
      <c r="D267" s="525"/>
    </row>
    <row r="268" spans="2:4" x14ac:dyDescent="0.2">
      <c r="B268" s="468"/>
      <c r="C268" s="468"/>
      <c r="D268" s="525"/>
    </row>
    <row r="269" spans="2:4" x14ac:dyDescent="0.2">
      <c r="B269" s="468"/>
      <c r="C269" s="468"/>
      <c r="D269" s="525"/>
    </row>
    <row r="270" spans="2:4" x14ac:dyDescent="0.2">
      <c r="B270" s="468"/>
      <c r="C270" s="468"/>
      <c r="D270" s="525"/>
    </row>
    <row r="271" spans="2:4" x14ac:dyDescent="0.2">
      <c r="B271" s="468"/>
      <c r="C271" s="468"/>
      <c r="D271" s="525"/>
    </row>
    <row r="272" spans="2:4" x14ac:dyDescent="0.2">
      <c r="B272" s="468"/>
      <c r="C272" s="468"/>
      <c r="D272" s="525"/>
    </row>
    <row r="273" spans="2:4" x14ac:dyDescent="0.2">
      <c r="B273" s="468"/>
      <c r="C273" s="468"/>
      <c r="D273" s="525"/>
    </row>
    <row r="274" spans="2:4" x14ac:dyDescent="0.2">
      <c r="B274" s="468"/>
      <c r="C274" s="468"/>
      <c r="D274" s="525"/>
    </row>
    <row r="275" spans="2:4" x14ac:dyDescent="0.2">
      <c r="B275" s="468"/>
      <c r="C275" s="468"/>
      <c r="D275" s="525"/>
    </row>
    <row r="276" spans="2:4" x14ac:dyDescent="0.2">
      <c r="B276" s="468"/>
      <c r="C276" s="468"/>
      <c r="D276" s="525"/>
    </row>
    <row r="277" spans="2:4" x14ac:dyDescent="0.2">
      <c r="B277" s="468"/>
      <c r="C277" s="468"/>
      <c r="D277" s="525"/>
    </row>
    <row r="278" spans="2:4" x14ac:dyDescent="0.2">
      <c r="B278" s="468"/>
      <c r="C278" s="468"/>
      <c r="D278" s="525"/>
    </row>
    <row r="279" spans="2:4" x14ac:dyDescent="0.2">
      <c r="B279" s="468"/>
      <c r="C279" s="468"/>
      <c r="D279" s="525"/>
    </row>
    <row r="280" spans="2:4" x14ac:dyDescent="0.2">
      <c r="B280" s="468"/>
      <c r="C280" s="468"/>
      <c r="D280" s="525"/>
    </row>
    <row r="281" spans="2:4" x14ac:dyDescent="0.2">
      <c r="B281" s="468"/>
      <c r="C281" s="468"/>
      <c r="D281" s="525"/>
    </row>
    <row r="282" spans="2:4" x14ac:dyDescent="0.2">
      <c r="B282" s="468"/>
      <c r="C282" s="468"/>
      <c r="D282" s="525"/>
    </row>
    <row r="283" spans="2:4" x14ac:dyDescent="0.2">
      <c r="B283" s="468"/>
      <c r="C283" s="468"/>
      <c r="D283" s="525"/>
    </row>
    <row r="284" spans="2:4" x14ac:dyDescent="0.2">
      <c r="B284" s="468"/>
      <c r="C284" s="468"/>
      <c r="D284" s="525"/>
    </row>
    <row r="285" spans="2:4" x14ac:dyDescent="0.2">
      <c r="B285" s="468"/>
      <c r="C285" s="468"/>
      <c r="D285" s="525"/>
    </row>
    <row r="286" spans="2:4" x14ac:dyDescent="0.2">
      <c r="B286" s="468"/>
      <c r="C286" s="468"/>
      <c r="D286" s="525"/>
    </row>
    <row r="287" spans="2:4" x14ac:dyDescent="0.2">
      <c r="B287" s="468"/>
      <c r="C287" s="468"/>
      <c r="D287" s="525"/>
    </row>
    <row r="288" spans="2:4" x14ac:dyDescent="0.2">
      <c r="B288" s="468"/>
      <c r="C288" s="468"/>
      <c r="D288" s="525"/>
    </row>
    <row r="289" spans="2:4" x14ac:dyDescent="0.2">
      <c r="B289" s="468"/>
      <c r="C289" s="468"/>
      <c r="D289" s="525"/>
    </row>
    <row r="290" spans="2:4" x14ac:dyDescent="0.2">
      <c r="B290" s="468"/>
      <c r="C290" s="468"/>
      <c r="D290" s="525"/>
    </row>
    <row r="291" spans="2:4" x14ac:dyDescent="0.2">
      <c r="B291" s="468"/>
      <c r="C291" s="468"/>
      <c r="D291" s="525"/>
    </row>
    <row r="292" spans="2:4" x14ac:dyDescent="0.2">
      <c r="B292" s="468"/>
      <c r="C292" s="468"/>
      <c r="D292" s="525"/>
    </row>
    <row r="293" spans="2:4" x14ac:dyDescent="0.2">
      <c r="B293" s="468"/>
      <c r="C293" s="468"/>
      <c r="D293" s="525"/>
    </row>
    <row r="294" spans="2:4" x14ac:dyDescent="0.2">
      <c r="B294" s="468"/>
      <c r="C294" s="468"/>
      <c r="D294" s="525"/>
    </row>
    <row r="295" spans="2:4" x14ac:dyDescent="0.2">
      <c r="B295" s="468"/>
      <c r="C295" s="468"/>
      <c r="D295" s="525"/>
    </row>
    <row r="296" spans="2:4" x14ac:dyDescent="0.2">
      <c r="B296" s="468"/>
      <c r="C296" s="468"/>
      <c r="D296" s="525"/>
    </row>
    <row r="297" spans="2:4" x14ac:dyDescent="0.2">
      <c r="B297" s="468"/>
      <c r="C297" s="468"/>
      <c r="D297" s="525"/>
    </row>
    <row r="298" spans="2:4" x14ac:dyDescent="0.2">
      <c r="B298" s="468"/>
      <c r="C298" s="468"/>
      <c r="D298" s="525"/>
    </row>
    <row r="299" spans="2:4" x14ac:dyDescent="0.2">
      <c r="B299" s="468"/>
      <c r="C299" s="468"/>
      <c r="D299" s="525"/>
    </row>
    <row r="300" spans="2:4" x14ac:dyDescent="0.2">
      <c r="B300" s="468"/>
      <c r="C300" s="468"/>
      <c r="D300" s="525"/>
    </row>
    <row r="301" spans="2:4" x14ac:dyDescent="0.2">
      <c r="B301" s="468"/>
      <c r="C301" s="468"/>
      <c r="D301" s="525"/>
    </row>
    <row r="302" spans="2:4" x14ac:dyDescent="0.2">
      <c r="B302" s="468"/>
      <c r="C302" s="468"/>
      <c r="D302" s="525"/>
    </row>
    <row r="303" spans="2:4" x14ac:dyDescent="0.2">
      <c r="B303" s="468"/>
      <c r="C303" s="468"/>
      <c r="D303" s="525"/>
    </row>
    <row r="304" spans="2:4" x14ac:dyDescent="0.2">
      <c r="B304" s="468"/>
      <c r="C304" s="468"/>
      <c r="D304" s="525"/>
    </row>
    <row r="305" spans="2:4" x14ac:dyDescent="0.2">
      <c r="B305" s="468"/>
      <c r="C305" s="468"/>
      <c r="D305" s="525"/>
    </row>
    <row r="306" spans="2:4" x14ac:dyDescent="0.2">
      <c r="B306" s="468"/>
      <c r="C306" s="468"/>
      <c r="D306" s="525"/>
    </row>
    <row r="307" spans="2:4" x14ac:dyDescent="0.2">
      <c r="B307" s="468"/>
      <c r="C307" s="468"/>
      <c r="D307" s="525"/>
    </row>
    <row r="308" spans="2:4" x14ac:dyDescent="0.2">
      <c r="B308" s="468"/>
      <c r="C308" s="468"/>
      <c r="D308" s="525"/>
    </row>
    <row r="309" spans="2:4" x14ac:dyDescent="0.2">
      <c r="B309" s="468"/>
      <c r="C309" s="468"/>
      <c r="D309" s="525"/>
    </row>
    <row r="310" spans="2:4" x14ac:dyDescent="0.2">
      <c r="B310" s="468"/>
      <c r="C310" s="468"/>
      <c r="D310" s="525"/>
    </row>
    <row r="311" spans="2:4" x14ac:dyDescent="0.2">
      <c r="B311" s="468"/>
      <c r="C311" s="468"/>
      <c r="D311" s="525"/>
    </row>
    <row r="312" spans="2:4" x14ac:dyDescent="0.2">
      <c r="B312" s="468"/>
      <c r="C312" s="468"/>
      <c r="D312" s="525"/>
    </row>
    <row r="313" spans="2:4" x14ac:dyDescent="0.2">
      <c r="B313" s="468"/>
      <c r="C313" s="468"/>
      <c r="D313" s="525"/>
    </row>
    <row r="314" spans="2:4" x14ac:dyDescent="0.2">
      <c r="B314" s="468"/>
      <c r="C314" s="468"/>
      <c r="D314" s="525"/>
    </row>
    <row r="315" spans="2:4" x14ac:dyDescent="0.2">
      <c r="B315" s="468"/>
      <c r="C315" s="468"/>
      <c r="D315" s="525"/>
    </row>
    <row r="316" spans="2:4" x14ac:dyDescent="0.2">
      <c r="B316" s="468"/>
      <c r="C316" s="468"/>
      <c r="D316" s="525"/>
    </row>
    <row r="317" spans="2:4" x14ac:dyDescent="0.2">
      <c r="B317" s="468"/>
      <c r="C317" s="468"/>
      <c r="D317" s="525"/>
    </row>
    <row r="318" spans="2:4" x14ac:dyDescent="0.2">
      <c r="B318" s="468"/>
      <c r="C318" s="468"/>
      <c r="D318" s="525"/>
    </row>
    <row r="319" spans="2:4" x14ac:dyDescent="0.2">
      <c r="B319" s="468"/>
      <c r="C319" s="468"/>
      <c r="D319" s="525"/>
    </row>
    <row r="320" spans="2:4" x14ac:dyDescent="0.2">
      <c r="B320" s="468"/>
      <c r="C320" s="468"/>
      <c r="D320" s="525"/>
    </row>
    <row r="321" spans="2:4" x14ac:dyDescent="0.2">
      <c r="B321" s="468"/>
      <c r="C321" s="468"/>
      <c r="D321" s="525"/>
    </row>
    <row r="322" spans="2:4" x14ac:dyDescent="0.2">
      <c r="B322" s="468"/>
      <c r="C322" s="468"/>
      <c r="D322" s="525"/>
    </row>
    <row r="323" spans="2:4" x14ac:dyDescent="0.2">
      <c r="B323" s="468"/>
      <c r="C323" s="468"/>
      <c r="D323" s="525"/>
    </row>
    <row r="324" spans="2:4" x14ac:dyDescent="0.2">
      <c r="B324" s="468"/>
      <c r="C324" s="468"/>
      <c r="D324" s="525"/>
    </row>
    <row r="325" spans="2:4" x14ac:dyDescent="0.2">
      <c r="B325" s="468"/>
      <c r="C325" s="468"/>
      <c r="D325" s="525"/>
    </row>
    <row r="326" spans="2:4" x14ac:dyDescent="0.2">
      <c r="B326" s="468"/>
      <c r="C326" s="468"/>
      <c r="D326" s="525"/>
    </row>
    <row r="327" spans="2:4" x14ac:dyDescent="0.2">
      <c r="B327" s="468"/>
      <c r="C327" s="468"/>
      <c r="D327" s="525"/>
    </row>
    <row r="328" spans="2:4" x14ac:dyDescent="0.2">
      <c r="B328" s="468"/>
      <c r="C328" s="468"/>
      <c r="D328" s="525"/>
    </row>
    <row r="329" spans="2:4" x14ac:dyDescent="0.2">
      <c r="B329" s="468"/>
      <c r="C329" s="468"/>
      <c r="D329" s="525"/>
    </row>
    <row r="330" spans="2:4" x14ac:dyDescent="0.2">
      <c r="B330" s="468"/>
      <c r="C330" s="468"/>
      <c r="D330" s="525"/>
    </row>
    <row r="331" spans="2:4" x14ac:dyDescent="0.2">
      <c r="B331" s="468"/>
      <c r="C331" s="468"/>
      <c r="D331" s="525"/>
    </row>
    <row r="332" spans="2:4" x14ac:dyDescent="0.2">
      <c r="B332" s="468"/>
      <c r="C332" s="468"/>
      <c r="D332" s="525"/>
    </row>
    <row r="333" spans="2:4" x14ac:dyDescent="0.2">
      <c r="B333" s="468"/>
      <c r="C333" s="468"/>
      <c r="D333" s="525"/>
    </row>
    <row r="334" spans="2:4" x14ac:dyDescent="0.2">
      <c r="B334" s="468"/>
      <c r="C334" s="468"/>
      <c r="D334" s="525"/>
    </row>
    <row r="335" spans="2:4" x14ac:dyDescent="0.2">
      <c r="B335" s="468"/>
      <c r="C335" s="468"/>
      <c r="D335" s="525"/>
    </row>
    <row r="336" spans="2:4" x14ac:dyDescent="0.2">
      <c r="B336" s="468"/>
      <c r="C336" s="468"/>
      <c r="D336" s="525"/>
    </row>
    <row r="337" spans="2:4" x14ac:dyDescent="0.2">
      <c r="B337" s="468"/>
      <c r="C337" s="468"/>
      <c r="D337" s="525"/>
    </row>
    <row r="338" spans="2:4" x14ac:dyDescent="0.2">
      <c r="B338" s="468"/>
      <c r="C338" s="468"/>
      <c r="D338" s="525"/>
    </row>
    <row r="339" spans="2:4" x14ac:dyDescent="0.2">
      <c r="B339" s="468"/>
      <c r="C339" s="468"/>
      <c r="D339" s="525"/>
    </row>
    <row r="340" spans="2:4" x14ac:dyDescent="0.2">
      <c r="B340" s="468"/>
      <c r="C340" s="468"/>
      <c r="D340" s="525"/>
    </row>
    <row r="341" spans="2:4" x14ac:dyDescent="0.2">
      <c r="B341" s="468"/>
      <c r="C341" s="468"/>
      <c r="D341" s="525"/>
    </row>
    <row r="342" spans="2:4" x14ac:dyDescent="0.2">
      <c r="B342" s="468"/>
      <c r="C342" s="468"/>
      <c r="D342" s="525"/>
    </row>
    <row r="343" spans="2:4" x14ac:dyDescent="0.2">
      <c r="B343" s="468"/>
      <c r="C343" s="468"/>
      <c r="D343" s="525"/>
    </row>
    <row r="344" spans="2:4" x14ac:dyDescent="0.2">
      <c r="B344" s="468"/>
      <c r="C344" s="468"/>
      <c r="D344" s="525"/>
    </row>
    <row r="345" spans="2:4" x14ac:dyDescent="0.2">
      <c r="B345" s="468"/>
      <c r="C345" s="468"/>
      <c r="D345" s="525"/>
    </row>
    <row r="346" spans="2:4" x14ac:dyDescent="0.2">
      <c r="B346" s="468"/>
      <c r="C346" s="468"/>
      <c r="D346" s="525"/>
    </row>
    <row r="347" spans="2:4" x14ac:dyDescent="0.2">
      <c r="B347" s="468"/>
      <c r="C347" s="468"/>
      <c r="D347" s="525"/>
    </row>
    <row r="348" spans="2:4" x14ac:dyDescent="0.2">
      <c r="B348" s="468"/>
      <c r="C348" s="468"/>
      <c r="D348" s="525"/>
    </row>
    <row r="349" spans="2:4" x14ac:dyDescent="0.2">
      <c r="B349" s="468"/>
      <c r="C349" s="468"/>
      <c r="D349" s="525"/>
    </row>
    <row r="350" spans="2:4" x14ac:dyDescent="0.2">
      <c r="B350" s="468"/>
      <c r="C350" s="468"/>
      <c r="D350" s="525"/>
    </row>
    <row r="351" spans="2:4" x14ac:dyDescent="0.2">
      <c r="B351" s="468"/>
      <c r="C351" s="468"/>
      <c r="D351" s="525"/>
    </row>
    <row r="352" spans="2:4" x14ac:dyDescent="0.2">
      <c r="B352" s="468"/>
      <c r="C352" s="468"/>
      <c r="D352" s="525"/>
    </row>
    <row r="353" spans="2:4" x14ac:dyDescent="0.2">
      <c r="B353" s="468"/>
      <c r="C353" s="468"/>
      <c r="D353" s="525"/>
    </row>
    <row r="354" spans="2:4" x14ac:dyDescent="0.2">
      <c r="B354" s="468"/>
      <c r="C354" s="468"/>
      <c r="D354" s="525"/>
    </row>
    <row r="355" spans="2:4" x14ac:dyDescent="0.2">
      <c r="B355" s="468"/>
      <c r="C355" s="468"/>
      <c r="D355" s="525"/>
    </row>
    <row r="356" spans="2:4" x14ac:dyDescent="0.2">
      <c r="B356" s="468"/>
      <c r="C356" s="468"/>
      <c r="D356" s="525"/>
    </row>
    <row r="357" spans="2:4" x14ac:dyDescent="0.2">
      <c r="B357" s="468"/>
      <c r="C357" s="468"/>
      <c r="D357" s="525"/>
    </row>
    <row r="358" spans="2:4" x14ac:dyDescent="0.2">
      <c r="B358" s="468"/>
      <c r="C358" s="468"/>
      <c r="D358" s="525"/>
    </row>
    <row r="359" spans="2:4" x14ac:dyDescent="0.2">
      <c r="B359" s="468"/>
      <c r="C359" s="468"/>
      <c r="D359" s="525"/>
    </row>
    <row r="360" spans="2:4" x14ac:dyDescent="0.2">
      <c r="B360" s="468"/>
      <c r="C360" s="468"/>
      <c r="D360" s="525"/>
    </row>
    <row r="361" spans="2:4" x14ac:dyDescent="0.2">
      <c r="B361" s="468"/>
      <c r="C361" s="468"/>
      <c r="D361" s="525"/>
    </row>
    <row r="362" spans="2:4" x14ac:dyDescent="0.2">
      <c r="B362" s="468"/>
      <c r="C362" s="468"/>
      <c r="D362" s="525"/>
    </row>
    <row r="363" spans="2:4" x14ac:dyDescent="0.2">
      <c r="B363" s="468"/>
      <c r="C363" s="468"/>
      <c r="D363" s="525"/>
    </row>
    <row r="364" spans="2:4" x14ac:dyDescent="0.2">
      <c r="B364" s="468"/>
      <c r="C364" s="468"/>
      <c r="D364" s="525"/>
    </row>
    <row r="365" spans="2:4" x14ac:dyDescent="0.2">
      <c r="B365" s="468"/>
      <c r="C365" s="468"/>
      <c r="D365" s="525"/>
    </row>
    <row r="366" spans="2:4" x14ac:dyDescent="0.2">
      <c r="B366" s="468"/>
      <c r="C366" s="468"/>
      <c r="D366" s="525"/>
    </row>
    <row r="367" spans="2:4" x14ac:dyDescent="0.2">
      <c r="B367" s="468"/>
      <c r="C367" s="468"/>
      <c r="D367" s="525"/>
    </row>
    <row r="368" spans="2:4" x14ac:dyDescent="0.2">
      <c r="B368" s="468"/>
      <c r="C368" s="468"/>
      <c r="D368" s="525"/>
    </row>
    <row r="369" spans="2:4" x14ac:dyDescent="0.2">
      <c r="B369" s="468"/>
      <c r="C369" s="468"/>
      <c r="D369" s="525"/>
    </row>
    <row r="370" spans="2:4" x14ac:dyDescent="0.2">
      <c r="B370" s="468"/>
      <c r="C370" s="468"/>
      <c r="D370" s="525"/>
    </row>
    <row r="371" spans="2:4" x14ac:dyDescent="0.2">
      <c r="B371" s="468"/>
      <c r="C371" s="468"/>
      <c r="D371" s="525"/>
    </row>
    <row r="372" spans="2:4" x14ac:dyDescent="0.2">
      <c r="B372" s="468"/>
      <c r="C372" s="468"/>
      <c r="D372" s="525"/>
    </row>
    <row r="373" spans="2:4" x14ac:dyDescent="0.2">
      <c r="B373" s="468"/>
      <c r="C373" s="468"/>
      <c r="D373" s="525"/>
    </row>
    <row r="374" spans="2:4" x14ac:dyDescent="0.2">
      <c r="B374" s="468"/>
      <c r="C374" s="468"/>
      <c r="D374" s="525"/>
    </row>
    <row r="375" spans="2:4" x14ac:dyDescent="0.2">
      <c r="B375" s="468"/>
      <c r="C375" s="468"/>
      <c r="D375" s="525"/>
    </row>
    <row r="376" spans="2:4" x14ac:dyDescent="0.2">
      <c r="B376" s="468"/>
      <c r="C376" s="468"/>
      <c r="D376" s="525"/>
    </row>
    <row r="377" spans="2:4" x14ac:dyDescent="0.2">
      <c r="B377" s="468"/>
      <c r="C377" s="468"/>
      <c r="D377" s="525"/>
    </row>
    <row r="378" spans="2:4" x14ac:dyDescent="0.2">
      <c r="B378" s="468"/>
      <c r="C378" s="468"/>
      <c r="D378" s="525"/>
    </row>
    <row r="379" spans="2:4" x14ac:dyDescent="0.2">
      <c r="B379" s="468"/>
      <c r="C379" s="468"/>
      <c r="D379" s="525"/>
    </row>
    <row r="380" spans="2:4" x14ac:dyDescent="0.2">
      <c r="B380" s="468"/>
      <c r="C380" s="468"/>
      <c r="D380" s="525"/>
    </row>
    <row r="381" spans="2:4" x14ac:dyDescent="0.2">
      <c r="B381" s="468"/>
      <c r="C381" s="468"/>
      <c r="D381" s="525"/>
    </row>
    <row r="382" spans="2:4" x14ac:dyDescent="0.2">
      <c r="B382" s="468"/>
      <c r="C382" s="468"/>
      <c r="D382" s="525"/>
    </row>
    <row r="383" spans="2:4" x14ac:dyDescent="0.2">
      <c r="B383" s="468"/>
      <c r="C383" s="468"/>
      <c r="D383" s="525"/>
    </row>
    <row r="384" spans="2:4" x14ac:dyDescent="0.2">
      <c r="B384" s="468"/>
      <c r="C384" s="468"/>
      <c r="D384" s="525"/>
    </row>
    <row r="385" spans="2:4" x14ac:dyDescent="0.2">
      <c r="B385" s="468"/>
      <c r="C385" s="468"/>
      <c r="D385" s="525"/>
    </row>
    <row r="386" spans="2:4" x14ac:dyDescent="0.2">
      <c r="B386" s="468"/>
      <c r="C386" s="468"/>
      <c r="D386" s="525"/>
    </row>
    <row r="387" spans="2:4" x14ac:dyDescent="0.2">
      <c r="B387" s="468"/>
      <c r="C387" s="468"/>
      <c r="D387" s="525"/>
    </row>
    <row r="388" spans="2:4" x14ac:dyDescent="0.2">
      <c r="B388" s="468"/>
      <c r="C388" s="468"/>
      <c r="D388" s="525"/>
    </row>
    <row r="389" spans="2:4" x14ac:dyDescent="0.2">
      <c r="B389" s="468"/>
      <c r="C389" s="468"/>
      <c r="D389" s="525"/>
    </row>
    <row r="390" spans="2:4" x14ac:dyDescent="0.2">
      <c r="B390" s="468"/>
      <c r="C390" s="468"/>
      <c r="D390" s="525"/>
    </row>
    <row r="391" spans="2:4" x14ac:dyDescent="0.2">
      <c r="B391" s="468"/>
      <c r="C391" s="468"/>
      <c r="D391" s="525"/>
    </row>
    <row r="392" spans="2:4" x14ac:dyDescent="0.2">
      <c r="B392" s="468"/>
      <c r="C392" s="468"/>
      <c r="D392" s="525"/>
    </row>
    <row r="393" spans="2:4" x14ac:dyDescent="0.2">
      <c r="B393" s="468"/>
      <c r="C393" s="468"/>
      <c r="D393" s="525"/>
    </row>
    <row r="394" spans="2:4" x14ac:dyDescent="0.2">
      <c r="B394" s="468"/>
      <c r="C394" s="468"/>
      <c r="D394" s="525"/>
    </row>
    <row r="395" spans="2:4" x14ac:dyDescent="0.2">
      <c r="B395" s="468"/>
      <c r="C395" s="468"/>
      <c r="D395" s="525"/>
    </row>
    <row r="396" spans="2:4" x14ac:dyDescent="0.2">
      <c r="B396" s="468"/>
      <c r="C396" s="468"/>
      <c r="D396" s="525"/>
    </row>
    <row r="397" spans="2:4" x14ac:dyDescent="0.2">
      <c r="B397" s="468"/>
      <c r="C397" s="468"/>
      <c r="D397" s="525"/>
    </row>
    <row r="398" spans="2:4" x14ac:dyDescent="0.2">
      <c r="B398" s="468"/>
      <c r="C398" s="468"/>
      <c r="D398" s="525"/>
    </row>
    <row r="399" spans="2:4" x14ac:dyDescent="0.2">
      <c r="B399" s="468"/>
      <c r="C399" s="468"/>
      <c r="D399" s="525"/>
    </row>
    <row r="400" spans="2:4" x14ac:dyDescent="0.2">
      <c r="B400" s="468"/>
      <c r="C400" s="468"/>
      <c r="D400" s="525"/>
    </row>
    <row r="401" spans="2:4" x14ac:dyDescent="0.2">
      <c r="B401" s="468"/>
      <c r="C401" s="468"/>
      <c r="D401" s="525"/>
    </row>
    <row r="402" spans="2:4" x14ac:dyDescent="0.2">
      <c r="B402" s="468"/>
      <c r="C402" s="468"/>
      <c r="D402" s="525"/>
    </row>
    <row r="403" spans="2:4" x14ac:dyDescent="0.2">
      <c r="B403" s="468"/>
      <c r="C403" s="468"/>
      <c r="D403" s="525"/>
    </row>
    <row r="404" spans="2:4" x14ac:dyDescent="0.2">
      <c r="B404" s="468"/>
      <c r="C404" s="468"/>
      <c r="D404" s="525"/>
    </row>
    <row r="405" spans="2:4" x14ac:dyDescent="0.2">
      <c r="B405" s="468"/>
      <c r="C405" s="468"/>
      <c r="D405" s="525"/>
    </row>
    <row r="406" spans="2:4" x14ac:dyDescent="0.2">
      <c r="B406" s="468"/>
      <c r="C406" s="468"/>
      <c r="D406" s="525"/>
    </row>
    <row r="407" spans="2:4" x14ac:dyDescent="0.2">
      <c r="B407" s="468"/>
      <c r="C407" s="468"/>
      <c r="D407" s="525"/>
    </row>
    <row r="408" spans="2:4" x14ac:dyDescent="0.2">
      <c r="B408" s="468"/>
      <c r="C408" s="468"/>
      <c r="D408" s="525"/>
    </row>
    <row r="409" spans="2:4" x14ac:dyDescent="0.2">
      <c r="B409" s="468"/>
      <c r="C409" s="468"/>
      <c r="D409" s="525"/>
    </row>
    <row r="410" spans="2:4" x14ac:dyDescent="0.2">
      <c r="B410" s="468"/>
      <c r="C410" s="468"/>
      <c r="D410" s="525"/>
    </row>
    <row r="411" spans="2:4" x14ac:dyDescent="0.2">
      <c r="B411" s="468"/>
      <c r="C411" s="468"/>
      <c r="D411" s="525"/>
    </row>
    <row r="412" spans="2:4" x14ac:dyDescent="0.2">
      <c r="B412" s="468"/>
      <c r="C412" s="468"/>
      <c r="D412" s="525"/>
    </row>
    <row r="413" spans="2:4" x14ac:dyDescent="0.2">
      <c r="B413" s="468"/>
      <c r="C413" s="468"/>
      <c r="D413" s="525"/>
    </row>
    <row r="414" spans="2:4" x14ac:dyDescent="0.2">
      <c r="B414" s="468"/>
      <c r="C414" s="468"/>
      <c r="D414" s="525"/>
    </row>
    <row r="415" spans="2:4" x14ac:dyDescent="0.2">
      <c r="B415" s="468"/>
      <c r="C415" s="468"/>
      <c r="D415" s="525"/>
    </row>
    <row r="416" spans="2:4" x14ac:dyDescent="0.2">
      <c r="B416" s="468"/>
      <c r="C416" s="468"/>
      <c r="D416" s="525"/>
    </row>
    <row r="417" spans="2:4" x14ac:dyDescent="0.2">
      <c r="B417" s="468"/>
      <c r="C417" s="468"/>
      <c r="D417" s="525"/>
    </row>
    <row r="418" spans="2:4" x14ac:dyDescent="0.2">
      <c r="B418" s="468"/>
      <c r="C418" s="468"/>
      <c r="D418" s="525"/>
    </row>
    <row r="419" spans="2:4" x14ac:dyDescent="0.2">
      <c r="B419" s="468"/>
      <c r="C419" s="468"/>
      <c r="D419" s="525"/>
    </row>
    <row r="420" spans="2:4" x14ac:dyDescent="0.2">
      <c r="B420" s="468"/>
      <c r="C420" s="468"/>
      <c r="D420" s="525"/>
    </row>
    <row r="421" spans="2:4" x14ac:dyDescent="0.2">
      <c r="B421" s="468"/>
      <c r="C421" s="468"/>
      <c r="D421" s="525"/>
    </row>
    <row r="422" spans="2:4" x14ac:dyDescent="0.2">
      <c r="B422" s="468"/>
      <c r="C422" s="468"/>
      <c r="D422" s="525"/>
    </row>
    <row r="423" spans="2:4" x14ac:dyDescent="0.2">
      <c r="B423" s="468"/>
      <c r="C423" s="468"/>
      <c r="D423" s="525"/>
    </row>
    <row r="424" spans="2:4" x14ac:dyDescent="0.2">
      <c r="B424" s="468"/>
      <c r="C424" s="468"/>
      <c r="D424" s="525"/>
    </row>
    <row r="425" spans="2:4" x14ac:dyDescent="0.2">
      <c r="B425" s="468"/>
      <c r="C425" s="468"/>
      <c r="D425" s="525"/>
    </row>
    <row r="426" spans="2:4" x14ac:dyDescent="0.2">
      <c r="B426" s="468"/>
      <c r="C426" s="468"/>
      <c r="D426" s="525"/>
    </row>
    <row r="427" spans="2:4" x14ac:dyDescent="0.2">
      <c r="B427" s="468"/>
      <c r="C427" s="468"/>
      <c r="D427" s="525"/>
    </row>
    <row r="428" spans="2:4" x14ac:dyDescent="0.2">
      <c r="B428" s="468"/>
      <c r="C428" s="468"/>
      <c r="D428" s="525"/>
    </row>
    <row r="429" spans="2:4" x14ac:dyDescent="0.2">
      <c r="B429" s="468"/>
      <c r="C429" s="468"/>
      <c r="D429" s="525"/>
    </row>
    <row r="430" spans="2:4" x14ac:dyDescent="0.2">
      <c r="B430" s="468"/>
      <c r="C430" s="468"/>
      <c r="D430" s="525"/>
    </row>
    <row r="431" spans="2:4" x14ac:dyDescent="0.2">
      <c r="B431" s="468"/>
      <c r="C431" s="468"/>
      <c r="D431" s="525"/>
    </row>
    <row r="432" spans="2:4" x14ac:dyDescent="0.2">
      <c r="B432" s="468"/>
      <c r="C432" s="468"/>
      <c r="D432" s="525"/>
    </row>
    <row r="433" spans="2:4" x14ac:dyDescent="0.2">
      <c r="B433" s="468"/>
      <c r="C433" s="468"/>
      <c r="D433" s="525"/>
    </row>
    <row r="434" spans="2:4" x14ac:dyDescent="0.2">
      <c r="B434" s="468"/>
      <c r="C434" s="468"/>
      <c r="D434" s="525"/>
    </row>
    <row r="435" spans="2:4" x14ac:dyDescent="0.2">
      <c r="B435" s="468"/>
      <c r="C435" s="468"/>
      <c r="D435" s="525"/>
    </row>
    <row r="436" spans="2:4" x14ac:dyDescent="0.2">
      <c r="B436" s="468"/>
      <c r="C436" s="468"/>
      <c r="D436" s="525"/>
    </row>
    <row r="437" spans="2:4" x14ac:dyDescent="0.2">
      <c r="B437" s="468"/>
      <c r="C437" s="468"/>
      <c r="D437" s="525"/>
    </row>
    <row r="438" spans="2:4" x14ac:dyDescent="0.2">
      <c r="B438" s="468"/>
      <c r="C438" s="468"/>
      <c r="D438" s="525"/>
    </row>
    <row r="439" spans="2:4" x14ac:dyDescent="0.2">
      <c r="B439" s="468"/>
      <c r="C439" s="468"/>
      <c r="D439" s="525"/>
    </row>
    <row r="440" spans="2:4" x14ac:dyDescent="0.2">
      <c r="B440" s="468"/>
      <c r="C440" s="468"/>
      <c r="D440" s="525"/>
    </row>
    <row r="441" spans="2:4" x14ac:dyDescent="0.2">
      <c r="B441" s="468"/>
      <c r="C441" s="468"/>
      <c r="D441" s="525"/>
    </row>
    <row r="442" spans="2:4" x14ac:dyDescent="0.2">
      <c r="B442" s="468"/>
      <c r="C442" s="468"/>
      <c r="D442" s="525"/>
    </row>
    <row r="443" spans="2:4" x14ac:dyDescent="0.2">
      <c r="B443" s="468"/>
      <c r="C443" s="468"/>
      <c r="D443" s="525"/>
    </row>
    <row r="444" spans="2:4" x14ac:dyDescent="0.2">
      <c r="B444" s="468"/>
      <c r="C444" s="468"/>
      <c r="D444" s="525"/>
    </row>
    <row r="445" spans="2:4" x14ac:dyDescent="0.2">
      <c r="B445" s="468"/>
      <c r="C445" s="468"/>
      <c r="D445" s="525"/>
    </row>
    <row r="446" spans="2:4" x14ac:dyDescent="0.2">
      <c r="B446" s="468"/>
      <c r="C446" s="468"/>
      <c r="D446" s="525"/>
    </row>
    <row r="447" spans="2:4" x14ac:dyDescent="0.2">
      <c r="B447" s="468"/>
      <c r="C447" s="468"/>
      <c r="D447" s="525"/>
    </row>
    <row r="448" spans="2:4" x14ac:dyDescent="0.2">
      <c r="B448" s="468"/>
      <c r="C448" s="468"/>
      <c r="D448" s="525"/>
    </row>
    <row r="449" spans="2:4" x14ac:dyDescent="0.2">
      <c r="B449" s="468"/>
      <c r="C449" s="468"/>
      <c r="D449" s="525"/>
    </row>
    <row r="450" spans="2:4" x14ac:dyDescent="0.2">
      <c r="B450" s="468"/>
      <c r="C450" s="468"/>
      <c r="D450" s="525"/>
    </row>
    <row r="451" spans="2:4" x14ac:dyDescent="0.2">
      <c r="B451" s="468"/>
      <c r="C451" s="468"/>
      <c r="D451" s="525"/>
    </row>
    <row r="452" spans="2:4" x14ac:dyDescent="0.2">
      <c r="B452" s="468"/>
      <c r="C452" s="468"/>
      <c r="D452" s="525"/>
    </row>
    <row r="453" spans="2:4" x14ac:dyDescent="0.2">
      <c r="B453" s="468"/>
      <c r="C453" s="468"/>
      <c r="D453" s="525"/>
    </row>
    <row r="454" spans="2:4" x14ac:dyDescent="0.2">
      <c r="B454" s="468"/>
      <c r="C454" s="468"/>
      <c r="D454" s="525"/>
    </row>
    <row r="455" spans="2:4" x14ac:dyDescent="0.2">
      <c r="B455" s="468"/>
      <c r="C455" s="468"/>
      <c r="D455" s="525"/>
    </row>
    <row r="456" spans="2:4" x14ac:dyDescent="0.2">
      <c r="B456" s="468"/>
      <c r="C456" s="468"/>
      <c r="D456" s="525"/>
    </row>
    <row r="457" spans="2:4" x14ac:dyDescent="0.2">
      <c r="B457" s="468"/>
      <c r="C457" s="468"/>
      <c r="D457" s="525"/>
    </row>
    <row r="458" spans="2:4" x14ac:dyDescent="0.2">
      <c r="B458" s="468"/>
      <c r="C458" s="468"/>
      <c r="D458" s="525"/>
    </row>
    <row r="459" spans="2:4" x14ac:dyDescent="0.2">
      <c r="B459" s="468"/>
      <c r="C459" s="468"/>
      <c r="D459" s="525"/>
    </row>
    <row r="460" spans="2:4" x14ac:dyDescent="0.2">
      <c r="B460" s="468"/>
      <c r="C460" s="468"/>
      <c r="D460" s="525"/>
    </row>
    <row r="461" spans="2:4" x14ac:dyDescent="0.2">
      <c r="B461" s="468"/>
      <c r="C461" s="468"/>
      <c r="D461" s="525"/>
    </row>
    <row r="462" spans="2:4" x14ac:dyDescent="0.2">
      <c r="B462" s="468"/>
      <c r="C462" s="468"/>
      <c r="D462" s="525"/>
    </row>
    <row r="463" spans="2:4" x14ac:dyDescent="0.2">
      <c r="B463" s="468"/>
      <c r="C463" s="468"/>
      <c r="D463" s="525"/>
    </row>
    <row r="464" spans="2:4" x14ac:dyDescent="0.2">
      <c r="B464" s="468"/>
      <c r="C464" s="468"/>
      <c r="D464" s="525"/>
    </row>
    <row r="465" spans="2:4" x14ac:dyDescent="0.2">
      <c r="B465" s="468"/>
      <c r="C465" s="468"/>
      <c r="D465" s="525"/>
    </row>
    <row r="466" spans="2:4" x14ac:dyDescent="0.2">
      <c r="B466" s="468"/>
      <c r="C466" s="468"/>
      <c r="D466" s="525"/>
    </row>
    <row r="467" spans="2:4" x14ac:dyDescent="0.2">
      <c r="B467" s="468"/>
      <c r="C467" s="468"/>
      <c r="D467" s="525"/>
    </row>
    <row r="468" spans="2:4" x14ac:dyDescent="0.2">
      <c r="B468" s="468"/>
      <c r="C468" s="468"/>
      <c r="D468" s="525"/>
    </row>
    <row r="469" spans="2:4" x14ac:dyDescent="0.2">
      <c r="B469" s="468"/>
      <c r="C469" s="468"/>
      <c r="D469" s="525"/>
    </row>
    <row r="470" spans="2:4" x14ac:dyDescent="0.2">
      <c r="B470" s="468"/>
      <c r="C470" s="468"/>
      <c r="D470" s="525"/>
    </row>
    <row r="471" spans="2:4" x14ac:dyDescent="0.2">
      <c r="B471" s="468"/>
      <c r="C471" s="468"/>
      <c r="D471" s="525"/>
    </row>
    <row r="472" spans="2:4" x14ac:dyDescent="0.2">
      <c r="B472" s="468"/>
      <c r="C472" s="468"/>
      <c r="D472" s="525"/>
    </row>
    <row r="473" spans="2:4" x14ac:dyDescent="0.2">
      <c r="B473" s="468"/>
      <c r="C473" s="468"/>
      <c r="D473" s="525"/>
    </row>
    <row r="474" spans="2:4" x14ac:dyDescent="0.2">
      <c r="B474" s="468"/>
      <c r="C474" s="468"/>
      <c r="D474" s="525"/>
    </row>
    <row r="475" spans="2:4" x14ac:dyDescent="0.2">
      <c r="B475" s="468"/>
      <c r="C475" s="468"/>
      <c r="D475" s="525"/>
    </row>
    <row r="476" spans="2:4" x14ac:dyDescent="0.2">
      <c r="B476" s="468"/>
      <c r="C476" s="468"/>
      <c r="D476" s="525"/>
    </row>
    <row r="477" spans="2:4" x14ac:dyDescent="0.2">
      <c r="B477" s="468"/>
      <c r="C477" s="468"/>
      <c r="D477" s="525"/>
    </row>
    <row r="478" spans="2:4" x14ac:dyDescent="0.2">
      <c r="B478" s="468"/>
      <c r="C478" s="468"/>
      <c r="D478" s="525"/>
    </row>
    <row r="479" spans="2:4" x14ac:dyDescent="0.2">
      <c r="B479" s="468"/>
      <c r="C479" s="468"/>
      <c r="D479" s="525"/>
    </row>
    <row r="480" spans="2:4" x14ac:dyDescent="0.2">
      <c r="B480" s="468"/>
      <c r="C480" s="468"/>
      <c r="D480" s="525"/>
    </row>
    <row r="481" spans="2:4" x14ac:dyDescent="0.2">
      <c r="B481" s="468"/>
      <c r="C481" s="468"/>
      <c r="D481" s="525"/>
    </row>
    <row r="482" spans="2:4" x14ac:dyDescent="0.2">
      <c r="B482" s="468"/>
      <c r="C482" s="468"/>
      <c r="D482" s="525"/>
    </row>
    <row r="483" spans="2:4" x14ac:dyDescent="0.2">
      <c r="B483" s="468"/>
      <c r="C483" s="468"/>
      <c r="D483" s="525"/>
    </row>
    <row r="484" spans="2:4" x14ac:dyDescent="0.2">
      <c r="B484" s="468"/>
      <c r="C484" s="468"/>
      <c r="D484" s="525"/>
    </row>
    <row r="485" spans="2:4" x14ac:dyDescent="0.2">
      <c r="B485" s="468"/>
      <c r="C485" s="468"/>
      <c r="D485" s="525"/>
    </row>
    <row r="486" spans="2:4" x14ac:dyDescent="0.2">
      <c r="B486" s="468"/>
      <c r="C486" s="468"/>
      <c r="D486" s="525"/>
    </row>
    <row r="487" spans="2:4" x14ac:dyDescent="0.2">
      <c r="B487" s="468"/>
      <c r="C487" s="468"/>
      <c r="D487" s="525"/>
    </row>
    <row r="488" spans="2:4" x14ac:dyDescent="0.2">
      <c r="B488" s="468"/>
      <c r="C488" s="468"/>
      <c r="D488" s="525"/>
    </row>
    <row r="489" spans="2:4" x14ac:dyDescent="0.2">
      <c r="B489" s="468"/>
      <c r="C489" s="468"/>
      <c r="D489" s="525"/>
    </row>
    <row r="490" spans="2:4" x14ac:dyDescent="0.2">
      <c r="B490" s="468"/>
      <c r="C490" s="468"/>
      <c r="D490" s="525"/>
    </row>
    <row r="491" spans="2:4" x14ac:dyDescent="0.2">
      <c r="B491" s="468"/>
      <c r="C491" s="468"/>
      <c r="D491" s="525"/>
    </row>
    <row r="492" spans="2:4" x14ac:dyDescent="0.2">
      <c r="B492" s="468"/>
      <c r="C492" s="468"/>
      <c r="D492" s="525"/>
    </row>
    <row r="493" spans="2:4" x14ac:dyDescent="0.2">
      <c r="B493" s="468"/>
      <c r="C493" s="468"/>
      <c r="D493" s="525"/>
    </row>
    <row r="494" spans="2:4" x14ac:dyDescent="0.2">
      <c r="B494" s="468"/>
      <c r="C494" s="468"/>
      <c r="D494" s="525"/>
    </row>
    <row r="495" spans="2:4" x14ac:dyDescent="0.2">
      <c r="B495" s="468"/>
      <c r="C495" s="468"/>
      <c r="D495" s="525"/>
    </row>
    <row r="496" spans="2:4" x14ac:dyDescent="0.2">
      <c r="B496" s="468"/>
      <c r="C496" s="468"/>
      <c r="D496" s="525"/>
    </row>
    <row r="497" spans="2:4" x14ac:dyDescent="0.2">
      <c r="B497" s="468"/>
      <c r="C497" s="468"/>
      <c r="D497" s="525"/>
    </row>
    <row r="498" spans="2:4" x14ac:dyDescent="0.2">
      <c r="B498" s="468"/>
      <c r="C498" s="468"/>
      <c r="D498" s="525"/>
    </row>
    <row r="499" spans="2:4" x14ac:dyDescent="0.2">
      <c r="B499" s="468"/>
      <c r="C499" s="468"/>
      <c r="D499" s="525"/>
    </row>
    <row r="500" spans="2:4" x14ac:dyDescent="0.2">
      <c r="B500" s="468"/>
      <c r="C500" s="468"/>
      <c r="D500" s="525"/>
    </row>
    <row r="501" spans="2:4" x14ac:dyDescent="0.2">
      <c r="B501" s="468"/>
      <c r="C501" s="468"/>
      <c r="D501" s="525"/>
    </row>
    <row r="502" spans="2:4" x14ac:dyDescent="0.2">
      <c r="B502" s="468"/>
      <c r="C502" s="468"/>
      <c r="D502" s="525"/>
    </row>
    <row r="503" spans="2:4" x14ac:dyDescent="0.2">
      <c r="B503" s="468"/>
      <c r="C503" s="468"/>
      <c r="D503" s="525"/>
    </row>
    <row r="504" spans="2:4" x14ac:dyDescent="0.2">
      <c r="B504" s="468"/>
      <c r="C504" s="468"/>
      <c r="D504" s="525"/>
    </row>
    <row r="505" spans="2:4" x14ac:dyDescent="0.2">
      <c r="B505" s="468"/>
      <c r="C505" s="468"/>
      <c r="D505" s="525"/>
    </row>
    <row r="506" spans="2:4" x14ac:dyDescent="0.2">
      <c r="B506" s="468"/>
      <c r="C506" s="468"/>
      <c r="D506" s="525"/>
    </row>
    <row r="507" spans="2:4" x14ac:dyDescent="0.2">
      <c r="B507" s="468"/>
      <c r="C507" s="468"/>
      <c r="D507" s="525"/>
    </row>
    <row r="508" spans="2:4" x14ac:dyDescent="0.2">
      <c r="B508" s="468"/>
      <c r="C508" s="468"/>
      <c r="D508" s="525"/>
    </row>
    <row r="509" spans="2:4" x14ac:dyDescent="0.2">
      <c r="B509" s="468"/>
      <c r="C509" s="468"/>
      <c r="D509" s="525"/>
    </row>
    <row r="510" spans="2:4" x14ac:dyDescent="0.2">
      <c r="B510" s="468"/>
      <c r="C510" s="468"/>
      <c r="D510" s="525"/>
    </row>
    <row r="511" spans="2:4" x14ac:dyDescent="0.2">
      <c r="B511" s="468"/>
      <c r="C511" s="468"/>
      <c r="D511" s="525"/>
    </row>
    <row r="512" spans="2:4" x14ac:dyDescent="0.2">
      <c r="B512" s="468"/>
      <c r="C512" s="468"/>
      <c r="D512" s="525"/>
    </row>
    <row r="513" spans="2:4" x14ac:dyDescent="0.2">
      <c r="B513" s="468"/>
      <c r="C513" s="468"/>
      <c r="D513" s="525"/>
    </row>
    <row r="514" spans="2:4" x14ac:dyDescent="0.2">
      <c r="B514" s="468"/>
      <c r="C514" s="468"/>
      <c r="D514" s="525"/>
    </row>
    <row r="515" spans="2:4" x14ac:dyDescent="0.2">
      <c r="B515" s="468"/>
      <c r="C515" s="468"/>
      <c r="D515" s="525"/>
    </row>
    <row r="516" spans="2:4" x14ac:dyDescent="0.2">
      <c r="B516" s="468"/>
      <c r="C516" s="468"/>
      <c r="D516" s="525"/>
    </row>
    <row r="517" spans="2:4" x14ac:dyDescent="0.2">
      <c r="B517" s="468"/>
      <c r="C517" s="468"/>
      <c r="D517" s="525"/>
    </row>
    <row r="518" spans="2:4" x14ac:dyDescent="0.2">
      <c r="B518" s="468"/>
      <c r="C518" s="468"/>
      <c r="D518" s="525"/>
    </row>
    <row r="519" spans="2:4" x14ac:dyDescent="0.2">
      <c r="B519" s="468"/>
      <c r="C519" s="468"/>
      <c r="D519" s="525"/>
    </row>
    <row r="520" spans="2:4" x14ac:dyDescent="0.2">
      <c r="B520" s="468"/>
      <c r="C520" s="468"/>
      <c r="D520" s="525"/>
    </row>
    <row r="521" spans="2:4" x14ac:dyDescent="0.2">
      <c r="B521" s="468"/>
      <c r="C521" s="468"/>
      <c r="D521" s="525"/>
    </row>
    <row r="522" spans="2:4" x14ac:dyDescent="0.2">
      <c r="B522" s="468"/>
      <c r="C522" s="468"/>
      <c r="D522" s="525"/>
    </row>
    <row r="523" spans="2:4" x14ac:dyDescent="0.2">
      <c r="B523" s="468"/>
      <c r="C523" s="468"/>
      <c r="D523" s="525"/>
    </row>
    <row r="524" spans="2:4" x14ac:dyDescent="0.2">
      <c r="B524" s="468"/>
      <c r="C524" s="468"/>
      <c r="D524" s="525"/>
    </row>
    <row r="525" spans="2:4" x14ac:dyDescent="0.2">
      <c r="B525" s="468"/>
      <c r="C525" s="468"/>
      <c r="D525" s="525"/>
    </row>
    <row r="526" spans="2:4" x14ac:dyDescent="0.2">
      <c r="B526" s="468"/>
      <c r="C526" s="468"/>
      <c r="D526" s="525"/>
    </row>
    <row r="527" spans="2:4" x14ac:dyDescent="0.2">
      <c r="B527" s="468"/>
      <c r="C527" s="468"/>
      <c r="D527" s="525"/>
    </row>
    <row r="528" spans="2:4" x14ac:dyDescent="0.2">
      <c r="B528" s="468"/>
      <c r="C528" s="468"/>
      <c r="D528" s="525"/>
    </row>
    <row r="529" spans="2:4" x14ac:dyDescent="0.2">
      <c r="B529" s="468"/>
      <c r="C529" s="468"/>
      <c r="D529" s="525"/>
    </row>
    <row r="530" spans="2:4" x14ac:dyDescent="0.2">
      <c r="B530" s="468"/>
      <c r="C530" s="468"/>
      <c r="D530" s="525"/>
    </row>
    <row r="531" spans="2:4" x14ac:dyDescent="0.2">
      <c r="B531" s="468"/>
      <c r="C531" s="468"/>
      <c r="D531" s="525"/>
    </row>
    <row r="532" spans="2:4" x14ac:dyDescent="0.2">
      <c r="B532" s="468"/>
      <c r="C532" s="468"/>
      <c r="D532" s="525"/>
    </row>
    <row r="533" spans="2:4" x14ac:dyDescent="0.2">
      <c r="B533" s="468"/>
      <c r="C533" s="468"/>
      <c r="D533" s="525"/>
    </row>
    <row r="534" spans="2:4" x14ac:dyDescent="0.2">
      <c r="B534" s="468"/>
      <c r="C534" s="468"/>
      <c r="D534" s="525"/>
    </row>
    <row r="535" spans="2:4" x14ac:dyDescent="0.2">
      <c r="B535" s="468"/>
      <c r="C535" s="468"/>
      <c r="D535" s="525"/>
    </row>
    <row r="536" spans="2:4" x14ac:dyDescent="0.2">
      <c r="B536" s="468"/>
      <c r="C536" s="468"/>
      <c r="D536" s="525"/>
    </row>
    <row r="537" spans="2:4" x14ac:dyDescent="0.2">
      <c r="B537" s="468"/>
      <c r="C537" s="468"/>
      <c r="D537" s="525"/>
    </row>
    <row r="538" spans="2:4" x14ac:dyDescent="0.2">
      <c r="B538" s="468"/>
      <c r="C538" s="468"/>
      <c r="D538" s="525"/>
    </row>
    <row r="539" spans="2:4" x14ac:dyDescent="0.2">
      <c r="B539" s="468"/>
      <c r="C539" s="468"/>
      <c r="D539" s="525"/>
    </row>
    <row r="540" spans="2:4" x14ac:dyDescent="0.2">
      <c r="B540" s="468"/>
      <c r="C540" s="468"/>
      <c r="D540" s="525"/>
    </row>
    <row r="541" spans="2:4" x14ac:dyDescent="0.2">
      <c r="B541" s="468"/>
      <c r="C541" s="468"/>
      <c r="D541" s="525"/>
    </row>
    <row r="542" spans="2:4" x14ac:dyDescent="0.2">
      <c r="B542" s="468"/>
      <c r="C542" s="468"/>
      <c r="D542" s="525"/>
    </row>
    <row r="543" spans="2:4" x14ac:dyDescent="0.2">
      <c r="B543" s="468"/>
      <c r="C543" s="468"/>
      <c r="D543" s="525"/>
    </row>
    <row r="544" spans="2:4" x14ac:dyDescent="0.2">
      <c r="B544" s="468"/>
      <c r="C544" s="468"/>
      <c r="D544" s="525"/>
    </row>
    <row r="545" spans="2:4" x14ac:dyDescent="0.2">
      <c r="B545" s="468"/>
      <c r="C545" s="468"/>
      <c r="D545" s="525"/>
    </row>
    <row r="546" spans="2:4" x14ac:dyDescent="0.2">
      <c r="B546" s="468"/>
      <c r="C546" s="468"/>
      <c r="D546" s="525"/>
    </row>
    <row r="547" spans="2:4" x14ac:dyDescent="0.2">
      <c r="B547" s="468"/>
      <c r="C547" s="468"/>
      <c r="D547" s="525"/>
    </row>
    <row r="548" spans="2:4" x14ac:dyDescent="0.2">
      <c r="B548" s="468"/>
      <c r="C548" s="468"/>
      <c r="D548" s="525"/>
    </row>
    <row r="549" spans="2:4" x14ac:dyDescent="0.2">
      <c r="B549" s="468"/>
      <c r="C549" s="468"/>
      <c r="D549" s="525"/>
    </row>
    <row r="550" spans="2:4" x14ac:dyDescent="0.2">
      <c r="B550" s="468"/>
      <c r="C550" s="468"/>
      <c r="D550" s="525"/>
    </row>
    <row r="551" spans="2:4" x14ac:dyDescent="0.2">
      <c r="B551" s="468"/>
      <c r="C551" s="468"/>
      <c r="D551" s="525"/>
    </row>
    <row r="552" spans="2:4" x14ac:dyDescent="0.2">
      <c r="B552" s="468"/>
      <c r="C552" s="468"/>
      <c r="D552" s="525"/>
    </row>
    <row r="553" spans="2:4" x14ac:dyDescent="0.2">
      <c r="B553" s="468"/>
      <c r="C553" s="468"/>
      <c r="D553" s="525"/>
    </row>
    <row r="554" spans="2:4" x14ac:dyDescent="0.2">
      <c r="B554" s="468"/>
      <c r="C554" s="468"/>
      <c r="D554" s="525"/>
    </row>
    <row r="555" spans="2:4" x14ac:dyDescent="0.2">
      <c r="B555" s="468"/>
      <c r="C555" s="468"/>
      <c r="D555" s="525"/>
    </row>
    <row r="556" spans="2:4" x14ac:dyDescent="0.2">
      <c r="B556" s="468"/>
      <c r="C556" s="468"/>
      <c r="D556" s="525"/>
    </row>
    <row r="557" spans="2:4" x14ac:dyDescent="0.2">
      <c r="B557" s="468"/>
      <c r="C557" s="468"/>
      <c r="D557" s="525"/>
    </row>
    <row r="558" spans="2:4" x14ac:dyDescent="0.2">
      <c r="B558" s="468"/>
      <c r="C558" s="468"/>
      <c r="D558" s="525"/>
    </row>
    <row r="559" spans="2:4" x14ac:dyDescent="0.2">
      <c r="B559" s="468"/>
      <c r="C559" s="468"/>
      <c r="D559" s="525"/>
    </row>
    <row r="560" spans="2:4" x14ac:dyDescent="0.2">
      <c r="B560" s="468"/>
      <c r="C560" s="468"/>
      <c r="D560" s="525"/>
    </row>
    <row r="561" spans="2:4" x14ac:dyDescent="0.2">
      <c r="B561" s="468"/>
      <c r="C561" s="468"/>
      <c r="D561" s="525"/>
    </row>
    <row r="562" spans="2:4" x14ac:dyDescent="0.2">
      <c r="B562" s="468"/>
      <c r="C562" s="468"/>
      <c r="D562" s="525"/>
    </row>
    <row r="563" spans="2:4" x14ac:dyDescent="0.2">
      <c r="B563" s="468"/>
      <c r="C563" s="468"/>
      <c r="D563" s="525"/>
    </row>
    <row r="564" spans="2:4" x14ac:dyDescent="0.2">
      <c r="B564" s="468"/>
      <c r="C564" s="468"/>
      <c r="D564" s="525"/>
    </row>
    <row r="565" spans="2:4" x14ac:dyDescent="0.2">
      <c r="B565" s="468"/>
      <c r="C565" s="468"/>
      <c r="D565" s="525"/>
    </row>
    <row r="566" spans="2:4" x14ac:dyDescent="0.2">
      <c r="B566" s="468"/>
      <c r="C566" s="468"/>
      <c r="D566" s="525"/>
    </row>
    <row r="567" spans="2:4" x14ac:dyDescent="0.2">
      <c r="B567" s="468"/>
      <c r="C567" s="468"/>
      <c r="D567" s="525"/>
    </row>
    <row r="568" spans="2:4" x14ac:dyDescent="0.2">
      <c r="B568" s="468"/>
      <c r="C568" s="468"/>
      <c r="D568" s="525"/>
    </row>
    <row r="569" spans="2:4" x14ac:dyDescent="0.2">
      <c r="B569" s="468"/>
      <c r="C569" s="468"/>
      <c r="D569" s="525"/>
    </row>
    <row r="570" spans="2:4" x14ac:dyDescent="0.2">
      <c r="B570" s="468"/>
      <c r="C570" s="468"/>
      <c r="D570" s="525"/>
    </row>
    <row r="571" spans="2:4" x14ac:dyDescent="0.2">
      <c r="B571" s="468"/>
      <c r="C571" s="468"/>
      <c r="D571" s="525"/>
    </row>
    <row r="572" spans="2:4" x14ac:dyDescent="0.2">
      <c r="B572" s="468"/>
      <c r="C572" s="468"/>
      <c r="D572" s="525"/>
    </row>
    <row r="573" spans="2:4" x14ac:dyDescent="0.2">
      <c r="B573" s="468"/>
      <c r="C573" s="468"/>
      <c r="D573" s="525"/>
    </row>
    <row r="574" spans="2:4" x14ac:dyDescent="0.2">
      <c r="B574" s="468"/>
      <c r="C574" s="468"/>
      <c r="D574" s="525"/>
    </row>
    <row r="575" spans="2:4" x14ac:dyDescent="0.2">
      <c r="B575" s="468"/>
      <c r="C575" s="468"/>
      <c r="D575" s="525"/>
    </row>
    <row r="576" spans="2:4" x14ac:dyDescent="0.2">
      <c r="B576" s="468"/>
      <c r="C576" s="468"/>
      <c r="D576" s="525"/>
    </row>
    <row r="577" spans="2:4" x14ac:dyDescent="0.2">
      <c r="B577" s="468"/>
      <c r="C577" s="468"/>
      <c r="D577" s="525"/>
    </row>
    <row r="578" spans="2:4" x14ac:dyDescent="0.2">
      <c r="B578" s="468"/>
      <c r="C578" s="468"/>
      <c r="D578" s="525"/>
    </row>
    <row r="579" spans="2:4" x14ac:dyDescent="0.2">
      <c r="B579" s="468"/>
      <c r="C579" s="468"/>
      <c r="D579" s="525"/>
    </row>
    <row r="580" spans="2:4" x14ac:dyDescent="0.2">
      <c r="B580" s="468"/>
      <c r="C580" s="468"/>
      <c r="D580" s="525"/>
    </row>
    <row r="581" spans="2:4" x14ac:dyDescent="0.2">
      <c r="B581" s="468"/>
      <c r="C581" s="468"/>
      <c r="D581" s="525"/>
    </row>
    <row r="582" spans="2:4" x14ac:dyDescent="0.2">
      <c r="B582" s="468"/>
      <c r="C582" s="468"/>
      <c r="D582" s="525"/>
    </row>
    <row r="583" spans="2:4" x14ac:dyDescent="0.2">
      <c r="B583" s="468"/>
      <c r="C583" s="468"/>
      <c r="D583" s="525"/>
    </row>
    <row r="584" spans="2:4" x14ac:dyDescent="0.2">
      <c r="B584" s="468"/>
      <c r="C584" s="468"/>
      <c r="D584" s="525"/>
    </row>
    <row r="585" spans="2:4" x14ac:dyDescent="0.2">
      <c r="B585" s="468"/>
      <c r="C585" s="468"/>
      <c r="D585" s="525"/>
    </row>
    <row r="586" spans="2:4" x14ac:dyDescent="0.2">
      <c r="B586" s="468"/>
      <c r="C586" s="468"/>
      <c r="D586" s="525"/>
    </row>
    <row r="587" spans="2:4" x14ac:dyDescent="0.2">
      <c r="B587" s="468"/>
      <c r="C587" s="468"/>
      <c r="D587" s="525"/>
    </row>
    <row r="588" spans="2:4" x14ac:dyDescent="0.2">
      <c r="B588" s="468"/>
      <c r="C588" s="468"/>
      <c r="D588" s="525"/>
    </row>
    <row r="589" spans="2:4" x14ac:dyDescent="0.2">
      <c r="B589" s="468"/>
      <c r="C589" s="468"/>
      <c r="D589" s="525"/>
    </row>
    <row r="590" spans="2:4" x14ac:dyDescent="0.2">
      <c r="B590" s="468"/>
      <c r="C590" s="468"/>
      <c r="D590" s="525"/>
    </row>
    <row r="591" spans="2:4" x14ac:dyDescent="0.2">
      <c r="B591" s="468"/>
      <c r="C591" s="468"/>
      <c r="D591" s="525"/>
    </row>
    <row r="592" spans="2:4" x14ac:dyDescent="0.2">
      <c r="B592" s="468"/>
      <c r="C592" s="468"/>
      <c r="D592" s="525"/>
    </row>
    <row r="593" spans="2:4" x14ac:dyDescent="0.2">
      <c r="B593" s="468"/>
      <c r="C593" s="468"/>
      <c r="D593" s="525"/>
    </row>
    <row r="594" spans="2:4" x14ac:dyDescent="0.2">
      <c r="B594" s="468"/>
      <c r="C594" s="468"/>
      <c r="D594" s="525"/>
    </row>
    <row r="595" spans="2:4" x14ac:dyDescent="0.2">
      <c r="B595" s="468"/>
      <c r="C595" s="468"/>
      <c r="D595" s="525"/>
    </row>
    <row r="596" spans="2:4" x14ac:dyDescent="0.2">
      <c r="B596" s="468"/>
      <c r="C596" s="468"/>
      <c r="D596" s="525"/>
    </row>
    <row r="597" spans="2:4" x14ac:dyDescent="0.2">
      <c r="B597" s="468"/>
      <c r="C597" s="468"/>
      <c r="D597" s="525"/>
    </row>
    <row r="598" spans="2:4" x14ac:dyDescent="0.2">
      <c r="B598" s="468"/>
      <c r="C598" s="468"/>
      <c r="D598" s="525"/>
    </row>
    <row r="599" spans="2:4" x14ac:dyDescent="0.2">
      <c r="B599" s="468"/>
      <c r="C599" s="468"/>
      <c r="D599" s="525"/>
    </row>
    <row r="600" spans="2:4" x14ac:dyDescent="0.2">
      <c r="B600" s="468"/>
      <c r="C600" s="468"/>
      <c r="D600" s="525"/>
    </row>
    <row r="601" spans="2:4" x14ac:dyDescent="0.2">
      <c r="B601" s="468"/>
      <c r="C601" s="468"/>
      <c r="D601" s="525"/>
    </row>
    <row r="602" spans="2:4" x14ac:dyDescent="0.2">
      <c r="B602" s="468"/>
      <c r="C602" s="468"/>
      <c r="D602" s="525"/>
    </row>
    <row r="603" spans="2:4" x14ac:dyDescent="0.2">
      <c r="B603" s="468"/>
      <c r="C603" s="468"/>
      <c r="D603" s="525"/>
    </row>
    <row r="604" spans="2:4" x14ac:dyDescent="0.2">
      <c r="B604" s="468"/>
      <c r="C604" s="468"/>
      <c r="D604" s="525"/>
    </row>
    <row r="605" spans="2:4" x14ac:dyDescent="0.2">
      <c r="B605" s="468"/>
      <c r="C605" s="468"/>
      <c r="D605" s="525"/>
    </row>
    <row r="606" spans="2:4" x14ac:dyDescent="0.2">
      <c r="B606" s="468"/>
      <c r="C606" s="468"/>
      <c r="D606" s="525"/>
    </row>
    <row r="607" spans="2:4" x14ac:dyDescent="0.2">
      <c r="B607" s="468"/>
      <c r="C607" s="468"/>
      <c r="D607" s="525"/>
    </row>
    <row r="608" spans="2:4" x14ac:dyDescent="0.2">
      <c r="B608" s="468"/>
      <c r="C608" s="468"/>
      <c r="D608" s="525"/>
    </row>
    <row r="609" spans="2:4" x14ac:dyDescent="0.2">
      <c r="B609" s="468"/>
      <c r="C609" s="468"/>
      <c r="D609" s="525"/>
    </row>
    <row r="610" spans="2:4" x14ac:dyDescent="0.2">
      <c r="B610" s="468"/>
      <c r="C610" s="468"/>
      <c r="D610" s="525"/>
    </row>
    <row r="611" spans="2:4" x14ac:dyDescent="0.2">
      <c r="B611" s="468"/>
      <c r="C611" s="468"/>
      <c r="D611" s="525"/>
    </row>
    <row r="612" spans="2:4" x14ac:dyDescent="0.2">
      <c r="B612" s="468"/>
      <c r="C612" s="468"/>
      <c r="D612" s="525"/>
    </row>
    <row r="613" spans="2:4" x14ac:dyDescent="0.2">
      <c r="B613" s="468"/>
      <c r="C613" s="468"/>
      <c r="D613" s="525"/>
    </row>
    <row r="614" spans="2:4" x14ac:dyDescent="0.2">
      <c r="B614" s="468"/>
      <c r="C614" s="468"/>
      <c r="D614" s="525"/>
    </row>
    <row r="615" spans="2:4" x14ac:dyDescent="0.2">
      <c r="B615" s="468"/>
      <c r="C615" s="468"/>
      <c r="D615" s="525"/>
    </row>
    <row r="616" spans="2:4" x14ac:dyDescent="0.2">
      <c r="B616" s="468"/>
      <c r="C616" s="468"/>
      <c r="D616" s="525"/>
    </row>
    <row r="617" spans="2:4" x14ac:dyDescent="0.2">
      <c r="B617" s="468"/>
      <c r="C617" s="468"/>
      <c r="D617" s="525"/>
    </row>
    <row r="618" spans="2:4" x14ac:dyDescent="0.2">
      <c r="B618" s="468"/>
      <c r="C618" s="468"/>
      <c r="D618" s="525"/>
    </row>
    <row r="619" spans="2:4" x14ac:dyDescent="0.2">
      <c r="B619" s="468"/>
      <c r="C619" s="468"/>
      <c r="D619" s="525"/>
    </row>
    <row r="620" spans="2:4" x14ac:dyDescent="0.2">
      <c r="B620" s="468"/>
      <c r="C620" s="468"/>
      <c r="D620" s="525"/>
    </row>
    <row r="621" spans="2:4" x14ac:dyDescent="0.2">
      <c r="B621" s="468"/>
      <c r="C621" s="468"/>
      <c r="D621" s="525"/>
    </row>
    <row r="622" spans="2:4" x14ac:dyDescent="0.2">
      <c r="B622" s="468"/>
      <c r="C622" s="468"/>
      <c r="D622" s="525"/>
    </row>
    <row r="623" spans="2:4" x14ac:dyDescent="0.2">
      <c r="B623" s="468"/>
      <c r="C623" s="468"/>
      <c r="D623" s="525"/>
    </row>
    <row r="624" spans="2:4" x14ac:dyDescent="0.2">
      <c r="B624" s="468"/>
      <c r="C624" s="468"/>
      <c r="D624" s="525"/>
    </row>
    <row r="625" spans="2:4" x14ac:dyDescent="0.2">
      <c r="B625" s="468"/>
      <c r="C625" s="468"/>
      <c r="D625" s="525"/>
    </row>
    <row r="626" spans="2:4" x14ac:dyDescent="0.2">
      <c r="B626" s="468"/>
      <c r="C626" s="468"/>
      <c r="D626" s="525"/>
    </row>
    <row r="627" spans="2:4" x14ac:dyDescent="0.2">
      <c r="B627" s="468"/>
      <c r="C627" s="468"/>
      <c r="D627" s="525"/>
    </row>
    <row r="628" spans="2:4" x14ac:dyDescent="0.2">
      <c r="B628" s="468"/>
      <c r="C628" s="468"/>
      <c r="D628" s="525"/>
    </row>
    <row r="629" spans="2:4" x14ac:dyDescent="0.2">
      <c r="B629" s="468"/>
      <c r="C629" s="468"/>
      <c r="D629" s="525"/>
    </row>
    <row r="630" spans="2:4" x14ac:dyDescent="0.2">
      <c r="B630" s="468"/>
      <c r="C630" s="468"/>
      <c r="D630" s="525"/>
    </row>
    <row r="631" spans="2:4" x14ac:dyDescent="0.2">
      <c r="B631" s="468"/>
      <c r="C631" s="468"/>
      <c r="D631" s="525"/>
    </row>
    <row r="632" spans="2:4" x14ac:dyDescent="0.2">
      <c r="B632" s="468"/>
      <c r="C632" s="468"/>
      <c r="D632" s="525"/>
    </row>
    <row r="633" spans="2:4" x14ac:dyDescent="0.2">
      <c r="B633" s="468"/>
      <c r="C633" s="468"/>
      <c r="D633" s="525"/>
    </row>
    <row r="634" spans="2:4" x14ac:dyDescent="0.2">
      <c r="B634" s="468"/>
      <c r="C634" s="468"/>
      <c r="D634" s="525"/>
    </row>
    <row r="635" spans="2:4" x14ac:dyDescent="0.2">
      <c r="B635" s="468"/>
      <c r="C635" s="468"/>
      <c r="D635" s="525"/>
    </row>
    <row r="636" spans="2:4" x14ac:dyDescent="0.2">
      <c r="B636" s="468"/>
      <c r="C636" s="468"/>
      <c r="D636" s="525"/>
    </row>
    <row r="637" spans="2:4" x14ac:dyDescent="0.2">
      <c r="B637" s="468"/>
      <c r="C637" s="468"/>
      <c r="D637" s="525"/>
    </row>
    <row r="638" spans="2:4" x14ac:dyDescent="0.2">
      <c r="B638" s="468"/>
      <c r="C638" s="468"/>
      <c r="D638" s="525"/>
    </row>
    <row r="639" spans="2:4" x14ac:dyDescent="0.2">
      <c r="B639" s="468"/>
      <c r="C639" s="468"/>
      <c r="D639" s="525"/>
    </row>
    <row r="640" spans="2:4" x14ac:dyDescent="0.2">
      <c r="B640" s="468"/>
      <c r="C640" s="468"/>
      <c r="D640" s="525"/>
    </row>
    <row r="641" spans="2:4" x14ac:dyDescent="0.2">
      <c r="B641" s="468"/>
      <c r="C641" s="468"/>
      <c r="D641" s="525"/>
    </row>
    <row r="642" spans="2:4" x14ac:dyDescent="0.2">
      <c r="B642" s="468"/>
      <c r="C642" s="468"/>
      <c r="D642" s="525"/>
    </row>
    <row r="643" spans="2:4" x14ac:dyDescent="0.2">
      <c r="B643" s="468"/>
      <c r="C643" s="468"/>
      <c r="D643" s="525"/>
    </row>
    <row r="644" spans="2:4" x14ac:dyDescent="0.2">
      <c r="B644" s="468"/>
      <c r="C644" s="468"/>
      <c r="D644" s="525"/>
    </row>
    <row r="645" spans="2:4" x14ac:dyDescent="0.2">
      <c r="B645" s="468"/>
      <c r="C645" s="468"/>
      <c r="D645" s="525"/>
    </row>
    <row r="646" spans="2:4" x14ac:dyDescent="0.2">
      <c r="B646" s="468"/>
      <c r="C646" s="468"/>
      <c r="D646" s="525"/>
    </row>
    <row r="647" spans="2:4" x14ac:dyDescent="0.2">
      <c r="B647" s="468"/>
      <c r="C647" s="468"/>
      <c r="D647" s="525"/>
    </row>
    <row r="648" spans="2:4" x14ac:dyDescent="0.2">
      <c r="B648" s="468"/>
      <c r="C648" s="468"/>
      <c r="D648" s="525"/>
    </row>
    <row r="649" spans="2:4" x14ac:dyDescent="0.2">
      <c r="B649" s="468"/>
      <c r="C649" s="468"/>
      <c r="D649" s="525"/>
    </row>
    <row r="650" spans="2:4" x14ac:dyDescent="0.2">
      <c r="B650" s="468"/>
      <c r="C650" s="468"/>
      <c r="D650" s="525"/>
    </row>
    <row r="651" spans="2:4" x14ac:dyDescent="0.2">
      <c r="B651" s="468"/>
      <c r="C651" s="468"/>
      <c r="D651" s="525"/>
    </row>
    <row r="652" spans="2:4" x14ac:dyDescent="0.2">
      <c r="B652" s="468"/>
      <c r="C652" s="468"/>
      <c r="D652" s="525"/>
    </row>
    <row r="653" spans="2:4" x14ac:dyDescent="0.2">
      <c r="B653" s="468"/>
      <c r="C653" s="468"/>
      <c r="D653" s="525"/>
    </row>
    <row r="654" spans="2:4" x14ac:dyDescent="0.2">
      <c r="B654" s="468"/>
      <c r="C654" s="468"/>
      <c r="D654" s="525"/>
    </row>
    <row r="655" spans="2:4" x14ac:dyDescent="0.2">
      <c r="B655" s="468"/>
      <c r="C655" s="468"/>
      <c r="D655" s="525"/>
    </row>
    <row r="656" spans="2:4" x14ac:dyDescent="0.2">
      <c r="B656" s="468"/>
      <c r="C656" s="468"/>
      <c r="D656" s="525"/>
    </row>
    <row r="657" spans="2:4" x14ac:dyDescent="0.2">
      <c r="B657" s="468"/>
      <c r="C657" s="468"/>
      <c r="D657" s="525"/>
    </row>
    <row r="658" spans="2:4" x14ac:dyDescent="0.2">
      <c r="B658" s="468"/>
      <c r="C658" s="468"/>
      <c r="D658" s="525"/>
    </row>
    <row r="659" spans="2:4" x14ac:dyDescent="0.2">
      <c r="B659" s="468"/>
      <c r="C659" s="468"/>
      <c r="D659" s="525"/>
    </row>
    <row r="660" spans="2:4" x14ac:dyDescent="0.2">
      <c r="B660" s="468"/>
      <c r="C660" s="468"/>
      <c r="D660" s="525"/>
    </row>
    <row r="661" spans="2:4" x14ac:dyDescent="0.2">
      <c r="B661" s="468"/>
      <c r="C661" s="468"/>
      <c r="D661" s="525"/>
    </row>
    <row r="662" spans="2:4" x14ac:dyDescent="0.2">
      <c r="B662" s="468"/>
      <c r="C662" s="468"/>
      <c r="D662" s="525"/>
    </row>
    <row r="663" spans="2:4" x14ac:dyDescent="0.2">
      <c r="B663" s="468"/>
      <c r="C663" s="468"/>
      <c r="D663" s="525"/>
    </row>
    <row r="664" spans="2:4" x14ac:dyDescent="0.2">
      <c r="B664" s="468"/>
      <c r="C664" s="468"/>
      <c r="D664" s="525"/>
    </row>
    <row r="665" spans="2:4" x14ac:dyDescent="0.2">
      <c r="B665" s="468"/>
      <c r="C665" s="468"/>
      <c r="D665" s="525"/>
    </row>
    <row r="666" spans="2:4" x14ac:dyDescent="0.2">
      <c r="B666" s="468"/>
      <c r="C666" s="468"/>
      <c r="D666" s="525"/>
    </row>
    <row r="667" spans="2:4" x14ac:dyDescent="0.2">
      <c r="B667" s="468"/>
      <c r="C667" s="468"/>
      <c r="D667" s="525"/>
    </row>
    <row r="668" spans="2:4" x14ac:dyDescent="0.2">
      <c r="B668" s="468"/>
      <c r="C668" s="468"/>
      <c r="D668" s="525"/>
    </row>
    <row r="669" spans="2:4" x14ac:dyDescent="0.2">
      <c r="B669" s="468"/>
      <c r="C669" s="468"/>
      <c r="D669" s="525"/>
    </row>
    <row r="670" spans="2:4" x14ac:dyDescent="0.2">
      <c r="B670" s="468"/>
      <c r="C670" s="468"/>
      <c r="D670" s="525"/>
    </row>
    <row r="671" spans="2:4" x14ac:dyDescent="0.2">
      <c r="B671" s="468"/>
      <c r="C671" s="468"/>
      <c r="D671" s="525"/>
    </row>
    <row r="672" spans="2:4" x14ac:dyDescent="0.2">
      <c r="B672" s="468"/>
      <c r="C672" s="468"/>
      <c r="D672" s="525"/>
    </row>
    <row r="673" spans="2:4" x14ac:dyDescent="0.2">
      <c r="B673" s="468"/>
      <c r="C673" s="468"/>
      <c r="D673" s="525"/>
    </row>
    <row r="674" spans="2:4" x14ac:dyDescent="0.2">
      <c r="B674" s="468"/>
      <c r="C674" s="468"/>
      <c r="D674" s="525"/>
    </row>
    <row r="675" spans="2:4" x14ac:dyDescent="0.2">
      <c r="B675" s="468"/>
      <c r="C675" s="468"/>
      <c r="D675" s="525"/>
    </row>
    <row r="676" spans="2:4" x14ac:dyDescent="0.2">
      <c r="B676" s="468"/>
      <c r="C676" s="468"/>
      <c r="D676" s="525"/>
    </row>
    <row r="677" spans="2:4" x14ac:dyDescent="0.2">
      <c r="B677" s="468"/>
      <c r="C677" s="468"/>
      <c r="D677" s="525"/>
    </row>
    <row r="678" spans="2:4" x14ac:dyDescent="0.2">
      <c r="B678" s="468"/>
      <c r="C678" s="468"/>
      <c r="D678" s="525"/>
    </row>
    <row r="679" spans="2:4" x14ac:dyDescent="0.2">
      <c r="B679" s="468"/>
      <c r="C679" s="468"/>
      <c r="D679" s="525"/>
    </row>
    <row r="680" spans="2:4" x14ac:dyDescent="0.2">
      <c r="B680" s="468"/>
      <c r="C680" s="468"/>
      <c r="D680" s="525"/>
    </row>
    <row r="681" spans="2:4" x14ac:dyDescent="0.2">
      <c r="B681" s="468"/>
      <c r="C681" s="468"/>
      <c r="D681" s="525"/>
    </row>
    <row r="682" spans="2:4" x14ac:dyDescent="0.2">
      <c r="B682" s="468"/>
      <c r="C682" s="468"/>
      <c r="D682" s="525"/>
    </row>
    <row r="683" spans="2:4" x14ac:dyDescent="0.2">
      <c r="B683" s="468"/>
      <c r="C683" s="468"/>
      <c r="D683" s="525"/>
    </row>
    <row r="684" spans="2:4" x14ac:dyDescent="0.2">
      <c r="B684" s="468"/>
      <c r="C684" s="468"/>
      <c r="D684" s="525"/>
    </row>
    <row r="685" spans="2:4" x14ac:dyDescent="0.2">
      <c r="B685" s="468"/>
      <c r="C685" s="468"/>
      <c r="D685" s="525"/>
    </row>
    <row r="686" spans="2:4" x14ac:dyDescent="0.2">
      <c r="B686" s="468"/>
      <c r="C686" s="468"/>
      <c r="D686" s="525"/>
    </row>
    <row r="687" spans="2:4" x14ac:dyDescent="0.2">
      <c r="B687" s="468"/>
      <c r="C687" s="468"/>
      <c r="D687" s="525"/>
    </row>
    <row r="688" spans="2:4" x14ac:dyDescent="0.2">
      <c r="B688" s="468"/>
      <c r="C688" s="468"/>
      <c r="D688" s="525"/>
    </row>
    <row r="689" spans="2:4" x14ac:dyDescent="0.2">
      <c r="B689" s="468"/>
      <c r="C689" s="468"/>
      <c r="D689" s="525"/>
    </row>
    <row r="690" spans="2:4" x14ac:dyDescent="0.2">
      <c r="B690" s="468"/>
      <c r="C690" s="468"/>
      <c r="D690" s="525"/>
    </row>
    <row r="691" spans="2:4" x14ac:dyDescent="0.2">
      <c r="B691" s="468"/>
      <c r="C691" s="468"/>
      <c r="D691" s="525"/>
    </row>
    <row r="692" spans="2:4" x14ac:dyDescent="0.2">
      <c r="B692" s="468"/>
      <c r="C692" s="468"/>
      <c r="D692" s="525"/>
    </row>
    <row r="693" spans="2:4" x14ac:dyDescent="0.2">
      <c r="B693" s="468"/>
      <c r="C693" s="468"/>
      <c r="D693" s="525"/>
    </row>
    <row r="694" spans="2:4" x14ac:dyDescent="0.2">
      <c r="B694" s="468"/>
      <c r="C694" s="468"/>
      <c r="D694" s="525"/>
    </row>
    <row r="695" spans="2:4" x14ac:dyDescent="0.2">
      <c r="B695" s="468"/>
      <c r="C695" s="468"/>
      <c r="D695" s="525"/>
    </row>
    <row r="696" spans="2:4" x14ac:dyDescent="0.2">
      <c r="B696" s="468"/>
      <c r="C696" s="468"/>
      <c r="D696" s="525"/>
    </row>
    <row r="697" spans="2:4" x14ac:dyDescent="0.2">
      <c r="B697" s="468"/>
      <c r="C697" s="468"/>
      <c r="D697" s="525"/>
    </row>
    <row r="698" spans="2:4" x14ac:dyDescent="0.2">
      <c r="B698" s="468"/>
      <c r="C698" s="468"/>
      <c r="D698" s="525"/>
    </row>
    <row r="699" spans="2:4" x14ac:dyDescent="0.2">
      <c r="B699" s="468"/>
      <c r="C699" s="468"/>
      <c r="D699" s="525"/>
    </row>
    <row r="700" spans="2:4" x14ac:dyDescent="0.2">
      <c r="B700" s="468"/>
      <c r="C700" s="468"/>
      <c r="D700" s="525"/>
    </row>
    <row r="701" spans="2:4" x14ac:dyDescent="0.2">
      <c r="B701" s="468"/>
      <c r="C701" s="468"/>
      <c r="D701" s="525"/>
    </row>
    <row r="702" spans="2:4" x14ac:dyDescent="0.2">
      <c r="B702" s="468"/>
      <c r="C702" s="468"/>
      <c r="D702" s="525"/>
    </row>
    <row r="703" spans="2:4" x14ac:dyDescent="0.2">
      <c r="B703" s="468"/>
      <c r="C703" s="468"/>
      <c r="D703" s="525"/>
    </row>
    <row r="704" spans="2:4" x14ac:dyDescent="0.2">
      <c r="B704" s="468"/>
      <c r="C704" s="468"/>
      <c r="D704" s="525"/>
    </row>
    <row r="705" spans="2:4" x14ac:dyDescent="0.2">
      <c r="B705" s="468"/>
      <c r="C705" s="468"/>
      <c r="D705" s="525"/>
    </row>
    <row r="706" spans="2:4" x14ac:dyDescent="0.2">
      <c r="B706" s="468"/>
      <c r="C706" s="468"/>
      <c r="D706" s="525"/>
    </row>
    <row r="707" spans="2:4" x14ac:dyDescent="0.2">
      <c r="B707" s="468"/>
      <c r="C707" s="468"/>
      <c r="D707" s="525"/>
    </row>
    <row r="708" spans="2:4" x14ac:dyDescent="0.2">
      <c r="B708" s="468"/>
      <c r="C708" s="468"/>
      <c r="D708" s="525"/>
    </row>
    <row r="709" spans="2:4" x14ac:dyDescent="0.2">
      <c r="B709" s="468"/>
      <c r="C709" s="468"/>
      <c r="D709" s="525"/>
    </row>
    <row r="710" spans="2:4" x14ac:dyDescent="0.2">
      <c r="B710" s="468"/>
      <c r="C710" s="468"/>
      <c r="D710" s="525"/>
    </row>
    <row r="711" spans="2:4" x14ac:dyDescent="0.2">
      <c r="B711" s="468"/>
      <c r="C711" s="468"/>
      <c r="D711" s="525"/>
    </row>
    <row r="712" spans="2:4" x14ac:dyDescent="0.2">
      <c r="B712" s="468"/>
      <c r="C712" s="468"/>
      <c r="D712" s="525"/>
    </row>
    <row r="713" spans="2:4" x14ac:dyDescent="0.2">
      <c r="B713" s="468"/>
      <c r="C713" s="468"/>
      <c r="D713" s="525"/>
    </row>
    <row r="714" spans="2:4" x14ac:dyDescent="0.2">
      <c r="B714" s="468"/>
      <c r="C714" s="468"/>
      <c r="D714" s="525"/>
    </row>
    <row r="715" spans="2:4" x14ac:dyDescent="0.2">
      <c r="B715" s="468"/>
      <c r="C715" s="468"/>
      <c r="D715" s="525"/>
    </row>
    <row r="716" spans="2:4" x14ac:dyDescent="0.2">
      <c r="B716" s="468"/>
      <c r="C716" s="468"/>
      <c r="D716" s="525"/>
    </row>
    <row r="717" spans="2:4" x14ac:dyDescent="0.2">
      <c r="B717" s="468"/>
      <c r="C717" s="468"/>
      <c r="D717" s="525"/>
    </row>
    <row r="718" spans="2:4" x14ac:dyDescent="0.2">
      <c r="B718" s="468"/>
      <c r="C718" s="468"/>
      <c r="D718" s="525"/>
    </row>
    <row r="719" spans="2:4" x14ac:dyDescent="0.2">
      <c r="B719" s="468"/>
      <c r="C719" s="468"/>
      <c r="D719" s="525"/>
    </row>
    <row r="720" spans="2:4" x14ac:dyDescent="0.2">
      <c r="B720" s="468"/>
      <c r="C720" s="468"/>
      <c r="D720" s="525"/>
    </row>
    <row r="721" spans="2:4" x14ac:dyDescent="0.2">
      <c r="B721" s="468"/>
      <c r="C721" s="468"/>
      <c r="D721" s="525"/>
    </row>
    <row r="722" spans="2:4" x14ac:dyDescent="0.2">
      <c r="B722" s="468"/>
      <c r="C722" s="468"/>
      <c r="D722" s="525"/>
    </row>
    <row r="723" spans="2:4" x14ac:dyDescent="0.2">
      <c r="B723" s="468"/>
      <c r="C723" s="468"/>
      <c r="D723" s="525"/>
    </row>
    <row r="724" spans="2:4" x14ac:dyDescent="0.2">
      <c r="B724" s="468"/>
      <c r="C724" s="468"/>
      <c r="D724" s="525"/>
    </row>
    <row r="725" spans="2:4" x14ac:dyDescent="0.2">
      <c r="B725" s="468"/>
      <c r="C725" s="468"/>
      <c r="D725" s="525"/>
    </row>
    <row r="726" spans="2:4" x14ac:dyDescent="0.2">
      <c r="B726" s="468"/>
      <c r="C726" s="468"/>
      <c r="D726" s="525"/>
    </row>
    <row r="727" spans="2:4" x14ac:dyDescent="0.2">
      <c r="B727" s="468"/>
      <c r="C727" s="468"/>
      <c r="D727" s="525"/>
    </row>
    <row r="728" spans="2:4" x14ac:dyDescent="0.2">
      <c r="B728" s="468"/>
      <c r="C728" s="468"/>
      <c r="D728" s="525"/>
    </row>
    <row r="729" spans="2:4" x14ac:dyDescent="0.2">
      <c r="B729" s="468"/>
      <c r="C729" s="468"/>
      <c r="D729" s="525"/>
    </row>
    <row r="730" spans="2:4" x14ac:dyDescent="0.2">
      <c r="B730" s="468"/>
      <c r="C730" s="468"/>
      <c r="D730" s="525"/>
    </row>
    <row r="731" spans="2:4" x14ac:dyDescent="0.2">
      <c r="B731" s="468"/>
      <c r="C731" s="468"/>
      <c r="D731" s="525"/>
    </row>
    <row r="732" spans="2:4" x14ac:dyDescent="0.2">
      <c r="B732" s="468"/>
      <c r="C732" s="468"/>
      <c r="D732" s="525"/>
    </row>
    <row r="733" spans="2:4" x14ac:dyDescent="0.2">
      <c r="B733" s="468"/>
      <c r="C733" s="468"/>
      <c r="D733" s="525"/>
    </row>
    <row r="734" spans="2:4" x14ac:dyDescent="0.2">
      <c r="B734" s="468"/>
      <c r="C734" s="468"/>
      <c r="D734" s="525"/>
    </row>
    <row r="735" spans="2:4" x14ac:dyDescent="0.2">
      <c r="B735" s="468"/>
      <c r="C735" s="468"/>
      <c r="D735" s="525"/>
    </row>
    <row r="736" spans="2:4" x14ac:dyDescent="0.2">
      <c r="B736" s="468"/>
      <c r="C736" s="468"/>
      <c r="D736" s="525"/>
    </row>
    <row r="737" spans="2:4" x14ac:dyDescent="0.2">
      <c r="B737" s="468"/>
      <c r="C737" s="468"/>
      <c r="D737" s="525"/>
    </row>
    <row r="738" spans="2:4" x14ac:dyDescent="0.2">
      <c r="B738" s="468"/>
      <c r="C738" s="468"/>
      <c r="D738" s="525"/>
    </row>
    <row r="739" spans="2:4" x14ac:dyDescent="0.2">
      <c r="B739" s="468"/>
      <c r="C739" s="468"/>
      <c r="D739" s="525"/>
    </row>
    <row r="740" spans="2:4" x14ac:dyDescent="0.2">
      <c r="B740" s="468"/>
      <c r="C740" s="468"/>
      <c r="D740" s="525"/>
    </row>
    <row r="741" spans="2:4" x14ac:dyDescent="0.2">
      <c r="B741" s="468"/>
      <c r="C741" s="468"/>
      <c r="D741" s="525"/>
    </row>
    <row r="742" spans="2:4" x14ac:dyDescent="0.2">
      <c r="B742" s="468"/>
      <c r="C742" s="468"/>
      <c r="D742" s="525"/>
    </row>
    <row r="743" spans="2:4" x14ac:dyDescent="0.2">
      <c r="B743" s="468"/>
      <c r="C743" s="468"/>
      <c r="D743" s="525"/>
    </row>
    <row r="744" spans="2:4" x14ac:dyDescent="0.2">
      <c r="B744" s="468"/>
      <c r="C744" s="468"/>
      <c r="D744" s="525"/>
    </row>
    <row r="745" spans="2:4" x14ac:dyDescent="0.2">
      <c r="B745" s="468"/>
      <c r="C745" s="468"/>
      <c r="D745" s="525"/>
    </row>
    <row r="746" spans="2:4" x14ac:dyDescent="0.2">
      <c r="B746" s="468"/>
      <c r="C746" s="468"/>
      <c r="D746" s="525"/>
    </row>
    <row r="747" spans="2:4" x14ac:dyDescent="0.2">
      <c r="B747" s="468"/>
      <c r="C747" s="468"/>
      <c r="D747" s="525"/>
    </row>
    <row r="748" spans="2:4" x14ac:dyDescent="0.2">
      <c r="B748" s="468"/>
      <c r="C748" s="468"/>
      <c r="D748" s="525"/>
    </row>
    <row r="749" spans="2:4" x14ac:dyDescent="0.2">
      <c r="B749" s="468"/>
      <c r="C749" s="468"/>
      <c r="D749" s="525"/>
    </row>
    <row r="750" spans="2:4" x14ac:dyDescent="0.2">
      <c r="B750" s="468"/>
      <c r="C750" s="468"/>
      <c r="D750" s="525"/>
    </row>
    <row r="751" spans="2:4" x14ac:dyDescent="0.2">
      <c r="B751" s="468"/>
      <c r="C751" s="468"/>
      <c r="D751" s="525"/>
    </row>
    <row r="752" spans="2:4" x14ac:dyDescent="0.2">
      <c r="B752" s="468"/>
      <c r="C752" s="468"/>
      <c r="D752" s="525"/>
    </row>
    <row r="753" spans="2:4" x14ac:dyDescent="0.2">
      <c r="B753" s="468"/>
      <c r="C753" s="468"/>
      <c r="D753" s="525"/>
    </row>
    <row r="754" spans="2:4" x14ac:dyDescent="0.2">
      <c r="B754" s="468"/>
      <c r="C754" s="468"/>
      <c r="D754" s="525"/>
    </row>
    <row r="755" spans="2:4" x14ac:dyDescent="0.2">
      <c r="B755" s="468"/>
      <c r="C755" s="468"/>
      <c r="D755" s="525"/>
    </row>
    <row r="756" spans="2:4" x14ac:dyDescent="0.2">
      <c r="B756" s="468"/>
      <c r="C756" s="468"/>
      <c r="D756" s="525"/>
    </row>
    <row r="757" spans="2:4" x14ac:dyDescent="0.2">
      <c r="B757" s="468"/>
      <c r="C757" s="468"/>
      <c r="D757" s="525"/>
    </row>
    <row r="758" spans="2:4" x14ac:dyDescent="0.2">
      <c r="B758" s="468"/>
      <c r="C758" s="468"/>
      <c r="D758" s="525"/>
    </row>
    <row r="759" spans="2:4" x14ac:dyDescent="0.2">
      <c r="B759" s="468"/>
      <c r="C759" s="468"/>
      <c r="D759" s="525"/>
    </row>
    <row r="760" spans="2:4" x14ac:dyDescent="0.2">
      <c r="B760" s="468"/>
      <c r="C760" s="468"/>
      <c r="D760" s="525"/>
    </row>
    <row r="761" spans="2:4" x14ac:dyDescent="0.2">
      <c r="B761" s="468"/>
      <c r="C761" s="468"/>
      <c r="D761" s="525"/>
    </row>
    <row r="762" spans="2:4" x14ac:dyDescent="0.2">
      <c r="B762" s="468"/>
      <c r="C762" s="468"/>
      <c r="D762" s="525"/>
    </row>
    <row r="763" spans="2:4" x14ac:dyDescent="0.2">
      <c r="B763" s="468"/>
      <c r="C763" s="468"/>
      <c r="D763" s="525"/>
    </row>
    <row r="764" spans="2:4" x14ac:dyDescent="0.2">
      <c r="B764" s="468"/>
      <c r="C764" s="468"/>
      <c r="D764" s="525"/>
    </row>
    <row r="765" spans="2:4" x14ac:dyDescent="0.2">
      <c r="B765" s="468"/>
      <c r="C765" s="468"/>
      <c r="D765" s="525"/>
    </row>
    <row r="766" spans="2:4" x14ac:dyDescent="0.2">
      <c r="B766" s="468"/>
      <c r="C766" s="468"/>
      <c r="D766" s="525"/>
    </row>
    <row r="767" spans="2:4" x14ac:dyDescent="0.2">
      <c r="B767" s="468"/>
      <c r="C767" s="468"/>
      <c r="D767" s="525"/>
    </row>
    <row r="768" spans="2:4" x14ac:dyDescent="0.2">
      <c r="B768" s="468"/>
      <c r="C768" s="468"/>
      <c r="D768" s="525"/>
    </row>
    <row r="769" spans="2:4" x14ac:dyDescent="0.2">
      <c r="B769" s="468"/>
      <c r="C769" s="468"/>
      <c r="D769" s="525"/>
    </row>
    <row r="770" spans="2:4" x14ac:dyDescent="0.2">
      <c r="B770" s="468"/>
      <c r="C770" s="468"/>
      <c r="D770" s="525"/>
    </row>
    <row r="771" spans="2:4" x14ac:dyDescent="0.2">
      <c r="B771" s="468"/>
      <c r="C771" s="468"/>
      <c r="D771" s="525"/>
    </row>
    <row r="772" spans="2:4" x14ac:dyDescent="0.2">
      <c r="B772" s="468"/>
      <c r="C772" s="468"/>
      <c r="D772" s="525"/>
    </row>
    <row r="773" spans="2:4" x14ac:dyDescent="0.2">
      <c r="B773" s="468"/>
      <c r="C773" s="468"/>
      <c r="D773" s="525"/>
    </row>
    <row r="774" spans="2:4" x14ac:dyDescent="0.2">
      <c r="B774" s="468"/>
      <c r="C774" s="468"/>
      <c r="D774" s="525"/>
    </row>
    <row r="775" spans="2:4" x14ac:dyDescent="0.2">
      <c r="B775" s="468"/>
      <c r="C775" s="468"/>
      <c r="D775" s="525"/>
    </row>
    <row r="776" spans="2:4" x14ac:dyDescent="0.2">
      <c r="B776" s="468"/>
      <c r="C776" s="468"/>
      <c r="D776" s="525"/>
    </row>
    <row r="777" spans="2:4" x14ac:dyDescent="0.2">
      <c r="B777" s="468"/>
      <c r="C777" s="468"/>
      <c r="D777" s="525"/>
    </row>
    <row r="778" spans="2:4" x14ac:dyDescent="0.2">
      <c r="B778" s="468"/>
      <c r="C778" s="468"/>
      <c r="D778" s="525"/>
    </row>
    <row r="779" spans="2:4" x14ac:dyDescent="0.2">
      <c r="B779" s="468"/>
      <c r="C779" s="468"/>
      <c r="D779" s="525"/>
    </row>
    <row r="780" spans="2:4" x14ac:dyDescent="0.2">
      <c r="B780" s="468"/>
      <c r="C780" s="468"/>
      <c r="D780" s="525"/>
    </row>
    <row r="781" spans="2:4" x14ac:dyDescent="0.2">
      <c r="B781" s="468"/>
      <c r="C781" s="468"/>
      <c r="D781" s="525"/>
    </row>
    <row r="782" spans="2:4" x14ac:dyDescent="0.2">
      <c r="B782" s="468"/>
      <c r="C782" s="468"/>
      <c r="D782" s="525"/>
    </row>
    <row r="783" spans="2:4" x14ac:dyDescent="0.2">
      <c r="B783" s="468"/>
      <c r="C783" s="468"/>
      <c r="D783" s="525"/>
    </row>
    <row r="784" spans="2:4" x14ac:dyDescent="0.2">
      <c r="B784" s="468"/>
      <c r="C784" s="468"/>
      <c r="D784" s="525"/>
    </row>
    <row r="785" spans="2:4" x14ac:dyDescent="0.2">
      <c r="B785" s="468"/>
      <c r="C785" s="468"/>
      <c r="D785" s="525"/>
    </row>
    <row r="786" spans="2:4" x14ac:dyDescent="0.2">
      <c r="B786" s="468"/>
      <c r="C786" s="468"/>
      <c r="D786" s="525"/>
    </row>
    <row r="787" spans="2:4" x14ac:dyDescent="0.2">
      <c r="B787" s="468"/>
      <c r="C787" s="468"/>
      <c r="D787" s="525"/>
    </row>
    <row r="788" spans="2:4" x14ac:dyDescent="0.2">
      <c r="B788" s="468"/>
      <c r="C788" s="468"/>
      <c r="D788" s="525"/>
    </row>
    <row r="789" spans="2:4" x14ac:dyDescent="0.2">
      <c r="B789" s="468"/>
      <c r="C789" s="468"/>
      <c r="D789" s="525"/>
    </row>
    <row r="790" spans="2:4" x14ac:dyDescent="0.2">
      <c r="B790" s="468"/>
      <c r="C790" s="468"/>
      <c r="D790" s="525"/>
    </row>
    <row r="791" spans="2:4" x14ac:dyDescent="0.2">
      <c r="B791" s="468"/>
      <c r="C791" s="468"/>
      <c r="D791" s="525"/>
    </row>
    <row r="792" spans="2:4" x14ac:dyDescent="0.2">
      <c r="B792" s="468"/>
      <c r="C792" s="468"/>
      <c r="D792" s="525"/>
    </row>
    <row r="793" spans="2:4" x14ac:dyDescent="0.2">
      <c r="B793" s="468"/>
      <c r="C793" s="468"/>
      <c r="D793" s="525"/>
    </row>
    <row r="794" spans="2:4" x14ac:dyDescent="0.2">
      <c r="B794" s="468"/>
      <c r="C794" s="468"/>
      <c r="D794" s="525"/>
    </row>
    <row r="795" spans="2:4" x14ac:dyDescent="0.2">
      <c r="B795" s="468"/>
      <c r="C795" s="468"/>
      <c r="D795" s="525"/>
    </row>
    <row r="796" spans="2:4" x14ac:dyDescent="0.2">
      <c r="B796" s="468"/>
      <c r="C796" s="468"/>
      <c r="D796" s="525"/>
    </row>
    <row r="797" spans="2:4" x14ac:dyDescent="0.2">
      <c r="B797" s="468"/>
      <c r="C797" s="468"/>
      <c r="D797" s="525"/>
    </row>
    <row r="798" spans="2:4" x14ac:dyDescent="0.2">
      <c r="B798" s="468"/>
      <c r="C798" s="468"/>
      <c r="D798" s="525"/>
    </row>
    <row r="799" spans="2:4" x14ac:dyDescent="0.2">
      <c r="B799" s="468"/>
      <c r="C799" s="468"/>
      <c r="D799" s="525"/>
    </row>
    <row r="800" spans="2:4" x14ac:dyDescent="0.2">
      <c r="B800" s="468"/>
      <c r="C800" s="468"/>
      <c r="D800" s="525"/>
    </row>
    <row r="801" spans="2:4" x14ac:dyDescent="0.2">
      <c r="B801" s="468"/>
      <c r="C801" s="468"/>
      <c r="D801" s="525"/>
    </row>
    <row r="802" spans="2:4" x14ac:dyDescent="0.2">
      <c r="B802" s="468"/>
      <c r="C802" s="468"/>
      <c r="D802" s="525"/>
    </row>
    <row r="803" spans="2:4" x14ac:dyDescent="0.2">
      <c r="B803" s="468"/>
      <c r="C803" s="468"/>
      <c r="D803" s="525"/>
    </row>
    <row r="804" spans="2:4" x14ac:dyDescent="0.2">
      <c r="B804" s="468"/>
      <c r="C804" s="468"/>
      <c r="D804" s="525"/>
    </row>
    <row r="805" spans="2:4" x14ac:dyDescent="0.2">
      <c r="B805" s="468"/>
      <c r="C805" s="468"/>
      <c r="D805" s="525"/>
    </row>
    <row r="806" spans="2:4" x14ac:dyDescent="0.2">
      <c r="B806" s="468"/>
      <c r="C806" s="468"/>
      <c r="D806" s="525"/>
    </row>
    <row r="807" spans="2:4" x14ac:dyDescent="0.2">
      <c r="B807" s="468"/>
      <c r="C807" s="468"/>
      <c r="D807" s="525"/>
    </row>
    <row r="808" spans="2:4" x14ac:dyDescent="0.2">
      <c r="B808" s="468"/>
      <c r="C808" s="468"/>
      <c r="D808" s="525"/>
    </row>
    <row r="809" spans="2:4" x14ac:dyDescent="0.2">
      <c r="B809" s="468"/>
      <c r="C809" s="468"/>
      <c r="D809" s="525"/>
    </row>
    <row r="810" spans="2:4" x14ac:dyDescent="0.2">
      <c r="B810" s="468"/>
      <c r="C810" s="468"/>
      <c r="D810" s="525"/>
    </row>
    <row r="811" spans="2:4" x14ac:dyDescent="0.2">
      <c r="B811" s="468"/>
      <c r="C811" s="468"/>
      <c r="D811" s="525"/>
    </row>
    <row r="812" spans="2:4" x14ac:dyDescent="0.2">
      <c r="B812" s="468"/>
      <c r="C812" s="468"/>
      <c r="D812" s="525"/>
    </row>
    <row r="813" spans="2:4" x14ac:dyDescent="0.2">
      <c r="B813" s="468"/>
      <c r="C813" s="468"/>
      <c r="D813" s="525"/>
    </row>
    <row r="814" spans="2:4" x14ac:dyDescent="0.2">
      <c r="B814" s="468"/>
      <c r="C814" s="468"/>
      <c r="D814" s="525"/>
    </row>
    <row r="815" spans="2:4" x14ac:dyDescent="0.2">
      <c r="B815" s="468"/>
      <c r="C815" s="468"/>
      <c r="D815" s="525"/>
    </row>
    <row r="816" spans="2:4" x14ac:dyDescent="0.2">
      <c r="B816" s="468"/>
      <c r="C816" s="468"/>
      <c r="D816" s="525"/>
    </row>
    <row r="817" spans="2:4" x14ac:dyDescent="0.2">
      <c r="B817" s="468"/>
      <c r="C817" s="468"/>
      <c r="D817" s="525"/>
    </row>
    <row r="818" spans="2:4" x14ac:dyDescent="0.2">
      <c r="B818" s="468"/>
      <c r="C818" s="468"/>
      <c r="D818" s="525"/>
    </row>
    <row r="819" spans="2:4" x14ac:dyDescent="0.2">
      <c r="B819" s="468"/>
      <c r="C819" s="468"/>
      <c r="D819" s="525"/>
    </row>
    <row r="820" spans="2:4" x14ac:dyDescent="0.2">
      <c r="B820" s="468"/>
      <c r="C820" s="468"/>
      <c r="D820" s="525"/>
    </row>
    <row r="821" spans="2:4" x14ac:dyDescent="0.2">
      <c r="B821" s="468"/>
      <c r="C821" s="468"/>
      <c r="D821" s="525"/>
    </row>
    <row r="822" spans="2:4" x14ac:dyDescent="0.2">
      <c r="B822" s="468"/>
      <c r="C822" s="468"/>
      <c r="D822" s="525"/>
    </row>
    <row r="823" spans="2:4" x14ac:dyDescent="0.2">
      <c r="B823" s="468"/>
      <c r="C823" s="468"/>
      <c r="D823" s="525"/>
    </row>
    <row r="824" spans="2:4" x14ac:dyDescent="0.2">
      <c r="B824" s="468"/>
      <c r="C824" s="468"/>
      <c r="D824" s="525"/>
    </row>
    <row r="825" spans="2:4" x14ac:dyDescent="0.2">
      <c r="B825" s="468"/>
      <c r="C825" s="468"/>
      <c r="D825" s="525"/>
    </row>
    <row r="826" spans="2:4" x14ac:dyDescent="0.2">
      <c r="B826" s="468"/>
      <c r="C826" s="468"/>
      <c r="D826" s="525"/>
    </row>
    <row r="827" spans="2:4" x14ac:dyDescent="0.2">
      <c r="B827" s="468"/>
      <c r="C827" s="468"/>
      <c r="D827" s="525"/>
    </row>
    <row r="828" spans="2:4" x14ac:dyDescent="0.2">
      <c r="B828" s="468"/>
      <c r="C828" s="468"/>
      <c r="D828" s="525"/>
    </row>
    <row r="829" spans="2:4" x14ac:dyDescent="0.2">
      <c r="B829" s="468"/>
      <c r="C829" s="468"/>
      <c r="D829" s="525"/>
    </row>
    <row r="830" spans="2:4" x14ac:dyDescent="0.2">
      <c r="B830" s="468"/>
      <c r="C830" s="468"/>
      <c r="D830" s="525"/>
    </row>
    <row r="831" spans="2:4" x14ac:dyDescent="0.2">
      <c r="B831" s="468"/>
      <c r="C831" s="468"/>
      <c r="D831" s="525"/>
    </row>
    <row r="832" spans="2:4" x14ac:dyDescent="0.2">
      <c r="B832" s="468"/>
      <c r="C832" s="468"/>
      <c r="D832" s="525"/>
    </row>
    <row r="833" spans="2:4" x14ac:dyDescent="0.2">
      <c r="B833" s="468"/>
      <c r="C833" s="468"/>
      <c r="D833" s="525"/>
    </row>
    <row r="834" spans="2:4" x14ac:dyDescent="0.2">
      <c r="B834" s="468"/>
      <c r="C834" s="468"/>
      <c r="D834" s="525"/>
    </row>
    <row r="835" spans="2:4" x14ac:dyDescent="0.2">
      <c r="B835" s="468"/>
      <c r="C835" s="468"/>
      <c r="D835" s="525"/>
    </row>
    <row r="836" spans="2:4" x14ac:dyDescent="0.2">
      <c r="B836" s="468"/>
      <c r="C836" s="468"/>
      <c r="D836" s="525"/>
    </row>
    <row r="837" spans="2:4" x14ac:dyDescent="0.2">
      <c r="B837" s="468"/>
      <c r="C837" s="468"/>
      <c r="D837" s="525"/>
    </row>
    <row r="838" spans="2:4" x14ac:dyDescent="0.2">
      <c r="B838" s="468"/>
      <c r="C838" s="468"/>
      <c r="D838" s="525"/>
    </row>
    <row r="839" spans="2:4" x14ac:dyDescent="0.2">
      <c r="B839" s="468"/>
      <c r="C839" s="468"/>
      <c r="D839" s="525"/>
    </row>
    <row r="840" spans="2:4" x14ac:dyDescent="0.2">
      <c r="B840" s="468"/>
      <c r="C840" s="468"/>
      <c r="D840" s="525"/>
    </row>
    <row r="841" spans="2:4" x14ac:dyDescent="0.2">
      <c r="B841" s="468"/>
      <c r="C841" s="468"/>
      <c r="D841" s="525"/>
    </row>
    <row r="842" spans="2:4" x14ac:dyDescent="0.2">
      <c r="B842" s="468"/>
      <c r="C842" s="468"/>
      <c r="D842" s="525"/>
    </row>
    <row r="843" spans="2:4" x14ac:dyDescent="0.2">
      <c r="B843" s="468"/>
      <c r="C843" s="468"/>
      <c r="D843" s="525"/>
    </row>
    <row r="844" spans="2:4" x14ac:dyDescent="0.2">
      <c r="B844" s="468"/>
      <c r="C844" s="468"/>
      <c r="D844" s="525"/>
    </row>
    <row r="845" spans="2:4" x14ac:dyDescent="0.2">
      <c r="B845" s="468"/>
      <c r="C845" s="468"/>
      <c r="D845" s="525"/>
    </row>
    <row r="846" spans="2:4" x14ac:dyDescent="0.2">
      <c r="B846" s="468"/>
      <c r="C846" s="468"/>
      <c r="D846" s="525"/>
    </row>
    <row r="847" spans="2:4" x14ac:dyDescent="0.2">
      <c r="B847" s="468"/>
      <c r="C847" s="468"/>
      <c r="D847" s="525"/>
    </row>
    <row r="848" spans="2:4" x14ac:dyDescent="0.2">
      <c r="B848" s="468"/>
      <c r="C848" s="468"/>
      <c r="D848" s="525"/>
    </row>
    <row r="849" spans="2:4" x14ac:dyDescent="0.2">
      <c r="B849" s="468"/>
      <c r="C849" s="468"/>
      <c r="D849" s="525"/>
    </row>
    <row r="850" spans="2:4" x14ac:dyDescent="0.2">
      <c r="B850" s="468"/>
      <c r="C850" s="468"/>
      <c r="D850" s="525"/>
    </row>
    <row r="851" spans="2:4" x14ac:dyDescent="0.2">
      <c r="B851" s="468"/>
      <c r="C851" s="468"/>
      <c r="D851" s="525"/>
    </row>
    <row r="852" spans="2:4" x14ac:dyDescent="0.2">
      <c r="B852" s="468"/>
      <c r="C852" s="468"/>
      <c r="D852" s="525"/>
    </row>
    <row r="853" spans="2:4" x14ac:dyDescent="0.2">
      <c r="B853" s="468"/>
      <c r="C853" s="468"/>
      <c r="D853" s="525"/>
    </row>
    <row r="854" spans="2:4" x14ac:dyDescent="0.2">
      <c r="B854" s="468"/>
      <c r="C854" s="468"/>
      <c r="D854" s="525"/>
    </row>
    <row r="855" spans="2:4" x14ac:dyDescent="0.2">
      <c r="B855" s="468"/>
      <c r="C855" s="468"/>
      <c r="D855" s="525"/>
    </row>
    <row r="856" spans="2:4" x14ac:dyDescent="0.2">
      <c r="B856" s="468"/>
      <c r="C856" s="468"/>
      <c r="D856" s="525"/>
    </row>
    <row r="857" spans="2:4" x14ac:dyDescent="0.2">
      <c r="B857" s="468"/>
      <c r="C857" s="468"/>
      <c r="D857" s="525"/>
    </row>
    <row r="858" spans="2:4" x14ac:dyDescent="0.2">
      <c r="B858" s="468"/>
      <c r="C858" s="468"/>
      <c r="D858" s="525"/>
    </row>
    <row r="859" spans="2:4" x14ac:dyDescent="0.2">
      <c r="B859" s="468"/>
      <c r="C859" s="468"/>
      <c r="D859" s="525"/>
    </row>
    <row r="860" spans="2:4" x14ac:dyDescent="0.2">
      <c r="B860" s="468"/>
      <c r="C860" s="468"/>
      <c r="D860" s="525"/>
    </row>
    <row r="861" spans="2:4" x14ac:dyDescent="0.2">
      <c r="B861" s="468"/>
      <c r="C861" s="468"/>
      <c r="D861" s="525"/>
    </row>
    <row r="862" spans="2:4" x14ac:dyDescent="0.2">
      <c r="B862" s="468"/>
      <c r="C862" s="468"/>
      <c r="D862" s="525"/>
    </row>
    <row r="863" spans="2:4" x14ac:dyDescent="0.2">
      <c r="B863" s="468"/>
      <c r="C863" s="468"/>
      <c r="D863" s="525"/>
    </row>
    <row r="864" spans="2:4" x14ac:dyDescent="0.2">
      <c r="B864" s="468"/>
      <c r="C864" s="468"/>
      <c r="D864" s="525"/>
    </row>
    <row r="865" spans="2:4" x14ac:dyDescent="0.2">
      <c r="B865" s="468"/>
      <c r="C865" s="468"/>
      <c r="D865" s="525"/>
    </row>
    <row r="866" spans="2:4" x14ac:dyDescent="0.2">
      <c r="B866" s="468"/>
      <c r="C866" s="468"/>
      <c r="D866" s="525"/>
    </row>
    <row r="867" spans="2:4" x14ac:dyDescent="0.2">
      <c r="B867" s="468"/>
      <c r="C867" s="468"/>
      <c r="D867" s="525"/>
    </row>
    <row r="868" spans="2:4" x14ac:dyDescent="0.2">
      <c r="B868" s="468"/>
      <c r="C868" s="468"/>
      <c r="D868" s="525"/>
    </row>
    <row r="869" spans="2:4" x14ac:dyDescent="0.2">
      <c r="B869" s="468"/>
      <c r="C869" s="468"/>
      <c r="D869" s="525"/>
    </row>
    <row r="870" spans="2:4" x14ac:dyDescent="0.2">
      <c r="B870" s="468"/>
      <c r="C870" s="468"/>
      <c r="D870" s="525"/>
    </row>
    <row r="871" spans="2:4" x14ac:dyDescent="0.2">
      <c r="B871" s="468"/>
      <c r="C871" s="468"/>
      <c r="D871" s="525"/>
    </row>
    <row r="872" spans="2:4" x14ac:dyDescent="0.2">
      <c r="B872" s="468"/>
      <c r="C872" s="468"/>
      <c r="D872" s="525"/>
    </row>
    <row r="873" spans="2:4" x14ac:dyDescent="0.2">
      <c r="B873" s="468"/>
      <c r="C873" s="468"/>
      <c r="D873" s="525"/>
    </row>
    <row r="874" spans="2:4" x14ac:dyDescent="0.2">
      <c r="B874" s="468"/>
      <c r="C874" s="468"/>
      <c r="D874" s="525"/>
    </row>
    <row r="875" spans="2:4" x14ac:dyDescent="0.2">
      <c r="B875" s="468"/>
      <c r="C875" s="468"/>
      <c r="D875" s="525"/>
    </row>
    <row r="876" spans="2:4" x14ac:dyDescent="0.2">
      <c r="B876" s="468"/>
      <c r="C876" s="468"/>
      <c r="D876" s="525"/>
    </row>
    <row r="877" spans="2:4" x14ac:dyDescent="0.2">
      <c r="B877" s="468"/>
      <c r="C877" s="468"/>
      <c r="D877" s="525"/>
    </row>
    <row r="878" spans="2:4" x14ac:dyDescent="0.2">
      <c r="B878" s="468"/>
      <c r="C878" s="468"/>
      <c r="D878" s="525"/>
    </row>
    <row r="879" spans="2:4" x14ac:dyDescent="0.2">
      <c r="B879" s="468"/>
      <c r="C879" s="468"/>
      <c r="D879" s="525"/>
    </row>
    <row r="880" spans="2:4" x14ac:dyDescent="0.2">
      <c r="B880" s="468"/>
      <c r="C880" s="468"/>
      <c r="D880" s="525"/>
    </row>
    <row r="881" spans="2:4" x14ac:dyDescent="0.2">
      <c r="B881" s="468"/>
      <c r="C881" s="468"/>
      <c r="D881" s="525"/>
    </row>
    <row r="882" spans="2:4" x14ac:dyDescent="0.2">
      <c r="B882" s="468"/>
      <c r="C882" s="468"/>
      <c r="D882" s="525"/>
    </row>
    <row r="883" spans="2:4" x14ac:dyDescent="0.2">
      <c r="B883" s="468"/>
      <c r="C883" s="468"/>
      <c r="D883" s="525"/>
    </row>
    <row r="884" spans="2:4" x14ac:dyDescent="0.2">
      <c r="B884" s="468"/>
      <c r="C884" s="468"/>
      <c r="D884" s="525"/>
    </row>
    <row r="885" spans="2:4" x14ac:dyDescent="0.2">
      <c r="B885" s="468"/>
      <c r="C885" s="468"/>
      <c r="D885" s="525"/>
    </row>
    <row r="886" spans="2:4" x14ac:dyDescent="0.2">
      <c r="B886" s="468"/>
      <c r="C886" s="468"/>
      <c r="D886" s="525"/>
    </row>
    <row r="887" spans="2:4" x14ac:dyDescent="0.2">
      <c r="B887" s="468"/>
      <c r="C887" s="468"/>
      <c r="D887" s="525"/>
    </row>
    <row r="888" spans="2:4" x14ac:dyDescent="0.2">
      <c r="B888" s="468"/>
      <c r="C888" s="468"/>
      <c r="D888" s="525"/>
    </row>
    <row r="889" spans="2:4" x14ac:dyDescent="0.2">
      <c r="B889" s="468"/>
      <c r="C889" s="468"/>
      <c r="D889" s="525"/>
    </row>
    <row r="890" spans="2:4" x14ac:dyDescent="0.2">
      <c r="B890" s="468"/>
      <c r="C890" s="468"/>
      <c r="D890" s="525"/>
    </row>
    <row r="891" spans="2:4" x14ac:dyDescent="0.2">
      <c r="B891" s="468"/>
      <c r="C891" s="468"/>
      <c r="D891" s="525"/>
    </row>
    <row r="892" spans="2:4" x14ac:dyDescent="0.2">
      <c r="B892" s="468"/>
      <c r="C892" s="468"/>
      <c r="D892" s="525"/>
    </row>
    <row r="893" spans="2:4" x14ac:dyDescent="0.2">
      <c r="B893" s="468"/>
      <c r="C893" s="468"/>
      <c r="D893" s="525"/>
    </row>
    <row r="894" spans="2:4" x14ac:dyDescent="0.2">
      <c r="B894" s="468"/>
      <c r="C894" s="468"/>
      <c r="D894" s="525"/>
    </row>
    <row r="895" spans="2:4" x14ac:dyDescent="0.2">
      <c r="B895" s="468"/>
      <c r="C895" s="468"/>
      <c r="D895" s="525"/>
    </row>
    <row r="896" spans="2:4" x14ac:dyDescent="0.2">
      <c r="B896" s="468"/>
      <c r="C896" s="468"/>
      <c r="D896" s="525"/>
    </row>
    <row r="897" spans="2:4" x14ac:dyDescent="0.2">
      <c r="B897" s="468"/>
      <c r="C897" s="468"/>
      <c r="D897" s="525"/>
    </row>
    <row r="898" spans="2:4" x14ac:dyDescent="0.2">
      <c r="B898" s="468"/>
      <c r="C898" s="468"/>
      <c r="D898" s="525"/>
    </row>
    <row r="899" spans="2:4" x14ac:dyDescent="0.2">
      <c r="B899" s="468"/>
      <c r="C899" s="468"/>
      <c r="D899" s="525"/>
    </row>
    <row r="900" spans="2:4" x14ac:dyDescent="0.2">
      <c r="B900" s="468"/>
      <c r="C900" s="468"/>
      <c r="D900" s="525"/>
    </row>
    <row r="901" spans="2:4" x14ac:dyDescent="0.2">
      <c r="B901" s="468"/>
      <c r="C901" s="468"/>
      <c r="D901" s="525"/>
    </row>
    <row r="902" spans="2:4" x14ac:dyDescent="0.2">
      <c r="B902" s="468"/>
      <c r="C902" s="468"/>
      <c r="D902" s="525"/>
    </row>
    <row r="903" spans="2:4" x14ac:dyDescent="0.2">
      <c r="B903" s="468"/>
      <c r="C903" s="468"/>
      <c r="D903" s="525"/>
    </row>
    <row r="904" spans="2:4" x14ac:dyDescent="0.2">
      <c r="B904" s="468"/>
      <c r="C904" s="468"/>
      <c r="D904" s="525"/>
    </row>
    <row r="905" spans="2:4" x14ac:dyDescent="0.2">
      <c r="B905" s="468"/>
      <c r="C905" s="468"/>
      <c r="D905" s="525"/>
    </row>
    <row r="906" spans="2:4" x14ac:dyDescent="0.2">
      <c r="B906" s="468"/>
      <c r="C906" s="468"/>
      <c r="D906" s="525"/>
    </row>
    <row r="907" spans="2:4" x14ac:dyDescent="0.2">
      <c r="B907" s="468"/>
      <c r="C907" s="468"/>
      <c r="D907" s="525"/>
    </row>
    <row r="908" spans="2:4" x14ac:dyDescent="0.2">
      <c r="B908" s="468"/>
      <c r="C908" s="468"/>
      <c r="D908" s="525"/>
    </row>
    <row r="909" spans="2:4" x14ac:dyDescent="0.2">
      <c r="B909" s="468"/>
      <c r="C909" s="468"/>
      <c r="D909" s="525"/>
    </row>
    <row r="910" spans="2:4" x14ac:dyDescent="0.2">
      <c r="B910" s="468"/>
      <c r="C910" s="468"/>
      <c r="D910" s="525"/>
    </row>
    <row r="911" spans="2:4" x14ac:dyDescent="0.2">
      <c r="B911" s="468"/>
      <c r="C911" s="468"/>
      <c r="D911" s="525"/>
    </row>
    <row r="912" spans="2:4" x14ac:dyDescent="0.2">
      <c r="B912" s="468"/>
      <c r="C912" s="468"/>
      <c r="D912" s="525"/>
    </row>
    <row r="913" spans="2:4" x14ac:dyDescent="0.2">
      <c r="B913" s="468"/>
      <c r="C913" s="468"/>
      <c r="D913" s="525"/>
    </row>
    <row r="914" spans="2:4" x14ac:dyDescent="0.2">
      <c r="B914" s="468"/>
      <c r="C914" s="468"/>
      <c r="D914" s="525"/>
    </row>
    <row r="915" spans="2:4" x14ac:dyDescent="0.2">
      <c r="B915" s="468"/>
      <c r="C915" s="468"/>
      <c r="D915" s="525"/>
    </row>
    <row r="916" spans="2:4" x14ac:dyDescent="0.2">
      <c r="B916" s="468"/>
      <c r="C916" s="468"/>
      <c r="D916" s="525"/>
    </row>
    <row r="917" spans="2:4" x14ac:dyDescent="0.2">
      <c r="B917" s="468"/>
      <c r="C917" s="468"/>
      <c r="D917" s="525"/>
    </row>
    <row r="918" spans="2:4" x14ac:dyDescent="0.2">
      <c r="B918" s="468"/>
      <c r="C918" s="468"/>
      <c r="D918" s="525"/>
    </row>
    <row r="919" spans="2:4" x14ac:dyDescent="0.2">
      <c r="B919" s="468"/>
      <c r="C919" s="468"/>
      <c r="D919" s="525"/>
    </row>
    <row r="920" spans="2:4" x14ac:dyDescent="0.2">
      <c r="B920" s="468"/>
      <c r="C920" s="468"/>
      <c r="D920" s="525"/>
    </row>
    <row r="921" spans="2:4" x14ac:dyDescent="0.2">
      <c r="B921" s="468"/>
      <c r="C921" s="468"/>
      <c r="D921" s="525"/>
    </row>
    <row r="922" spans="2:4" x14ac:dyDescent="0.2">
      <c r="B922" s="468"/>
      <c r="C922" s="468"/>
      <c r="D922" s="525"/>
    </row>
    <row r="923" spans="2:4" x14ac:dyDescent="0.2">
      <c r="B923" s="468"/>
      <c r="C923" s="468"/>
      <c r="D923" s="525"/>
    </row>
    <row r="924" spans="2:4" x14ac:dyDescent="0.2">
      <c r="B924" s="468"/>
      <c r="C924" s="468"/>
      <c r="D924" s="525"/>
    </row>
    <row r="925" spans="2:4" x14ac:dyDescent="0.2">
      <c r="B925" s="468"/>
      <c r="C925" s="468"/>
      <c r="D925" s="525"/>
    </row>
    <row r="926" spans="2:4" x14ac:dyDescent="0.2">
      <c r="B926" s="468"/>
      <c r="C926" s="468"/>
      <c r="D926" s="525"/>
    </row>
    <row r="927" spans="2:4" x14ac:dyDescent="0.2">
      <c r="B927" s="468"/>
      <c r="C927" s="468"/>
      <c r="D927" s="525"/>
    </row>
    <row r="928" spans="2:4" x14ac:dyDescent="0.2">
      <c r="B928" s="468"/>
      <c r="C928" s="468"/>
      <c r="D928" s="525"/>
    </row>
    <row r="929" spans="2:4" x14ac:dyDescent="0.2">
      <c r="B929" s="468"/>
      <c r="C929" s="468"/>
      <c r="D929" s="525"/>
    </row>
    <row r="930" spans="2:4" x14ac:dyDescent="0.2">
      <c r="B930" s="468"/>
      <c r="C930" s="468"/>
      <c r="D930" s="525"/>
    </row>
    <row r="931" spans="2:4" x14ac:dyDescent="0.2">
      <c r="B931" s="468"/>
      <c r="C931" s="468"/>
      <c r="D931" s="525"/>
    </row>
    <row r="932" spans="2:4" x14ac:dyDescent="0.2">
      <c r="B932" s="468"/>
      <c r="C932" s="468"/>
      <c r="D932" s="525"/>
    </row>
    <row r="933" spans="2:4" x14ac:dyDescent="0.2">
      <c r="B933" s="468"/>
      <c r="C933" s="468"/>
      <c r="D933" s="525"/>
    </row>
    <row r="934" spans="2:4" x14ac:dyDescent="0.2">
      <c r="B934" s="468"/>
      <c r="C934" s="468"/>
      <c r="D934" s="525"/>
    </row>
    <row r="935" spans="2:4" x14ac:dyDescent="0.2">
      <c r="B935" s="468"/>
      <c r="C935" s="468"/>
      <c r="D935" s="525"/>
    </row>
    <row r="936" spans="2:4" x14ac:dyDescent="0.2">
      <c r="B936" s="468"/>
      <c r="C936" s="468"/>
      <c r="D936" s="525"/>
    </row>
    <row r="937" spans="2:4" x14ac:dyDescent="0.2">
      <c r="B937" s="468"/>
      <c r="C937" s="468"/>
      <c r="D937" s="525"/>
    </row>
    <row r="938" spans="2:4" x14ac:dyDescent="0.2">
      <c r="B938" s="468"/>
      <c r="C938" s="468"/>
      <c r="D938" s="525"/>
    </row>
    <row r="939" spans="2:4" x14ac:dyDescent="0.2">
      <c r="B939" s="468"/>
      <c r="C939" s="468"/>
      <c r="D939" s="525"/>
    </row>
    <row r="940" spans="2:4" x14ac:dyDescent="0.2">
      <c r="B940" s="468"/>
      <c r="C940" s="468"/>
      <c r="D940" s="525"/>
    </row>
    <row r="941" spans="2:4" x14ac:dyDescent="0.2">
      <c r="B941" s="468"/>
      <c r="C941" s="468"/>
      <c r="D941" s="525"/>
    </row>
    <row r="942" spans="2:4" x14ac:dyDescent="0.2">
      <c r="B942" s="468"/>
      <c r="C942" s="468"/>
      <c r="D942" s="525"/>
    </row>
    <row r="943" spans="2:4" x14ac:dyDescent="0.2">
      <c r="B943" s="468"/>
      <c r="C943" s="468"/>
      <c r="D943" s="525"/>
    </row>
    <row r="944" spans="2:4" x14ac:dyDescent="0.2">
      <c r="B944" s="468"/>
      <c r="C944" s="468"/>
      <c r="D944" s="525"/>
    </row>
    <row r="945" spans="2:4" x14ac:dyDescent="0.2">
      <c r="B945" s="468"/>
      <c r="C945" s="468"/>
      <c r="D945" s="525"/>
    </row>
    <row r="946" spans="2:4" x14ac:dyDescent="0.2">
      <c r="B946" s="468"/>
      <c r="C946" s="468"/>
      <c r="D946" s="525"/>
    </row>
    <row r="947" spans="2:4" x14ac:dyDescent="0.2">
      <c r="B947" s="468"/>
      <c r="C947" s="468"/>
      <c r="D947" s="525"/>
    </row>
    <row r="948" spans="2:4" x14ac:dyDescent="0.2">
      <c r="B948" s="468"/>
      <c r="C948" s="468"/>
      <c r="D948" s="525"/>
    </row>
    <row r="949" spans="2:4" x14ac:dyDescent="0.2">
      <c r="B949" s="468"/>
      <c r="C949" s="468"/>
      <c r="D949" s="525"/>
    </row>
    <row r="950" spans="2:4" x14ac:dyDescent="0.2">
      <c r="B950" s="468"/>
      <c r="C950" s="468"/>
      <c r="D950" s="525"/>
    </row>
    <row r="951" spans="2:4" x14ac:dyDescent="0.2">
      <c r="B951" s="468"/>
      <c r="C951" s="468"/>
      <c r="D951" s="525"/>
    </row>
    <row r="952" spans="2:4" x14ac:dyDescent="0.2">
      <c r="B952" s="468"/>
      <c r="C952" s="468"/>
      <c r="D952" s="525"/>
    </row>
    <row r="953" spans="2:4" x14ac:dyDescent="0.2">
      <c r="B953" s="468"/>
      <c r="C953" s="468"/>
      <c r="D953" s="525"/>
    </row>
    <row r="954" spans="2:4" x14ac:dyDescent="0.2">
      <c r="B954" s="468"/>
      <c r="C954" s="468"/>
      <c r="D954" s="525"/>
    </row>
    <row r="955" spans="2:4" x14ac:dyDescent="0.2">
      <c r="B955" s="468"/>
      <c r="C955" s="468"/>
      <c r="D955" s="525"/>
    </row>
    <row r="956" spans="2:4" x14ac:dyDescent="0.2">
      <c r="B956" s="468"/>
      <c r="C956" s="468"/>
      <c r="D956" s="525"/>
    </row>
    <row r="957" spans="2:4" x14ac:dyDescent="0.2">
      <c r="B957" s="468"/>
      <c r="C957" s="468"/>
      <c r="D957" s="525"/>
    </row>
    <row r="958" spans="2:4" x14ac:dyDescent="0.2">
      <c r="B958" s="468"/>
      <c r="C958" s="468"/>
      <c r="D958" s="525"/>
    </row>
    <row r="959" spans="2:4" x14ac:dyDescent="0.2">
      <c r="B959" s="468"/>
      <c r="C959" s="468"/>
      <c r="D959" s="525"/>
    </row>
    <row r="960" spans="2:4" x14ac:dyDescent="0.2">
      <c r="B960" s="468"/>
      <c r="C960" s="468"/>
      <c r="D960" s="525"/>
    </row>
    <row r="961" spans="2:4" x14ac:dyDescent="0.2">
      <c r="B961" s="468"/>
      <c r="C961" s="468"/>
      <c r="D961" s="525"/>
    </row>
    <row r="962" spans="2:4" x14ac:dyDescent="0.2">
      <c r="B962" s="468"/>
      <c r="C962" s="468"/>
      <c r="D962" s="525"/>
    </row>
    <row r="963" spans="2:4" x14ac:dyDescent="0.2">
      <c r="B963" s="468"/>
      <c r="C963" s="468"/>
      <c r="D963" s="525"/>
    </row>
    <row r="964" spans="2:4" x14ac:dyDescent="0.2">
      <c r="B964" s="468"/>
      <c r="C964" s="468"/>
      <c r="D964" s="525"/>
    </row>
    <row r="965" spans="2:4" x14ac:dyDescent="0.2">
      <c r="B965" s="468"/>
      <c r="C965" s="468"/>
      <c r="D965" s="525"/>
    </row>
    <row r="966" spans="2:4" x14ac:dyDescent="0.2">
      <c r="B966" s="468"/>
      <c r="C966" s="468"/>
      <c r="D966" s="525"/>
    </row>
    <row r="967" spans="2:4" x14ac:dyDescent="0.2">
      <c r="B967" s="468"/>
      <c r="C967" s="468"/>
      <c r="D967" s="525"/>
    </row>
    <row r="968" spans="2:4" x14ac:dyDescent="0.2">
      <c r="B968" s="468"/>
      <c r="C968" s="468"/>
      <c r="D968" s="525"/>
    </row>
    <row r="969" spans="2:4" x14ac:dyDescent="0.2">
      <c r="B969" s="468"/>
      <c r="C969" s="468"/>
      <c r="D969" s="525"/>
    </row>
    <row r="970" spans="2:4" x14ac:dyDescent="0.2">
      <c r="B970" s="468"/>
      <c r="C970" s="468"/>
      <c r="D970" s="525"/>
    </row>
    <row r="971" spans="2:4" x14ac:dyDescent="0.2">
      <c r="B971" s="468"/>
      <c r="C971" s="468"/>
      <c r="D971" s="525"/>
    </row>
    <row r="972" spans="2:4" x14ac:dyDescent="0.2">
      <c r="B972" s="468"/>
      <c r="C972" s="468"/>
      <c r="D972" s="525"/>
    </row>
    <row r="973" spans="2:4" x14ac:dyDescent="0.2">
      <c r="B973" s="468"/>
      <c r="C973" s="468"/>
      <c r="D973" s="525"/>
    </row>
    <row r="974" spans="2:4" x14ac:dyDescent="0.2">
      <c r="B974" s="468"/>
      <c r="C974" s="468"/>
      <c r="D974" s="525"/>
    </row>
    <row r="975" spans="2:4" x14ac:dyDescent="0.2">
      <c r="B975" s="468"/>
      <c r="C975" s="468"/>
      <c r="D975" s="525"/>
    </row>
    <row r="976" spans="2:4" x14ac:dyDescent="0.2">
      <c r="B976" s="468"/>
      <c r="C976" s="468"/>
      <c r="D976" s="525"/>
    </row>
    <row r="977" spans="2:4" x14ac:dyDescent="0.2">
      <c r="B977" s="468"/>
      <c r="C977" s="468"/>
      <c r="D977" s="525"/>
    </row>
    <row r="978" spans="2:4" x14ac:dyDescent="0.2">
      <c r="B978" s="468"/>
      <c r="C978" s="468"/>
      <c r="D978" s="525"/>
    </row>
    <row r="979" spans="2:4" x14ac:dyDescent="0.2">
      <c r="B979" s="468"/>
      <c r="C979" s="468"/>
      <c r="D979" s="525"/>
    </row>
    <row r="980" spans="2:4" x14ac:dyDescent="0.2">
      <c r="B980" s="468"/>
      <c r="C980" s="468"/>
      <c r="D980" s="525"/>
    </row>
    <row r="981" spans="2:4" x14ac:dyDescent="0.2">
      <c r="B981" s="468"/>
      <c r="C981" s="468"/>
      <c r="D981" s="525"/>
    </row>
    <row r="982" spans="2:4" x14ac:dyDescent="0.2">
      <c r="B982" s="468"/>
      <c r="C982" s="468"/>
      <c r="D982" s="525"/>
    </row>
    <row r="983" spans="2:4" x14ac:dyDescent="0.2">
      <c r="B983" s="468"/>
      <c r="C983" s="468"/>
      <c r="D983" s="525"/>
    </row>
    <row r="984" spans="2:4" x14ac:dyDescent="0.2">
      <c r="B984" s="468"/>
      <c r="C984" s="468"/>
      <c r="D984" s="525"/>
    </row>
    <row r="985" spans="2:4" x14ac:dyDescent="0.2">
      <c r="B985" s="468"/>
      <c r="C985" s="468"/>
      <c r="D985" s="525"/>
    </row>
    <row r="986" spans="2:4" x14ac:dyDescent="0.2">
      <c r="B986" s="468"/>
      <c r="C986" s="468"/>
      <c r="D986" s="525"/>
    </row>
    <row r="987" spans="2:4" x14ac:dyDescent="0.2">
      <c r="B987" s="468"/>
      <c r="C987" s="468"/>
      <c r="D987" s="525"/>
    </row>
    <row r="988" spans="2:4" x14ac:dyDescent="0.2">
      <c r="B988" s="468"/>
      <c r="C988" s="468"/>
      <c r="D988" s="525"/>
    </row>
    <row r="989" spans="2:4" x14ac:dyDescent="0.2">
      <c r="B989" s="468"/>
      <c r="C989" s="468"/>
      <c r="D989" s="525"/>
    </row>
    <row r="990" spans="2:4" x14ac:dyDescent="0.2">
      <c r="B990" s="468"/>
      <c r="C990" s="468"/>
      <c r="D990" s="525"/>
    </row>
    <row r="991" spans="2:4" x14ac:dyDescent="0.2">
      <c r="B991" s="468"/>
      <c r="C991" s="468"/>
      <c r="D991" s="525"/>
    </row>
    <row r="992" spans="2:4" x14ac:dyDescent="0.2">
      <c r="B992" s="468"/>
      <c r="C992" s="468"/>
      <c r="D992" s="525"/>
    </row>
    <row r="993" spans="2:4" x14ac:dyDescent="0.2">
      <c r="B993" s="468"/>
      <c r="C993" s="468"/>
      <c r="D993" s="525"/>
    </row>
    <row r="994" spans="2:4" x14ac:dyDescent="0.2">
      <c r="B994" s="468"/>
      <c r="C994" s="468"/>
      <c r="D994" s="525"/>
    </row>
    <row r="995" spans="2:4" x14ac:dyDescent="0.2">
      <c r="B995" s="468"/>
      <c r="C995" s="468"/>
      <c r="D995" s="525"/>
    </row>
    <row r="996" spans="2:4" x14ac:dyDescent="0.2">
      <c r="B996" s="468"/>
      <c r="C996" s="468"/>
      <c r="D996" s="525"/>
    </row>
    <row r="997" spans="2:4" x14ac:dyDescent="0.2">
      <c r="B997" s="468"/>
      <c r="C997" s="468"/>
      <c r="D997" s="525"/>
    </row>
    <row r="998" spans="2:4" x14ac:dyDescent="0.2">
      <c r="B998" s="468"/>
      <c r="C998" s="468"/>
      <c r="D998" s="525"/>
    </row>
    <row r="999" spans="2:4" x14ac:dyDescent="0.2">
      <c r="B999" s="468"/>
      <c r="C999" s="468"/>
      <c r="D999" s="525"/>
    </row>
    <row r="1000" spans="2:4" x14ac:dyDescent="0.2">
      <c r="B1000" s="468"/>
      <c r="C1000" s="468"/>
      <c r="D1000" s="525"/>
    </row>
    <row r="1001" spans="2:4" x14ac:dyDescent="0.2">
      <c r="B1001" s="468"/>
      <c r="C1001" s="468"/>
      <c r="D1001" s="525"/>
    </row>
    <row r="1002" spans="2:4" x14ac:dyDescent="0.2">
      <c r="B1002" s="468"/>
      <c r="C1002" s="468"/>
      <c r="D1002" s="525"/>
    </row>
    <row r="1003" spans="2:4" x14ac:dyDescent="0.2">
      <c r="B1003" s="468"/>
      <c r="C1003" s="468"/>
      <c r="D1003" s="525"/>
    </row>
    <row r="1004" spans="2:4" x14ac:dyDescent="0.2">
      <c r="B1004" s="468"/>
      <c r="C1004" s="468"/>
      <c r="D1004" s="525"/>
    </row>
    <row r="1005" spans="2:4" x14ac:dyDescent="0.2">
      <c r="B1005" s="468"/>
      <c r="C1005" s="468"/>
      <c r="D1005" s="525"/>
    </row>
    <row r="1006" spans="2:4" x14ac:dyDescent="0.2">
      <c r="B1006" s="468"/>
      <c r="C1006" s="468"/>
      <c r="D1006" s="525"/>
    </row>
    <row r="1007" spans="2:4" x14ac:dyDescent="0.2">
      <c r="B1007" s="468"/>
      <c r="C1007" s="468"/>
      <c r="D1007" s="525"/>
    </row>
    <row r="1008" spans="2:4" x14ac:dyDescent="0.2">
      <c r="B1008" s="468"/>
      <c r="C1008" s="468"/>
      <c r="D1008" s="525"/>
    </row>
    <row r="1009" spans="2:4" x14ac:dyDescent="0.2">
      <c r="B1009" s="468"/>
      <c r="C1009" s="468"/>
      <c r="D1009" s="525"/>
    </row>
    <row r="1010" spans="2:4" x14ac:dyDescent="0.2">
      <c r="B1010" s="468"/>
      <c r="C1010" s="468"/>
      <c r="D1010" s="525"/>
    </row>
    <row r="1011" spans="2:4" x14ac:dyDescent="0.2">
      <c r="B1011" s="468"/>
      <c r="C1011" s="468"/>
      <c r="D1011" s="525"/>
    </row>
    <row r="1012" spans="2:4" x14ac:dyDescent="0.2">
      <c r="B1012" s="468"/>
      <c r="C1012" s="468"/>
      <c r="D1012" s="525"/>
    </row>
    <row r="1013" spans="2:4" x14ac:dyDescent="0.2">
      <c r="B1013" s="468"/>
      <c r="C1013" s="468"/>
      <c r="D1013" s="525"/>
    </row>
    <row r="1014" spans="2:4" x14ac:dyDescent="0.2">
      <c r="B1014" s="468"/>
      <c r="C1014" s="468"/>
      <c r="D1014" s="525"/>
    </row>
    <row r="1015" spans="2:4" x14ac:dyDescent="0.2">
      <c r="B1015" s="468"/>
      <c r="C1015" s="468"/>
      <c r="D1015" s="525"/>
    </row>
    <row r="1016" spans="2:4" x14ac:dyDescent="0.2">
      <c r="B1016" s="468"/>
      <c r="C1016" s="468"/>
      <c r="D1016" s="525"/>
    </row>
    <row r="1017" spans="2:4" x14ac:dyDescent="0.2">
      <c r="B1017" s="468"/>
      <c r="C1017" s="468"/>
      <c r="D1017" s="525"/>
    </row>
    <row r="1018" spans="2:4" x14ac:dyDescent="0.2">
      <c r="B1018" s="468"/>
      <c r="C1018" s="468"/>
      <c r="D1018" s="525"/>
    </row>
    <row r="1019" spans="2:4" x14ac:dyDescent="0.2">
      <c r="B1019" s="468"/>
      <c r="C1019" s="468"/>
      <c r="D1019" s="525"/>
    </row>
    <row r="1020" spans="2:4" x14ac:dyDescent="0.2">
      <c r="B1020" s="468"/>
      <c r="C1020" s="468"/>
      <c r="D1020" s="525"/>
    </row>
    <row r="1021" spans="2:4" x14ac:dyDescent="0.2">
      <c r="B1021" s="468"/>
      <c r="C1021" s="468"/>
      <c r="D1021" s="525"/>
    </row>
    <row r="1022" spans="2:4" x14ac:dyDescent="0.2">
      <c r="B1022" s="468"/>
      <c r="C1022" s="468"/>
      <c r="D1022" s="525"/>
    </row>
    <row r="1023" spans="2:4" x14ac:dyDescent="0.2">
      <c r="B1023" s="468"/>
      <c r="C1023" s="468"/>
      <c r="D1023" s="525"/>
    </row>
    <row r="1024" spans="2:4" x14ac:dyDescent="0.2">
      <c r="B1024" s="468"/>
      <c r="C1024" s="468"/>
      <c r="D1024" s="525"/>
    </row>
    <row r="1025" spans="2:4" x14ac:dyDescent="0.2">
      <c r="B1025" s="468"/>
      <c r="C1025" s="468"/>
      <c r="D1025" s="525"/>
    </row>
    <row r="1026" spans="2:4" x14ac:dyDescent="0.2">
      <c r="B1026" s="468"/>
      <c r="C1026" s="468"/>
      <c r="D1026" s="525"/>
    </row>
    <row r="1027" spans="2:4" x14ac:dyDescent="0.2">
      <c r="B1027" s="468"/>
      <c r="C1027" s="468"/>
      <c r="D1027" s="525"/>
    </row>
    <row r="1028" spans="2:4" x14ac:dyDescent="0.2">
      <c r="B1028" s="468"/>
      <c r="C1028" s="468"/>
      <c r="D1028" s="525"/>
    </row>
    <row r="1029" spans="2:4" x14ac:dyDescent="0.2">
      <c r="B1029" s="468"/>
      <c r="C1029" s="468"/>
      <c r="D1029" s="525"/>
    </row>
    <row r="1030" spans="2:4" x14ac:dyDescent="0.2">
      <c r="B1030" s="468"/>
      <c r="C1030" s="468"/>
      <c r="D1030" s="525"/>
    </row>
    <row r="1031" spans="2:4" x14ac:dyDescent="0.2">
      <c r="B1031" s="468"/>
      <c r="C1031" s="468"/>
      <c r="D1031" s="525"/>
    </row>
    <row r="1032" spans="2:4" x14ac:dyDescent="0.2">
      <c r="B1032" s="468"/>
      <c r="C1032" s="468"/>
      <c r="D1032" s="525"/>
    </row>
    <row r="1033" spans="2:4" x14ac:dyDescent="0.2">
      <c r="B1033" s="468"/>
      <c r="C1033" s="468"/>
      <c r="D1033" s="525"/>
    </row>
    <row r="1034" spans="2:4" x14ac:dyDescent="0.2">
      <c r="B1034" s="468"/>
      <c r="C1034" s="468"/>
      <c r="D1034" s="525"/>
    </row>
    <row r="1035" spans="2:4" x14ac:dyDescent="0.2">
      <c r="B1035" s="468"/>
      <c r="C1035" s="468"/>
      <c r="D1035" s="525"/>
    </row>
    <row r="1036" spans="2:4" x14ac:dyDescent="0.2">
      <c r="B1036" s="468"/>
      <c r="C1036" s="468"/>
      <c r="D1036" s="525"/>
    </row>
    <row r="1037" spans="2:4" x14ac:dyDescent="0.2">
      <c r="B1037" s="468"/>
      <c r="C1037" s="468"/>
      <c r="D1037" s="525"/>
    </row>
    <row r="1038" spans="2:4" x14ac:dyDescent="0.2">
      <c r="B1038" s="468"/>
      <c r="C1038" s="468"/>
      <c r="D1038" s="525"/>
    </row>
    <row r="1039" spans="2:4" x14ac:dyDescent="0.2">
      <c r="B1039" s="468"/>
      <c r="C1039" s="468"/>
      <c r="D1039" s="525"/>
    </row>
    <row r="1040" spans="2:4" x14ac:dyDescent="0.2">
      <c r="B1040" s="468"/>
      <c r="C1040" s="468"/>
      <c r="D1040" s="525"/>
    </row>
    <row r="1041" spans="2:4" x14ac:dyDescent="0.2">
      <c r="B1041" s="468"/>
      <c r="C1041" s="468"/>
      <c r="D1041" s="525"/>
    </row>
    <row r="1042" spans="2:4" x14ac:dyDescent="0.2">
      <c r="B1042" s="468"/>
      <c r="C1042" s="468"/>
      <c r="D1042" s="525"/>
    </row>
    <row r="1043" spans="2:4" x14ac:dyDescent="0.2">
      <c r="B1043" s="468"/>
      <c r="C1043" s="468"/>
      <c r="D1043" s="525"/>
    </row>
    <row r="1044" spans="2:4" x14ac:dyDescent="0.2">
      <c r="B1044" s="468"/>
      <c r="C1044" s="468"/>
      <c r="D1044" s="525"/>
    </row>
    <row r="1045" spans="2:4" x14ac:dyDescent="0.2">
      <c r="B1045" s="468"/>
      <c r="C1045" s="468"/>
      <c r="D1045" s="525"/>
    </row>
    <row r="1046" spans="2:4" x14ac:dyDescent="0.2">
      <c r="B1046" s="468"/>
      <c r="C1046" s="468"/>
      <c r="D1046" s="525"/>
    </row>
    <row r="1047" spans="2:4" x14ac:dyDescent="0.2">
      <c r="B1047" s="468"/>
      <c r="C1047" s="468"/>
      <c r="D1047" s="525"/>
    </row>
    <row r="1048" spans="2:4" x14ac:dyDescent="0.2">
      <c r="B1048" s="468"/>
      <c r="C1048" s="468"/>
      <c r="D1048" s="525"/>
    </row>
    <row r="1049" spans="2:4" x14ac:dyDescent="0.2">
      <c r="B1049" s="468"/>
      <c r="C1049" s="468"/>
      <c r="D1049" s="525"/>
    </row>
    <row r="1050" spans="2:4" x14ac:dyDescent="0.2">
      <c r="B1050" s="468"/>
      <c r="C1050" s="468"/>
      <c r="D1050" s="525"/>
    </row>
    <row r="1051" spans="2:4" x14ac:dyDescent="0.2">
      <c r="B1051" s="468"/>
      <c r="C1051" s="468"/>
      <c r="D1051" s="525"/>
    </row>
    <row r="1052" spans="2:4" x14ac:dyDescent="0.2">
      <c r="B1052" s="468"/>
      <c r="C1052" s="468"/>
      <c r="D1052" s="525"/>
    </row>
    <row r="1053" spans="2:4" x14ac:dyDescent="0.2">
      <c r="B1053" s="468"/>
      <c r="C1053" s="468"/>
      <c r="D1053" s="525"/>
    </row>
    <row r="1054" spans="2:4" x14ac:dyDescent="0.2">
      <c r="B1054" s="468"/>
      <c r="C1054" s="468"/>
      <c r="D1054" s="525"/>
    </row>
    <row r="1055" spans="2:4" x14ac:dyDescent="0.2">
      <c r="B1055" s="468"/>
      <c r="C1055" s="468"/>
      <c r="D1055" s="525"/>
    </row>
    <row r="1056" spans="2:4" x14ac:dyDescent="0.2">
      <c r="B1056" s="468"/>
      <c r="C1056" s="468"/>
      <c r="D1056" s="525"/>
    </row>
    <row r="1057" spans="2:4" x14ac:dyDescent="0.2">
      <c r="B1057" s="468"/>
      <c r="C1057" s="468"/>
      <c r="D1057" s="525"/>
    </row>
    <row r="1058" spans="2:4" x14ac:dyDescent="0.2">
      <c r="B1058" s="468"/>
      <c r="C1058" s="468"/>
      <c r="D1058" s="525"/>
    </row>
    <row r="1059" spans="2:4" x14ac:dyDescent="0.2">
      <c r="B1059" s="468"/>
      <c r="C1059" s="468"/>
      <c r="D1059" s="525"/>
    </row>
    <row r="1060" spans="2:4" x14ac:dyDescent="0.2">
      <c r="B1060" s="468"/>
      <c r="C1060" s="468"/>
      <c r="D1060" s="525"/>
    </row>
    <row r="1061" spans="2:4" x14ac:dyDescent="0.2">
      <c r="B1061" s="468"/>
      <c r="C1061" s="468"/>
      <c r="D1061" s="525"/>
    </row>
    <row r="1062" spans="2:4" x14ac:dyDescent="0.2">
      <c r="B1062" s="468"/>
      <c r="C1062" s="468"/>
      <c r="D1062" s="525"/>
    </row>
    <row r="1063" spans="2:4" x14ac:dyDescent="0.2">
      <c r="B1063" s="468"/>
      <c r="C1063" s="468"/>
      <c r="D1063" s="525"/>
    </row>
    <row r="1064" spans="2:4" x14ac:dyDescent="0.2">
      <c r="B1064" s="468"/>
      <c r="C1064" s="468"/>
      <c r="D1064" s="525"/>
    </row>
    <row r="1065" spans="2:4" x14ac:dyDescent="0.2">
      <c r="B1065" s="468"/>
      <c r="C1065" s="468"/>
      <c r="D1065" s="525"/>
    </row>
    <row r="1066" spans="2:4" x14ac:dyDescent="0.2">
      <c r="B1066" s="468"/>
      <c r="C1066" s="468"/>
      <c r="D1066" s="525"/>
    </row>
    <row r="1067" spans="2:4" x14ac:dyDescent="0.2">
      <c r="B1067" s="468"/>
      <c r="C1067" s="468"/>
      <c r="D1067" s="525"/>
    </row>
    <row r="1068" spans="2:4" x14ac:dyDescent="0.2">
      <c r="B1068" s="468"/>
      <c r="C1068" s="468"/>
      <c r="D1068" s="525"/>
    </row>
    <row r="1069" spans="2:4" x14ac:dyDescent="0.2">
      <c r="B1069" s="468"/>
      <c r="C1069" s="468"/>
      <c r="D1069" s="525"/>
    </row>
    <row r="1070" spans="2:4" x14ac:dyDescent="0.2">
      <c r="B1070" s="468"/>
      <c r="C1070" s="468"/>
      <c r="D1070" s="525"/>
    </row>
    <row r="1071" spans="2:4" x14ac:dyDescent="0.2">
      <c r="B1071" s="468"/>
      <c r="C1071" s="468"/>
      <c r="D1071" s="525"/>
    </row>
    <row r="1072" spans="2:4" x14ac:dyDescent="0.2">
      <c r="B1072" s="468"/>
      <c r="C1072" s="468"/>
      <c r="D1072" s="525"/>
    </row>
    <row r="1073" spans="2:4" x14ac:dyDescent="0.2">
      <c r="B1073" s="468"/>
      <c r="C1073" s="468"/>
      <c r="D1073" s="525"/>
    </row>
    <row r="1074" spans="2:4" x14ac:dyDescent="0.2">
      <c r="B1074" s="468"/>
      <c r="C1074" s="468"/>
      <c r="D1074" s="525"/>
    </row>
    <row r="1075" spans="2:4" x14ac:dyDescent="0.2">
      <c r="B1075" s="468"/>
      <c r="C1075" s="468"/>
      <c r="D1075" s="525"/>
    </row>
    <row r="1076" spans="2:4" x14ac:dyDescent="0.2">
      <c r="B1076" s="468"/>
      <c r="C1076" s="468"/>
      <c r="D1076" s="525"/>
    </row>
    <row r="1077" spans="2:4" x14ac:dyDescent="0.2">
      <c r="B1077" s="468"/>
      <c r="C1077" s="468"/>
      <c r="D1077" s="525"/>
    </row>
    <row r="1078" spans="2:4" x14ac:dyDescent="0.2">
      <c r="B1078" s="468"/>
      <c r="C1078" s="468"/>
      <c r="D1078" s="525"/>
    </row>
    <row r="1079" spans="2:4" x14ac:dyDescent="0.2">
      <c r="B1079" s="468"/>
      <c r="C1079" s="468"/>
      <c r="D1079" s="525"/>
    </row>
    <row r="1080" spans="2:4" x14ac:dyDescent="0.2">
      <c r="B1080" s="468"/>
      <c r="C1080" s="468"/>
      <c r="D1080" s="525"/>
    </row>
    <row r="1081" spans="2:4" x14ac:dyDescent="0.2">
      <c r="B1081" s="468"/>
      <c r="C1081" s="468"/>
      <c r="D1081" s="525"/>
    </row>
    <row r="1082" spans="2:4" x14ac:dyDescent="0.2">
      <c r="B1082" s="468"/>
      <c r="C1082" s="468"/>
      <c r="D1082" s="525"/>
    </row>
    <row r="1083" spans="2:4" x14ac:dyDescent="0.2">
      <c r="B1083" s="468"/>
      <c r="C1083" s="468"/>
      <c r="D1083" s="525"/>
    </row>
    <row r="1084" spans="2:4" x14ac:dyDescent="0.2">
      <c r="B1084" s="468"/>
      <c r="C1084" s="468"/>
      <c r="D1084" s="525"/>
    </row>
    <row r="1085" spans="2:4" x14ac:dyDescent="0.2">
      <c r="B1085" s="468"/>
      <c r="C1085" s="468"/>
      <c r="D1085" s="525"/>
    </row>
    <row r="1086" spans="2:4" x14ac:dyDescent="0.2">
      <c r="B1086" s="468"/>
      <c r="C1086" s="468"/>
      <c r="D1086" s="525"/>
    </row>
    <row r="1087" spans="2:4" x14ac:dyDescent="0.2">
      <c r="B1087" s="468"/>
      <c r="C1087" s="468"/>
      <c r="D1087" s="525"/>
    </row>
    <row r="1088" spans="2:4" x14ac:dyDescent="0.2">
      <c r="B1088" s="468"/>
      <c r="C1088" s="468"/>
      <c r="D1088" s="525"/>
    </row>
    <row r="1089" spans="2:4" x14ac:dyDescent="0.2">
      <c r="B1089" s="468"/>
      <c r="C1089" s="468"/>
      <c r="D1089" s="525"/>
    </row>
    <row r="1090" spans="2:4" x14ac:dyDescent="0.2">
      <c r="B1090" s="468"/>
      <c r="C1090" s="468"/>
      <c r="D1090" s="525"/>
    </row>
    <row r="1091" spans="2:4" x14ac:dyDescent="0.2">
      <c r="B1091" s="468"/>
      <c r="C1091" s="468"/>
      <c r="D1091" s="525"/>
    </row>
    <row r="1092" spans="2:4" x14ac:dyDescent="0.2">
      <c r="B1092" s="468"/>
      <c r="C1092" s="468"/>
      <c r="D1092" s="525"/>
    </row>
    <row r="1093" spans="2:4" x14ac:dyDescent="0.2">
      <c r="B1093" s="468"/>
      <c r="C1093" s="468"/>
      <c r="D1093" s="525"/>
    </row>
    <row r="1094" spans="2:4" x14ac:dyDescent="0.2">
      <c r="B1094" s="468"/>
      <c r="C1094" s="468"/>
      <c r="D1094" s="525"/>
    </row>
    <row r="1095" spans="2:4" x14ac:dyDescent="0.2">
      <c r="B1095" s="468"/>
      <c r="C1095" s="468"/>
      <c r="D1095" s="525"/>
    </row>
    <row r="1096" spans="2:4" x14ac:dyDescent="0.2">
      <c r="B1096" s="468"/>
      <c r="C1096" s="468"/>
      <c r="D1096" s="525"/>
    </row>
    <row r="1097" spans="2:4" x14ac:dyDescent="0.2">
      <c r="B1097" s="468"/>
      <c r="C1097" s="468"/>
      <c r="D1097" s="525"/>
    </row>
    <row r="1098" spans="2:4" x14ac:dyDescent="0.2">
      <c r="B1098" s="468"/>
      <c r="C1098" s="468"/>
      <c r="D1098" s="525"/>
    </row>
    <row r="1099" spans="2:4" x14ac:dyDescent="0.2">
      <c r="B1099" s="468"/>
      <c r="C1099" s="468"/>
      <c r="D1099" s="525"/>
    </row>
    <row r="1100" spans="2:4" x14ac:dyDescent="0.2">
      <c r="B1100" s="468"/>
      <c r="C1100" s="468"/>
      <c r="D1100" s="525"/>
    </row>
    <row r="1101" spans="2:4" x14ac:dyDescent="0.2">
      <c r="B1101" s="468"/>
      <c r="C1101" s="468"/>
      <c r="D1101" s="525"/>
    </row>
    <row r="1102" spans="2:4" x14ac:dyDescent="0.2">
      <c r="B1102" s="468"/>
      <c r="C1102" s="468"/>
      <c r="D1102" s="525"/>
    </row>
    <row r="1103" spans="2:4" x14ac:dyDescent="0.2">
      <c r="B1103" s="468"/>
      <c r="C1103" s="468"/>
      <c r="D1103" s="525"/>
    </row>
    <row r="1104" spans="2:4" x14ac:dyDescent="0.2">
      <c r="B1104" s="468"/>
      <c r="C1104" s="468"/>
      <c r="D1104" s="525"/>
    </row>
    <row r="1105" spans="2:4" x14ac:dyDescent="0.2">
      <c r="B1105" s="468"/>
      <c r="C1105" s="468"/>
      <c r="D1105" s="525"/>
    </row>
    <row r="1106" spans="2:4" x14ac:dyDescent="0.2">
      <c r="B1106" s="468"/>
      <c r="C1106" s="468"/>
      <c r="D1106" s="525"/>
    </row>
    <row r="1107" spans="2:4" x14ac:dyDescent="0.2">
      <c r="B1107" s="468"/>
      <c r="C1107" s="468"/>
      <c r="D1107" s="525"/>
    </row>
    <row r="1108" spans="2:4" x14ac:dyDescent="0.2">
      <c r="B1108" s="468"/>
      <c r="C1108" s="468"/>
      <c r="D1108" s="525"/>
    </row>
    <row r="1109" spans="2:4" x14ac:dyDescent="0.2">
      <c r="B1109" s="468"/>
      <c r="C1109" s="468"/>
      <c r="D1109" s="525"/>
    </row>
    <row r="1110" spans="2:4" x14ac:dyDescent="0.2">
      <c r="B1110" s="468"/>
      <c r="C1110" s="468"/>
      <c r="D1110" s="525"/>
    </row>
    <row r="1111" spans="2:4" x14ac:dyDescent="0.2">
      <c r="B1111" s="468"/>
      <c r="C1111" s="468"/>
      <c r="D1111" s="525"/>
    </row>
    <row r="1112" spans="2:4" x14ac:dyDescent="0.2">
      <c r="B1112" s="468"/>
      <c r="C1112" s="468"/>
      <c r="D1112" s="525"/>
    </row>
    <row r="1113" spans="2:4" x14ac:dyDescent="0.2">
      <c r="B1113" s="468"/>
      <c r="C1113" s="468"/>
      <c r="D1113" s="525"/>
    </row>
    <row r="1114" spans="2:4" x14ac:dyDescent="0.2">
      <c r="B1114" s="468"/>
      <c r="C1114" s="468"/>
      <c r="D1114" s="525"/>
    </row>
    <row r="1115" spans="2:4" x14ac:dyDescent="0.2">
      <c r="B1115" s="468"/>
      <c r="C1115" s="468"/>
      <c r="D1115" s="525"/>
    </row>
    <row r="1116" spans="2:4" x14ac:dyDescent="0.2">
      <c r="B1116" s="468"/>
      <c r="C1116" s="468"/>
      <c r="D1116" s="525"/>
    </row>
    <row r="1117" spans="2:4" x14ac:dyDescent="0.2">
      <c r="B1117" s="468"/>
      <c r="C1117" s="468"/>
      <c r="D1117" s="525"/>
    </row>
    <row r="1118" spans="2:4" x14ac:dyDescent="0.2">
      <c r="B1118" s="468"/>
      <c r="C1118" s="468"/>
      <c r="D1118" s="525"/>
    </row>
    <row r="1119" spans="2:4" x14ac:dyDescent="0.2">
      <c r="B1119" s="468"/>
      <c r="C1119" s="468"/>
      <c r="D1119" s="525"/>
    </row>
    <row r="1120" spans="2:4" x14ac:dyDescent="0.2">
      <c r="B1120" s="468"/>
      <c r="C1120" s="468"/>
      <c r="D1120" s="525"/>
    </row>
    <row r="1121" spans="2:4" x14ac:dyDescent="0.2">
      <c r="B1121" s="468"/>
      <c r="C1121" s="468"/>
      <c r="D1121" s="525"/>
    </row>
    <row r="1122" spans="2:4" x14ac:dyDescent="0.2">
      <c r="B1122" s="468"/>
      <c r="C1122" s="468"/>
      <c r="D1122" s="525"/>
    </row>
    <row r="1123" spans="2:4" x14ac:dyDescent="0.2">
      <c r="B1123" s="468"/>
      <c r="C1123" s="468"/>
      <c r="D1123" s="525"/>
    </row>
    <row r="1124" spans="2:4" x14ac:dyDescent="0.2">
      <c r="B1124" s="468"/>
      <c r="C1124" s="468"/>
      <c r="D1124" s="525"/>
    </row>
    <row r="1125" spans="2:4" x14ac:dyDescent="0.2">
      <c r="B1125" s="468"/>
      <c r="C1125" s="468"/>
      <c r="D1125" s="525"/>
    </row>
    <row r="1126" spans="2:4" x14ac:dyDescent="0.2">
      <c r="B1126" s="468"/>
      <c r="C1126" s="468"/>
      <c r="D1126" s="525"/>
    </row>
    <row r="1127" spans="2:4" x14ac:dyDescent="0.2">
      <c r="B1127" s="468"/>
      <c r="C1127" s="468"/>
      <c r="D1127" s="525"/>
    </row>
    <row r="1128" spans="2:4" x14ac:dyDescent="0.2">
      <c r="B1128" s="468"/>
      <c r="C1128" s="468"/>
      <c r="D1128" s="525"/>
    </row>
    <row r="1129" spans="2:4" x14ac:dyDescent="0.2">
      <c r="B1129" s="468"/>
      <c r="C1129" s="468"/>
      <c r="D1129" s="525"/>
    </row>
    <row r="1130" spans="2:4" x14ac:dyDescent="0.2">
      <c r="B1130" s="468"/>
      <c r="C1130" s="468"/>
      <c r="D1130" s="525"/>
    </row>
    <row r="1131" spans="2:4" x14ac:dyDescent="0.2">
      <c r="B1131" s="468"/>
      <c r="C1131" s="468"/>
      <c r="D1131" s="525"/>
    </row>
    <row r="1132" spans="2:4" x14ac:dyDescent="0.2">
      <c r="B1132" s="468"/>
      <c r="C1132" s="468"/>
      <c r="D1132" s="525"/>
    </row>
    <row r="1133" spans="2:4" x14ac:dyDescent="0.2">
      <c r="B1133" s="468"/>
      <c r="C1133" s="468"/>
      <c r="D1133" s="525"/>
    </row>
    <row r="1134" spans="2:4" x14ac:dyDescent="0.2">
      <c r="B1134" s="468"/>
      <c r="C1134" s="468"/>
      <c r="D1134" s="525"/>
    </row>
    <row r="1135" spans="2:4" x14ac:dyDescent="0.2">
      <c r="B1135" s="468"/>
      <c r="C1135" s="468"/>
      <c r="D1135" s="525"/>
    </row>
    <row r="1136" spans="2:4" x14ac:dyDescent="0.2">
      <c r="B1136" s="468"/>
      <c r="C1136" s="468"/>
      <c r="D1136" s="525"/>
    </row>
    <row r="1137" spans="2:4" x14ac:dyDescent="0.2">
      <c r="B1137" s="468"/>
      <c r="C1137" s="468"/>
      <c r="D1137" s="525"/>
    </row>
    <row r="1138" spans="2:4" x14ac:dyDescent="0.2">
      <c r="B1138" s="468"/>
      <c r="C1138" s="468"/>
      <c r="D1138" s="525"/>
    </row>
    <row r="1139" spans="2:4" x14ac:dyDescent="0.2">
      <c r="B1139" s="468"/>
      <c r="C1139" s="468"/>
      <c r="D1139" s="525"/>
    </row>
    <row r="1140" spans="2:4" x14ac:dyDescent="0.2">
      <c r="B1140" s="468"/>
      <c r="C1140" s="468"/>
      <c r="D1140" s="525"/>
    </row>
    <row r="1141" spans="2:4" x14ac:dyDescent="0.2">
      <c r="B1141" s="468"/>
      <c r="C1141" s="468"/>
      <c r="D1141" s="525"/>
    </row>
    <row r="1142" spans="2:4" x14ac:dyDescent="0.2">
      <c r="B1142" s="468"/>
      <c r="C1142" s="468"/>
      <c r="D1142" s="525"/>
    </row>
    <row r="1143" spans="2:4" x14ac:dyDescent="0.2">
      <c r="B1143" s="468"/>
      <c r="C1143" s="468"/>
      <c r="D1143" s="525"/>
    </row>
    <row r="1144" spans="2:4" x14ac:dyDescent="0.2">
      <c r="B1144" s="468"/>
      <c r="C1144" s="468"/>
      <c r="D1144" s="525"/>
    </row>
    <row r="1145" spans="2:4" x14ac:dyDescent="0.2">
      <c r="B1145" s="468"/>
      <c r="C1145" s="468"/>
      <c r="D1145" s="525"/>
    </row>
    <row r="1146" spans="2:4" x14ac:dyDescent="0.2">
      <c r="B1146" s="468"/>
      <c r="C1146" s="468"/>
      <c r="D1146" s="525"/>
    </row>
    <row r="1147" spans="2:4" x14ac:dyDescent="0.2">
      <c r="B1147" s="468"/>
      <c r="C1147" s="468"/>
      <c r="D1147" s="525"/>
    </row>
    <row r="1148" spans="2:4" x14ac:dyDescent="0.2">
      <c r="B1148" s="468"/>
      <c r="C1148" s="468"/>
      <c r="D1148" s="525"/>
    </row>
    <row r="1149" spans="2:4" x14ac:dyDescent="0.2">
      <c r="B1149" s="468"/>
      <c r="C1149" s="468"/>
      <c r="D1149" s="525"/>
    </row>
    <row r="1150" spans="2:4" x14ac:dyDescent="0.2">
      <c r="B1150" s="468"/>
      <c r="C1150" s="468"/>
      <c r="D1150" s="525"/>
    </row>
    <row r="1151" spans="2:4" x14ac:dyDescent="0.2">
      <c r="B1151" s="468"/>
      <c r="C1151" s="468"/>
      <c r="D1151" s="525"/>
    </row>
    <row r="1152" spans="2:4" x14ac:dyDescent="0.2">
      <c r="B1152" s="468"/>
      <c r="C1152" s="468"/>
      <c r="D1152" s="525"/>
    </row>
    <row r="1153" spans="2:4" x14ac:dyDescent="0.2">
      <c r="B1153" s="468"/>
      <c r="C1153" s="468"/>
      <c r="D1153" s="525"/>
    </row>
    <row r="1154" spans="2:4" x14ac:dyDescent="0.2">
      <c r="B1154" s="468"/>
      <c r="C1154" s="468"/>
      <c r="D1154" s="525"/>
    </row>
    <row r="1155" spans="2:4" x14ac:dyDescent="0.2">
      <c r="B1155" s="468"/>
      <c r="C1155" s="468"/>
      <c r="D1155" s="525"/>
    </row>
    <row r="1156" spans="2:4" x14ac:dyDescent="0.2">
      <c r="B1156" s="468"/>
      <c r="C1156" s="468"/>
      <c r="D1156" s="525"/>
    </row>
    <row r="1157" spans="2:4" x14ac:dyDescent="0.2">
      <c r="B1157" s="468"/>
      <c r="C1157" s="468"/>
      <c r="D1157" s="525"/>
    </row>
    <row r="1158" spans="2:4" x14ac:dyDescent="0.2">
      <c r="B1158" s="468"/>
      <c r="C1158" s="468"/>
      <c r="D1158" s="525"/>
    </row>
    <row r="1159" spans="2:4" x14ac:dyDescent="0.2">
      <c r="B1159" s="468"/>
      <c r="C1159" s="468"/>
      <c r="D1159" s="525"/>
    </row>
    <row r="1160" spans="2:4" x14ac:dyDescent="0.2">
      <c r="B1160" s="468"/>
      <c r="C1160" s="468"/>
      <c r="D1160" s="525"/>
    </row>
    <row r="1161" spans="2:4" x14ac:dyDescent="0.2">
      <c r="B1161" s="468"/>
      <c r="C1161" s="468"/>
      <c r="D1161" s="525"/>
    </row>
    <row r="1162" spans="2:4" x14ac:dyDescent="0.2">
      <c r="B1162" s="468"/>
      <c r="C1162" s="468"/>
      <c r="D1162" s="525"/>
    </row>
    <row r="1163" spans="2:4" x14ac:dyDescent="0.2">
      <c r="B1163" s="468"/>
      <c r="C1163" s="468"/>
      <c r="D1163" s="525"/>
    </row>
    <row r="1164" spans="2:4" x14ac:dyDescent="0.2">
      <c r="B1164" s="468"/>
      <c r="C1164" s="468"/>
      <c r="D1164" s="525"/>
    </row>
    <row r="1165" spans="2:4" x14ac:dyDescent="0.2">
      <c r="B1165" s="468"/>
      <c r="C1165" s="468"/>
      <c r="D1165" s="525"/>
    </row>
    <row r="1166" spans="2:4" x14ac:dyDescent="0.2">
      <c r="B1166" s="468"/>
      <c r="C1166" s="468"/>
      <c r="D1166" s="525"/>
    </row>
    <row r="1167" spans="2:4" x14ac:dyDescent="0.2">
      <c r="B1167" s="468"/>
      <c r="C1167" s="468"/>
      <c r="D1167" s="525"/>
    </row>
    <row r="1168" spans="2:4" x14ac:dyDescent="0.2">
      <c r="B1168" s="468"/>
      <c r="C1168" s="468"/>
      <c r="D1168" s="525"/>
    </row>
    <row r="1169" spans="2:4" x14ac:dyDescent="0.2">
      <c r="B1169" s="468"/>
      <c r="C1169" s="468"/>
      <c r="D1169" s="525"/>
    </row>
    <row r="1170" spans="2:4" x14ac:dyDescent="0.2">
      <c r="B1170" s="468"/>
      <c r="C1170" s="468"/>
      <c r="D1170" s="525"/>
    </row>
    <row r="1171" spans="2:4" x14ac:dyDescent="0.2">
      <c r="B1171" s="468"/>
      <c r="C1171" s="468"/>
      <c r="D1171" s="525"/>
    </row>
    <row r="1172" spans="2:4" x14ac:dyDescent="0.2">
      <c r="B1172" s="468"/>
      <c r="C1172" s="468"/>
      <c r="D1172" s="525"/>
    </row>
    <row r="1173" spans="2:4" x14ac:dyDescent="0.2">
      <c r="B1173" s="468"/>
      <c r="C1173" s="468"/>
      <c r="D1173" s="525"/>
    </row>
    <row r="1174" spans="2:4" x14ac:dyDescent="0.2">
      <c r="B1174" s="468"/>
      <c r="C1174" s="468"/>
      <c r="D1174" s="525"/>
    </row>
    <row r="1175" spans="2:4" x14ac:dyDescent="0.2">
      <c r="B1175" s="468"/>
      <c r="C1175" s="468"/>
      <c r="D1175" s="525"/>
    </row>
    <row r="1176" spans="2:4" x14ac:dyDescent="0.2">
      <c r="B1176" s="468"/>
      <c r="C1176" s="468"/>
      <c r="D1176" s="525"/>
    </row>
    <row r="1177" spans="2:4" x14ac:dyDescent="0.2">
      <c r="B1177" s="468"/>
      <c r="C1177" s="468"/>
      <c r="D1177" s="525"/>
    </row>
    <row r="1178" spans="2:4" x14ac:dyDescent="0.2">
      <c r="B1178" s="468"/>
      <c r="C1178" s="468"/>
      <c r="D1178" s="525"/>
    </row>
    <row r="1179" spans="2:4" x14ac:dyDescent="0.2">
      <c r="B1179" s="468"/>
      <c r="C1179" s="468"/>
      <c r="D1179" s="525"/>
    </row>
    <row r="1180" spans="2:4" x14ac:dyDescent="0.2">
      <c r="B1180" s="468"/>
      <c r="C1180" s="468"/>
      <c r="D1180" s="525"/>
    </row>
    <row r="1181" spans="2:4" x14ac:dyDescent="0.2">
      <c r="B1181" s="468"/>
      <c r="C1181" s="468"/>
      <c r="D1181" s="525"/>
    </row>
    <row r="1182" spans="2:4" x14ac:dyDescent="0.2">
      <c r="B1182" s="468"/>
      <c r="C1182" s="468"/>
      <c r="D1182" s="525"/>
    </row>
    <row r="1183" spans="2:4" x14ac:dyDescent="0.2">
      <c r="B1183" s="468"/>
      <c r="C1183" s="468"/>
      <c r="D1183" s="525"/>
    </row>
    <row r="1184" spans="2:4" x14ac:dyDescent="0.2">
      <c r="B1184" s="468"/>
      <c r="C1184" s="468"/>
      <c r="D1184" s="525"/>
    </row>
    <row r="1185" spans="2:4" x14ac:dyDescent="0.2">
      <c r="B1185" s="468"/>
      <c r="C1185" s="468"/>
      <c r="D1185" s="525"/>
    </row>
    <row r="1186" spans="2:4" x14ac:dyDescent="0.2">
      <c r="B1186" s="468"/>
      <c r="C1186" s="468"/>
      <c r="D1186" s="525"/>
    </row>
    <row r="1187" spans="2:4" x14ac:dyDescent="0.2">
      <c r="B1187" s="468"/>
      <c r="C1187" s="468"/>
      <c r="D1187" s="525"/>
    </row>
    <row r="1188" spans="2:4" x14ac:dyDescent="0.2">
      <c r="B1188" s="468"/>
      <c r="C1188" s="468"/>
      <c r="D1188" s="525"/>
    </row>
    <row r="1189" spans="2:4" x14ac:dyDescent="0.2">
      <c r="B1189" s="468"/>
      <c r="C1189" s="468"/>
      <c r="D1189" s="525"/>
    </row>
    <row r="1190" spans="2:4" x14ac:dyDescent="0.2">
      <c r="B1190" s="468"/>
      <c r="C1190" s="468"/>
      <c r="D1190" s="525"/>
    </row>
    <row r="1191" spans="2:4" x14ac:dyDescent="0.2">
      <c r="B1191" s="468"/>
      <c r="C1191" s="468"/>
      <c r="D1191" s="525"/>
    </row>
    <row r="1192" spans="2:4" x14ac:dyDescent="0.2">
      <c r="B1192" s="468"/>
      <c r="C1192" s="468"/>
      <c r="D1192" s="525"/>
    </row>
    <row r="1193" spans="2:4" x14ac:dyDescent="0.2">
      <c r="B1193" s="468"/>
      <c r="C1193" s="468"/>
      <c r="D1193" s="525"/>
    </row>
    <row r="1194" spans="2:4" x14ac:dyDescent="0.2">
      <c r="B1194" s="468"/>
      <c r="C1194" s="468"/>
      <c r="D1194" s="525"/>
    </row>
    <row r="1195" spans="2:4" x14ac:dyDescent="0.2">
      <c r="B1195" s="468"/>
      <c r="C1195" s="468"/>
      <c r="D1195" s="525"/>
    </row>
    <row r="1196" spans="2:4" x14ac:dyDescent="0.2">
      <c r="B1196" s="468"/>
      <c r="C1196" s="468"/>
      <c r="D1196" s="525"/>
    </row>
    <row r="1197" spans="2:4" x14ac:dyDescent="0.2">
      <c r="B1197" s="468"/>
      <c r="C1197" s="468"/>
      <c r="D1197" s="525"/>
    </row>
    <row r="1198" spans="2:4" x14ac:dyDescent="0.2">
      <c r="B1198" s="468"/>
      <c r="C1198" s="468"/>
      <c r="D1198" s="525"/>
    </row>
    <row r="1199" spans="2:4" x14ac:dyDescent="0.2">
      <c r="B1199" s="468"/>
      <c r="C1199" s="468"/>
      <c r="D1199" s="525"/>
    </row>
    <row r="1200" spans="2:4" x14ac:dyDescent="0.2">
      <c r="B1200" s="468"/>
      <c r="C1200" s="468"/>
      <c r="D1200" s="525"/>
    </row>
    <row r="1201" spans="2:4" x14ac:dyDescent="0.2">
      <c r="B1201" s="468"/>
      <c r="C1201" s="468"/>
      <c r="D1201" s="525"/>
    </row>
    <row r="1202" spans="2:4" x14ac:dyDescent="0.2">
      <c r="B1202" s="468"/>
      <c r="C1202" s="468"/>
      <c r="D1202" s="525"/>
    </row>
    <row r="1203" spans="2:4" x14ac:dyDescent="0.2">
      <c r="B1203" s="468"/>
      <c r="C1203" s="468"/>
      <c r="D1203" s="525"/>
    </row>
    <row r="1204" spans="2:4" x14ac:dyDescent="0.2">
      <c r="B1204" s="468"/>
      <c r="C1204" s="468"/>
      <c r="D1204" s="525"/>
    </row>
    <row r="1205" spans="2:4" x14ac:dyDescent="0.2">
      <c r="B1205" s="468"/>
      <c r="C1205" s="468"/>
      <c r="D1205" s="525"/>
    </row>
    <row r="1206" spans="2:4" x14ac:dyDescent="0.2">
      <c r="B1206" s="468"/>
      <c r="C1206" s="468"/>
      <c r="D1206" s="525"/>
    </row>
    <row r="1207" spans="2:4" x14ac:dyDescent="0.2">
      <c r="B1207" s="468"/>
      <c r="C1207" s="468"/>
      <c r="D1207" s="525"/>
    </row>
    <row r="1208" spans="2:4" x14ac:dyDescent="0.2">
      <c r="B1208" s="468"/>
      <c r="C1208" s="468"/>
      <c r="D1208" s="525"/>
    </row>
    <row r="1209" spans="2:4" x14ac:dyDescent="0.2">
      <c r="B1209" s="468"/>
      <c r="C1209" s="468"/>
      <c r="D1209" s="525"/>
    </row>
    <row r="1210" spans="2:4" x14ac:dyDescent="0.2">
      <c r="B1210" s="468"/>
      <c r="C1210" s="468"/>
      <c r="D1210" s="525"/>
    </row>
    <row r="1211" spans="2:4" x14ac:dyDescent="0.2">
      <c r="B1211" s="468"/>
      <c r="C1211" s="468"/>
      <c r="D1211" s="525"/>
    </row>
    <row r="1212" spans="2:4" x14ac:dyDescent="0.2">
      <c r="B1212" s="468"/>
      <c r="C1212" s="468"/>
      <c r="D1212" s="525"/>
    </row>
    <row r="1213" spans="2:4" x14ac:dyDescent="0.2">
      <c r="B1213" s="468"/>
      <c r="C1213" s="468"/>
      <c r="D1213" s="525"/>
    </row>
    <row r="1214" spans="2:4" x14ac:dyDescent="0.2">
      <c r="B1214" s="468"/>
      <c r="C1214" s="468"/>
      <c r="D1214" s="525"/>
    </row>
    <row r="1215" spans="2:4" x14ac:dyDescent="0.2">
      <c r="B1215" s="468"/>
      <c r="C1215" s="468"/>
      <c r="D1215" s="525"/>
    </row>
    <row r="1216" spans="2:4" x14ac:dyDescent="0.2">
      <c r="B1216" s="468"/>
      <c r="C1216" s="468"/>
      <c r="D1216" s="525"/>
    </row>
    <row r="1217" spans="2:4" x14ac:dyDescent="0.2">
      <c r="B1217" s="468"/>
      <c r="C1217" s="468"/>
      <c r="D1217" s="525"/>
    </row>
    <row r="1218" spans="2:4" x14ac:dyDescent="0.2">
      <c r="B1218" s="468"/>
      <c r="C1218" s="468"/>
      <c r="D1218" s="525"/>
    </row>
    <row r="1219" spans="2:4" x14ac:dyDescent="0.2">
      <c r="B1219" s="468"/>
      <c r="C1219" s="468"/>
      <c r="D1219" s="525"/>
    </row>
    <row r="1220" spans="2:4" x14ac:dyDescent="0.2">
      <c r="B1220" s="468"/>
      <c r="C1220" s="468"/>
      <c r="D1220" s="525"/>
    </row>
    <row r="1221" spans="2:4" x14ac:dyDescent="0.2">
      <c r="B1221" s="468"/>
      <c r="C1221" s="468"/>
      <c r="D1221" s="525"/>
    </row>
    <row r="1222" spans="2:4" x14ac:dyDescent="0.2">
      <c r="B1222" s="468"/>
      <c r="C1222" s="468"/>
      <c r="D1222" s="525"/>
    </row>
    <row r="1223" spans="2:4" x14ac:dyDescent="0.2">
      <c r="B1223" s="468"/>
      <c r="C1223" s="468"/>
      <c r="D1223" s="525"/>
    </row>
    <row r="1224" spans="2:4" x14ac:dyDescent="0.2">
      <c r="B1224" s="468"/>
      <c r="C1224" s="468"/>
      <c r="D1224" s="525"/>
    </row>
    <row r="1225" spans="2:4" x14ac:dyDescent="0.2">
      <c r="B1225" s="468"/>
      <c r="C1225" s="468"/>
      <c r="D1225" s="525"/>
    </row>
    <row r="1226" spans="2:4" x14ac:dyDescent="0.2">
      <c r="B1226" s="468"/>
      <c r="C1226" s="468"/>
      <c r="D1226" s="525"/>
    </row>
    <row r="1227" spans="2:4" x14ac:dyDescent="0.2">
      <c r="B1227" s="468"/>
      <c r="C1227" s="468"/>
      <c r="D1227" s="525"/>
    </row>
    <row r="1228" spans="2:4" x14ac:dyDescent="0.2">
      <c r="B1228" s="468"/>
      <c r="C1228" s="468"/>
      <c r="D1228" s="525"/>
    </row>
    <row r="1229" spans="2:4" x14ac:dyDescent="0.2">
      <c r="B1229" s="468"/>
      <c r="C1229" s="468"/>
      <c r="D1229" s="525"/>
    </row>
    <row r="1230" spans="2:4" x14ac:dyDescent="0.2">
      <c r="B1230" s="468"/>
      <c r="C1230" s="468"/>
      <c r="D1230" s="525"/>
    </row>
    <row r="1231" spans="2:4" x14ac:dyDescent="0.2">
      <c r="B1231" s="468"/>
      <c r="C1231" s="468"/>
      <c r="D1231" s="525"/>
    </row>
    <row r="1232" spans="2:4" x14ac:dyDescent="0.2">
      <c r="B1232" s="468"/>
      <c r="C1232" s="468"/>
      <c r="D1232" s="525"/>
    </row>
    <row r="1233" spans="2:4" x14ac:dyDescent="0.2">
      <c r="B1233" s="468"/>
      <c r="C1233" s="468"/>
      <c r="D1233" s="525"/>
    </row>
    <row r="1234" spans="2:4" x14ac:dyDescent="0.2">
      <c r="B1234" s="468"/>
      <c r="C1234" s="468"/>
      <c r="D1234" s="525"/>
    </row>
    <row r="1235" spans="2:4" x14ac:dyDescent="0.2">
      <c r="B1235" s="468"/>
      <c r="C1235" s="468"/>
      <c r="D1235" s="525"/>
    </row>
    <row r="1236" spans="2:4" x14ac:dyDescent="0.2">
      <c r="B1236" s="468"/>
      <c r="C1236" s="468"/>
      <c r="D1236" s="525"/>
    </row>
    <row r="1237" spans="2:4" x14ac:dyDescent="0.2">
      <c r="B1237" s="468"/>
      <c r="C1237" s="468"/>
      <c r="D1237" s="525"/>
    </row>
    <row r="1238" spans="2:4" x14ac:dyDescent="0.2">
      <c r="B1238" s="468"/>
      <c r="C1238" s="468"/>
      <c r="D1238" s="525"/>
    </row>
    <row r="1239" spans="2:4" x14ac:dyDescent="0.2">
      <c r="B1239" s="468"/>
      <c r="C1239" s="468"/>
      <c r="D1239" s="525"/>
    </row>
    <row r="1240" spans="2:4" x14ac:dyDescent="0.2">
      <c r="B1240" s="468"/>
      <c r="C1240" s="468"/>
      <c r="D1240" s="525"/>
    </row>
    <row r="1241" spans="2:4" x14ac:dyDescent="0.2">
      <c r="B1241" s="468"/>
      <c r="C1241" s="468"/>
      <c r="D1241" s="525"/>
    </row>
    <row r="1242" spans="2:4" x14ac:dyDescent="0.2">
      <c r="B1242" s="468"/>
      <c r="C1242" s="468"/>
      <c r="D1242" s="525"/>
    </row>
    <row r="1243" spans="2:4" x14ac:dyDescent="0.2">
      <c r="B1243" s="468"/>
      <c r="C1243" s="468"/>
      <c r="D1243" s="525"/>
    </row>
    <row r="1244" spans="2:4" x14ac:dyDescent="0.2">
      <c r="B1244" s="468"/>
      <c r="C1244" s="468"/>
      <c r="D1244" s="525"/>
    </row>
    <row r="1245" spans="2:4" x14ac:dyDescent="0.2">
      <c r="B1245" s="468"/>
      <c r="C1245" s="468"/>
      <c r="D1245" s="525"/>
    </row>
    <row r="1246" spans="2:4" x14ac:dyDescent="0.2">
      <c r="B1246" s="468"/>
      <c r="C1246" s="468"/>
      <c r="D1246" s="525"/>
    </row>
    <row r="1247" spans="2:4" x14ac:dyDescent="0.2">
      <c r="B1247" s="468"/>
      <c r="C1247" s="468"/>
      <c r="D1247" s="525"/>
    </row>
    <row r="1248" spans="2:4" x14ac:dyDescent="0.2">
      <c r="B1248" s="468"/>
      <c r="C1248" s="468"/>
      <c r="D1248" s="525"/>
    </row>
    <row r="1249" spans="2:4" x14ac:dyDescent="0.2">
      <c r="B1249" s="468"/>
      <c r="C1249" s="468"/>
      <c r="D1249" s="525"/>
    </row>
    <row r="1250" spans="2:4" x14ac:dyDescent="0.2">
      <c r="B1250" s="468"/>
      <c r="C1250" s="468"/>
      <c r="D1250" s="525"/>
    </row>
    <row r="1251" spans="2:4" x14ac:dyDescent="0.2">
      <c r="B1251" s="468"/>
      <c r="C1251" s="468"/>
      <c r="D1251" s="525"/>
    </row>
    <row r="1252" spans="2:4" x14ac:dyDescent="0.2">
      <c r="B1252" s="468"/>
      <c r="C1252" s="468"/>
      <c r="D1252" s="525"/>
    </row>
    <row r="1253" spans="2:4" x14ac:dyDescent="0.2">
      <c r="B1253" s="468"/>
      <c r="C1253" s="468"/>
      <c r="D1253" s="525"/>
    </row>
    <row r="1254" spans="2:4" x14ac:dyDescent="0.2">
      <c r="B1254" s="468"/>
      <c r="C1254" s="468"/>
      <c r="D1254" s="525"/>
    </row>
    <row r="1255" spans="2:4" x14ac:dyDescent="0.2">
      <c r="B1255" s="468"/>
      <c r="C1255" s="468"/>
      <c r="D1255" s="525"/>
    </row>
    <row r="1256" spans="2:4" x14ac:dyDescent="0.2">
      <c r="B1256" s="468"/>
      <c r="C1256" s="468"/>
      <c r="D1256" s="525"/>
    </row>
    <row r="1257" spans="2:4" x14ac:dyDescent="0.2">
      <c r="B1257" s="468"/>
      <c r="C1257" s="468"/>
      <c r="D1257" s="525"/>
    </row>
    <row r="1258" spans="2:4" x14ac:dyDescent="0.2">
      <c r="B1258" s="468"/>
      <c r="C1258" s="468"/>
      <c r="D1258" s="525"/>
    </row>
    <row r="1259" spans="2:4" x14ac:dyDescent="0.2">
      <c r="B1259" s="468"/>
      <c r="C1259" s="468"/>
      <c r="D1259" s="525"/>
    </row>
    <row r="1260" spans="2:4" x14ac:dyDescent="0.2">
      <c r="B1260" s="468"/>
      <c r="C1260" s="468"/>
      <c r="D1260" s="525"/>
    </row>
    <row r="1261" spans="2:4" x14ac:dyDescent="0.2">
      <c r="B1261" s="468"/>
      <c r="C1261" s="468"/>
      <c r="D1261" s="525"/>
    </row>
    <row r="1262" spans="2:4" x14ac:dyDescent="0.2">
      <c r="B1262" s="468"/>
      <c r="C1262" s="468"/>
      <c r="D1262" s="525"/>
    </row>
    <row r="1263" spans="2:4" x14ac:dyDescent="0.2">
      <c r="B1263" s="468"/>
      <c r="C1263" s="468"/>
      <c r="D1263" s="525"/>
    </row>
    <row r="1264" spans="2:4" x14ac:dyDescent="0.2">
      <c r="B1264" s="468"/>
      <c r="C1264" s="468"/>
      <c r="D1264" s="525"/>
    </row>
    <row r="1265" spans="2:4" x14ac:dyDescent="0.2">
      <c r="B1265" s="468"/>
      <c r="C1265" s="468"/>
      <c r="D1265" s="525"/>
    </row>
    <row r="1266" spans="2:4" x14ac:dyDescent="0.2">
      <c r="B1266" s="468"/>
      <c r="C1266" s="468"/>
      <c r="D1266" s="525"/>
    </row>
    <row r="1267" spans="2:4" x14ac:dyDescent="0.2">
      <c r="B1267" s="468"/>
      <c r="C1267" s="468"/>
      <c r="D1267" s="525"/>
    </row>
    <row r="1268" spans="2:4" x14ac:dyDescent="0.2">
      <c r="B1268" s="468"/>
      <c r="C1268" s="468"/>
      <c r="D1268" s="525"/>
    </row>
    <row r="1269" spans="2:4" x14ac:dyDescent="0.2">
      <c r="B1269" s="468"/>
      <c r="C1269" s="468"/>
      <c r="D1269" s="525"/>
    </row>
    <row r="1270" spans="2:4" x14ac:dyDescent="0.2">
      <c r="B1270" s="468"/>
      <c r="C1270" s="468"/>
      <c r="D1270" s="525"/>
    </row>
    <row r="1271" spans="2:4" x14ac:dyDescent="0.2">
      <c r="B1271" s="468"/>
      <c r="C1271" s="468"/>
      <c r="D1271" s="525"/>
    </row>
    <row r="1272" spans="2:4" x14ac:dyDescent="0.2">
      <c r="B1272" s="468"/>
      <c r="C1272" s="468"/>
      <c r="D1272" s="525"/>
    </row>
    <row r="1273" spans="2:4" x14ac:dyDescent="0.2">
      <c r="B1273" s="468"/>
      <c r="C1273" s="468"/>
      <c r="D1273" s="525"/>
    </row>
    <row r="1274" spans="2:4" x14ac:dyDescent="0.2">
      <c r="B1274" s="468"/>
      <c r="C1274" s="468"/>
      <c r="D1274" s="525"/>
    </row>
    <row r="1275" spans="2:4" x14ac:dyDescent="0.2">
      <c r="B1275" s="468"/>
      <c r="C1275" s="468"/>
      <c r="D1275" s="525"/>
    </row>
    <row r="1276" spans="2:4" x14ac:dyDescent="0.2">
      <c r="B1276" s="468"/>
      <c r="C1276" s="468"/>
      <c r="D1276" s="525"/>
    </row>
    <row r="1277" spans="2:4" x14ac:dyDescent="0.2">
      <c r="B1277" s="468"/>
      <c r="C1277" s="468"/>
      <c r="D1277" s="525"/>
    </row>
    <row r="1278" spans="2:4" x14ac:dyDescent="0.2">
      <c r="B1278" s="468"/>
      <c r="C1278" s="468"/>
      <c r="D1278" s="525"/>
    </row>
    <row r="1279" spans="2:4" x14ac:dyDescent="0.2">
      <c r="B1279" s="468"/>
      <c r="C1279" s="468"/>
      <c r="D1279" s="525"/>
    </row>
    <row r="1280" spans="2:4" x14ac:dyDescent="0.2">
      <c r="B1280" s="468"/>
      <c r="C1280" s="468"/>
      <c r="D1280" s="525"/>
    </row>
    <row r="1281" spans="2:4" x14ac:dyDescent="0.2">
      <c r="B1281" s="468"/>
      <c r="C1281" s="468"/>
      <c r="D1281" s="525"/>
    </row>
    <row r="1282" spans="2:4" x14ac:dyDescent="0.2">
      <c r="B1282" s="468"/>
      <c r="C1282" s="468"/>
      <c r="D1282" s="525"/>
    </row>
    <row r="1283" spans="2:4" x14ac:dyDescent="0.2">
      <c r="B1283" s="468"/>
      <c r="C1283" s="468"/>
      <c r="D1283" s="525"/>
    </row>
    <row r="1284" spans="2:4" x14ac:dyDescent="0.2">
      <c r="B1284" s="468"/>
      <c r="C1284" s="468"/>
      <c r="D1284" s="525"/>
    </row>
    <row r="1285" spans="2:4" x14ac:dyDescent="0.2">
      <c r="B1285" s="468"/>
      <c r="C1285" s="468"/>
      <c r="D1285" s="525"/>
    </row>
    <row r="1286" spans="2:4" x14ac:dyDescent="0.2">
      <c r="B1286" s="468"/>
      <c r="C1286" s="468"/>
      <c r="D1286" s="525"/>
    </row>
    <row r="1287" spans="2:4" x14ac:dyDescent="0.2">
      <c r="B1287" s="468"/>
      <c r="C1287" s="468"/>
      <c r="D1287" s="525"/>
    </row>
    <row r="1288" spans="2:4" x14ac:dyDescent="0.2">
      <c r="B1288" s="468"/>
      <c r="C1288" s="468"/>
      <c r="D1288" s="525"/>
    </row>
    <row r="1289" spans="2:4" x14ac:dyDescent="0.2">
      <c r="B1289" s="468"/>
      <c r="C1289" s="468"/>
      <c r="D1289" s="525"/>
    </row>
    <row r="1290" spans="2:4" x14ac:dyDescent="0.2">
      <c r="B1290" s="468"/>
      <c r="C1290" s="468"/>
      <c r="D1290" s="525"/>
    </row>
    <row r="1291" spans="2:4" x14ac:dyDescent="0.2">
      <c r="B1291" s="468"/>
      <c r="C1291" s="468"/>
      <c r="D1291" s="525"/>
    </row>
    <row r="1292" spans="2:4" x14ac:dyDescent="0.2">
      <c r="B1292" s="468"/>
      <c r="C1292" s="468"/>
      <c r="D1292" s="525"/>
    </row>
    <row r="1293" spans="2:4" x14ac:dyDescent="0.2">
      <c r="B1293" s="468"/>
      <c r="C1293" s="468"/>
      <c r="D1293" s="525"/>
    </row>
    <row r="1294" spans="2:4" x14ac:dyDescent="0.2">
      <c r="B1294" s="468"/>
      <c r="C1294" s="468"/>
      <c r="D1294" s="525"/>
    </row>
    <row r="1295" spans="2:4" x14ac:dyDescent="0.2">
      <c r="B1295" s="468"/>
      <c r="C1295" s="468"/>
      <c r="D1295" s="525"/>
    </row>
    <row r="1296" spans="2:4" x14ac:dyDescent="0.2">
      <c r="B1296" s="468"/>
      <c r="C1296" s="468"/>
      <c r="D1296" s="525"/>
    </row>
    <row r="1297" spans="2:4" x14ac:dyDescent="0.2">
      <c r="B1297" s="468"/>
      <c r="C1297" s="468"/>
      <c r="D1297" s="525"/>
    </row>
    <row r="1298" spans="2:4" x14ac:dyDescent="0.2">
      <c r="B1298" s="468"/>
      <c r="C1298" s="468"/>
      <c r="D1298" s="525"/>
    </row>
    <row r="1299" spans="2:4" x14ac:dyDescent="0.2">
      <c r="B1299" s="468"/>
      <c r="C1299" s="468"/>
      <c r="D1299" s="525"/>
    </row>
    <row r="1300" spans="2:4" x14ac:dyDescent="0.2">
      <c r="B1300" s="468"/>
      <c r="C1300" s="468"/>
      <c r="D1300" s="525"/>
    </row>
    <row r="1301" spans="2:4" x14ac:dyDescent="0.2">
      <c r="B1301" s="468"/>
      <c r="C1301" s="468"/>
      <c r="D1301" s="525"/>
    </row>
    <row r="1302" spans="2:4" x14ac:dyDescent="0.2">
      <c r="B1302" s="468"/>
      <c r="C1302" s="468"/>
      <c r="D1302" s="525"/>
    </row>
    <row r="1303" spans="2:4" x14ac:dyDescent="0.2">
      <c r="B1303" s="468"/>
      <c r="C1303" s="468"/>
      <c r="D1303" s="525"/>
    </row>
    <row r="1304" spans="2:4" x14ac:dyDescent="0.2">
      <c r="B1304" s="468"/>
      <c r="C1304" s="468"/>
      <c r="D1304" s="525"/>
    </row>
    <row r="1305" spans="2:4" x14ac:dyDescent="0.2">
      <c r="B1305" s="468"/>
      <c r="C1305" s="468"/>
      <c r="D1305" s="525"/>
    </row>
    <row r="1306" spans="2:4" x14ac:dyDescent="0.2">
      <c r="B1306" s="468"/>
      <c r="C1306" s="468"/>
      <c r="D1306" s="525"/>
    </row>
    <row r="1307" spans="2:4" x14ac:dyDescent="0.2">
      <c r="B1307" s="468"/>
      <c r="C1307" s="468"/>
      <c r="D1307" s="525"/>
    </row>
    <row r="1308" spans="2:4" x14ac:dyDescent="0.2">
      <c r="B1308" s="468"/>
      <c r="C1308" s="468"/>
      <c r="D1308" s="525"/>
    </row>
    <row r="1309" spans="2:4" x14ac:dyDescent="0.2">
      <c r="B1309" s="468"/>
      <c r="C1309" s="468"/>
      <c r="D1309" s="525"/>
    </row>
    <row r="1310" spans="2:4" x14ac:dyDescent="0.2">
      <c r="B1310" s="468"/>
      <c r="C1310" s="468"/>
      <c r="D1310" s="525"/>
    </row>
    <row r="1311" spans="2:4" x14ac:dyDescent="0.2">
      <c r="B1311" s="468"/>
      <c r="C1311" s="468"/>
      <c r="D1311" s="525"/>
    </row>
    <row r="1312" spans="2:4" x14ac:dyDescent="0.2">
      <c r="B1312" s="468"/>
      <c r="C1312" s="468"/>
      <c r="D1312" s="525"/>
    </row>
    <row r="1313" spans="2:4" x14ac:dyDescent="0.2">
      <c r="B1313" s="468"/>
      <c r="C1313" s="468"/>
      <c r="D1313" s="525"/>
    </row>
    <row r="1314" spans="2:4" x14ac:dyDescent="0.2">
      <c r="B1314" s="468"/>
      <c r="C1314" s="468"/>
      <c r="D1314" s="525"/>
    </row>
    <row r="1315" spans="2:4" x14ac:dyDescent="0.2">
      <c r="B1315" s="468"/>
      <c r="C1315" s="468"/>
      <c r="D1315" s="525"/>
    </row>
    <row r="1316" spans="2:4" x14ac:dyDescent="0.2">
      <c r="B1316" s="468"/>
      <c r="C1316" s="468"/>
      <c r="D1316" s="525"/>
    </row>
    <row r="1317" spans="2:4" x14ac:dyDescent="0.2">
      <c r="B1317" s="468"/>
      <c r="C1317" s="468"/>
      <c r="D1317" s="525"/>
    </row>
    <row r="1318" spans="2:4" x14ac:dyDescent="0.2">
      <c r="B1318" s="468"/>
      <c r="C1318" s="468"/>
      <c r="D1318" s="525"/>
    </row>
    <row r="1319" spans="2:4" x14ac:dyDescent="0.2">
      <c r="B1319" s="468"/>
      <c r="C1319" s="468"/>
      <c r="D1319" s="525"/>
    </row>
    <row r="1320" spans="2:4" x14ac:dyDescent="0.2">
      <c r="B1320" s="468"/>
      <c r="C1320" s="468"/>
      <c r="D1320" s="525"/>
    </row>
    <row r="1321" spans="2:4" x14ac:dyDescent="0.2">
      <c r="B1321" s="468"/>
      <c r="C1321" s="468"/>
      <c r="D1321" s="525"/>
    </row>
    <row r="1322" spans="2:4" x14ac:dyDescent="0.2">
      <c r="B1322" s="468"/>
      <c r="C1322" s="468"/>
      <c r="D1322" s="525"/>
    </row>
    <row r="1323" spans="2:4" x14ac:dyDescent="0.2">
      <c r="B1323" s="468"/>
      <c r="C1323" s="468"/>
      <c r="D1323" s="525"/>
    </row>
    <row r="1324" spans="2:4" x14ac:dyDescent="0.2">
      <c r="B1324" s="468"/>
      <c r="C1324" s="468"/>
      <c r="D1324" s="525"/>
    </row>
    <row r="1325" spans="2:4" x14ac:dyDescent="0.2">
      <c r="B1325" s="468"/>
      <c r="C1325" s="468"/>
      <c r="D1325" s="525"/>
    </row>
    <row r="1326" spans="2:4" x14ac:dyDescent="0.2">
      <c r="B1326" s="468"/>
      <c r="C1326" s="468"/>
      <c r="D1326" s="525"/>
    </row>
    <row r="1327" spans="2:4" x14ac:dyDescent="0.2">
      <c r="B1327" s="468"/>
      <c r="C1327" s="468"/>
      <c r="D1327" s="525"/>
    </row>
    <row r="1328" spans="2:4" x14ac:dyDescent="0.2">
      <c r="B1328" s="468"/>
      <c r="C1328" s="468"/>
      <c r="D1328" s="525"/>
    </row>
    <row r="1329" spans="2:4" x14ac:dyDescent="0.2">
      <c r="B1329" s="468"/>
      <c r="C1329" s="468"/>
      <c r="D1329" s="525"/>
    </row>
    <row r="1330" spans="2:4" x14ac:dyDescent="0.2">
      <c r="B1330" s="468"/>
      <c r="C1330" s="468"/>
      <c r="D1330" s="525"/>
    </row>
    <row r="1331" spans="2:4" x14ac:dyDescent="0.2">
      <c r="B1331" s="468"/>
      <c r="C1331" s="468"/>
      <c r="D1331" s="525"/>
    </row>
    <row r="1332" spans="2:4" x14ac:dyDescent="0.2">
      <c r="B1332" s="468"/>
      <c r="C1332" s="468"/>
      <c r="D1332" s="525"/>
    </row>
    <row r="1333" spans="2:4" x14ac:dyDescent="0.2">
      <c r="B1333" s="468"/>
      <c r="C1333" s="468"/>
      <c r="D1333" s="525"/>
    </row>
    <row r="1334" spans="2:4" x14ac:dyDescent="0.2">
      <c r="B1334" s="468"/>
      <c r="C1334" s="468"/>
      <c r="D1334" s="525"/>
    </row>
    <row r="1335" spans="2:4" x14ac:dyDescent="0.2">
      <c r="B1335" s="468"/>
      <c r="C1335" s="468"/>
      <c r="D1335" s="525"/>
    </row>
    <row r="1336" spans="2:4" x14ac:dyDescent="0.2">
      <c r="B1336" s="468"/>
      <c r="C1336" s="468"/>
      <c r="D1336" s="525"/>
    </row>
    <row r="1337" spans="2:4" x14ac:dyDescent="0.2">
      <c r="B1337" s="468"/>
      <c r="C1337" s="468"/>
      <c r="D1337" s="525"/>
    </row>
    <row r="1338" spans="2:4" x14ac:dyDescent="0.2">
      <c r="B1338" s="468"/>
      <c r="C1338" s="468"/>
      <c r="D1338" s="525"/>
    </row>
    <row r="1339" spans="2:4" x14ac:dyDescent="0.2">
      <c r="B1339" s="468"/>
      <c r="C1339" s="468"/>
      <c r="D1339" s="525"/>
    </row>
    <row r="1340" spans="2:4" x14ac:dyDescent="0.2">
      <c r="B1340" s="468"/>
      <c r="C1340" s="468"/>
      <c r="D1340" s="525"/>
    </row>
    <row r="1341" spans="2:4" x14ac:dyDescent="0.2">
      <c r="B1341" s="468"/>
      <c r="C1341" s="468"/>
      <c r="D1341" s="525"/>
    </row>
    <row r="1342" spans="2:4" x14ac:dyDescent="0.2">
      <c r="B1342" s="468"/>
      <c r="C1342" s="468"/>
      <c r="D1342" s="525"/>
    </row>
    <row r="1343" spans="2:4" x14ac:dyDescent="0.2">
      <c r="B1343" s="468"/>
      <c r="C1343" s="468"/>
      <c r="D1343" s="525"/>
    </row>
    <row r="1344" spans="2:4" x14ac:dyDescent="0.2">
      <c r="B1344" s="468"/>
      <c r="C1344" s="468"/>
      <c r="D1344" s="525"/>
    </row>
    <row r="1345" spans="2:4" x14ac:dyDescent="0.2">
      <c r="B1345" s="468"/>
      <c r="C1345" s="468"/>
      <c r="D1345" s="525"/>
    </row>
    <row r="1346" spans="2:4" x14ac:dyDescent="0.2">
      <c r="B1346" s="468"/>
      <c r="C1346" s="468"/>
      <c r="D1346" s="525"/>
    </row>
    <row r="1347" spans="2:4" x14ac:dyDescent="0.2">
      <c r="B1347" s="468"/>
      <c r="C1347" s="468"/>
      <c r="D1347" s="525"/>
    </row>
    <row r="1348" spans="2:4" x14ac:dyDescent="0.2">
      <c r="B1348" s="468"/>
      <c r="C1348" s="468"/>
      <c r="D1348" s="525"/>
    </row>
    <row r="1349" spans="2:4" x14ac:dyDescent="0.2">
      <c r="B1349" s="468"/>
      <c r="C1349" s="468"/>
      <c r="D1349" s="525"/>
    </row>
    <row r="1350" spans="2:4" x14ac:dyDescent="0.2">
      <c r="B1350" s="468"/>
      <c r="C1350" s="468"/>
      <c r="D1350" s="525"/>
    </row>
    <row r="1351" spans="2:4" x14ac:dyDescent="0.2">
      <c r="B1351" s="468"/>
      <c r="C1351" s="468"/>
      <c r="D1351" s="525"/>
    </row>
    <row r="1352" spans="2:4" x14ac:dyDescent="0.2">
      <c r="B1352" s="468"/>
      <c r="C1352" s="468"/>
      <c r="D1352" s="525"/>
    </row>
    <row r="1353" spans="2:4" x14ac:dyDescent="0.2">
      <c r="B1353" s="468"/>
      <c r="C1353" s="468"/>
      <c r="D1353" s="525"/>
    </row>
    <row r="1354" spans="2:4" x14ac:dyDescent="0.2">
      <c r="B1354" s="468"/>
      <c r="C1354" s="468"/>
      <c r="D1354" s="525"/>
    </row>
    <row r="1355" spans="2:4" x14ac:dyDescent="0.2">
      <c r="B1355" s="468"/>
      <c r="C1355" s="468"/>
      <c r="D1355" s="525"/>
    </row>
    <row r="1356" spans="2:4" x14ac:dyDescent="0.2">
      <c r="B1356" s="468"/>
      <c r="C1356" s="468"/>
      <c r="D1356" s="525"/>
    </row>
    <row r="1357" spans="2:4" x14ac:dyDescent="0.2">
      <c r="B1357" s="468"/>
      <c r="C1357" s="468"/>
      <c r="D1357" s="525"/>
    </row>
    <row r="1358" spans="2:4" x14ac:dyDescent="0.2">
      <c r="B1358" s="468"/>
      <c r="C1358" s="468"/>
      <c r="D1358" s="525"/>
    </row>
    <row r="1359" spans="2:4" x14ac:dyDescent="0.2">
      <c r="B1359" s="468"/>
      <c r="C1359" s="468"/>
      <c r="D1359" s="525"/>
    </row>
    <row r="1360" spans="2:4" x14ac:dyDescent="0.2">
      <c r="B1360" s="468"/>
      <c r="C1360" s="468"/>
      <c r="D1360" s="525"/>
    </row>
    <row r="1361" spans="2:4" x14ac:dyDescent="0.2">
      <c r="B1361" s="468"/>
      <c r="C1361" s="468"/>
      <c r="D1361" s="525"/>
    </row>
    <row r="1362" spans="2:4" x14ac:dyDescent="0.2">
      <c r="B1362" s="468"/>
      <c r="C1362" s="468"/>
      <c r="D1362" s="525"/>
    </row>
    <row r="1363" spans="2:4" x14ac:dyDescent="0.2">
      <c r="B1363" s="468"/>
      <c r="C1363" s="468"/>
      <c r="D1363" s="525"/>
    </row>
    <row r="1364" spans="2:4" x14ac:dyDescent="0.2">
      <c r="B1364" s="468"/>
      <c r="C1364" s="468"/>
      <c r="D1364" s="525"/>
    </row>
    <row r="1365" spans="2:4" x14ac:dyDescent="0.2">
      <c r="B1365" s="468"/>
      <c r="C1365" s="468"/>
      <c r="D1365" s="525"/>
    </row>
    <row r="1366" spans="2:4" x14ac:dyDescent="0.2">
      <c r="B1366" s="468"/>
      <c r="C1366" s="468"/>
      <c r="D1366" s="525"/>
    </row>
    <row r="1367" spans="2:4" x14ac:dyDescent="0.2">
      <c r="B1367" s="468"/>
      <c r="C1367" s="468"/>
      <c r="D1367" s="525"/>
    </row>
    <row r="1368" spans="2:4" x14ac:dyDescent="0.2">
      <c r="B1368" s="468"/>
      <c r="C1368" s="468"/>
      <c r="D1368" s="525"/>
    </row>
    <row r="1369" spans="2:4" x14ac:dyDescent="0.2">
      <c r="B1369" s="468"/>
      <c r="C1369" s="468"/>
      <c r="D1369" s="525"/>
    </row>
    <row r="1370" spans="2:4" x14ac:dyDescent="0.2">
      <c r="B1370" s="468"/>
      <c r="C1370" s="468"/>
      <c r="D1370" s="525"/>
    </row>
    <row r="1371" spans="2:4" x14ac:dyDescent="0.2">
      <c r="B1371" s="468"/>
      <c r="C1371" s="468"/>
      <c r="D1371" s="525"/>
    </row>
    <row r="1372" spans="2:4" x14ac:dyDescent="0.2">
      <c r="B1372" s="468"/>
      <c r="C1372" s="468"/>
      <c r="D1372" s="525"/>
    </row>
    <row r="1373" spans="2:4" x14ac:dyDescent="0.2">
      <c r="B1373" s="468"/>
      <c r="C1373" s="468"/>
      <c r="D1373" s="525"/>
    </row>
    <row r="1374" spans="2:4" x14ac:dyDescent="0.2">
      <c r="B1374" s="468"/>
      <c r="C1374" s="468"/>
      <c r="D1374" s="525"/>
    </row>
    <row r="1375" spans="2:4" x14ac:dyDescent="0.2">
      <c r="B1375" s="468"/>
      <c r="C1375" s="468"/>
      <c r="D1375" s="525"/>
    </row>
    <row r="1376" spans="2:4" x14ac:dyDescent="0.2">
      <c r="B1376" s="468"/>
      <c r="C1376" s="468"/>
      <c r="D1376" s="525"/>
    </row>
    <row r="1377" spans="2:4" x14ac:dyDescent="0.2">
      <c r="B1377" s="468"/>
      <c r="C1377" s="468"/>
      <c r="D1377" s="525"/>
    </row>
    <row r="1378" spans="2:4" x14ac:dyDescent="0.2">
      <c r="B1378" s="468"/>
      <c r="C1378" s="468"/>
      <c r="D1378" s="525"/>
    </row>
    <row r="1379" spans="2:4" x14ac:dyDescent="0.2">
      <c r="B1379" s="468"/>
      <c r="C1379" s="468"/>
      <c r="D1379" s="525"/>
    </row>
    <row r="1380" spans="2:4" x14ac:dyDescent="0.2">
      <c r="B1380" s="468"/>
      <c r="C1380" s="468"/>
      <c r="D1380" s="525"/>
    </row>
    <row r="1381" spans="2:4" x14ac:dyDescent="0.2">
      <c r="B1381" s="468"/>
      <c r="C1381" s="468"/>
      <c r="D1381" s="525"/>
    </row>
    <row r="1382" spans="2:4" x14ac:dyDescent="0.2">
      <c r="B1382" s="468"/>
      <c r="C1382" s="468"/>
      <c r="D1382" s="525"/>
    </row>
    <row r="1383" spans="2:4" x14ac:dyDescent="0.2">
      <c r="B1383" s="468"/>
      <c r="C1383" s="468"/>
      <c r="D1383" s="525"/>
    </row>
    <row r="1384" spans="2:4" x14ac:dyDescent="0.2">
      <c r="B1384" s="468"/>
      <c r="C1384" s="468"/>
      <c r="D1384" s="525"/>
    </row>
    <row r="1385" spans="2:4" x14ac:dyDescent="0.2">
      <c r="B1385" s="468"/>
      <c r="C1385" s="468"/>
      <c r="D1385" s="525"/>
    </row>
    <row r="1386" spans="2:4" x14ac:dyDescent="0.2">
      <c r="B1386" s="468"/>
      <c r="C1386" s="468"/>
      <c r="D1386" s="525"/>
    </row>
    <row r="1387" spans="2:4" x14ac:dyDescent="0.2">
      <c r="B1387" s="468"/>
      <c r="C1387" s="468"/>
      <c r="D1387" s="525"/>
    </row>
    <row r="1388" spans="2:4" x14ac:dyDescent="0.2">
      <c r="B1388" s="468"/>
      <c r="C1388" s="468"/>
      <c r="D1388" s="525"/>
    </row>
    <row r="1389" spans="2:4" x14ac:dyDescent="0.2">
      <c r="B1389" s="468"/>
      <c r="C1389" s="468"/>
      <c r="D1389" s="525"/>
    </row>
    <row r="1390" spans="2:4" x14ac:dyDescent="0.2">
      <c r="B1390" s="468"/>
      <c r="C1390" s="468"/>
      <c r="D1390" s="525"/>
    </row>
    <row r="1391" spans="2:4" x14ac:dyDescent="0.2">
      <c r="B1391" s="468"/>
      <c r="C1391" s="468"/>
      <c r="D1391" s="525"/>
    </row>
    <row r="1392" spans="2:4" x14ac:dyDescent="0.2">
      <c r="B1392" s="468"/>
      <c r="C1392" s="468"/>
      <c r="D1392" s="525"/>
    </row>
    <row r="1393" spans="2:4" x14ac:dyDescent="0.2">
      <c r="B1393" s="468"/>
      <c r="C1393" s="468"/>
      <c r="D1393" s="525"/>
    </row>
    <row r="1394" spans="2:4" x14ac:dyDescent="0.2">
      <c r="B1394" s="468"/>
      <c r="C1394" s="468"/>
      <c r="D1394" s="525"/>
    </row>
    <row r="1395" spans="2:4" x14ac:dyDescent="0.2">
      <c r="B1395" s="468"/>
      <c r="C1395" s="468"/>
      <c r="D1395" s="525"/>
    </row>
    <row r="1396" spans="2:4" x14ac:dyDescent="0.2">
      <c r="B1396" s="468"/>
      <c r="C1396" s="468"/>
      <c r="D1396" s="525"/>
    </row>
    <row r="1397" spans="2:4" x14ac:dyDescent="0.2">
      <c r="B1397" s="468"/>
      <c r="C1397" s="468"/>
      <c r="D1397" s="525"/>
    </row>
    <row r="1398" spans="2:4" x14ac:dyDescent="0.2">
      <c r="B1398" s="468"/>
      <c r="C1398" s="468"/>
      <c r="D1398" s="525"/>
    </row>
    <row r="1399" spans="2:4" x14ac:dyDescent="0.2">
      <c r="B1399" s="468"/>
      <c r="C1399" s="468"/>
      <c r="D1399" s="525"/>
    </row>
    <row r="1400" spans="2:4" x14ac:dyDescent="0.2">
      <c r="B1400" s="468"/>
      <c r="C1400" s="468"/>
      <c r="D1400" s="525"/>
    </row>
    <row r="1401" spans="2:4" x14ac:dyDescent="0.2">
      <c r="B1401" s="468"/>
      <c r="C1401" s="468"/>
      <c r="D1401" s="525"/>
    </row>
    <row r="1402" spans="2:4" x14ac:dyDescent="0.2">
      <c r="B1402" s="468"/>
      <c r="C1402" s="468"/>
      <c r="D1402" s="525"/>
    </row>
    <row r="1403" spans="2:4" x14ac:dyDescent="0.2">
      <c r="B1403" s="468"/>
      <c r="C1403" s="468"/>
      <c r="D1403" s="525"/>
    </row>
    <row r="1404" spans="2:4" x14ac:dyDescent="0.2">
      <c r="B1404" s="468"/>
      <c r="C1404" s="468"/>
      <c r="D1404" s="525"/>
    </row>
    <row r="1405" spans="2:4" x14ac:dyDescent="0.2">
      <c r="B1405" s="468"/>
      <c r="C1405" s="468"/>
      <c r="D1405" s="525"/>
    </row>
    <row r="1406" spans="2:4" x14ac:dyDescent="0.2">
      <c r="B1406" s="468"/>
      <c r="C1406" s="468"/>
      <c r="D1406" s="525"/>
    </row>
    <row r="1407" spans="2:4" x14ac:dyDescent="0.2">
      <c r="B1407" s="468"/>
      <c r="C1407" s="468"/>
      <c r="D1407" s="525"/>
    </row>
    <row r="1408" spans="2:4" x14ac:dyDescent="0.2">
      <c r="B1408" s="468"/>
      <c r="C1408" s="468"/>
      <c r="D1408" s="525"/>
    </row>
    <row r="1409" spans="2:4" x14ac:dyDescent="0.2">
      <c r="B1409" s="468"/>
      <c r="C1409" s="468"/>
      <c r="D1409" s="525"/>
    </row>
    <row r="1410" spans="2:4" x14ac:dyDescent="0.2">
      <c r="B1410" s="468"/>
      <c r="C1410" s="468"/>
      <c r="D1410" s="525"/>
    </row>
    <row r="1411" spans="2:4" x14ac:dyDescent="0.2">
      <c r="B1411" s="468"/>
      <c r="C1411" s="468"/>
      <c r="D1411" s="525"/>
    </row>
    <row r="1412" spans="2:4" x14ac:dyDescent="0.2">
      <c r="B1412" s="468"/>
      <c r="C1412" s="468"/>
      <c r="D1412" s="525"/>
    </row>
    <row r="1413" spans="2:4" x14ac:dyDescent="0.2">
      <c r="B1413" s="468"/>
      <c r="C1413" s="468"/>
      <c r="D1413" s="525"/>
    </row>
    <row r="1414" spans="2:4" x14ac:dyDescent="0.2">
      <c r="B1414" s="468"/>
      <c r="C1414" s="468"/>
      <c r="D1414" s="525"/>
    </row>
    <row r="1415" spans="2:4" x14ac:dyDescent="0.2">
      <c r="B1415" s="468"/>
      <c r="C1415" s="468"/>
      <c r="D1415" s="525"/>
    </row>
    <row r="1416" spans="2:4" x14ac:dyDescent="0.2">
      <c r="B1416" s="468"/>
      <c r="C1416" s="468"/>
      <c r="D1416" s="525"/>
    </row>
    <row r="1417" spans="2:4" x14ac:dyDescent="0.2">
      <c r="B1417" s="468"/>
      <c r="C1417" s="468"/>
      <c r="D1417" s="525"/>
    </row>
    <row r="1418" spans="2:4" x14ac:dyDescent="0.2">
      <c r="B1418" s="468"/>
      <c r="C1418" s="468"/>
      <c r="D1418" s="525"/>
    </row>
    <row r="1419" spans="2:4" x14ac:dyDescent="0.2">
      <c r="B1419" s="468"/>
      <c r="C1419" s="468"/>
      <c r="D1419" s="525"/>
    </row>
    <row r="1420" spans="2:4" x14ac:dyDescent="0.2">
      <c r="B1420" s="468"/>
      <c r="C1420" s="468"/>
      <c r="D1420" s="525"/>
    </row>
    <row r="1421" spans="2:4" x14ac:dyDescent="0.2">
      <c r="B1421" s="468"/>
      <c r="C1421" s="468"/>
      <c r="D1421" s="525"/>
    </row>
    <row r="1422" spans="2:4" x14ac:dyDescent="0.2">
      <c r="B1422" s="468"/>
      <c r="C1422" s="468"/>
      <c r="D1422" s="525"/>
    </row>
    <row r="1423" spans="2:4" x14ac:dyDescent="0.2">
      <c r="B1423" s="468"/>
      <c r="C1423" s="468"/>
      <c r="D1423" s="525"/>
    </row>
    <row r="1424" spans="2:4" x14ac:dyDescent="0.2">
      <c r="B1424" s="468"/>
      <c r="C1424" s="468"/>
      <c r="D1424" s="525"/>
    </row>
    <row r="1425" spans="2:4" x14ac:dyDescent="0.2">
      <c r="B1425" s="468"/>
      <c r="C1425" s="468"/>
      <c r="D1425" s="525"/>
    </row>
    <row r="1426" spans="2:4" x14ac:dyDescent="0.2">
      <c r="B1426" s="468"/>
      <c r="C1426" s="468"/>
      <c r="D1426" s="525"/>
    </row>
    <row r="1427" spans="2:4" x14ac:dyDescent="0.2">
      <c r="B1427" s="468"/>
      <c r="C1427" s="468"/>
      <c r="D1427" s="525"/>
    </row>
    <row r="1428" spans="2:4" x14ac:dyDescent="0.2">
      <c r="B1428" s="468"/>
      <c r="C1428" s="468"/>
      <c r="D1428" s="525"/>
    </row>
    <row r="1429" spans="2:4" x14ac:dyDescent="0.2">
      <c r="B1429" s="468"/>
      <c r="C1429" s="468"/>
      <c r="D1429" s="525"/>
    </row>
    <row r="1430" spans="2:4" x14ac:dyDescent="0.2">
      <c r="B1430" s="468"/>
      <c r="C1430" s="468"/>
      <c r="D1430" s="525"/>
    </row>
    <row r="1431" spans="2:4" x14ac:dyDescent="0.2">
      <c r="B1431" s="468"/>
      <c r="C1431" s="468"/>
      <c r="D1431" s="525"/>
    </row>
    <row r="1432" spans="2:4" x14ac:dyDescent="0.2">
      <c r="B1432" s="468"/>
      <c r="C1432" s="468"/>
      <c r="D1432" s="525"/>
    </row>
    <row r="1433" spans="2:4" x14ac:dyDescent="0.2">
      <c r="B1433" s="468"/>
      <c r="C1433" s="468"/>
      <c r="D1433" s="525"/>
    </row>
    <row r="1434" spans="2:4" x14ac:dyDescent="0.2">
      <c r="B1434" s="468"/>
      <c r="C1434" s="468"/>
      <c r="D1434" s="525"/>
    </row>
    <row r="1435" spans="2:4" x14ac:dyDescent="0.2">
      <c r="B1435" s="468"/>
      <c r="C1435" s="468"/>
      <c r="D1435" s="525"/>
    </row>
    <row r="1436" spans="2:4" x14ac:dyDescent="0.2">
      <c r="B1436" s="468"/>
      <c r="C1436" s="468"/>
      <c r="D1436" s="525"/>
    </row>
    <row r="1437" spans="2:4" x14ac:dyDescent="0.2">
      <c r="B1437" s="468"/>
      <c r="C1437" s="468"/>
      <c r="D1437" s="525"/>
    </row>
    <row r="1438" spans="2:4" x14ac:dyDescent="0.2">
      <c r="B1438" s="468"/>
      <c r="C1438" s="468"/>
      <c r="D1438" s="525"/>
    </row>
    <row r="1439" spans="2:4" x14ac:dyDescent="0.2">
      <c r="B1439" s="468"/>
      <c r="C1439" s="468"/>
      <c r="D1439" s="525"/>
    </row>
    <row r="1440" spans="2:4" x14ac:dyDescent="0.2">
      <c r="B1440" s="468"/>
      <c r="C1440" s="468"/>
      <c r="D1440" s="525"/>
    </row>
    <row r="1441" spans="2:4" x14ac:dyDescent="0.2">
      <c r="B1441" s="468"/>
      <c r="C1441" s="468"/>
      <c r="D1441" s="525"/>
    </row>
    <row r="1442" spans="2:4" x14ac:dyDescent="0.2">
      <c r="B1442" s="468"/>
      <c r="C1442" s="468"/>
      <c r="D1442" s="525"/>
    </row>
    <row r="1443" spans="2:4" x14ac:dyDescent="0.2">
      <c r="B1443" s="468"/>
      <c r="C1443" s="468"/>
      <c r="D1443" s="525"/>
    </row>
    <row r="1444" spans="2:4" x14ac:dyDescent="0.2">
      <c r="B1444" s="468"/>
      <c r="C1444" s="468"/>
      <c r="D1444" s="525"/>
    </row>
    <row r="1445" spans="2:4" x14ac:dyDescent="0.2">
      <c r="B1445" s="468"/>
      <c r="C1445" s="468"/>
      <c r="D1445" s="525"/>
    </row>
    <row r="1446" spans="2:4" x14ac:dyDescent="0.2">
      <c r="B1446" s="468"/>
      <c r="C1446" s="468"/>
      <c r="D1446" s="525"/>
    </row>
    <row r="1447" spans="2:4" x14ac:dyDescent="0.2">
      <c r="B1447" s="468"/>
      <c r="C1447" s="468"/>
      <c r="D1447" s="525"/>
    </row>
    <row r="1448" spans="2:4" x14ac:dyDescent="0.2">
      <c r="B1448" s="468"/>
      <c r="C1448" s="468"/>
      <c r="D1448" s="525"/>
    </row>
    <row r="1449" spans="2:4" x14ac:dyDescent="0.2">
      <c r="B1449" s="468"/>
      <c r="C1449" s="468"/>
      <c r="D1449" s="525"/>
    </row>
    <row r="1450" spans="2:4" x14ac:dyDescent="0.2">
      <c r="B1450" s="468"/>
      <c r="C1450" s="468"/>
      <c r="D1450" s="525"/>
    </row>
    <row r="1451" spans="2:4" x14ac:dyDescent="0.2">
      <c r="B1451" s="468"/>
      <c r="C1451" s="468"/>
      <c r="D1451" s="525"/>
    </row>
    <row r="1452" spans="2:4" x14ac:dyDescent="0.2">
      <c r="B1452" s="468"/>
      <c r="C1452" s="468"/>
      <c r="D1452" s="525"/>
    </row>
    <row r="1453" spans="2:4" x14ac:dyDescent="0.2">
      <c r="B1453" s="468"/>
      <c r="C1453" s="468"/>
      <c r="D1453" s="525"/>
    </row>
    <row r="1454" spans="2:4" x14ac:dyDescent="0.2">
      <c r="B1454" s="468"/>
      <c r="C1454" s="468"/>
      <c r="D1454" s="525"/>
    </row>
    <row r="1455" spans="2:4" x14ac:dyDescent="0.2">
      <c r="B1455" s="468"/>
      <c r="C1455" s="468"/>
      <c r="D1455" s="525"/>
    </row>
    <row r="1456" spans="2:4" x14ac:dyDescent="0.2">
      <c r="B1456" s="468"/>
      <c r="C1456" s="468"/>
      <c r="D1456" s="525"/>
    </row>
    <row r="1457" spans="2:4" x14ac:dyDescent="0.2">
      <c r="B1457" s="468"/>
      <c r="C1457" s="468"/>
      <c r="D1457" s="525"/>
    </row>
    <row r="1458" spans="2:4" x14ac:dyDescent="0.2">
      <c r="B1458" s="468"/>
      <c r="C1458" s="468"/>
      <c r="D1458" s="525"/>
    </row>
    <row r="1459" spans="2:4" x14ac:dyDescent="0.2">
      <c r="B1459" s="468"/>
      <c r="C1459" s="468"/>
      <c r="D1459" s="525"/>
    </row>
    <row r="1460" spans="2:4" x14ac:dyDescent="0.2">
      <c r="B1460" s="468"/>
      <c r="C1460" s="468"/>
      <c r="D1460" s="525"/>
    </row>
    <row r="1461" spans="2:4" x14ac:dyDescent="0.2">
      <c r="B1461" s="468"/>
      <c r="C1461" s="468"/>
      <c r="D1461" s="525"/>
    </row>
    <row r="1462" spans="2:4" x14ac:dyDescent="0.2">
      <c r="B1462" s="468"/>
      <c r="C1462" s="468"/>
      <c r="D1462" s="525"/>
    </row>
    <row r="1463" spans="2:4" x14ac:dyDescent="0.2">
      <c r="B1463" s="468"/>
      <c r="C1463" s="468"/>
      <c r="D1463" s="525"/>
    </row>
    <row r="1464" spans="2:4" x14ac:dyDescent="0.2">
      <c r="B1464" s="468"/>
      <c r="C1464" s="468"/>
      <c r="D1464" s="525"/>
    </row>
    <row r="1465" spans="2:4" x14ac:dyDescent="0.2">
      <c r="B1465" s="468"/>
      <c r="C1465" s="468"/>
      <c r="D1465" s="525"/>
    </row>
    <row r="1466" spans="2:4" x14ac:dyDescent="0.2">
      <c r="B1466" s="468"/>
      <c r="C1466" s="468"/>
      <c r="D1466" s="525"/>
    </row>
    <row r="1467" spans="2:4" x14ac:dyDescent="0.2">
      <c r="B1467" s="468"/>
      <c r="C1467" s="468"/>
      <c r="D1467" s="525"/>
    </row>
    <row r="1468" spans="2:4" x14ac:dyDescent="0.2">
      <c r="B1468" s="468"/>
      <c r="C1468" s="468"/>
      <c r="D1468" s="525"/>
    </row>
    <row r="1469" spans="2:4" x14ac:dyDescent="0.2">
      <c r="B1469" s="468"/>
      <c r="C1469" s="468"/>
      <c r="D1469" s="525"/>
    </row>
    <row r="1470" spans="2:4" x14ac:dyDescent="0.2">
      <c r="B1470" s="468"/>
      <c r="C1470" s="468"/>
      <c r="D1470" s="525"/>
    </row>
    <row r="1471" spans="2:4" x14ac:dyDescent="0.2">
      <c r="B1471" s="468"/>
      <c r="C1471" s="468"/>
      <c r="D1471" s="525"/>
    </row>
    <row r="1472" spans="2:4" x14ac:dyDescent="0.2">
      <c r="B1472" s="468"/>
      <c r="C1472" s="468"/>
      <c r="D1472" s="525"/>
    </row>
    <row r="1473" spans="2:4" x14ac:dyDescent="0.2">
      <c r="B1473" s="468"/>
      <c r="C1473" s="468"/>
      <c r="D1473" s="525"/>
    </row>
    <row r="1474" spans="2:4" x14ac:dyDescent="0.2">
      <c r="B1474" s="468"/>
      <c r="C1474" s="468"/>
      <c r="D1474" s="525"/>
    </row>
    <row r="1475" spans="2:4" x14ac:dyDescent="0.2">
      <c r="B1475" s="468"/>
      <c r="C1475" s="468"/>
      <c r="D1475" s="525"/>
    </row>
    <row r="1476" spans="2:4" x14ac:dyDescent="0.2">
      <c r="B1476" s="468"/>
      <c r="C1476" s="468"/>
      <c r="D1476" s="525"/>
    </row>
    <row r="1477" spans="2:4" x14ac:dyDescent="0.2">
      <c r="B1477" s="468"/>
      <c r="C1477" s="468"/>
      <c r="D1477" s="525"/>
    </row>
    <row r="1478" spans="2:4" x14ac:dyDescent="0.2">
      <c r="B1478" s="468"/>
      <c r="C1478" s="468"/>
      <c r="D1478" s="525"/>
    </row>
    <row r="1479" spans="2:4" x14ac:dyDescent="0.2">
      <c r="B1479" s="468"/>
      <c r="C1479" s="468"/>
      <c r="D1479" s="525"/>
    </row>
    <row r="1480" spans="2:4" x14ac:dyDescent="0.2">
      <c r="B1480" s="468"/>
      <c r="C1480" s="468"/>
      <c r="D1480" s="525"/>
    </row>
    <row r="1481" spans="2:4" x14ac:dyDescent="0.2">
      <c r="B1481" s="468"/>
      <c r="C1481" s="468"/>
      <c r="D1481" s="525"/>
    </row>
    <row r="1482" spans="2:4" x14ac:dyDescent="0.2">
      <c r="B1482" s="468"/>
      <c r="C1482" s="468"/>
      <c r="D1482" s="525"/>
    </row>
    <row r="1483" spans="2:4" x14ac:dyDescent="0.2">
      <c r="B1483" s="468"/>
      <c r="C1483" s="468"/>
      <c r="D1483" s="525"/>
    </row>
    <row r="1484" spans="2:4" x14ac:dyDescent="0.2">
      <c r="B1484" s="468"/>
      <c r="C1484" s="468"/>
      <c r="D1484" s="525"/>
    </row>
    <row r="1485" spans="2:4" x14ac:dyDescent="0.2">
      <c r="B1485" s="468"/>
      <c r="C1485" s="468"/>
      <c r="D1485" s="525"/>
    </row>
    <row r="1486" spans="2:4" x14ac:dyDescent="0.2">
      <c r="B1486" s="468"/>
      <c r="C1486" s="468"/>
      <c r="D1486" s="525"/>
    </row>
    <row r="1487" spans="2:4" x14ac:dyDescent="0.2">
      <c r="B1487" s="468"/>
      <c r="C1487" s="468"/>
      <c r="D1487" s="525"/>
    </row>
    <row r="1488" spans="2:4" x14ac:dyDescent="0.2">
      <c r="B1488" s="468"/>
      <c r="C1488" s="468"/>
      <c r="D1488" s="525"/>
    </row>
    <row r="1489" spans="2:4" x14ac:dyDescent="0.2">
      <c r="B1489" s="468"/>
      <c r="C1489" s="468"/>
      <c r="D1489" s="525"/>
    </row>
    <row r="1490" spans="2:4" x14ac:dyDescent="0.2">
      <c r="B1490" s="468"/>
      <c r="C1490" s="468"/>
      <c r="D1490" s="525"/>
    </row>
    <row r="1491" spans="2:4" x14ac:dyDescent="0.2">
      <c r="B1491" s="468"/>
      <c r="C1491" s="468"/>
      <c r="D1491" s="525"/>
    </row>
    <row r="1492" spans="2:4" x14ac:dyDescent="0.2">
      <c r="B1492" s="468"/>
      <c r="C1492" s="468"/>
      <c r="D1492" s="525"/>
    </row>
    <row r="1493" spans="2:4" x14ac:dyDescent="0.2">
      <c r="B1493" s="468"/>
      <c r="C1493" s="468"/>
      <c r="D1493" s="525"/>
    </row>
    <row r="1494" spans="2:4" x14ac:dyDescent="0.2">
      <c r="B1494" s="468"/>
      <c r="C1494" s="468"/>
      <c r="D1494" s="525"/>
    </row>
    <row r="1495" spans="2:4" x14ac:dyDescent="0.2">
      <c r="B1495" s="468"/>
      <c r="C1495" s="468"/>
      <c r="D1495" s="525"/>
    </row>
    <row r="1496" spans="2:4" x14ac:dyDescent="0.2">
      <c r="B1496" s="468"/>
      <c r="C1496" s="468"/>
      <c r="D1496" s="525"/>
    </row>
    <row r="1497" spans="2:4" x14ac:dyDescent="0.2">
      <c r="B1497" s="468"/>
      <c r="C1497" s="468"/>
      <c r="D1497" s="525"/>
    </row>
    <row r="1498" spans="2:4" x14ac:dyDescent="0.2">
      <c r="B1498" s="468"/>
      <c r="C1498" s="468"/>
      <c r="D1498" s="525"/>
    </row>
    <row r="1499" spans="2:4" x14ac:dyDescent="0.2">
      <c r="B1499" s="468"/>
      <c r="C1499" s="468"/>
      <c r="D1499" s="525"/>
    </row>
    <row r="1500" spans="2:4" x14ac:dyDescent="0.2">
      <c r="B1500" s="468"/>
      <c r="C1500" s="468"/>
      <c r="D1500" s="525"/>
    </row>
    <row r="1501" spans="2:4" x14ac:dyDescent="0.2">
      <c r="B1501" s="468"/>
      <c r="C1501" s="468"/>
      <c r="D1501" s="525"/>
    </row>
    <row r="1502" spans="2:4" x14ac:dyDescent="0.2">
      <c r="B1502" s="468"/>
      <c r="C1502" s="468"/>
      <c r="D1502" s="525"/>
    </row>
    <row r="1503" spans="2:4" x14ac:dyDescent="0.2">
      <c r="B1503" s="468"/>
      <c r="C1503" s="468"/>
      <c r="D1503" s="525"/>
    </row>
    <row r="1504" spans="2:4" x14ac:dyDescent="0.2">
      <c r="B1504" s="468"/>
      <c r="C1504" s="468"/>
      <c r="D1504" s="525"/>
    </row>
    <row r="1505" spans="2:4" x14ac:dyDescent="0.2">
      <c r="B1505" s="468"/>
      <c r="C1505" s="468"/>
      <c r="D1505" s="525"/>
    </row>
    <row r="1506" spans="2:4" x14ac:dyDescent="0.2">
      <c r="B1506" s="468"/>
      <c r="C1506" s="468"/>
      <c r="D1506" s="525"/>
    </row>
    <row r="1507" spans="2:4" x14ac:dyDescent="0.2">
      <c r="B1507" s="468"/>
      <c r="C1507" s="468"/>
      <c r="D1507" s="525"/>
    </row>
    <row r="1508" spans="2:4" x14ac:dyDescent="0.2">
      <c r="B1508" s="468"/>
      <c r="C1508" s="468"/>
      <c r="D1508" s="525"/>
    </row>
    <row r="1509" spans="2:4" x14ac:dyDescent="0.2">
      <c r="B1509" s="468"/>
      <c r="C1509" s="468"/>
      <c r="D1509" s="525"/>
    </row>
    <row r="1510" spans="2:4" x14ac:dyDescent="0.2">
      <c r="B1510" s="468"/>
      <c r="C1510" s="468"/>
      <c r="D1510" s="525"/>
    </row>
    <row r="1511" spans="2:4" x14ac:dyDescent="0.2">
      <c r="B1511" s="468"/>
      <c r="C1511" s="468"/>
      <c r="D1511" s="525"/>
    </row>
    <row r="1512" spans="2:4" x14ac:dyDescent="0.2">
      <c r="B1512" s="468"/>
      <c r="C1512" s="468"/>
      <c r="D1512" s="525"/>
    </row>
    <row r="1513" spans="2:4" x14ac:dyDescent="0.2">
      <c r="B1513" s="468"/>
      <c r="C1513" s="468"/>
      <c r="D1513" s="525"/>
    </row>
    <row r="1514" spans="2:4" x14ac:dyDescent="0.2">
      <c r="B1514" s="468"/>
      <c r="C1514" s="468"/>
      <c r="D1514" s="525"/>
    </row>
    <row r="1515" spans="2:4" x14ac:dyDescent="0.2">
      <c r="B1515" s="468"/>
      <c r="C1515" s="468"/>
      <c r="D1515" s="525"/>
    </row>
    <row r="1516" spans="2:4" x14ac:dyDescent="0.2">
      <c r="B1516" s="468"/>
      <c r="C1516" s="468"/>
      <c r="D1516" s="525"/>
    </row>
    <row r="1517" spans="2:4" x14ac:dyDescent="0.2">
      <c r="B1517" s="468"/>
      <c r="C1517" s="468"/>
      <c r="D1517" s="525"/>
    </row>
    <row r="1518" spans="2:4" x14ac:dyDescent="0.2">
      <c r="B1518" s="468"/>
      <c r="C1518" s="468"/>
      <c r="D1518" s="525"/>
    </row>
    <row r="1519" spans="2:4" x14ac:dyDescent="0.2">
      <c r="B1519" s="468"/>
      <c r="C1519" s="468"/>
      <c r="D1519" s="525"/>
    </row>
    <row r="1520" spans="2:4" x14ac:dyDescent="0.2">
      <c r="B1520" s="468"/>
      <c r="C1520" s="468"/>
      <c r="D1520" s="525"/>
    </row>
    <row r="1521" spans="2:4" x14ac:dyDescent="0.2">
      <c r="B1521" s="468"/>
      <c r="C1521" s="468"/>
      <c r="D1521" s="525"/>
    </row>
    <row r="1522" spans="2:4" x14ac:dyDescent="0.2">
      <c r="B1522" s="468"/>
      <c r="C1522" s="468"/>
      <c r="D1522" s="525"/>
    </row>
    <row r="1523" spans="2:4" x14ac:dyDescent="0.2">
      <c r="B1523" s="468"/>
      <c r="C1523" s="468"/>
      <c r="D1523" s="525"/>
    </row>
    <row r="1524" spans="2:4" x14ac:dyDescent="0.2">
      <c r="B1524" s="468"/>
      <c r="C1524" s="468"/>
      <c r="D1524" s="525"/>
    </row>
    <row r="1525" spans="2:4" x14ac:dyDescent="0.2">
      <c r="B1525" s="468"/>
      <c r="C1525" s="468"/>
      <c r="D1525" s="525"/>
    </row>
    <row r="1526" spans="2:4" x14ac:dyDescent="0.2">
      <c r="B1526" s="468"/>
      <c r="C1526" s="468"/>
      <c r="D1526" s="525"/>
    </row>
    <row r="1527" spans="2:4" x14ac:dyDescent="0.2">
      <c r="B1527" s="468"/>
      <c r="C1527" s="468"/>
      <c r="D1527" s="525"/>
    </row>
    <row r="1528" spans="2:4" x14ac:dyDescent="0.2">
      <c r="B1528" s="468"/>
      <c r="C1528" s="468"/>
      <c r="D1528" s="525"/>
    </row>
    <row r="1529" spans="2:4" x14ac:dyDescent="0.2">
      <c r="B1529" s="468"/>
      <c r="C1529" s="468"/>
      <c r="D1529" s="525"/>
    </row>
    <row r="1530" spans="2:4" x14ac:dyDescent="0.2">
      <c r="B1530" s="468"/>
      <c r="C1530" s="468"/>
      <c r="D1530" s="525"/>
    </row>
    <row r="1531" spans="2:4" x14ac:dyDescent="0.2">
      <c r="B1531" s="468"/>
      <c r="C1531" s="468"/>
      <c r="D1531" s="525"/>
    </row>
    <row r="1532" spans="2:4" x14ac:dyDescent="0.2">
      <c r="B1532" s="468"/>
      <c r="C1532" s="468"/>
      <c r="D1532" s="525"/>
    </row>
    <row r="1533" spans="2:4" x14ac:dyDescent="0.2">
      <c r="B1533" s="468"/>
      <c r="C1533" s="468"/>
      <c r="D1533" s="525"/>
    </row>
    <row r="1534" spans="2:4" x14ac:dyDescent="0.2">
      <c r="B1534" s="468"/>
      <c r="C1534" s="468"/>
      <c r="D1534" s="525"/>
    </row>
    <row r="1535" spans="2:4" x14ac:dyDescent="0.2">
      <c r="B1535" s="468"/>
      <c r="C1535" s="468"/>
      <c r="D1535" s="525"/>
    </row>
    <row r="1536" spans="2:4" x14ac:dyDescent="0.2">
      <c r="B1536" s="468"/>
      <c r="C1536" s="468"/>
      <c r="D1536" s="525"/>
    </row>
    <row r="1537" spans="2:4" x14ac:dyDescent="0.2">
      <c r="B1537" s="468"/>
      <c r="C1537" s="468"/>
      <c r="D1537" s="525"/>
    </row>
    <row r="1538" spans="2:4" x14ac:dyDescent="0.2">
      <c r="B1538" s="468"/>
      <c r="C1538" s="468"/>
      <c r="D1538" s="525"/>
    </row>
    <row r="1539" spans="2:4" x14ac:dyDescent="0.2">
      <c r="B1539" s="468"/>
      <c r="C1539" s="468"/>
      <c r="D1539" s="525"/>
    </row>
    <row r="1540" spans="2:4" x14ac:dyDescent="0.2">
      <c r="B1540" s="468"/>
      <c r="C1540" s="468"/>
      <c r="D1540" s="525"/>
    </row>
    <row r="1541" spans="2:4" x14ac:dyDescent="0.2">
      <c r="B1541" s="468"/>
      <c r="C1541" s="468"/>
      <c r="D1541" s="525"/>
    </row>
    <row r="1542" spans="2:4" x14ac:dyDescent="0.2">
      <c r="B1542" s="468"/>
      <c r="C1542" s="468"/>
      <c r="D1542" s="525"/>
    </row>
    <row r="1543" spans="2:4" x14ac:dyDescent="0.2">
      <c r="B1543" s="468"/>
      <c r="C1543" s="468"/>
      <c r="D1543" s="525"/>
    </row>
    <row r="1544" spans="2:4" x14ac:dyDescent="0.2">
      <c r="B1544" s="468"/>
      <c r="C1544" s="468"/>
      <c r="D1544" s="525"/>
    </row>
    <row r="1545" spans="2:4" x14ac:dyDescent="0.2">
      <c r="B1545" s="468"/>
      <c r="C1545" s="468"/>
      <c r="D1545" s="525"/>
    </row>
    <row r="1546" spans="2:4" x14ac:dyDescent="0.2">
      <c r="B1546" s="468"/>
      <c r="C1546" s="468"/>
      <c r="D1546" s="525"/>
    </row>
    <row r="1547" spans="2:4" x14ac:dyDescent="0.2">
      <c r="B1547" s="468"/>
      <c r="C1547" s="468"/>
      <c r="D1547" s="525"/>
    </row>
    <row r="1548" spans="2:4" x14ac:dyDescent="0.2">
      <c r="B1548" s="468"/>
      <c r="C1548" s="468"/>
      <c r="D1548" s="525"/>
    </row>
    <row r="1549" spans="2:4" x14ac:dyDescent="0.2">
      <c r="B1549" s="468"/>
      <c r="C1549" s="468"/>
      <c r="D1549" s="525"/>
    </row>
    <row r="1550" spans="2:4" x14ac:dyDescent="0.2">
      <c r="B1550" s="468"/>
      <c r="C1550" s="468"/>
      <c r="D1550" s="525"/>
    </row>
    <row r="1551" spans="2:4" x14ac:dyDescent="0.2">
      <c r="B1551" s="468"/>
      <c r="C1551" s="468"/>
      <c r="D1551" s="525"/>
    </row>
    <row r="1552" spans="2:4" x14ac:dyDescent="0.2">
      <c r="B1552" s="468"/>
      <c r="C1552" s="468"/>
      <c r="D1552" s="525"/>
    </row>
    <row r="1553" spans="2:4" x14ac:dyDescent="0.2">
      <c r="B1553" s="468"/>
      <c r="C1553" s="468"/>
      <c r="D1553" s="525"/>
    </row>
    <row r="1554" spans="2:4" x14ac:dyDescent="0.2">
      <c r="B1554" s="468"/>
      <c r="C1554" s="468"/>
      <c r="D1554" s="525"/>
    </row>
    <row r="1555" spans="2:4" x14ac:dyDescent="0.2">
      <c r="B1555" s="468"/>
      <c r="C1555" s="468"/>
      <c r="D1555" s="525"/>
    </row>
    <row r="1556" spans="2:4" x14ac:dyDescent="0.2">
      <c r="B1556" s="468"/>
      <c r="C1556" s="468"/>
      <c r="D1556" s="525"/>
    </row>
    <row r="1557" spans="2:4" x14ac:dyDescent="0.2">
      <c r="B1557" s="468"/>
      <c r="C1557" s="468"/>
      <c r="D1557" s="525"/>
    </row>
    <row r="1558" spans="2:4" x14ac:dyDescent="0.2">
      <c r="B1558" s="468"/>
      <c r="C1558" s="468"/>
      <c r="D1558" s="525"/>
    </row>
    <row r="1559" spans="2:4" x14ac:dyDescent="0.2">
      <c r="B1559" s="468"/>
      <c r="C1559" s="468"/>
      <c r="D1559" s="525"/>
    </row>
    <row r="1560" spans="2:4" x14ac:dyDescent="0.2">
      <c r="B1560" s="468"/>
      <c r="C1560" s="468"/>
      <c r="D1560" s="525"/>
    </row>
    <row r="1561" spans="2:4" x14ac:dyDescent="0.2">
      <c r="B1561" s="468"/>
      <c r="C1561" s="468"/>
      <c r="D1561" s="525"/>
    </row>
    <row r="1562" spans="2:4" x14ac:dyDescent="0.2">
      <c r="B1562" s="468"/>
      <c r="C1562" s="468"/>
      <c r="D1562" s="525"/>
    </row>
    <row r="1563" spans="2:4" x14ac:dyDescent="0.2">
      <c r="B1563" s="468"/>
      <c r="C1563" s="468"/>
      <c r="D1563" s="525"/>
    </row>
    <row r="1564" spans="2:4" x14ac:dyDescent="0.2">
      <c r="B1564" s="468"/>
      <c r="C1564" s="468"/>
      <c r="D1564" s="525"/>
    </row>
    <row r="1565" spans="2:4" x14ac:dyDescent="0.2">
      <c r="B1565" s="468"/>
      <c r="C1565" s="468"/>
      <c r="D1565" s="525"/>
    </row>
    <row r="1566" spans="2:4" x14ac:dyDescent="0.2">
      <c r="B1566" s="468"/>
      <c r="C1566" s="468"/>
      <c r="D1566" s="525"/>
    </row>
    <row r="1567" spans="2:4" x14ac:dyDescent="0.2">
      <c r="B1567" s="468"/>
      <c r="C1567" s="468"/>
      <c r="D1567" s="525"/>
    </row>
    <row r="1568" spans="2:4" x14ac:dyDescent="0.2">
      <c r="B1568" s="468"/>
      <c r="C1568" s="468"/>
      <c r="D1568" s="525"/>
    </row>
    <row r="1569" spans="2:4" x14ac:dyDescent="0.2">
      <c r="B1569" s="468"/>
      <c r="C1569" s="468"/>
      <c r="D1569" s="525"/>
    </row>
    <row r="1570" spans="2:4" x14ac:dyDescent="0.2">
      <c r="B1570" s="468"/>
      <c r="C1570" s="468"/>
      <c r="D1570" s="525"/>
    </row>
    <row r="1571" spans="2:4" x14ac:dyDescent="0.2">
      <c r="B1571" s="468"/>
      <c r="C1571" s="468"/>
      <c r="D1571" s="525"/>
    </row>
    <row r="1572" spans="2:4" x14ac:dyDescent="0.2">
      <c r="B1572" s="468"/>
      <c r="C1572" s="468"/>
      <c r="D1572" s="525"/>
    </row>
    <row r="1573" spans="2:4" x14ac:dyDescent="0.2">
      <c r="B1573" s="468"/>
      <c r="C1573" s="468"/>
      <c r="D1573" s="525"/>
    </row>
    <row r="1574" spans="2:4" x14ac:dyDescent="0.2">
      <c r="B1574" s="468"/>
      <c r="C1574" s="468"/>
      <c r="D1574" s="525"/>
    </row>
    <row r="1575" spans="2:4" x14ac:dyDescent="0.2">
      <c r="B1575" s="468"/>
      <c r="C1575" s="468"/>
      <c r="D1575" s="525"/>
    </row>
    <row r="1576" spans="2:4" x14ac:dyDescent="0.2">
      <c r="B1576" s="468"/>
      <c r="C1576" s="468"/>
      <c r="D1576" s="525"/>
    </row>
    <row r="1577" spans="2:4" x14ac:dyDescent="0.2">
      <c r="B1577" s="468"/>
      <c r="C1577" s="468"/>
      <c r="D1577" s="525"/>
    </row>
    <row r="1578" spans="2:4" x14ac:dyDescent="0.2">
      <c r="B1578" s="468"/>
      <c r="C1578" s="468"/>
      <c r="D1578" s="525"/>
    </row>
    <row r="1579" spans="2:4" x14ac:dyDescent="0.2">
      <c r="B1579" s="468"/>
      <c r="C1579" s="468"/>
      <c r="D1579" s="525"/>
    </row>
    <row r="1580" spans="2:4" x14ac:dyDescent="0.2">
      <c r="B1580" s="468"/>
      <c r="C1580" s="468"/>
      <c r="D1580" s="525"/>
    </row>
    <row r="1581" spans="2:4" x14ac:dyDescent="0.2">
      <c r="B1581" s="468"/>
      <c r="C1581" s="468"/>
      <c r="D1581" s="525"/>
    </row>
    <row r="1582" spans="2:4" x14ac:dyDescent="0.2">
      <c r="B1582" s="468"/>
      <c r="C1582" s="468"/>
      <c r="D1582" s="525"/>
    </row>
    <row r="1583" spans="2:4" x14ac:dyDescent="0.2">
      <c r="B1583" s="468"/>
      <c r="C1583" s="468"/>
      <c r="D1583" s="525"/>
    </row>
    <row r="1584" spans="2:4" x14ac:dyDescent="0.2">
      <c r="B1584" s="468"/>
      <c r="C1584" s="468"/>
      <c r="D1584" s="525"/>
    </row>
    <row r="1585" spans="2:4" x14ac:dyDescent="0.2">
      <c r="B1585" s="468"/>
      <c r="C1585" s="468"/>
      <c r="D1585" s="525"/>
    </row>
    <row r="1586" spans="2:4" x14ac:dyDescent="0.2">
      <c r="B1586" s="468"/>
      <c r="C1586" s="468"/>
      <c r="D1586" s="525"/>
    </row>
    <row r="1587" spans="2:4" x14ac:dyDescent="0.2">
      <c r="B1587" s="468"/>
      <c r="C1587" s="468"/>
      <c r="D1587" s="525"/>
    </row>
    <row r="1588" spans="2:4" x14ac:dyDescent="0.2">
      <c r="B1588" s="468"/>
      <c r="C1588" s="468"/>
      <c r="D1588" s="525"/>
    </row>
    <row r="1589" spans="2:4" x14ac:dyDescent="0.2">
      <c r="B1589" s="468"/>
      <c r="C1589" s="468"/>
      <c r="D1589" s="525"/>
    </row>
    <row r="1590" spans="2:4" x14ac:dyDescent="0.2">
      <c r="B1590" s="468"/>
      <c r="C1590" s="468"/>
      <c r="D1590" s="525"/>
    </row>
    <row r="1591" spans="2:4" x14ac:dyDescent="0.2">
      <c r="B1591" s="468"/>
      <c r="C1591" s="468"/>
      <c r="D1591" s="525"/>
    </row>
    <row r="1592" spans="2:4" x14ac:dyDescent="0.2">
      <c r="B1592" s="468"/>
      <c r="C1592" s="468"/>
      <c r="D1592" s="525"/>
    </row>
    <row r="1593" spans="2:4" x14ac:dyDescent="0.2">
      <c r="B1593" s="468"/>
      <c r="C1593" s="468"/>
      <c r="D1593" s="525"/>
    </row>
    <row r="1594" spans="2:4" x14ac:dyDescent="0.2">
      <c r="B1594" s="468"/>
      <c r="C1594" s="468"/>
      <c r="D1594" s="525"/>
    </row>
    <row r="1595" spans="2:4" x14ac:dyDescent="0.2">
      <c r="B1595" s="468"/>
      <c r="C1595" s="468"/>
      <c r="D1595" s="525"/>
    </row>
    <row r="1596" spans="2:4" x14ac:dyDescent="0.2">
      <c r="B1596" s="468"/>
      <c r="C1596" s="468"/>
      <c r="D1596" s="525"/>
    </row>
    <row r="1597" spans="2:4" x14ac:dyDescent="0.2">
      <c r="B1597" s="468"/>
      <c r="C1597" s="468"/>
      <c r="D1597" s="525"/>
    </row>
    <row r="1598" spans="2:4" x14ac:dyDescent="0.2">
      <c r="B1598" s="468"/>
      <c r="C1598" s="468"/>
      <c r="D1598" s="525"/>
    </row>
    <row r="1599" spans="2:4" x14ac:dyDescent="0.2">
      <c r="B1599" s="468"/>
      <c r="C1599" s="468"/>
      <c r="D1599" s="525"/>
    </row>
    <row r="1600" spans="2:4" x14ac:dyDescent="0.2">
      <c r="B1600" s="468"/>
      <c r="C1600" s="468"/>
      <c r="D1600" s="525"/>
    </row>
    <row r="1601" spans="2:4" x14ac:dyDescent="0.2">
      <c r="B1601" s="468"/>
      <c r="C1601" s="468"/>
      <c r="D1601" s="525"/>
    </row>
    <row r="1602" spans="2:4" x14ac:dyDescent="0.2">
      <c r="B1602" s="468"/>
      <c r="C1602" s="468"/>
      <c r="D1602" s="525"/>
    </row>
    <row r="1603" spans="2:4" x14ac:dyDescent="0.2">
      <c r="B1603" s="468"/>
      <c r="C1603" s="468"/>
      <c r="D1603" s="525"/>
    </row>
    <row r="1604" spans="2:4" x14ac:dyDescent="0.2">
      <c r="B1604" s="468"/>
      <c r="C1604" s="468"/>
      <c r="D1604" s="525"/>
    </row>
    <row r="1605" spans="2:4" x14ac:dyDescent="0.2">
      <c r="B1605" s="468"/>
      <c r="C1605" s="468"/>
      <c r="D1605" s="525"/>
    </row>
    <row r="1606" spans="2:4" x14ac:dyDescent="0.2">
      <c r="B1606" s="468"/>
      <c r="C1606" s="468"/>
      <c r="D1606" s="525"/>
    </row>
    <row r="1607" spans="2:4" x14ac:dyDescent="0.2">
      <c r="B1607" s="468"/>
      <c r="C1607" s="468"/>
      <c r="D1607" s="525"/>
    </row>
    <row r="1608" spans="2:4" x14ac:dyDescent="0.2">
      <c r="B1608" s="468"/>
      <c r="C1608" s="468"/>
      <c r="D1608" s="525"/>
    </row>
    <row r="1609" spans="2:4" x14ac:dyDescent="0.2">
      <c r="B1609" s="468"/>
      <c r="C1609" s="468"/>
      <c r="D1609" s="525"/>
    </row>
    <row r="1610" spans="2:4" x14ac:dyDescent="0.2">
      <c r="B1610" s="468"/>
      <c r="C1610" s="468"/>
      <c r="D1610" s="525"/>
    </row>
    <row r="1611" spans="2:4" x14ac:dyDescent="0.2">
      <c r="B1611" s="468"/>
      <c r="C1611" s="468"/>
      <c r="D1611" s="525"/>
    </row>
    <row r="1612" spans="2:4" x14ac:dyDescent="0.2">
      <c r="B1612" s="468"/>
      <c r="C1612" s="468"/>
      <c r="D1612" s="525"/>
    </row>
    <row r="1613" spans="2:4" x14ac:dyDescent="0.2">
      <c r="B1613" s="468"/>
      <c r="C1613" s="468"/>
      <c r="D1613" s="525"/>
    </row>
    <row r="1614" spans="2:4" x14ac:dyDescent="0.2">
      <c r="B1614" s="468"/>
      <c r="C1614" s="468"/>
      <c r="D1614" s="525"/>
    </row>
    <row r="1615" spans="2:4" x14ac:dyDescent="0.2">
      <c r="B1615" s="468"/>
      <c r="C1615" s="468"/>
      <c r="D1615" s="525"/>
    </row>
    <row r="1616" spans="2:4" x14ac:dyDescent="0.2">
      <c r="B1616" s="468"/>
      <c r="C1616" s="468"/>
      <c r="D1616" s="525"/>
    </row>
    <row r="1617" spans="2:4" x14ac:dyDescent="0.2">
      <c r="B1617" s="468"/>
      <c r="C1617" s="468"/>
      <c r="D1617" s="525"/>
    </row>
    <row r="1618" spans="2:4" x14ac:dyDescent="0.2">
      <c r="B1618" s="468"/>
      <c r="C1618" s="468"/>
      <c r="D1618" s="525"/>
    </row>
    <row r="1619" spans="2:4" x14ac:dyDescent="0.2">
      <c r="B1619" s="468"/>
      <c r="C1619" s="468"/>
      <c r="D1619" s="525"/>
    </row>
    <row r="1620" spans="2:4" x14ac:dyDescent="0.2">
      <c r="B1620" s="468"/>
      <c r="C1620" s="468"/>
      <c r="D1620" s="525"/>
    </row>
    <row r="1621" spans="2:4" x14ac:dyDescent="0.2">
      <c r="B1621" s="468"/>
      <c r="C1621" s="468"/>
      <c r="D1621" s="525"/>
    </row>
    <row r="1622" spans="2:4" x14ac:dyDescent="0.2">
      <c r="B1622" s="468"/>
      <c r="C1622" s="468"/>
      <c r="D1622" s="525"/>
    </row>
    <row r="1623" spans="2:4" x14ac:dyDescent="0.2">
      <c r="B1623" s="468"/>
      <c r="C1623" s="468"/>
      <c r="D1623" s="525"/>
    </row>
    <row r="1624" spans="2:4" x14ac:dyDescent="0.2">
      <c r="B1624" s="468"/>
      <c r="C1624" s="468"/>
      <c r="D1624" s="525"/>
    </row>
    <row r="1625" spans="2:4" x14ac:dyDescent="0.2">
      <c r="B1625" s="468"/>
      <c r="C1625" s="468"/>
      <c r="D1625" s="525"/>
    </row>
    <row r="1626" spans="2:4" x14ac:dyDescent="0.2">
      <c r="B1626" s="468"/>
      <c r="C1626" s="468"/>
      <c r="D1626" s="525"/>
    </row>
    <row r="1627" spans="2:4" x14ac:dyDescent="0.2">
      <c r="B1627" s="468"/>
      <c r="C1627" s="468"/>
      <c r="D1627" s="525"/>
    </row>
    <row r="1628" spans="2:4" x14ac:dyDescent="0.2">
      <c r="B1628" s="468"/>
      <c r="C1628" s="468"/>
      <c r="D1628" s="525"/>
    </row>
    <row r="1629" spans="2:4" x14ac:dyDescent="0.2">
      <c r="B1629" s="468"/>
      <c r="C1629" s="468"/>
      <c r="D1629" s="525"/>
    </row>
    <row r="1630" spans="2:4" x14ac:dyDescent="0.2">
      <c r="B1630" s="468"/>
      <c r="C1630" s="468"/>
      <c r="D1630" s="525"/>
    </row>
    <row r="1631" spans="2:4" x14ac:dyDescent="0.2">
      <c r="B1631" s="468"/>
      <c r="C1631" s="468"/>
      <c r="D1631" s="525"/>
    </row>
    <row r="1632" spans="2:4" x14ac:dyDescent="0.2">
      <c r="B1632" s="468"/>
      <c r="C1632" s="468"/>
      <c r="D1632" s="525"/>
    </row>
    <row r="1633" spans="2:4" x14ac:dyDescent="0.2">
      <c r="B1633" s="468"/>
      <c r="C1633" s="468"/>
      <c r="D1633" s="525"/>
    </row>
    <row r="1634" spans="2:4" x14ac:dyDescent="0.2">
      <c r="B1634" s="468"/>
      <c r="C1634" s="468"/>
      <c r="D1634" s="525"/>
    </row>
    <row r="1635" spans="2:4" x14ac:dyDescent="0.2">
      <c r="B1635" s="468"/>
      <c r="C1635" s="468"/>
      <c r="D1635" s="525"/>
    </row>
    <row r="1636" spans="2:4" x14ac:dyDescent="0.2">
      <c r="B1636" s="468"/>
      <c r="C1636" s="468"/>
      <c r="D1636" s="525"/>
    </row>
    <row r="1637" spans="2:4" x14ac:dyDescent="0.2">
      <c r="B1637" s="468"/>
      <c r="C1637" s="468"/>
      <c r="D1637" s="525"/>
    </row>
    <row r="1638" spans="2:4" x14ac:dyDescent="0.2">
      <c r="B1638" s="468"/>
      <c r="C1638" s="468"/>
      <c r="D1638" s="525"/>
    </row>
    <row r="1639" spans="2:4" x14ac:dyDescent="0.2">
      <c r="B1639" s="468"/>
      <c r="C1639" s="468"/>
      <c r="D1639" s="525"/>
    </row>
    <row r="1640" spans="2:4" x14ac:dyDescent="0.2">
      <c r="B1640" s="468"/>
      <c r="C1640" s="468"/>
      <c r="D1640" s="525"/>
    </row>
    <row r="1641" spans="2:4" x14ac:dyDescent="0.2">
      <c r="B1641" s="468"/>
      <c r="C1641" s="468"/>
      <c r="D1641" s="525"/>
    </row>
    <row r="1642" spans="2:4" x14ac:dyDescent="0.2">
      <c r="B1642" s="468"/>
      <c r="C1642" s="468"/>
      <c r="D1642" s="525"/>
    </row>
    <row r="1643" spans="2:4" x14ac:dyDescent="0.2">
      <c r="B1643" s="468"/>
      <c r="C1643" s="468"/>
      <c r="D1643" s="525"/>
    </row>
    <row r="1644" spans="2:4" x14ac:dyDescent="0.2">
      <c r="B1644" s="468"/>
      <c r="C1644" s="468"/>
      <c r="D1644" s="525"/>
    </row>
    <row r="1645" spans="2:4" x14ac:dyDescent="0.2">
      <c r="B1645" s="468"/>
      <c r="C1645" s="468"/>
      <c r="D1645" s="525"/>
    </row>
    <row r="1646" spans="2:4" x14ac:dyDescent="0.2">
      <c r="B1646" s="468"/>
      <c r="C1646" s="468"/>
      <c r="D1646" s="525"/>
    </row>
    <row r="1647" spans="2:4" x14ac:dyDescent="0.2">
      <c r="B1647" s="468"/>
      <c r="C1647" s="468"/>
      <c r="D1647" s="525"/>
    </row>
    <row r="1648" spans="2:4" x14ac:dyDescent="0.2">
      <c r="B1648" s="468"/>
      <c r="C1648" s="468"/>
      <c r="D1648" s="525"/>
    </row>
    <row r="1649" spans="2:4" x14ac:dyDescent="0.2">
      <c r="B1649" s="468"/>
      <c r="C1649" s="468"/>
      <c r="D1649" s="525"/>
    </row>
    <row r="1650" spans="2:4" x14ac:dyDescent="0.2">
      <c r="B1650" s="468"/>
      <c r="C1650" s="468"/>
      <c r="D1650" s="525"/>
    </row>
    <row r="1651" spans="2:4" x14ac:dyDescent="0.2">
      <c r="B1651" s="468"/>
      <c r="C1651" s="468"/>
      <c r="D1651" s="525"/>
    </row>
    <row r="1652" spans="2:4" x14ac:dyDescent="0.2">
      <c r="B1652" s="468"/>
      <c r="C1652" s="468"/>
      <c r="D1652" s="525"/>
    </row>
    <row r="1653" spans="2:4" x14ac:dyDescent="0.2">
      <c r="B1653" s="468"/>
      <c r="C1653" s="468"/>
      <c r="D1653" s="525"/>
    </row>
    <row r="1654" spans="2:4" x14ac:dyDescent="0.2">
      <c r="B1654" s="468"/>
      <c r="C1654" s="468"/>
      <c r="D1654" s="525"/>
    </row>
    <row r="1655" spans="2:4" x14ac:dyDescent="0.2">
      <c r="B1655" s="468"/>
      <c r="C1655" s="468"/>
      <c r="D1655" s="525"/>
    </row>
    <row r="1656" spans="2:4" x14ac:dyDescent="0.2">
      <c r="B1656" s="468"/>
      <c r="C1656" s="468"/>
      <c r="D1656" s="525"/>
    </row>
    <row r="1657" spans="2:4" x14ac:dyDescent="0.2">
      <c r="B1657" s="468"/>
      <c r="C1657" s="468"/>
      <c r="D1657" s="525"/>
    </row>
    <row r="1658" spans="2:4" x14ac:dyDescent="0.2">
      <c r="B1658" s="468"/>
      <c r="C1658" s="468"/>
      <c r="D1658" s="525"/>
    </row>
    <row r="1659" spans="2:4" x14ac:dyDescent="0.2">
      <c r="B1659" s="468"/>
      <c r="C1659" s="468"/>
      <c r="D1659" s="525"/>
    </row>
    <row r="1660" spans="2:4" x14ac:dyDescent="0.2">
      <c r="B1660" s="468"/>
      <c r="C1660" s="468"/>
      <c r="D1660" s="525"/>
    </row>
    <row r="1661" spans="2:4" x14ac:dyDescent="0.2">
      <c r="B1661" s="468"/>
      <c r="C1661" s="468"/>
      <c r="D1661" s="525"/>
    </row>
    <row r="1662" spans="2:4" x14ac:dyDescent="0.2">
      <c r="B1662" s="468"/>
      <c r="C1662" s="468"/>
      <c r="D1662" s="525"/>
    </row>
    <row r="1663" spans="2:4" x14ac:dyDescent="0.2">
      <c r="B1663" s="468"/>
      <c r="C1663" s="468"/>
      <c r="D1663" s="525"/>
    </row>
    <row r="1664" spans="2:4" x14ac:dyDescent="0.2">
      <c r="B1664" s="468"/>
      <c r="C1664" s="468"/>
      <c r="D1664" s="525"/>
    </row>
    <row r="1665" spans="2:4" x14ac:dyDescent="0.2">
      <c r="B1665" s="468"/>
      <c r="C1665" s="468"/>
      <c r="D1665" s="525"/>
    </row>
    <row r="1666" spans="2:4" x14ac:dyDescent="0.2">
      <c r="B1666" s="468"/>
      <c r="C1666" s="468"/>
      <c r="D1666" s="525"/>
    </row>
    <row r="1667" spans="2:4" x14ac:dyDescent="0.2">
      <c r="B1667" s="468"/>
      <c r="C1667" s="468"/>
      <c r="D1667" s="525"/>
    </row>
    <row r="1668" spans="2:4" x14ac:dyDescent="0.2">
      <c r="B1668" s="468"/>
      <c r="C1668" s="468"/>
      <c r="D1668" s="525"/>
    </row>
    <row r="1669" spans="2:4" x14ac:dyDescent="0.2">
      <c r="B1669" s="468"/>
      <c r="C1669" s="468"/>
      <c r="D1669" s="525"/>
    </row>
    <row r="1670" spans="2:4" x14ac:dyDescent="0.2">
      <c r="B1670" s="468"/>
      <c r="C1670" s="468"/>
      <c r="D1670" s="525"/>
    </row>
    <row r="1671" spans="2:4" x14ac:dyDescent="0.2">
      <c r="B1671" s="468"/>
      <c r="C1671" s="468"/>
      <c r="D1671" s="525"/>
    </row>
    <row r="1672" spans="2:4" x14ac:dyDescent="0.2">
      <c r="B1672" s="468"/>
      <c r="C1672" s="468"/>
      <c r="D1672" s="525"/>
    </row>
    <row r="1673" spans="2:4" x14ac:dyDescent="0.2">
      <c r="B1673" s="468"/>
      <c r="C1673" s="468"/>
      <c r="D1673" s="525"/>
    </row>
    <row r="1674" spans="2:4" x14ac:dyDescent="0.2">
      <c r="B1674" s="468"/>
      <c r="C1674" s="468"/>
      <c r="D1674" s="525"/>
    </row>
    <row r="1675" spans="2:4" x14ac:dyDescent="0.2">
      <c r="B1675" s="468"/>
      <c r="C1675" s="468"/>
      <c r="D1675" s="525"/>
    </row>
    <row r="1676" spans="2:4" x14ac:dyDescent="0.2">
      <c r="B1676" s="468"/>
      <c r="C1676" s="468"/>
      <c r="D1676" s="525"/>
    </row>
    <row r="1677" spans="2:4" x14ac:dyDescent="0.2">
      <c r="B1677" s="468"/>
      <c r="C1677" s="468"/>
      <c r="D1677" s="525"/>
    </row>
    <row r="1678" spans="2:4" x14ac:dyDescent="0.2">
      <c r="B1678" s="468"/>
      <c r="C1678" s="468"/>
      <c r="D1678" s="525"/>
    </row>
    <row r="1679" spans="2:4" x14ac:dyDescent="0.2">
      <c r="B1679" s="468"/>
      <c r="C1679" s="468"/>
      <c r="D1679" s="525"/>
    </row>
    <row r="1680" spans="2:4" x14ac:dyDescent="0.2">
      <c r="B1680" s="468"/>
      <c r="C1680" s="468"/>
      <c r="D1680" s="525"/>
    </row>
    <row r="1681" spans="2:4" x14ac:dyDescent="0.2">
      <c r="B1681" s="468"/>
      <c r="C1681" s="468"/>
      <c r="D1681" s="525"/>
    </row>
    <row r="1682" spans="2:4" x14ac:dyDescent="0.2">
      <c r="B1682" s="468"/>
      <c r="C1682" s="468"/>
      <c r="D1682" s="525"/>
    </row>
    <row r="1683" spans="2:4" x14ac:dyDescent="0.2">
      <c r="B1683" s="468"/>
      <c r="C1683" s="468"/>
      <c r="D1683" s="525"/>
    </row>
    <row r="1684" spans="2:4" x14ac:dyDescent="0.2">
      <c r="B1684" s="468"/>
      <c r="C1684" s="468"/>
      <c r="D1684" s="525"/>
    </row>
    <row r="1685" spans="2:4" x14ac:dyDescent="0.2">
      <c r="B1685" s="468"/>
      <c r="C1685" s="468"/>
      <c r="D1685" s="525"/>
    </row>
    <row r="1686" spans="2:4" x14ac:dyDescent="0.2">
      <c r="B1686" s="468"/>
      <c r="C1686" s="468"/>
      <c r="D1686" s="525"/>
    </row>
    <row r="1687" spans="2:4" x14ac:dyDescent="0.2">
      <c r="B1687" s="468"/>
      <c r="C1687" s="468"/>
      <c r="D1687" s="525"/>
    </row>
    <row r="1688" spans="2:4" x14ac:dyDescent="0.2">
      <c r="B1688" s="468"/>
      <c r="C1688" s="468"/>
      <c r="D1688" s="525"/>
    </row>
    <row r="1689" spans="2:4" x14ac:dyDescent="0.2">
      <c r="B1689" s="468"/>
      <c r="C1689" s="468"/>
      <c r="D1689" s="525"/>
    </row>
    <row r="1690" spans="2:4" x14ac:dyDescent="0.2">
      <c r="B1690" s="468"/>
      <c r="C1690" s="468"/>
      <c r="D1690" s="525"/>
    </row>
    <row r="1691" spans="2:4" x14ac:dyDescent="0.2">
      <c r="B1691" s="468"/>
      <c r="C1691" s="468"/>
      <c r="D1691" s="525"/>
    </row>
    <row r="1692" spans="2:4" x14ac:dyDescent="0.2">
      <c r="B1692" s="468"/>
      <c r="C1692" s="468"/>
      <c r="D1692" s="525"/>
    </row>
    <row r="1693" spans="2:4" x14ac:dyDescent="0.2">
      <c r="B1693" s="468"/>
      <c r="C1693" s="468"/>
      <c r="D1693" s="525"/>
    </row>
    <row r="1694" spans="2:4" x14ac:dyDescent="0.2">
      <c r="B1694" s="468"/>
      <c r="C1694" s="468"/>
      <c r="D1694" s="525"/>
    </row>
    <row r="1695" spans="2:4" x14ac:dyDescent="0.2">
      <c r="B1695" s="468"/>
      <c r="C1695" s="468"/>
      <c r="D1695" s="525"/>
    </row>
    <row r="1696" spans="2:4" x14ac:dyDescent="0.2">
      <c r="B1696" s="468"/>
      <c r="C1696" s="468"/>
      <c r="D1696" s="525"/>
    </row>
    <row r="1697" spans="2:4" x14ac:dyDescent="0.2">
      <c r="B1697" s="468"/>
      <c r="C1697" s="468"/>
      <c r="D1697" s="525"/>
    </row>
    <row r="1698" spans="2:4" x14ac:dyDescent="0.2">
      <c r="B1698" s="468"/>
      <c r="C1698" s="468"/>
      <c r="D1698" s="525"/>
    </row>
    <row r="1699" spans="2:4" x14ac:dyDescent="0.2">
      <c r="B1699" s="468"/>
      <c r="C1699" s="468"/>
      <c r="D1699" s="525"/>
    </row>
    <row r="1700" spans="2:4" x14ac:dyDescent="0.2">
      <c r="B1700" s="468"/>
      <c r="C1700" s="468"/>
      <c r="D1700" s="525"/>
    </row>
    <row r="1701" spans="2:4" x14ac:dyDescent="0.2">
      <c r="B1701" s="468"/>
      <c r="C1701" s="468"/>
      <c r="D1701" s="525"/>
    </row>
    <row r="1702" spans="2:4" x14ac:dyDescent="0.2">
      <c r="B1702" s="468"/>
      <c r="C1702" s="468"/>
      <c r="D1702" s="525"/>
    </row>
    <row r="1703" spans="2:4" x14ac:dyDescent="0.2">
      <c r="B1703" s="468"/>
      <c r="C1703" s="468"/>
      <c r="D1703" s="525"/>
    </row>
    <row r="1704" spans="2:4" x14ac:dyDescent="0.2">
      <c r="B1704" s="468"/>
      <c r="C1704" s="468"/>
      <c r="D1704" s="525"/>
    </row>
    <row r="1705" spans="2:4" x14ac:dyDescent="0.2">
      <c r="B1705" s="468"/>
      <c r="C1705" s="468"/>
      <c r="D1705" s="525"/>
    </row>
    <row r="1706" spans="2:4" x14ac:dyDescent="0.2">
      <c r="B1706" s="468"/>
      <c r="C1706" s="468"/>
      <c r="D1706" s="525"/>
    </row>
    <row r="1707" spans="2:4" x14ac:dyDescent="0.2">
      <c r="B1707" s="468"/>
      <c r="C1707" s="468"/>
      <c r="D1707" s="525"/>
    </row>
    <row r="1708" spans="2:4" x14ac:dyDescent="0.2">
      <c r="B1708" s="468"/>
      <c r="C1708" s="468"/>
      <c r="D1708" s="525"/>
    </row>
    <row r="1709" spans="2:4" x14ac:dyDescent="0.2">
      <c r="B1709" s="468"/>
      <c r="C1709" s="468"/>
      <c r="D1709" s="525"/>
    </row>
    <row r="1710" spans="2:4" x14ac:dyDescent="0.2">
      <c r="B1710" s="468"/>
      <c r="C1710" s="468"/>
      <c r="D1710" s="525"/>
    </row>
    <row r="1711" spans="2:4" x14ac:dyDescent="0.2">
      <c r="B1711" s="468"/>
      <c r="C1711" s="468"/>
      <c r="D1711" s="525"/>
    </row>
    <row r="1712" spans="2:4" x14ac:dyDescent="0.2">
      <c r="B1712" s="468"/>
      <c r="C1712" s="468"/>
      <c r="D1712" s="525"/>
    </row>
    <row r="1713" spans="2:4" x14ac:dyDescent="0.2">
      <c r="B1713" s="468"/>
      <c r="C1713" s="468"/>
      <c r="D1713" s="525"/>
    </row>
    <row r="1714" spans="2:4" x14ac:dyDescent="0.2">
      <c r="B1714" s="468"/>
      <c r="C1714" s="468"/>
      <c r="D1714" s="525"/>
    </row>
    <row r="1715" spans="2:4" x14ac:dyDescent="0.2">
      <c r="B1715" s="468"/>
      <c r="C1715" s="468"/>
      <c r="D1715" s="525"/>
    </row>
    <row r="1716" spans="2:4" x14ac:dyDescent="0.2">
      <c r="B1716" s="468"/>
      <c r="C1716" s="468"/>
      <c r="D1716" s="525"/>
    </row>
    <row r="1717" spans="2:4" x14ac:dyDescent="0.2">
      <c r="B1717" s="468"/>
      <c r="C1717" s="468"/>
      <c r="D1717" s="525"/>
    </row>
    <row r="1718" spans="2:4" x14ac:dyDescent="0.2">
      <c r="B1718" s="468"/>
      <c r="C1718" s="468"/>
      <c r="D1718" s="525"/>
    </row>
    <row r="1719" spans="2:4" x14ac:dyDescent="0.2">
      <c r="B1719" s="468"/>
      <c r="C1719" s="468"/>
      <c r="D1719" s="525"/>
    </row>
    <row r="1720" spans="2:4" x14ac:dyDescent="0.2">
      <c r="B1720" s="468"/>
      <c r="C1720" s="468"/>
      <c r="D1720" s="525"/>
    </row>
    <row r="1721" spans="2:4" x14ac:dyDescent="0.2">
      <c r="B1721" s="468"/>
      <c r="C1721" s="468"/>
      <c r="D1721" s="525"/>
    </row>
    <row r="1722" spans="2:4" x14ac:dyDescent="0.2">
      <c r="B1722" s="468"/>
      <c r="C1722" s="468"/>
      <c r="D1722" s="525"/>
    </row>
    <row r="1723" spans="2:4" x14ac:dyDescent="0.2">
      <c r="B1723" s="468"/>
      <c r="C1723" s="468"/>
      <c r="D1723" s="525"/>
    </row>
    <row r="1724" spans="2:4" x14ac:dyDescent="0.2">
      <c r="B1724" s="468"/>
      <c r="C1724" s="468"/>
      <c r="D1724" s="525"/>
    </row>
    <row r="1725" spans="2:4" x14ac:dyDescent="0.2">
      <c r="B1725" s="468"/>
      <c r="C1725" s="468"/>
      <c r="D1725" s="525"/>
    </row>
    <row r="1726" spans="2:4" x14ac:dyDescent="0.2">
      <c r="B1726" s="468"/>
      <c r="C1726" s="468"/>
      <c r="D1726" s="525"/>
    </row>
    <row r="1727" spans="2:4" x14ac:dyDescent="0.2">
      <c r="B1727" s="468"/>
      <c r="C1727" s="468"/>
      <c r="D1727" s="525"/>
    </row>
    <row r="1728" spans="2:4" x14ac:dyDescent="0.2">
      <c r="B1728" s="468"/>
      <c r="C1728" s="468"/>
      <c r="D1728" s="525"/>
    </row>
    <row r="1729" spans="2:4" x14ac:dyDescent="0.2">
      <c r="B1729" s="468"/>
      <c r="C1729" s="468"/>
      <c r="D1729" s="525"/>
    </row>
    <row r="1730" spans="2:4" x14ac:dyDescent="0.2">
      <c r="B1730" s="468"/>
      <c r="C1730" s="468"/>
      <c r="D1730" s="525"/>
    </row>
    <row r="1731" spans="2:4" x14ac:dyDescent="0.2">
      <c r="B1731" s="468"/>
      <c r="C1731" s="468"/>
      <c r="D1731" s="525"/>
    </row>
    <row r="1732" spans="2:4" x14ac:dyDescent="0.2">
      <c r="B1732" s="468"/>
      <c r="C1732" s="468"/>
      <c r="D1732" s="525"/>
    </row>
    <row r="1733" spans="2:4" x14ac:dyDescent="0.2">
      <c r="B1733" s="468"/>
      <c r="C1733" s="468"/>
      <c r="D1733" s="525"/>
    </row>
    <row r="1734" spans="2:4" x14ac:dyDescent="0.2">
      <c r="B1734" s="468"/>
      <c r="C1734" s="468"/>
      <c r="D1734" s="525"/>
    </row>
    <row r="1735" spans="2:4" x14ac:dyDescent="0.2">
      <c r="B1735" s="468"/>
      <c r="C1735" s="468"/>
      <c r="D1735" s="525"/>
    </row>
    <row r="1736" spans="2:4" x14ac:dyDescent="0.2">
      <c r="B1736" s="468"/>
      <c r="C1736" s="468"/>
      <c r="D1736" s="525"/>
    </row>
    <row r="1737" spans="2:4" x14ac:dyDescent="0.2">
      <c r="B1737" s="468"/>
      <c r="C1737" s="468"/>
      <c r="D1737" s="525"/>
    </row>
    <row r="1738" spans="2:4" x14ac:dyDescent="0.2">
      <c r="B1738" s="468"/>
      <c r="C1738" s="468"/>
      <c r="D1738" s="525"/>
    </row>
    <row r="1739" spans="2:4" x14ac:dyDescent="0.2">
      <c r="B1739" s="468"/>
      <c r="C1739" s="468"/>
      <c r="D1739" s="525"/>
    </row>
    <row r="1740" spans="2:4" x14ac:dyDescent="0.2">
      <c r="B1740" s="468"/>
      <c r="C1740" s="468"/>
      <c r="D1740" s="525"/>
    </row>
    <row r="1741" spans="2:4" x14ac:dyDescent="0.2">
      <c r="B1741" s="468"/>
      <c r="C1741" s="468"/>
      <c r="D1741" s="525"/>
    </row>
    <row r="1742" spans="2:4" x14ac:dyDescent="0.2">
      <c r="B1742" s="468"/>
      <c r="C1742" s="468"/>
      <c r="D1742" s="525"/>
    </row>
    <row r="1743" spans="2:4" x14ac:dyDescent="0.2">
      <c r="B1743" s="468"/>
      <c r="C1743" s="468"/>
      <c r="D1743" s="525"/>
    </row>
    <row r="1744" spans="2:4" x14ac:dyDescent="0.2">
      <c r="B1744" s="468"/>
      <c r="C1744" s="468"/>
      <c r="D1744" s="525"/>
    </row>
    <row r="1745" spans="2:4" x14ac:dyDescent="0.2">
      <c r="B1745" s="468"/>
      <c r="C1745" s="468"/>
      <c r="D1745" s="525"/>
    </row>
    <row r="1746" spans="2:4" x14ac:dyDescent="0.2">
      <c r="B1746" s="468"/>
      <c r="C1746" s="468"/>
      <c r="D1746" s="525"/>
    </row>
    <row r="1747" spans="2:4" x14ac:dyDescent="0.2">
      <c r="B1747" s="468"/>
      <c r="C1747" s="468"/>
      <c r="D1747" s="525"/>
    </row>
    <row r="1748" spans="2:4" x14ac:dyDescent="0.2">
      <c r="B1748" s="468"/>
      <c r="C1748" s="468"/>
      <c r="D1748" s="525"/>
    </row>
    <row r="1749" spans="2:4" x14ac:dyDescent="0.2">
      <c r="B1749" s="468"/>
      <c r="C1749" s="468"/>
      <c r="D1749" s="525"/>
    </row>
    <row r="1750" spans="2:4" x14ac:dyDescent="0.2">
      <c r="B1750" s="468"/>
      <c r="C1750" s="468"/>
      <c r="D1750" s="525"/>
    </row>
    <row r="1751" spans="2:4" x14ac:dyDescent="0.2">
      <c r="B1751" s="468"/>
      <c r="C1751" s="468"/>
      <c r="D1751" s="525"/>
    </row>
    <row r="1752" spans="2:4" x14ac:dyDescent="0.2">
      <c r="B1752" s="468"/>
      <c r="C1752" s="468"/>
      <c r="D1752" s="525"/>
    </row>
    <row r="1753" spans="2:4" x14ac:dyDescent="0.2">
      <c r="B1753" s="468"/>
      <c r="C1753" s="468"/>
      <c r="D1753" s="525"/>
    </row>
    <row r="1754" spans="2:4" x14ac:dyDescent="0.2">
      <c r="B1754" s="468"/>
      <c r="C1754" s="468"/>
      <c r="D1754" s="525"/>
    </row>
    <row r="1755" spans="2:4" x14ac:dyDescent="0.2">
      <c r="B1755" s="468"/>
      <c r="C1755" s="468"/>
      <c r="D1755" s="525"/>
    </row>
    <row r="1756" spans="2:4" x14ac:dyDescent="0.2">
      <c r="B1756" s="468"/>
      <c r="C1756" s="468"/>
      <c r="D1756" s="525"/>
    </row>
    <row r="1757" spans="2:4" x14ac:dyDescent="0.2">
      <c r="B1757" s="468"/>
      <c r="C1757" s="468"/>
      <c r="D1757" s="525"/>
    </row>
    <row r="1758" spans="2:4" x14ac:dyDescent="0.2">
      <c r="B1758" s="468"/>
      <c r="C1758" s="468"/>
      <c r="D1758" s="525"/>
    </row>
    <row r="1759" spans="2:4" x14ac:dyDescent="0.2">
      <c r="B1759" s="468"/>
      <c r="C1759" s="468"/>
      <c r="D1759" s="525"/>
    </row>
    <row r="1760" spans="2:4" x14ac:dyDescent="0.2">
      <c r="B1760" s="468"/>
      <c r="C1760" s="468"/>
      <c r="D1760" s="525"/>
    </row>
    <row r="1761" spans="2:4" x14ac:dyDescent="0.2">
      <c r="B1761" s="468"/>
      <c r="C1761" s="468"/>
      <c r="D1761" s="525"/>
    </row>
    <row r="1762" spans="2:4" x14ac:dyDescent="0.2">
      <c r="B1762" s="468"/>
      <c r="C1762" s="468"/>
      <c r="D1762" s="525"/>
    </row>
    <row r="1763" spans="2:4" x14ac:dyDescent="0.2">
      <c r="B1763" s="468"/>
      <c r="C1763" s="468"/>
      <c r="D1763" s="525"/>
    </row>
    <row r="1764" spans="2:4" x14ac:dyDescent="0.2">
      <c r="B1764" s="468"/>
      <c r="C1764" s="468"/>
      <c r="D1764" s="525"/>
    </row>
    <row r="1765" spans="2:4" x14ac:dyDescent="0.2">
      <c r="B1765" s="468"/>
      <c r="C1765" s="468"/>
      <c r="D1765" s="525"/>
    </row>
    <row r="1766" spans="2:4" x14ac:dyDescent="0.2">
      <c r="B1766" s="468"/>
      <c r="C1766" s="468"/>
      <c r="D1766" s="525"/>
    </row>
    <row r="1767" spans="2:4" x14ac:dyDescent="0.2">
      <c r="B1767" s="468"/>
      <c r="C1767" s="468"/>
      <c r="D1767" s="525"/>
    </row>
    <row r="1768" spans="2:4" x14ac:dyDescent="0.2">
      <c r="B1768" s="468"/>
      <c r="C1768" s="468"/>
      <c r="D1768" s="525"/>
    </row>
    <row r="1769" spans="2:4" x14ac:dyDescent="0.2">
      <c r="B1769" s="468"/>
      <c r="C1769" s="468"/>
      <c r="D1769" s="525"/>
    </row>
    <row r="1770" spans="2:4" x14ac:dyDescent="0.2">
      <c r="B1770" s="468"/>
      <c r="C1770" s="468"/>
      <c r="D1770" s="525"/>
    </row>
    <row r="1771" spans="2:4" x14ac:dyDescent="0.2">
      <c r="B1771" s="468"/>
      <c r="C1771" s="468"/>
      <c r="D1771" s="525"/>
    </row>
    <row r="1772" spans="2:4" x14ac:dyDescent="0.2">
      <c r="B1772" s="468"/>
      <c r="C1772" s="468"/>
      <c r="D1772" s="525"/>
    </row>
    <row r="1773" spans="2:4" x14ac:dyDescent="0.2">
      <c r="B1773" s="468"/>
      <c r="C1773" s="468"/>
      <c r="D1773" s="525"/>
    </row>
    <row r="1774" spans="2:4" x14ac:dyDescent="0.2">
      <c r="B1774" s="468"/>
      <c r="C1774" s="468"/>
      <c r="D1774" s="525"/>
    </row>
    <row r="1775" spans="2:4" x14ac:dyDescent="0.2">
      <c r="B1775" s="468"/>
      <c r="C1775" s="468"/>
      <c r="D1775" s="525"/>
    </row>
    <row r="1776" spans="2:4" x14ac:dyDescent="0.2">
      <c r="B1776" s="468"/>
      <c r="C1776" s="468"/>
      <c r="D1776" s="525"/>
    </row>
    <row r="1777" spans="2:4" x14ac:dyDescent="0.2">
      <c r="B1777" s="468"/>
      <c r="C1777" s="468"/>
      <c r="D1777" s="525"/>
    </row>
    <row r="1778" spans="2:4" x14ac:dyDescent="0.2">
      <c r="B1778" s="468"/>
      <c r="C1778" s="468"/>
      <c r="D1778" s="525"/>
    </row>
  </sheetData>
  <mergeCells count="4">
    <mergeCell ref="H6:K6"/>
    <mergeCell ref="M6:O6"/>
    <mergeCell ref="H28:K28"/>
    <mergeCell ref="M28:O28"/>
  </mergeCells>
  <pageMargins left="0.7" right="0.7" top="0.75" bottom="0.75" header="0.3" footer="0.3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21B31B186785A489B9B821A4F8C3D2E" ma:contentTypeVersion="24" ma:contentTypeDescription="" ma:contentTypeScope="" ma:versionID="d03c620124ee94accdf79532837fde7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2023-08-30T07:00:00+00:00</OpenedDate>
    <SignificantOrder xmlns="dc463f71-b30c-4ab2-9473-d307f9d35888">false</SignificantOrder>
    <Date1 xmlns="dc463f71-b30c-4ab2-9473-d307f9d35888">2023-08-30T07:00:00+00:00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DB8873-1BB2-4544-96B3-92B537D21F8E}"/>
</file>

<file path=customXml/itemProps2.xml><?xml version="1.0" encoding="utf-8"?>
<ds:datastoreItem xmlns:ds="http://schemas.openxmlformats.org/officeDocument/2006/customXml" ds:itemID="{7310B10A-3CFE-47C9-B3A5-B29D7B6A423A}"/>
</file>

<file path=customXml/itemProps3.xml><?xml version="1.0" encoding="utf-8"?>
<ds:datastoreItem xmlns:ds="http://schemas.openxmlformats.org/officeDocument/2006/customXml" ds:itemID="{C511834A-6F30-43FE-A2AD-A7D0D4CBC791}"/>
</file>

<file path=customXml/itemProps4.xml><?xml version="1.0" encoding="utf-8"?>
<ds:datastoreItem xmlns:ds="http://schemas.openxmlformats.org/officeDocument/2006/customXml" ds:itemID="{9D0CCFA2-3CCD-485B-8E8C-D6157A732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Rates</vt:lpstr>
      <vt:lpstr>Rate Impacts--&gt;</vt:lpstr>
      <vt:lpstr>Rate Impacts Sch 129D</vt:lpstr>
      <vt:lpstr>Typical Res Bill Sch 129D</vt:lpstr>
      <vt:lpstr>Sch. 129D</vt:lpstr>
      <vt:lpstr>Work Papers--&gt;</vt:lpstr>
      <vt:lpstr>Sch 85 87 Rate Calc</vt:lpstr>
      <vt:lpstr>Margin Revenue</vt:lpstr>
      <vt:lpstr>Revenue Requirement</vt:lpstr>
      <vt:lpstr>2022 GRC Rates--&gt;</vt:lpstr>
      <vt:lpstr>Exh JDT-5 (JDT-RES_RD)</vt:lpstr>
      <vt:lpstr>Exh JDT-5 (JDT-C&amp;I-RD)</vt:lpstr>
      <vt:lpstr>Exh JDT-5 (JDT-INTRPL-RD)</vt:lpstr>
      <vt:lpstr>Exh JDT-5 (JDT-MYRP)</vt:lpstr>
      <vt:lpstr>'Exh JDT-5 (JDT-MYRP)'!Print_Area</vt:lpstr>
      <vt:lpstr>'Margin Revenue'!Print_Area</vt:lpstr>
      <vt:lpstr>'Rate Impacts Sch 129D'!Print_Area</vt:lpstr>
      <vt:lpstr>Rates!Print_Area</vt:lpstr>
      <vt:lpstr>'Revenue Requirement'!Print_Area</vt:lpstr>
      <vt:lpstr>'Sch 85 87 Rate Calc'!Print_Area</vt:lpstr>
      <vt:lpstr>'Sch. 129D'!Print_Area</vt:lpstr>
      <vt:lpstr>'Typical Res Bill Sch 129D'!Print_Area</vt:lpstr>
      <vt:lpstr>'Exh JDT-5 (JDT-C&amp;I-RD)'!Print_Titles</vt:lpstr>
      <vt:lpstr>'Exh JDT-5 (JDT-INTRPL-RD)'!Print_Titles</vt:lpstr>
      <vt:lpstr>'Exh JDT-5 (JDT-MYRP)'!Print_Titles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Schmidt, Paul</cp:lastModifiedBy>
  <cp:lastPrinted>2023-07-28T00:36:34Z</cp:lastPrinted>
  <dcterms:created xsi:type="dcterms:W3CDTF">2016-08-18T16:48:49Z</dcterms:created>
  <dcterms:modified xsi:type="dcterms:W3CDTF">2023-08-15T23:52:03Z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0x0101006E56B4D1795A2E4DB2F0B01679ED314A00221B31B186785A489B9B821A4F8C3D2E</vt:lpwstr>
  </property>
  <property fmtid="{D5CDD505-2E9C-101B-9397-08002B2CF9AE}" pid="3" name="_docset_NoMedatataSyncRequired">
    <vt:lpwstr>False</vt:lpwstr>
  </property>
</Properties>
</file>