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externalLinks/externalLink8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29D - BDR (Low Income Funding)\2023\Filed on 08-31-23\"/>
    </mc:Choice>
  </mc:AlternateContent>
  <xr:revisionPtr revIDLastSave="0" documentId="13_ncr:1_{7D7247DC-4159-40A4-AC61-8E27A84E8C89}" xr6:coauthVersionLast="47" xr6:coauthVersionMax="47" xr10:uidLastSave="{00000000-0000-0000-0000-000000000000}"/>
  <bookViews>
    <workbookView xWindow="1830" yWindow="615" windowWidth="26505" windowHeight="12750" tabRatio="869" xr2:uid="{00000000-000D-0000-FFFF-FFFF00000000}"/>
  </bookViews>
  <sheets>
    <sheet name="2023 Proposed Impacts" sheetId="12" r:id="rId1"/>
    <sheet name="Street &amp; Area Lighting" sheetId="55" r:id="rId2"/>
    <sheet name="Revenue Rate Impact-SCH 129D" sheetId="64" r:id="rId3"/>
    <sheet name="Equal % Allocation" sheetId="65" r:id="rId4"/>
    <sheet name="Base Revenue" sheetId="32" r:id="rId5"/>
    <sheet name="Typical Residential Notice" sheetId="59" r:id="rId6"/>
    <sheet name="Workpapers -&gt;" sheetId="61" r:id="rId7"/>
    <sheet name="Revenue Req" sheetId="62" r:id="rId8"/>
    <sheet name="Controls" sheetId="5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3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3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3" hidden="1">{#N/A,#N/A,FALSE,"schA"}</definedName>
    <definedName name="____________________www1" hidden="1">{#N/A,#N/A,FALSE,"schA"}</definedName>
    <definedName name="__________________six6" localSheetId="3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7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7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7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7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7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7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7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7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7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7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7" hidden="1">{#N/A,#N/A,FALSE,"schA"}</definedName>
    <definedName name="________www1" hidden="1">{#N/A,#N/A,FALSE,"schA"}</definedName>
    <definedName name="_______ex1" localSheetId="3" hidden="1">{#N/A,#N/A,FALSE,"Summ";#N/A,#N/A,FALSE,"General"}</definedName>
    <definedName name="_______ex1" hidden="1">{#N/A,#N/A,FALSE,"Summ";#N/A,#N/A,FALSE,"General"}</definedName>
    <definedName name="_______new1" localSheetId="3" hidden="1">{#N/A,#N/A,FALSE,"Summ";#N/A,#N/A,FALSE,"General"}</definedName>
    <definedName name="_______new1" hidden="1">{#N/A,#N/A,FALSE,"Summ";#N/A,#N/A,FALSE,"General"}</definedName>
    <definedName name="_______six6" localSheetId="3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7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3" hidden="1">{#N/A,#N/A,FALSE,"Summ";#N/A,#N/A,FALSE,"General"}</definedName>
    <definedName name="______ex1" localSheetId="7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3" hidden="1">{#N/A,#N/A,FALSE,"Summ";#N/A,#N/A,FALSE,"General"}</definedName>
    <definedName name="______new1" localSheetId="7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3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7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3" hidden="1">{#N/A,#N/A,FALSE,"Summ";#N/A,#N/A,FALSE,"General"}</definedName>
    <definedName name="_____ex1" localSheetId="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3" hidden="1">{#N/A,#N/A,FALSE,"Summ";#N/A,#N/A,FALSE,"General"}</definedName>
    <definedName name="_____new1" localSheetId="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3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3" hidden="1">{#N/A,#N/A,FALSE,"Summ";#N/A,#N/A,FALSE,"General"}</definedName>
    <definedName name="____ex1" localSheetId="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3" hidden="1">{#N/A,#N/A,FALSE,"Summ";#N/A,#N/A,FALSE,"General"}</definedName>
    <definedName name="____new1" localSheetId="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3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7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3" hidden="1">{#N/A,#N/A,FALSE,"Summ";#N/A,#N/A,FALSE,"General"}</definedName>
    <definedName name="___ex1" localSheetId="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3" hidden="1">{#N/A,#N/A,FALSE,"Summ";#N/A,#N/A,FALSE,"General"}</definedName>
    <definedName name="___new1" localSheetId="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3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3" hidden="1">{#N/A,#N/A,FALSE,"Summ";#N/A,#N/A,FALSE,"General"}</definedName>
    <definedName name="__ex1" localSheetId="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3" hidden="1">{#N/A,#N/A,FALSE,"Summ";#N/A,#N/A,FALSE,"General"}</definedName>
    <definedName name="__new1" localSheetId="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3" hidden="1">{#N/A,#N/A,FALSE,"CRPT";#N/A,#N/A,FALSE,"TREND";#N/A,#N/A,FALSE,"%Curve"}</definedName>
    <definedName name="__six6" localSheetId="7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7" hidden="1">{#N/A,#N/A,FALSE,"schA"}</definedName>
    <definedName name="__www1" hidden="1">{#N/A,#N/A,FALSE,"schA"}</definedName>
    <definedName name="_1__123Graph_ABUDG6_D_ESCRPR">[11]Quant!$D$71:$O$71</definedName>
    <definedName name="_1_94_12_94">[13]DT_A_DOL93!#REF!</definedName>
    <definedName name="_1_95_12_95">[13]DT_A_DOL93!#REF!</definedName>
    <definedName name="_1_96_12_96">[13]DT_A_DOL93!#REF!</definedName>
    <definedName name="_1_97_12_97">[13]DT_A_DOL93!#REF!</definedName>
    <definedName name="_1_98_12_98">[13]DT_A_DOL93!#REF!</definedName>
    <definedName name="_11">#REF!</definedName>
    <definedName name="_1Price_Ta">#REF!</definedName>
    <definedName name="_2__123Graph_ABUDG6_Dtons_inv" hidden="1">[14]Quant!#REF!</definedName>
    <definedName name="_2Price_Ta">#REF!</definedName>
    <definedName name="_3__123Graph_ABUDG6_Dtons_inv" hidden="1">[15]Quant!#REF!</definedName>
    <definedName name="_3__123Graph_BBUDG6_D_ESCRPR">[11]Quant!$D$72:$O$72</definedName>
    <definedName name="_31">#REF!</definedName>
    <definedName name="_36">#REF!</definedName>
    <definedName name="_4__123Graph_ABUDG6_Dtons_inv" hidden="1">'[16]Area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hidden="1">'[17]2012 Area AB BudgetSummary'!#REF!</definedName>
    <definedName name="_6__123Graph_DBUDG6_D_ESCRPR">[11]Quant!$D$88:$O$88</definedName>
    <definedName name="_7__123Graph_CBUDG6_D_ESCRPR" hidden="1">'[16]Area D 2011'!#REF!</definedName>
    <definedName name="_7__123Graph_DBUDG6_D_ESCRPR" hidden="1">'[17]2012 Area AB BudgetSummary'!#REF!</definedName>
    <definedName name="_7__123Graph_XBUDG6_D_ESCRPR">[11]Quant!$D$5:$O$5</definedName>
    <definedName name="_8__123Graph_DBUDG6_D_ESCRPR" hidden="1">'[16]Area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[18]BS!$U$8:$U$2552</definedName>
    <definedName name="_Aug04">[4]BS!$Y$7:$Y$3582</definedName>
    <definedName name="_Aug05">#REF!</definedName>
    <definedName name="_Aug09" xml:space="preserve"> [6]BS!$Y$7:$Y$1726</definedName>
    <definedName name="_Aug16">[18]BS!$M$8:$M$2551</definedName>
    <definedName name="_Aug17">[18]BS!$Y$8:$Y$2552</definedName>
    <definedName name="_B">'[19]Rate Design'!#REF!</definedName>
    <definedName name="_DAT1">'[20]SAP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'[20]SAP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[18]BS!$Q$8:$Q$2553</definedName>
    <definedName name="_End">#REF!</definedName>
    <definedName name="_ex1" localSheetId="3" hidden="1">{#N/A,#N/A,FALSE,"Summ";#N/A,#N/A,FALSE,"General"}</definedName>
    <definedName name="_ex1" localSheetId="7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[18]BS!$S$8:$S$2552</definedName>
    <definedName name="_FEDERAL_INCOME_TAX">'[21]MJS-7'!$N$21</definedName>
    <definedName name="_Fill">[22]model!#REF!</definedName>
    <definedName name="_Filter">#REF!</definedName>
    <definedName name="_Jan04">[4]BS!$R$7:$R$3582</definedName>
    <definedName name="_Jan05">#REF!</definedName>
    <definedName name="_Jan06">[9]BS!#REF!</definedName>
    <definedName name="_Jan17">[18]BS!$R$8:$R$2553</definedName>
    <definedName name="_Jul04">[4]BS!$X$7:$X$3582</definedName>
    <definedName name="_Jul05">#REF!</definedName>
    <definedName name="_Jul09" xml:space="preserve"> [6]BS!$X$7:$X$1726</definedName>
    <definedName name="_July16">[18]BS!$L$8:$L$2551</definedName>
    <definedName name="_July17">[18]BS!$X$8:$X$2553</definedName>
    <definedName name="_Jun04">[4]BS!$W$7:$W$3582</definedName>
    <definedName name="_Jun05">#REF!</definedName>
    <definedName name="_Jun09" xml:space="preserve"> [6]BS!$W$7:$W$1726</definedName>
    <definedName name="_Jun16">[18]BS!$K$8:$K$2553</definedName>
    <definedName name="_Jun17">[18]BS!$W$8:$W$2553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>#REF!</definedName>
    <definedName name="_Mar17">[18]BS!$T$8:$T$2552</definedName>
    <definedName name="_May04">[4]BS!$V$7:$V$3582</definedName>
    <definedName name="_May05">#REF!</definedName>
    <definedName name="_May09" xml:space="preserve"> [6]BS!$V$7:$V$1726</definedName>
    <definedName name="_May16">[18]BS!$J$8:$J$2551</definedName>
    <definedName name="_May17">[18]BS!$V$8:$V$2552</definedName>
    <definedName name="_MEN2">[1]Jan!#REF!</definedName>
    <definedName name="_MEN3">[1]Jan!#REF!</definedName>
    <definedName name="_mwh2">#REF!</definedName>
    <definedName name="_new1" localSheetId="3" hidden="1">{#N/A,#N/A,FALSE,"Summ";#N/A,#N/A,FALSE,"General"}</definedName>
    <definedName name="_new1" localSheetId="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[18]BS!$P$8:$P$2556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[18]BS!$O$8:$O$2553</definedName>
    <definedName name="_Oct17">[18]BS!$AA$8:$AA$2552</definedName>
    <definedName name="_Order1">255</definedName>
    <definedName name="_Order2">255</definedName>
    <definedName name="_P">#REF!</definedName>
    <definedName name="_P_RD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>1</definedName>
    <definedName name="_RES">#REF!</definedName>
    <definedName name="_RES2005">#REF!</definedName>
    <definedName name="_SEC24">[10]EXTERNAL!$A$112:$IV$114</definedName>
    <definedName name="_Sep03">[23]BS!$AB$7:$AB$3420</definedName>
    <definedName name="_Sep04">[4]BS!$Z$7:$Z$3582</definedName>
    <definedName name="_Sep05">#REF!</definedName>
    <definedName name="_Sept16">[18]BS!$N$8:$N$2556</definedName>
    <definedName name="_Sept17">[18]BS!$Z$8:$Z$2552</definedName>
    <definedName name="_six6" localSheetId="3" hidden="1">{#N/A,#N/A,FALSE,"CRPT";#N/A,#N/A,FALSE,"TREND";#N/A,#N/A,FALSE,"%Curve"}</definedName>
    <definedName name="_six6" localSheetId="7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'[24]KJB-6,13 Cmn Adj'!$B$7</definedName>
    <definedName name="_TOP1">[1]Jan!#REF!</definedName>
    <definedName name="_www1" localSheetId="3" hidden="1">{#N/A,#N/A,FALSE,"schA"}</definedName>
    <definedName name="_www1" localSheetId="7" hidden="1">{#N/A,#N/A,FALSE,"schA"}</definedName>
    <definedName name="_www1" hidden="1">{#N/A,#N/A,FALSE,"schA"}</definedName>
    <definedName name="a">[25]model!$A$6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3" hidden="1">{#N/A,#N/A,FALSE,"Coversheet";#N/A,#N/A,FALSE,"QA"}</definedName>
    <definedName name="AAAAAAAAAAAAAA" localSheetId="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>[26]Sheet2!#REF!</definedName>
    <definedName name="accrual2">[26]Sheet2!#REF!</definedName>
    <definedName name="accrual3">[26]Sheet2!#REF!</definedName>
    <definedName name="Acct108364">'[27]Func Study'!#REF!</definedName>
    <definedName name="Acct108364S">'[27]Func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>'[30]Functional Study'!#REF!</definedName>
    <definedName name="Acct41011BADDEBT">'[30]Functional Study'!#REF!</definedName>
    <definedName name="Acct41011DITEXP">'[30]Functional Study'!#REF!</definedName>
    <definedName name="Acct41011S">'[30]Functional Study'!#REF!</definedName>
    <definedName name="Acct41011SE">'[30]Functional Study'!#REF!</definedName>
    <definedName name="Acct41011SG1">'[30]Functional Study'!#REF!</definedName>
    <definedName name="Acct41011SG2">'[30]Functional Study'!#REF!</definedName>
    <definedName name="ACCT41011SGCT">'[30]Functional Study'!#REF!</definedName>
    <definedName name="Acct41011SGPP">'[30]Functional Study'!#REF!</definedName>
    <definedName name="Acct41011SNP">'[30]Functional Study'!#REF!</definedName>
    <definedName name="ACCT41011SNPD">'[30]Functional Study'!#REF!</definedName>
    <definedName name="Acct41011SO">'[30]Functional Study'!#REF!</definedName>
    <definedName name="Acct41011TROJP">'[30]Functional Study'!#REF!</definedName>
    <definedName name="Acct41111">'[30]Functional Study'!#REF!</definedName>
    <definedName name="Acct41111BADDEBT">'[30]Functional Study'!#REF!</definedName>
    <definedName name="Acct41111DITEXP">'[30]Functional Study'!#REF!</definedName>
    <definedName name="Acct41111S">'[30]Functional Study'!#REF!</definedName>
    <definedName name="Acct41111SE">'[30]Functional Study'!#REF!</definedName>
    <definedName name="Acct41111SG1">'[30]Functional Study'!#REF!</definedName>
    <definedName name="Acct41111SG2">'[30]Functional Study'!#REF!</definedName>
    <definedName name="Acct41111SG3">'[30]Functional Study'!#REF!</definedName>
    <definedName name="Acct41111SGPP">'[30]Functional Study'!#REF!</definedName>
    <definedName name="Acct41111SNP">'[30]Functional Study'!#REF!</definedName>
    <definedName name="Acct41111SNTP">'[30]Functional Study'!#REF!</definedName>
    <definedName name="Acct41111SO">'[30]Functional Study'!#REF!</definedName>
    <definedName name="Acct41111TROJP">'[30]Functional Study'!#REF!</definedName>
    <definedName name="Acct411BADDEBT">'[30]Functional Study'!#REF!</definedName>
    <definedName name="Acct411DGP">'[30]Functional Study'!#REF!</definedName>
    <definedName name="Acct411DGU">'[30]Functional Study'!#REF!</definedName>
    <definedName name="Acct411DITEXP">'[30]Functional Study'!#REF!</definedName>
    <definedName name="Acct411DNPP">'[30]Functional Study'!#REF!</definedName>
    <definedName name="Acct411DNPTP">'[30]Functional Study'!#REF!</definedName>
    <definedName name="Acct411S">'[30]Functional Study'!#REF!</definedName>
    <definedName name="Acct411SE">'[30]Functional Study'!#REF!</definedName>
    <definedName name="Acct411SG">'[30]Functional Study'!#REF!</definedName>
    <definedName name="Acct411SGPP">'[30]Functional Study'!#REF!</definedName>
    <definedName name="Acct411SO">'[30]Functional Study'!#REF!</definedName>
    <definedName name="Acct411TROJP">'[30]Functional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>'[29]Func Study'!#REF!</definedName>
    <definedName name="Acct510DNPPSU">'[29]Func Study'!#REF!</definedName>
    <definedName name="ACCT510JBG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>'[31]Functional Study'!#REF!</definedName>
    <definedName name="AcctAGA">'[29]Func Study'!$H$296</definedName>
    <definedName name="AcctDFAD">'[29]Func Study'!#REF!</definedName>
    <definedName name="AcctDFAP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dj_AC_8">[34]Cover!#REF!</definedName>
    <definedName name="Adj_Amt_8">[34]Cover!#REF!</definedName>
    <definedName name="Adj_Typ_8">[34]Cover!#REF!</definedName>
    <definedName name="ADJPTDCE.T">[10]INTERNAL!$A$31:$IV$33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>#REF!</definedName>
    <definedName name="APR">[37]Backup!#REF!</definedName>
    <definedName name="Apr03AMA">'[38]BS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[18]BS!$AH$8:$AH$2554</definedName>
    <definedName name="APRT">#REF!</definedName>
    <definedName name="aquila_lookup">'[39]Cabot Gas Replacement'!$B$8:$F$16</definedName>
    <definedName name="AS2DocOpenMode">"AS2DocumentEdit"</definedName>
    <definedName name="Assessment_Rate">'[36]Assumptions (Input)'!$B$7</definedName>
    <definedName name="Asset_Class_Switch">[40]Assumptions!$D$5</definedName>
    <definedName name="Assume_Percent_Change">#REF!</definedName>
    <definedName name="AUG">[37]Backup!#REF!</definedName>
    <definedName name="Aug03AMA">'[38]BS C&amp;L'!#REF!</definedName>
    <definedName name="Aug04AMA">[4]BS!$AK$7:$AK$3582</definedName>
    <definedName name="Aug05AMA">#REF!</definedName>
    <definedName name="Aug09AMA">[6]BS!$AR$7:$AR$1726</definedName>
    <definedName name="Aug17AMA">[18]BS!$AL$8:$AL$2553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[32]Factors!$B$3:$P$99</definedName>
    <definedName name="b" localSheetId="3" hidden="1">{#N/A,#N/A,FALSE,"Coversheet";#N/A,#N/A,FALSE,"QA"}</definedName>
    <definedName name="b" localSheetId="7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[22]model!#REF!</definedName>
    <definedName name="bal">[26]Sheet2!#REF!</definedName>
    <definedName name="balance">[26]Sheet2!#REF!</definedName>
    <definedName name="BD">#REF!</definedName>
    <definedName name="Beg_Unb_KWHs">[41]LeadSht!$L$10</definedName>
    <definedName name="BEm" localSheetId="7" hidden="1">#REF!</definedName>
    <definedName name="BEm" hidden="1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[42]ZZCOOM_M03_Q004!#REF!</definedName>
    <definedName name="BEx3O85IKWARA6NCJOLRBRJFMEWW" hidden="1">[42]ZZCOOM_M03_Q004!#REF!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[42]ZZCOOM_M03_Q004!#REF!</definedName>
    <definedName name="BEx5MLQZM68YQSKARVWTTPINFQ2C" hidden="1">[42]ZZCOOM_M03_Q004!#REF!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[42]ZZCOOM_M03_Q004!#REF!</definedName>
    <definedName name="BExERWCEBKQRYWRQLYJ4UCMMKTHG" hidden="1">[42]ZZCOOM_M03_Q004!#REF!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[42]ZZCOOM_M03_Q004!#REF!</definedName>
    <definedName name="BExMBYPQDG9AYDQ5E8IECVFREPO6" hidden="1">[42]ZZCOOM_M03_Q004!#REF!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[42]ZZCOOM_M03_Q004!#REF!</definedName>
    <definedName name="BExQ9ZLYHWABXAA9NJDW8ZS0UQ9P" hidden="1">[42]ZZCOOM_M03_Q004!#REF!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[42]ZZCOOM_M03_Q004!#REF!</definedName>
    <definedName name="BExTUY9WNSJ91GV8CP0SKJTEIV82" hidden="1">[42]ZZCOOM_M03_Q004!#REF!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L" localSheetId="3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'[43]Lvl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[44]Readings!$B$2</definedName>
    <definedName name="Capacity">#REF!</definedName>
    <definedName name="capfact">#REF!</definedName>
    <definedName name="Capital_Inflation">'[36]Assumptions (Input)'!$B$11</definedName>
    <definedName name="CASE">[45]INPUTS!$C$8</definedName>
    <definedName name="Case_Name">'[46]KJB-6,13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ep_test">'[47]External Allocators'!#REF!</definedName>
    <definedName name="cerarvm">#REF!</definedName>
    <definedName name="Check">#REF!</definedName>
    <definedName name="CL_RT">#REF!</definedName>
    <definedName name="CL_RT2">'[48]Transp Data'!$A$6:$C$81</definedName>
    <definedName name="Classification">'[49]Unbundled Costs'!#REF!</definedName>
    <definedName name="clawback">#REF!</definedName>
    <definedName name="close">#REF!</definedName>
    <definedName name="Close_Date">'[36]Capital Projects(Input)'!$D$7:$D$53</definedName>
    <definedName name="cod">#REF!</definedName>
    <definedName name="COLHOUSE">[22]model!#REF!</definedName>
    <definedName name="COLXFER">[22]model!#REF!</definedName>
    <definedName name="COMADJ">#REF!</definedName>
    <definedName name="CombWC_LineItem">#REF!</definedName>
    <definedName name="COMMON_ADMIN_ALLOCATED">#REF!</definedName>
    <definedName name="COMP">#REF!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'[50]Virtual 49 Back-Up'!$E$54</definedName>
    <definedName name="Consv_Rdr_Rt">[51]Sch_120!#REF!</definedName>
    <definedName name="cont">[26]Sheet2!#REF!</definedName>
    <definedName name="ContractDate">'[52]Dispatch Cases'!#REF!</definedName>
    <definedName name="Conv_Factor">[51]Sch_120!#REF!</definedName>
    <definedName name="ConversionFactor">[33]Assumptions!$I$65</definedName>
    <definedName name="CONVFACT">[22]model!#REF!</definedName>
    <definedName name="COSFacVal">[29]Inputs!$R$5</definedName>
    <definedName name="costofequit">#REF!</definedName>
    <definedName name="CPI">#REF!</definedName>
    <definedName name="cspe_wkly_vect_input">#REF!</definedName>
    <definedName name="CurrQtr">'[53]Inc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'[53]Avg Amts'!$A$5:$BP$34</definedName>
    <definedName name="Data.Qtrs.Avg">'[53]Avg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[54]Invoice!#REF!</definedName>
    <definedName name="DATE">[55]Jan!#REF!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[33]Assumptions!$I$58</definedName>
    <definedName name="DEC">[37]Backup!#REF!</definedName>
    <definedName name="Dec02AMA">[56]BS!#REF!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[18]BS!$AD$8:$AD$2553</definedName>
    <definedName name="Dec17AMA">[18]BS!$AP$8:$AP$2554</definedName>
    <definedName name="DECT">#REF!</definedName>
    <definedName name="Degree_Days">#REF!</definedName>
    <definedName name="DELETE01" localSheetId="3" hidden="1">{#N/A,#N/A,FALSE,"Coversheet";#N/A,#N/A,FALSE,"QA"}</definedName>
    <definedName name="DELETE01" localSheetId="7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7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7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7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7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7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[57]Inputs!$D$11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localSheetId="3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3" hidden="1">{#N/A,#N/A,FALSE,"Coversheet";#N/A,#N/A,FALSE,"QA"}</definedName>
    <definedName name="DFIT" localSheetId="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>'[52]Debt Amortization'!#REF!</definedName>
    <definedName name="Discount_for_Revenue_Reqmt">'[58]Assumptions of Purchase'!$B$45</definedName>
    <definedName name="DisFac">'[29]Func Dist Factor Table'!$A$11:$G$25</definedName>
    <definedName name="Dist_factor">#REF!</definedName>
    <definedName name="DistPeakMethod">[31]Inputs!#REF!</definedName>
    <definedName name="DOCKET">#REF!</definedName>
    <definedName name="DocketNumber">'[59]JHS-19'!$AR$2</definedName>
    <definedName name="DP.T">[10]INTERNAL!$A$46:$IV$48</definedName>
    <definedName name="DUDE" localSheetId="7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3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hidden="1">{#N/A,#N/A,FALSE,"Month ";#N/A,#N/A,FALSE,"YTD";#N/A,#N/A,FALSE,"12 mo ended"}</definedName>
    <definedName name="EffTax">[10]INPUTS!$F$31</definedName>
    <definedName name="Electp1">#REF!</definedName>
    <definedName name="Electp2">#REF!</definedName>
    <definedName name="Electric_Prices">'[60]Monthly Price Summary'!$B$4:$E$27</definedName>
    <definedName name="ElecWC_LineItems">[23]BS!$AO$7:$AO$3420</definedName>
    <definedName name="ElRBLine">[23]BS!$AP$7:$AP$3141</definedName>
    <definedName name="EMPLBENE">#REF!</definedName>
    <definedName name="EndDate">[33]Assumptions!$C$11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[57]Inputs!$D$12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localSheetId="3" hidden="1">{#N/A,#N/A,FALSE,"Coversheet";#N/A,#N/A,FALSE,"QA"}</definedName>
    <definedName name="error" localSheetId="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3" hidden="1">{#N/A,#N/A,FALSE,"Summ";#N/A,#N/A,FALSE,"General"}</definedName>
    <definedName name="Estimate" localSheetId="7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3" hidden="1">{#N/A,#N/A,FALSE,"Summ";#N/A,#N/A,FALSE,"General"}</definedName>
    <definedName name="ex" localSheetId="7" hidden="1">{#N/A,#N/A,FALSE,"Summ";#N/A,#N/A,FALSE,"General"}</definedName>
    <definedName name="ex" hidden="1">{#N/A,#N/A,FALSE,"Summ";#N/A,#N/A,FALSE,"General"}</definedName>
    <definedName name="Exhibit_No.______MJS_4">'[21]MJS-4'!$O$3</definedName>
    <definedName name="Exhibit_No.______MJS_5">'[21]MJS-5'!$E$3</definedName>
    <definedName name="Exhibit_No.______MJS_6">'[21]MJS-6'!$F$3</definedName>
    <definedName name="Expected_Life">#REF!</definedName>
    <definedName name="F" localSheetId="7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'[29]COS Factor Table'!$O$15:$O$113</definedName>
    <definedName name="FACTORS">#REF!</definedName>
    <definedName name="FactorType">[32]Variables!$AK$2:$AL$12</definedName>
    <definedName name="FACTP">#REF!</definedName>
    <definedName name="FactSum">'[29]COS Factor Table'!$A$14:$O$113</definedName>
    <definedName name="FCR">'[50]Virtual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hidden="1">{#N/A,#N/A,FALSE,"Month ";#N/A,#N/A,FALSE,"YTD";#N/A,#N/A,FALSE,"12 mo ended"}</definedName>
    <definedName name="FEB">[37]Backup!#REF!</definedName>
    <definedName name="Feb03AMA">'[38]BS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[18]BS!$AF$8:$AF$2552</definedName>
    <definedName name="FEBT">#REF!</definedName>
    <definedName name="Fed_Cap_Tax">[61]Inputs!$E$112</definedName>
    <definedName name="FEDERAL_INCOME_TAX">#REF!</definedName>
    <definedName name="FedTaxRate">[33]Assumptions!$C$33</definedName>
    <definedName name="FERC_Lookup">'[62]Map Table'!$E$2:$F$58</definedName>
    <definedName name="FERCRATE">#REF!</definedName>
    <definedName name="FF">#REF!</definedName>
    <definedName name="ffff" localSheetId="3" hidden="1">{#N/A,#N/A,FALSE,"Coversheet";#N/A,#N/A,FALSE,"QA"}</definedName>
    <definedName name="ffff" localSheetId="7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7" hidden="1">{#N/A,#N/A,FALSE,"Coversheet";#N/A,#N/A,FALSE,"QA"}</definedName>
    <definedName name="fffgf" hidden="1">{#N/A,#N/A,FALSE,"Coversheet";#N/A,#N/A,FALSE,"QA"}</definedName>
    <definedName name="FIELDCHRG">[22]model!#REF!</definedName>
    <definedName name="Final">#REF!</definedName>
    <definedName name="firstptcyr">#REF!</definedName>
    <definedName name="firstyearmonths">#REF!</definedName>
    <definedName name="FIT">#REF!</definedName>
    <definedName name="FIT_Tax_Rate">'[36]Assumptions (Input)'!$B$5</definedName>
    <definedName name="fixedtrans">#REF!</definedName>
    <definedName name="fpldebt">#REF!</definedName>
    <definedName name="FPLequit">#REF!</definedName>
    <definedName name="FranchiseTax">[35]Variables!$D$26</definedName>
    <definedName name="FTAX">[10]INPUTS!$F$30</definedName>
    <definedName name="Fuel">#REF!</definedName>
    <definedName name="Func">'[29]Func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'[29]Func Study'!$AB$250</definedName>
    <definedName name="gary" localSheetId="3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'[52]Dispatch Cases'!#REF!</definedName>
    <definedName name="GP.T">[10]INTERNAL!$A$52:$IV$54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7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'[63]JHS-10 Adjstmts'!#REF!</definedName>
    <definedName name="HRDepExp">'[63]JHS-10 Adjstmts'!#REF!</definedName>
    <definedName name="HRDFIT">'[63]JHS-10 Adjstmts'!#REF!</definedName>
    <definedName name="HRGrossPlant">'[63]JHS-10 Adjstmts'!#REF!</definedName>
    <definedName name="HRPrdctnOM">'[63]JHS-10 Adjstmts'!#REF!</definedName>
    <definedName name="HRPropIns">'[63]JHS-10 Adjstmts'!#REF!</definedName>
    <definedName name="HRPropTax">'[63]JHS-10 Adjstmts'!#REF!</definedName>
    <definedName name="HRPwrCsts">'[63]JHS-10 Adjstmts'!#REF!</definedName>
    <definedName name="HTML_CodePage">1252</definedName>
    <definedName name="HTML_Control" localSheetId="3">{"'Sheet1'!$A$1:$J$121"}</definedName>
    <definedName name="HTML_Control" localSheetId="2">{"'Sheet1'!$A$1:$J$121"}</definedName>
    <definedName name="HTML_Control" localSheetId="1">{"'Sheet1'!$A$1:$J$121"}</definedName>
    <definedName name="HTML_Control" localSheetId="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[52]Dispatch!#REF!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[64]Summary!#REF!</definedName>
    <definedName name="Inputs">'[65]Daily Calc'!#REF!</definedName>
    <definedName name="Instructions">#REF!</definedName>
    <definedName name="Insurance_Rate">'[36]Assumptions (Input)'!$B$9</definedName>
    <definedName name="INTRESEXCH">[66]Sheet1!$AG$1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[37]Backup!#REF!</definedName>
    <definedName name="Jan03AMA">'[38]BS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[18]BS!$AE$8:$AE$2551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3" hidden="1">{#N/A,#N/A,FALSE,"Summ";#N/A,#N/A,FALSE,"General"}</definedName>
    <definedName name="jfkljsdkljiejgr" localSheetId="7" hidden="1">{#N/A,#N/A,FALSE,"Summ";#N/A,#N/A,FALSE,"General"}</definedName>
    <definedName name="jfkljsdkljiejgr" hidden="1">{#N/A,#N/A,FALSE,"Summ";#N/A,#N/A,FALSE,"General"}</definedName>
    <definedName name="jjj">[67]Inputs!$N$18</definedName>
    <definedName name="JP_Bal">[68]ACCOUNTS!$AG$31</definedName>
    <definedName name="JUL">[37]Backup!#REF!</definedName>
    <definedName name="Jul03AMA">'[38]BS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[18]BS!$AK$8:$AK$2552</definedName>
    <definedName name="JUN">[37]Backup!#REF!</definedName>
    <definedName name="Jun03AMA">'[38]BS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[18]BS!$AJ$8:$AJ$2553</definedName>
    <definedName name="JUNT">#REF!</definedName>
    <definedName name="Jurisdiction">[32]Variables!$AK$15</definedName>
    <definedName name="JurisNumber">[32]Variables!$AL$15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'[46]KJB-12 Sum'!$AS$2</definedName>
    <definedName name="k_FITrate">'[46]KJB-3,11 Def'!$L$20</definedName>
    <definedName name="keep_Docket_Number">'[69]KJB-3 Sum'!$AQ$2</definedName>
    <definedName name="keep_FIT">'[69]KJB-7 Def'!$L$20</definedName>
    <definedName name="keep_KJB_3_Rate_Increase">'[69]KJB-7 Def'!$C$3</definedName>
    <definedName name="keep_KJB_4_Electric_Summary">'[69]KJB-3 Sum'!$AQ$3</definedName>
    <definedName name="keep_KJB_8_Common_Adjs">'[69]KJB-5 Cmn Adj'!$L$3</definedName>
    <definedName name="keep_KJB_9_Electric_Only">'[69]KJB-5 El Adj'!$E$3</definedName>
    <definedName name="keep_PSE">'[70]Gas Summary'!$I$5</definedName>
    <definedName name="keep_TESTYEAR">'[69]KJB-5 Cmn Adj'!$B$7</definedName>
    <definedName name="kp_DOCKET">'[70]Gas Detail Pages'!$A$9</definedName>
    <definedName name="Kwh_grc06_tye0905">#REF!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[66]Sheet1!$E$3:$E$25</definedName>
    <definedName name="Lease_total">#REF!</definedName>
    <definedName name="Levy_Rate">'[36]Assumptions (Input)'!$B$6</definedName>
    <definedName name="limcount">1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'[29]JAM Download'!$K$4</definedName>
    <definedName name="Load_Factor">[71]ACCOUNTS!$AG$167</definedName>
    <definedName name="LoadArray">'[72]Load Source Data'!$C$78:$X$89</definedName>
    <definedName name="LoadGrowthAdder">#REF!</definedName>
    <definedName name="LOG">[37]Backup!#REF!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7" hidden="1">{#N/A,#N/A,FALSE,"Coversheet";#N/A,#N/A,FALSE,"QA"}</definedName>
    <definedName name="lookup" hidden="1">{#N/A,#N/A,FALSE,"Coversheet";#N/A,#N/A,FALSE,"QA"}</definedName>
    <definedName name="LOSS">[37]Backup!#REF!</definedName>
    <definedName name="M">'[2]Sched 46'!#REF!</definedName>
    <definedName name="M9100F4">#REF!</definedName>
    <definedName name="M9100F4_v4">[73]M9100F4!$A$1:$V$99</definedName>
    <definedName name="MACRS">'[36]MACRS RATES'!$A$3:$AT$10</definedName>
    <definedName name="MACTIT">#REF!</definedName>
    <definedName name="manutaxfit">#REF!</definedName>
    <definedName name="MAR">[37]Backup!#REF!</definedName>
    <definedName name="Mar03AMA">'[38]BS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[18]BS!$AG$8:$AG$2552</definedName>
    <definedName name="MART">#REF!</definedName>
    <definedName name="MAY">[37]Backup!#REF!</definedName>
    <definedName name="May03AMA">'[38]BS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[18]BS!$AI$8:$AI$2552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[74]!menu1_Button5_Click</definedName>
    <definedName name="menu1_Button6_Click">[74]!menu1_Button6_Click</definedName>
    <definedName name="MERGER_COST">[66]Sheet1!$AF$3:$AJ$28</definedName>
    <definedName name="MERGERCOSTS">[75]model!#REF!</definedName>
    <definedName name="METER">'[2]Sched 46'!#REF!</definedName>
    <definedName name="Method">[28]Inputs!$C$6</definedName>
    <definedName name="Miller" localSheetId="3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H">[37]Backup!#REF!</definedName>
    <definedName name="monthlist">[76]Table!$R$2:$S$13</definedName>
    <definedName name="monthtotals">'[76]WA SBC'!$D$40:$O$40</definedName>
    <definedName name="MonTotalDispatch">[52]Dispatch!#REF!</definedName>
    <definedName name="MT">#REF!</definedName>
    <definedName name="MTD_Format">[77]Mthly!$B$11:$D$11,[77]Mthly!$B$31:$D$31</definedName>
    <definedName name="MTKWH">#REF!</definedName>
    <definedName name="MTR_YR3">[78]Variables!$E$14</definedName>
    <definedName name="MTREV">#REF!</definedName>
    <definedName name="MULT">#REF!</definedName>
    <definedName name="MustRunGen">[52]Dispatch!#REF!</definedName>
    <definedName name="Mwh">#REF!</definedName>
    <definedName name="name">[13]DT_A_DOL93!#REF!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[35]Variables!$D$23</definedName>
    <definedName name="new" localSheetId="3" hidden="1">{#N/A,#N/A,FALSE,"Summ";#N/A,#N/A,FALSE,"General"}</definedName>
    <definedName name="new" localSheetId="7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[13]DT_A_DOL93!#REF!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[37]Backup!#REF!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localSheetId="3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>#REF!</definedName>
    <definedName name="Number_of_Payments" localSheetId="3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[13]DT_A_AMW93!#REF!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'[50]Virtual 49 Back-Up'!$B$21</definedName>
    <definedName name="OBCLEASE">[66]Sheet1!$AF$4:$AI$23</definedName>
    <definedName name="OCT">[37]Backup!#REF!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[18]BS!$AN$8:$AN$2552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[79]model!#REF!</definedName>
    <definedName name="OPEXPRS">[22]model!#REF!</definedName>
    <definedName name="option">'[80]Dist Misc'!$F$120</definedName>
    <definedName name="OthRCF">[45]INPUTS!$F$41</definedName>
    <definedName name="OthUnc">[10]INPUTS!$F$36</definedName>
    <definedName name="outlookdata">'[81]pivoted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[82]TransInvest!#REF!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'[83]2008 Extreme Peaks - 080403'!$E$5:$AD$8</definedName>
    <definedName name="peak_table">'[83]Peaks-F01'!$C$5:$E$243</definedName>
    <definedName name="PeakMethod">[28]Inputs!$T$5</definedName>
    <definedName name="PEBBLE">[22]model!#REF!</definedName>
    <definedName name="percdebtcov">#REF!</definedName>
    <definedName name="Percent_debt">[61]Inputs!$E$129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MAC">[37]Backup!#REF!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[33]Assumptions!$I$56</definedName>
    <definedName name="pretaxequit">#REF!</definedName>
    <definedName name="PreTaxWACC">[33]Assumptions!$I$62</definedName>
    <definedName name="PRICCHNG">#REF!</definedName>
    <definedName name="PriceCaseTable">#REF!</definedName>
    <definedName name="Prices_Aurora">'[60]Monthly Price Summary'!$C$4:$H$63</definedName>
    <definedName name="PRINT">'[2]Sched 46'!#REF!</definedName>
    <definedName name="PRINT_ADJUSTMENTS">'[84]2009 GRC Elec Prop Tax'!#REF!</definedName>
    <definedName name="_xlnm.Print_Area" localSheetId="0">'2023 Proposed Impacts'!$A$1:$L$40</definedName>
    <definedName name="_xlnm.Print_Area" localSheetId="4">'Base Revenue'!$A$1:$W$42</definedName>
    <definedName name="_xlnm.Print_Area" localSheetId="3">'Equal % Allocation'!$A$1:$I$41</definedName>
    <definedName name="_xlnm.Print_Area" localSheetId="2">'Revenue Rate Impact-SCH 129D'!$A$1:$AG$34</definedName>
    <definedName name="_xlnm.Print_Area" localSheetId="1">'Street &amp; Area Lighting'!$A$1:$J$199</definedName>
    <definedName name="Print_Area_Reset">#N/A</definedName>
    <definedName name="Print_Area1">#REF!</definedName>
    <definedName name="_xlnm.Print_Titles" localSheetId="2">'Revenue Rate Impact-SCH 129D'!$A:$B</definedName>
    <definedName name="_xlnm.Print_Titles" localSheetId="1">'Street &amp; Area Lighting'!$1:$21</definedName>
    <definedName name="_xlnm.Print_Titles">#REF!</definedName>
    <definedName name="Prior_Month">[41]Sch_120!$I$21</definedName>
    <definedName name="PRO_FORMA">#REF!</definedName>
    <definedName name="PRODADJ">[22]model!#REF!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[85]Bremerton!#REF!</definedName>
    <definedName name="Projects">[86]Sheet1!$A$1147:$B$1887</definedName>
    <definedName name="ProposedPrint">[85]Bremerton!#REF!</definedName>
    <definedName name="PROPSALES">[22]model!#REF!</definedName>
    <definedName name="proptaxdiscfactor">#REF!</definedName>
    <definedName name="proptaxrate">#REF!</definedName>
    <definedName name="Prov_Cap_Tax">[61]Inputs!$E$111</definedName>
    <definedName name="PSE">'[87]4.04'!$A$6</definedName>
    <definedName name="PSE_Pre_Tax_Equity_Rate">'[58]Assumptions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[22]model!#REF!</definedName>
    <definedName name="PWRCSTRS">#REF!</definedName>
    <definedName name="PWRCSTWP">[79]model!#REF!</definedName>
    <definedName name="PWRCSTWR">[22]model!#REF!</definedName>
    <definedName name="PXPACC1_ALL_MERGE">#REF!</definedName>
    <definedName name="q" localSheetId="3" hidden="1">{#N/A,#N/A,FALSE,"Coversheet";#N/A,#N/A,FALSE,"QA"}</definedName>
    <definedName name="q" localSheetId="7" hidden="1">{#N/A,#N/A,FALSE,"Coversheet";#N/A,#N/A,FALSE,"QA"}</definedName>
    <definedName name="q" hidden="1">{#N/A,#N/A,FALSE,"Coversheet";#N/A,#N/A,FALSE,"QA"}</definedName>
    <definedName name="QA">[88]IPOA2002!#REF!</definedName>
    <definedName name="qqq" localSheetId="3" hidden="1">{#N/A,#N/A,FALSE,"schA"}</definedName>
    <definedName name="qqq" localSheetId="7" hidden="1">{#N/A,#N/A,FALSE,"schA"}</definedName>
    <definedName name="qqq" hidden="1">{#N/A,#N/A,FALSE,"schA"}</definedName>
    <definedName name="QTD_Format">[89]QTD!$B$11:$D$11,[89]QTD!$B$35:$D$35</definedName>
    <definedName name="Query1">#REF!</definedName>
    <definedName name="RATE">#REF!</definedName>
    <definedName name="RATE2">'[48]Transp Data'!$A$8:$I$112</definedName>
    <definedName name="RATEBASE">#REF!</definedName>
    <definedName name="RATEBASE_U95">#REF!</definedName>
    <definedName name="RATECASE">[22]model!#REF!</definedName>
    <definedName name="Rates">[90]Codes!$A$1:$C$500</definedName>
    <definedName name="RB.T">[10]INTERNAL!$A$70:$IV$72</definedName>
    <definedName name="RC_ADJ">#REF!</definedName>
    <definedName name="RCF">[68]INPUTS!$F$48</definedName>
    <definedName name="RdSch_CY">'[91]INPUT TAB'!#REF!</definedName>
    <definedName name="RdSch_PY">'[91]INPUT TAB'!#REF!</definedName>
    <definedName name="RdSch_PY2">'[91]INPUT TAB'!#REF!</definedName>
    <definedName name="reaccrual">[26]Sheet2!#REF!</definedName>
    <definedName name="Realization">#REF!</definedName>
    <definedName name="realproptaxadjust">#REF!</definedName>
    <definedName name="REC">#REF!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qulated_scenario">'[36]Assumptions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[41]Sch_194!$M$31</definedName>
    <definedName name="RESID">[10]EXTERNAL!$A$88:$IV$90</definedName>
    <definedName name="resource_lookup">'[92]#REF'!$B$3:$C$112</definedName>
    <definedName name="ResourceSupplier">[35]Variables!$D$28</definedName>
    <definedName name="ResRCF">[45]INPUTS!$F$39</definedName>
    <definedName name="RESTATING">#REF!</definedName>
    <definedName name="Results">#REF!</definedName>
    <definedName name="ResUnc">[10]INPUTS!$F$34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[22]model!#REF!</definedName>
    <definedName name="REV">#REF!</definedName>
    <definedName name="REV_SCHD">#REF!</definedName>
    <definedName name="REVADJ">#REF!</definedName>
    <definedName name="RevClass">[90]Codes!$F$2:$G$10</definedName>
    <definedName name="Revenue">#REF!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OD">[10]INPUTS!$F$25</definedName>
    <definedName name="ROE">[22]model!#REF!</definedName>
    <definedName name="ROR">[45]INPUTS!$F$24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[79]model!#REF!</definedName>
    <definedName name="SALESRESALER">[79]model!#REF!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[10]INPUTS!$F$35</definedName>
    <definedName name="Sch194Rlfwd">'[93]Sch94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[31]Inputs!$N$14</definedName>
    <definedName name="sdlfhsdlhfkl" localSheetId="3" hidden="1">{#N/A,#N/A,FALSE,"Summ";#N/A,#N/A,FALSE,"General"}</definedName>
    <definedName name="sdlfhsdlhfkl" localSheetId="7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[85]Bremerton!#REF!</definedName>
    <definedName name="SECOND">[1]Jan!#REF!</definedName>
    <definedName name="SecSSW_MWH">[13]DT_A_AMW93!#REF!</definedName>
    <definedName name="SEP">[37]Backup!#REF!</definedName>
    <definedName name="Sep03AMA">[23]BS!$AN$7:$AN$3420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[18]BS!$AM$8:$AM$2552</definedName>
    <definedName name="SERVICES_3">#REF!</definedName>
    <definedName name="seven" localSheetId="3" hidden="1">{#N/A,#N/A,FALSE,"CRPT";#N/A,#N/A,FALSE,"TREND";#N/A,#N/A,FALSE,"%Curve"}</definedName>
    <definedName name="seven" localSheetId="7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[22]model!#REF!</definedName>
    <definedName name="SLFINSURANCE">#REF!</definedName>
    <definedName name="SolarDate">'[52]Dispatch Cases'!#REF!</definedName>
    <definedName name="solver_eval">0</definedName>
    <definedName name="solver_ntri">1000</definedName>
    <definedName name="solver_rsmp">1</definedName>
    <definedName name="solver_seed">0</definedName>
    <definedName name="SPREAD">#REF!</definedName>
    <definedName name="STAFFREDUC">[79]model!#REF!</definedName>
    <definedName name="START">[1]Jan!#REF!</definedName>
    <definedName name="StartDate">[33]Assumptions!$C$9</definedName>
    <definedName name="STATE_UTILITY_TAX">'[21]MJS-7'!$N$16</definedName>
    <definedName name="stationserv">#REF!</definedName>
    <definedName name="STAX">[10]INPUTS!$F$29</definedName>
    <definedName name="STORM">#REF!</definedName>
    <definedName name="sue" localSheetId="3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[85]Bremerton!#REF!</definedName>
    <definedName name="SUMMER">[85]Bremerton!#REF!</definedName>
    <definedName name="supentit_in_wkly_vect_input">#REF!</definedName>
    <definedName name="supentit_out_wkly_vect_input">#REF!</definedName>
    <definedName name="susan" localSheetId="3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[13]DT_A_AMW93!#REF!</definedName>
    <definedName name="t" localSheetId="3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[28]Inputs!$G$29</definedName>
    <definedName name="TAXCORPLIC">#REF!</definedName>
    <definedName name="TAXENERGYP">[22]model!#REF!</definedName>
    <definedName name="TAXENERGYR">[22]model!#REF!</definedName>
    <definedName name="TAXEXCISE">#REF!</definedName>
    <definedName name="TAXFICA">[22]model!#REF!</definedName>
    <definedName name="TAXFUT">[22]model!#REF!</definedName>
    <definedName name="TAXINCOME">#REF!</definedName>
    <definedName name="TAXMEDICARE">[22]model!#REF!</definedName>
    <definedName name="taxown">#REF!</definedName>
    <definedName name="TAXPFINT">[22]model!#REF!</definedName>
    <definedName name="TAXPROPERTY">#REF!</definedName>
    <definedName name="TAXSUT">[22]model!#REF!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3" hidden="1">{#N/A,#N/A,FALSE,"Summ";#N/A,#N/A,FALSE,"General"}</definedName>
    <definedName name="tem" localSheetId="7" hidden="1">{#N/A,#N/A,FALSE,"Summ";#N/A,#N/A,FALSE,"General"}</definedName>
    <definedName name="tem" hidden="1">{#N/A,#N/A,FALSE,"Summ";#N/A,#N/A,FALSE,"General"}</definedName>
    <definedName name="tem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3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[66]Sheet1!$A$4:$E$40</definedName>
    <definedName name="TenaskaShare">[52]Dispatch!#REF!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[29]Inputs!$C$5</definedName>
    <definedName name="TESTVKEY">#REF!</definedName>
    <definedName name="TESTYEAR">#REF!</definedName>
    <definedName name="TFR">[10]CLASSIFIERS!$A$11:$IV$11</definedName>
    <definedName name="Therm_upload">#REF!</definedName>
    <definedName name="ThermalBookLife">[33]Assumptions!$C$25</definedName>
    <definedName name="therms">#REF!</definedName>
    <definedName name="thirdpartyIRR">#REF!</definedName>
    <definedName name="THM_ALL_YEARS">#REF!</definedName>
    <definedName name="Title">[33]Assumptions!$A$1</definedName>
    <definedName name="today">#REF!</definedName>
    <definedName name="TopLeft">#REF!</definedName>
    <definedName name="Total_Payment" localSheetId="3">Scheduled_Payment+Extra_Payment</definedName>
    <definedName name="Total_Payment">Scheduled_Payment+Extra_Payment</definedName>
    <definedName name="totaldebt">#REF!</definedName>
    <definedName name="totalequit">#REF!</definedName>
    <definedName name="TotalRateBase">'[29]G+T+D+R+M'!$H$58</definedName>
    <definedName name="TP.T">[10]INTERNAL!$A$91:$IV$93</definedName>
    <definedName name="tr" localSheetId="3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[13]DT_A_DOL93!#REF!</definedName>
    <definedName name="tran_revenue">#REF!</definedName>
    <definedName name="trans_constraint_y_n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[94]Transm2!$A$1:$M$461:'[94]10 Yr FC'!$M$47</definedName>
    <definedName name="turbinesize">#REF!</definedName>
    <definedName name="twoyrswarranty">#REF!</definedName>
    <definedName name="u" localSheetId="3" hidden="1">{#N/A,#N/A,FALSE,"Summ";#N/A,#N/A,FALSE,"General"}</definedName>
    <definedName name="u" localSheetId="7" hidden="1">{#N/A,#N/A,FALSE,"Summ";#N/A,#N/A,FALSE,"General"}</definedName>
    <definedName name="u" hidden="1">{#N/A,#N/A,FALSE,"Summ";#N/A,#N/A,FALSE,"General"}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>'[31]Functional Study'!#REF!</definedName>
    <definedName name="UACCT115DGP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>'[30]Functional Study'!#REF!</definedName>
    <definedName name="UACCT41020BADDEBT">'[30]Functional Study'!#REF!</definedName>
    <definedName name="UACCT41020DITEXP">'[30]Functional Study'!#REF!</definedName>
    <definedName name="UACCT41020DNPU">'[30]Functional Study'!#REF!</definedName>
    <definedName name="UACCT41020S">'[30]Functional Study'!#REF!</definedName>
    <definedName name="UACCT41020SE">'[30]Functional Study'!#REF!</definedName>
    <definedName name="UACCT41020SG">'[30]Functional Study'!#REF!</definedName>
    <definedName name="UACCT41020SGCT">'[30]Functional Study'!#REF!</definedName>
    <definedName name="UACCT41020SGPP">'[30]Functional Study'!#REF!</definedName>
    <definedName name="UACCT41020SO">'[30]Functional Study'!#REF!</definedName>
    <definedName name="UACCT41020TROJP">'[30]Functional Study'!#REF!</definedName>
    <definedName name="UACCT4102SNPD">'[30]Functional Study'!#REF!</definedName>
    <definedName name="UAcct41110">'[29]Func Study'!$AB$1325</definedName>
    <definedName name="UAcct41111">'[30]Functional Study'!#REF!</definedName>
    <definedName name="UAcct41111Baddebt">'[30]Functional Study'!#REF!</definedName>
    <definedName name="UAcct41111Dgp">'[30]Functional Study'!#REF!</definedName>
    <definedName name="UAcct41111Dgu">'[30]Functional Study'!#REF!</definedName>
    <definedName name="UAcct41111Ditexp">'[30]Functional Study'!#REF!</definedName>
    <definedName name="UAcct41111Dnpp">'[30]Functional Study'!#REF!</definedName>
    <definedName name="UAcct41111Dnptp">'[30]Functional Study'!#REF!</definedName>
    <definedName name="UAcct41111S">'[30]Functional Study'!#REF!</definedName>
    <definedName name="UAcct41111Se">'[30]Functional Study'!#REF!</definedName>
    <definedName name="UAcct41111Sg">'[30]Functional Study'!#REF!</definedName>
    <definedName name="UAcct41111Sgpp">'[30]Functional Study'!#REF!</definedName>
    <definedName name="UAcct41111So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>'[27]Func Study'!#REF!</definedName>
    <definedName name="UAcct447CAGE">'[27]Func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>'[27]Func Study'!#REF!</definedName>
    <definedName name="UAcct506">'[29]Func Study'!$AB$455</definedName>
    <definedName name="UAcct506CAGE">'[29]Func Study'!$AB$452</definedName>
    <definedName name="UAcct506JBG">'[27]Func Study'!#REF!</definedName>
    <definedName name="UAcct507">'[29]Func Study'!$AB$464</definedName>
    <definedName name="UAcct507CAGE">'[29]Func Study'!$AB$462</definedName>
    <definedName name="UAcct507JBG">'[27]Func Study'!#REF!</definedName>
    <definedName name="UAcct510">'[29]Func Study'!$AB$469</definedName>
    <definedName name="UAcct510CAGE">'[29]Func Study'!$AB$467</definedName>
    <definedName name="UAcct510JBG">'[27]Func Study'!#REF!</definedName>
    <definedName name="UAcct511">'[29]Func Study'!$AB$474</definedName>
    <definedName name="UAcct511CAGE">'[29]Func Study'!$AB$472</definedName>
    <definedName name="UAcct511JBG">'[27]Func Study'!#REF!</definedName>
    <definedName name="UAcct512">'[29]Func Study'!$AB$479</definedName>
    <definedName name="UAcct512CAGE">'[29]Func Study'!$AB$477</definedName>
    <definedName name="UAcct512JBG">'[27]Func Study'!#REF!</definedName>
    <definedName name="UAcct513">'[29]Func Study'!$AB$484</definedName>
    <definedName name="UAcct513CAGE">'[29]Func Study'!$AB$482</definedName>
    <definedName name="UAcct513JBG">'[27]Func Study'!#REF!</definedName>
    <definedName name="UAcct514">'[29]Func Study'!$AB$489</definedName>
    <definedName name="UAcct514CAGE">'[29]Func Study'!$AB$487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>'[27]Func Study'!#REF!</definedName>
    <definedName name="UAcct555CAEW">'[29]Func Study'!$AB$665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>'[29]Func Study'!#REF!</definedName>
    <definedName name="UAcctdfad">'[29]Func Study'!#REF!</definedName>
    <definedName name="UAcctdfap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[35]Variables!$D$29</definedName>
    <definedName name="UTN">#REF!</definedName>
    <definedName name="v" localSheetId="3" hidden="1">{#N/A,#N/A,FALSE,"Coversheet";#N/A,#N/A,FALSE,"QA"}</definedName>
    <definedName name="v" localSheetId="7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3" hidden="1">{#N/A,#N/A,FALSE,"Summ";#N/A,#N/A,FALSE,"General"}</definedName>
    <definedName name="Value" localSheetId="7" hidden="1">{#N/A,#N/A,FALSE,"Summ";#N/A,#N/A,FALSE,"General"}</definedName>
    <definedName name="Value" hidden="1">{#N/A,#N/A,FALSE,"Summ";#N/A,#N/A,FALSE,"General"}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AR">[37]Backup!#REF!</definedName>
    <definedName name="VARIABLE">[64]Summary!#REF!</definedName>
    <definedName name="vartrans">#REF!</definedName>
    <definedName name="VOMEsc">[33]Assumptions!$C$21</definedName>
    <definedName name="VOUCHER">#REF!</definedName>
    <definedName name="w" localSheetId="3" hidden="1">{#N/A,#N/A,FALSE,"Schedule F";#N/A,#N/A,FALSE,"Schedule G"}</definedName>
    <definedName name="w" localSheetId="7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>[22]model!#REF!</definedName>
    <definedName name="WaRevenueTax">[35]Variables!$D$27</definedName>
    <definedName name="warrantyOM">#REF!</definedName>
    <definedName name="we" localSheetId="3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3" hidden="1">{#N/A,#N/A,FALSE,"Coversheet";#N/A,#N/A,FALSE,"QA"}</definedName>
    <definedName name="WH" localSheetId="7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'[52]Dispatch Cases'!#REF!</definedName>
    <definedName name="WINTER">[85]Bremerton!#REF!</definedName>
    <definedName name="WinterPeak">'[95]Load Data'!$D$9:$H$12,'[95]Load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[22]model!#REF!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3" hidden="1">{#N/A,#N/A,FALSE,"Cost Adjustment "}</definedName>
    <definedName name="wrn.Cost._.Adjustment." hidden="1">{#N/A,#N/A,FALSE,"Cost Adjustment 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3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3" hidden="1">{#N/A,#N/A,FALSE,"schA"}</definedName>
    <definedName name="wrn.ECR." localSheetId="7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3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7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7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3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7" hidden="1">{#N/A,#N/A,FALSE,"7617 Fab";#N/A,#N/A,FALSE,"7617 NSK"}</definedName>
    <definedName name="wrn.SCHEDULE." hidden="1">{#N/A,#N/A,FALSE,"7617 Fab";#N/A,#N/A,FALSE,"7617 NSK"}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7" hidden="1">{#N/A,#N/A,FALSE,"Summ";#N/A,#N/A,FALSE,"General"}</definedName>
    <definedName name="wrn.Summary." hidden="1">{#N/A,#N/A,FALSE,"Summ";#N/A,#N/A,FALSE,"General"}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'[21]MJS-6'!$F$2</definedName>
    <definedName name="WUTC_FILING_FEE">'[21]MJS-7'!$O$15</definedName>
    <definedName name="wwp_wkly_vect_input">#REF!</definedName>
    <definedName name="www" localSheetId="3" hidden="1">{#N/A,#N/A,FALSE,"schA"}</definedName>
    <definedName name="www" localSheetId="7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7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'[96]Revison Inputs'!$B$6</definedName>
    <definedName name="YEFactors">[32]Factors!$S$3:$AG$99</definedName>
    <definedName name="YTD_Format">[77]YTD!$B$13:$D$13,[77]YTD!$B$32:$D$32</definedName>
    <definedName name="yuf" localSheetId="3" hidden="1">{#N/A,#N/A,FALSE,"Summ";#N/A,#N/A,FALSE,"General"}</definedName>
    <definedName name="yuf" localSheetId="7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7" hidden="1">{#N/A,#N/A,FALSE,"Coversheet";#N/A,#N/A,FALSE,"QA"}</definedName>
    <definedName name="z" hidden="1">{#N/A,#N/A,FALSE,"Coversheet";#N/A,#N/A,FALSE,"QA"}</definedName>
    <definedName name="ZA">'[97] annual balance '!#REF!</definedName>
    <definedName name="zilfpldebtperc">#REF!</definedName>
    <definedName name="zilkhaepcdevcost">#REF!</definedName>
    <definedName name="zilkhaownperc">#REF!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6" i="62" l="1"/>
  <c r="O37" i="62" s="1"/>
  <c r="O38" i="62" s="1"/>
  <c r="O39" i="62" s="1"/>
  <c r="O40" i="62" s="1"/>
  <c r="Q35" i="62"/>
  <c r="U48" i="62"/>
  <c r="O14" i="62"/>
  <c r="O15" i="62" s="1"/>
  <c r="O16" i="62" s="1"/>
  <c r="O17" i="62" s="1"/>
  <c r="O18" i="62" s="1"/>
  <c r="N14" i="62"/>
  <c r="N15" i="62" s="1"/>
  <c r="N16" i="62" s="1"/>
  <c r="N17" i="62" s="1"/>
  <c r="N18" i="62" s="1"/>
  <c r="M14" i="62"/>
  <c r="M36" i="62"/>
  <c r="M37" i="62" s="1"/>
  <c r="M38" i="62" s="1"/>
  <c r="M39" i="62" s="1"/>
  <c r="Q13" i="62" l="1"/>
  <c r="R13" i="62" s="1"/>
  <c r="Q14" i="62"/>
  <c r="R14" i="62" s="1"/>
  <c r="Q39" i="62"/>
  <c r="R39" i="62" s="1"/>
  <c r="M40" i="62"/>
  <c r="Q40" i="62" s="1"/>
  <c r="R40" i="62" s="1"/>
  <c r="Q36" i="62"/>
  <c r="R36" i="62" s="1"/>
  <c r="R35" i="62"/>
  <c r="Q37" i="62"/>
  <c r="R37" i="62" s="1"/>
  <c r="Q38" i="62"/>
  <c r="R38" i="62" s="1"/>
  <c r="M15" i="62"/>
  <c r="Q42" i="62" l="1"/>
  <c r="R42" i="62"/>
  <c r="V46" i="62" s="1"/>
  <c r="M16" i="62"/>
  <c r="Q15" i="62"/>
  <c r="R15" i="62" s="1"/>
  <c r="Q16" i="62" l="1"/>
  <c r="R16" i="62" s="1"/>
  <c r="M17" i="62"/>
  <c r="Q17" i="62" l="1"/>
  <c r="R17" i="62" s="1"/>
  <c r="M18" i="62"/>
  <c r="Q18" i="62" s="1"/>
  <c r="R18" i="62" s="1"/>
  <c r="R20" i="62" s="1"/>
  <c r="T48" i="62" l="1"/>
  <c r="V24" i="62"/>
  <c r="V50" i="62" s="1"/>
  <c r="Q20" i="62"/>
  <c r="V51" i="62" l="1"/>
  <c r="A1" i="12" l="1"/>
  <c r="W6" i="32"/>
  <c r="V6" i="32"/>
  <c r="E4" i="65" l="1"/>
  <c r="F4" i="65"/>
  <c r="G4" i="65"/>
  <c r="H4" i="65"/>
  <c r="A8" i="65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O9" i="64"/>
  <c r="L9" i="64"/>
  <c r="K9" i="64"/>
  <c r="F9" i="64"/>
  <c r="O24" i="64" l="1"/>
  <c r="L24" i="64"/>
  <c r="F20" i="64"/>
  <c r="O20" i="64"/>
  <c r="K20" i="64"/>
  <c r="L15" i="64"/>
  <c r="L20" i="64"/>
  <c r="F24" i="64"/>
  <c r="K15" i="64"/>
  <c r="F15" i="64"/>
  <c r="O15" i="64"/>
  <c r="K24" i="64"/>
  <c r="O30" i="64" l="1"/>
  <c r="O34" i="64" s="1"/>
  <c r="F30" i="64"/>
  <c r="F34" i="64" s="1"/>
  <c r="K30" i="64"/>
  <c r="K34" i="64" s="1"/>
  <c r="L30" i="64"/>
  <c r="L34" i="64" s="1"/>
  <c r="E32" i="59"/>
  <c r="F31" i="59"/>
  <c r="I5" i="12"/>
  <c r="J5" i="12"/>
  <c r="G5" i="12"/>
  <c r="F5" i="12"/>
  <c r="A1" i="65"/>
  <c r="I21" i="55" l="1"/>
  <c r="A1" i="55"/>
  <c r="G176" i="55"/>
  <c r="G175" i="55"/>
  <c r="G172" i="55"/>
  <c r="G171" i="55"/>
  <c r="G167" i="55"/>
  <c r="J167" i="55" s="1"/>
  <c r="G164" i="55"/>
  <c r="J164" i="55" s="1"/>
  <c r="G163" i="55"/>
  <c r="J163" i="55" s="1"/>
  <c r="B163" i="55"/>
  <c r="B164" i="55" s="1"/>
  <c r="B165" i="55" s="1"/>
  <c r="B166" i="55" s="1"/>
  <c r="B167" i="55" s="1"/>
  <c r="B168" i="55" s="1"/>
  <c r="B169" i="55" s="1"/>
  <c r="B170" i="55" s="1"/>
  <c r="B171" i="55" s="1"/>
  <c r="B172" i="55" s="1"/>
  <c r="B173" i="55" s="1"/>
  <c r="B174" i="55" s="1"/>
  <c r="B175" i="55" s="1"/>
  <c r="B176" i="55" s="1"/>
  <c r="B158" i="55"/>
  <c r="B159" i="55" s="1"/>
  <c r="G154" i="55"/>
  <c r="B153" i="55"/>
  <c r="B154" i="55" s="1"/>
  <c r="B155" i="55" s="1"/>
  <c r="B156" i="55" s="1"/>
  <c r="B148" i="55"/>
  <c r="B149" i="55" s="1"/>
  <c r="B150" i="55" s="1"/>
  <c r="B151" i="55" s="1"/>
  <c r="G145" i="55"/>
  <c r="B141" i="55"/>
  <c r="B142" i="55" s="1"/>
  <c r="B143" i="55" s="1"/>
  <c r="B144" i="55" s="1"/>
  <c r="B145" i="55" s="1"/>
  <c r="B117" i="55"/>
  <c r="B118" i="55" s="1"/>
  <c r="B119" i="55" s="1"/>
  <c r="B120" i="55" s="1"/>
  <c r="B121" i="55" s="1"/>
  <c r="B123" i="55" s="1"/>
  <c r="B96" i="55"/>
  <c r="B97" i="55" s="1"/>
  <c r="B98" i="55" s="1"/>
  <c r="B99" i="55" s="1"/>
  <c r="B100" i="55" s="1"/>
  <c r="B101" i="55" s="1"/>
  <c r="B95" i="55"/>
  <c r="G89" i="55"/>
  <c r="G84" i="55"/>
  <c r="G81" i="55"/>
  <c r="J81" i="55" s="1"/>
  <c r="G79" i="55"/>
  <c r="J79" i="55" s="1"/>
  <c r="G76" i="55"/>
  <c r="J76" i="55" s="1"/>
  <c r="B69" i="55"/>
  <c r="B70" i="55" s="1"/>
  <c r="B71" i="55" s="1"/>
  <c r="B72" i="55" s="1"/>
  <c r="B74" i="55" s="1"/>
  <c r="B75" i="55" s="1"/>
  <c r="B76" i="55" s="1"/>
  <c r="B77" i="55" s="1"/>
  <c r="B78" i="55" s="1"/>
  <c r="B65" i="55"/>
  <c r="B66" i="55" s="1"/>
  <c r="B67" i="55" s="1"/>
  <c r="B68" i="55" s="1"/>
  <c r="G64" i="55"/>
  <c r="J64" i="55" s="1"/>
  <c r="C59" i="55"/>
  <c r="C60" i="55" s="1"/>
  <c r="C61" i="55" s="1"/>
  <c r="B47" i="55"/>
  <c r="B48" i="55" s="1"/>
  <c r="B49" i="55" s="1"/>
  <c r="B50" i="55" s="1"/>
  <c r="G43" i="55"/>
  <c r="G35" i="55"/>
  <c r="G29" i="55"/>
  <c r="B29" i="55"/>
  <c r="B30" i="55" s="1"/>
  <c r="B28" i="55"/>
  <c r="G25" i="55"/>
  <c r="I20" i="55"/>
  <c r="I18" i="55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G34" i="55" l="1"/>
  <c r="G96" i="55"/>
  <c r="G109" i="55"/>
  <c r="G113" i="55"/>
  <c r="G59" i="55"/>
  <c r="J59" i="55" s="1"/>
  <c r="G173" i="55"/>
  <c r="J173" i="55" s="1"/>
  <c r="G68" i="55"/>
  <c r="G120" i="55"/>
  <c r="J120" i="55" s="1"/>
  <c r="G150" i="55"/>
  <c r="J150" i="55" s="1"/>
  <c r="G48" i="55"/>
  <c r="G57" i="55"/>
  <c r="J57" i="55" s="1"/>
  <c r="G66" i="55"/>
  <c r="J66" i="55" s="1"/>
  <c r="G78" i="55"/>
  <c r="J78" i="55" s="1"/>
  <c r="G119" i="55"/>
  <c r="J119" i="55" s="1"/>
  <c r="G125" i="55"/>
  <c r="J125" i="55" s="1"/>
  <c r="G106" i="55"/>
  <c r="J106" i="55" s="1"/>
  <c r="G149" i="55"/>
  <c r="J149" i="55" s="1"/>
  <c r="G53" i="55"/>
  <c r="G33" i="55"/>
  <c r="J33" i="55" s="1"/>
  <c r="G50" i="55"/>
  <c r="J50" i="55" s="1"/>
  <c r="G37" i="55"/>
  <c r="J37" i="55" s="1"/>
  <c r="G41" i="55"/>
  <c r="J41" i="55" s="1"/>
  <c r="G104" i="55"/>
  <c r="J104" i="55" s="1"/>
  <c r="G147" i="55"/>
  <c r="J147" i="55" s="1"/>
  <c r="G151" i="55"/>
  <c r="J151" i="55" s="1"/>
  <c r="G155" i="55"/>
  <c r="J155" i="55" s="1"/>
  <c r="G161" i="55"/>
  <c r="J161" i="55" s="1"/>
  <c r="G27" i="55"/>
  <c r="J27" i="55" s="1"/>
  <c r="G52" i="55"/>
  <c r="J52" i="55" s="1"/>
  <c r="G100" i="55"/>
  <c r="J100" i="55" s="1"/>
  <c r="G148" i="55"/>
  <c r="G165" i="55"/>
  <c r="J165" i="55" s="1"/>
  <c r="G40" i="55"/>
  <c r="J40" i="55" s="1"/>
  <c r="G49" i="55"/>
  <c r="J49" i="55" s="1"/>
  <c r="G58" i="55"/>
  <c r="J58" i="55" s="1"/>
  <c r="G67" i="55"/>
  <c r="J67" i="55" s="1"/>
  <c r="G97" i="55"/>
  <c r="G101" i="55"/>
  <c r="G116" i="55"/>
  <c r="J116" i="55" s="1"/>
  <c r="G133" i="55"/>
  <c r="J133" i="55" s="1"/>
  <c r="G153" i="55"/>
  <c r="G166" i="55"/>
  <c r="J166" i="55" s="1"/>
  <c r="G134" i="55"/>
  <c r="J134" i="55" s="1"/>
  <c r="G72" i="55"/>
  <c r="J72" i="55" s="1"/>
  <c r="G77" i="55"/>
  <c r="J77" i="55" s="1"/>
  <c r="G82" i="55"/>
  <c r="J82" i="55" s="1"/>
  <c r="G86" i="55"/>
  <c r="J86" i="55" s="1"/>
  <c r="G90" i="55"/>
  <c r="J90" i="55" s="1"/>
  <c r="G95" i="55"/>
  <c r="J95" i="55" s="1"/>
  <c r="G98" i="55"/>
  <c r="J98" i="55" s="1"/>
  <c r="G121" i="55"/>
  <c r="J121" i="55" s="1"/>
  <c r="G131" i="55"/>
  <c r="J131" i="55" s="1"/>
  <c r="G60" i="55"/>
  <c r="J60" i="55" s="1"/>
  <c r="G74" i="55"/>
  <c r="J74" i="55" s="1"/>
  <c r="G108" i="55"/>
  <c r="J108" i="55" s="1"/>
  <c r="G118" i="55"/>
  <c r="J118" i="55" s="1"/>
  <c r="G123" i="55"/>
  <c r="J123" i="55" s="1"/>
  <c r="G128" i="55"/>
  <c r="J128" i="55" s="1"/>
  <c r="G132" i="55"/>
  <c r="J132" i="55" s="1"/>
  <c r="G140" i="55"/>
  <c r="J140" i="55" s="1"/>
  <c r="G143" i="55"/>
  <c r="J143" i="55" s="1"/>
  <c r="G156" i="55"/>
  <c r="I14" i="55"/>
  <c r="G42" i="55"/>
  <c r="J42" i="55" s="1"/>
  <c r="G130" i="55"/>
  <c r="J130" i="55" s="1"/>
  <c r="G169" i="55"/>
  <c r="J169" i="55" s="1"/>
  <c r="G117" i="55"/>
  <c r="J117" i="55" s="1"/>
  <c r="I15" i="55"/>
  <c r="J97" i="55"/>
  <c r="B104" i="55"/>
  <c r="B102" i="55"/>
  <c r="B105" i="55" s="1"/>
  <c r="B106" i="55" s="1"/>
  <c r="B107" i="55" s="1"/>
  <c r="B108" i="55" s="1"/>
  <c r="B109" i="55" s="1"/>
  <c r="B110" i="55" s="1"/>
  <c r="B111" i="55" s="1"/>
  <c r="B112" i="55" s="1"/>
  <c r="B113" i="55" s="1"/>
  <c r="I17" i="55"/>
  <c r="G38" i="55"/>
  <c r="J38" i="55" s="1"/>
  <c r="G55" i="55"/>
  <c r="J55" i="55" s="1"/>
  <c r="G70" i="55"/>
  <c r="J70" i="55" s="1"/>
  <c r="G87" i="55"/>
  <c r="J87" i="55" s="1"/>
  <c r="G99" i="55"/>
  <c r="J99" i="55" s="1"/>
  <c r="G105" i="55"/>
  <c r="J105" i="55" s="1"/>
  <c r="G126" i="55"/>
  <c r="J126" i="55" s="1"/>
  <c r="G158" i="55"/>
  <c r="J158" i="55" s="1"/>
  <c r="G170" i="55"/>
  <c r="J170" i="55" s="1"/>
  <c r="G174" i="55"/>
  <c r="G36" i="55"/>
  <c r="J36" i="55" s="1"/>
  <c r="I16" i="55"/>
  <c r="G107" i="55"/>
  <c r="J107" i="55" s="1"/>
  <c r="G129" i="55"/>
  <c r="J129" i="55" s="1"/>
  <c r="G137" i="55"/>
  <c r="J137" i="55" s="1"/>
  <c r="J20" i="55" s="1"/>
  <c r="G39" i="55"/>
  <c r="J39" i="55" s="1"/>
  <c r="G56" i="55"/>
  <c r="J56" i="55" s="1"/>
  <c r="G71" i="55"/>
  <c r="J71" i="55" s="1"/>
  <c r="G88" i="55"/>
  <c r="J88" i="55" s="1"/>
  <c r="G102" i="55"/>
  <c r="J102" i="55" s="1"/>
  <c r="I19" i="55"/>
  <c r="G127" i="55"/>
  <c r="J127" i="55" s="1"/>
  <c r="G159" i="55"/>
  <c r="J159" i="55" s="1"/>
  <c r="G168" i="55"/>
  <c r="J168" i="55" s="1"/>
  <c r="G28" i="55"/>
  <c r="J28" i="55" s="1"/>
  <c r="G30" i="55"/>
  <c r="J30" i="55" s="1"/>
  <c r="G51" i="55"/>
  <c r="J51" i="55" s="1"/>
  <c r="G65" i="55"/>
  <c r="J65" i="55" s="1"/>
  <c r="G69" i="55"/>
  <c r="J69" i="55" s="1"/>
  <c r="G75" i="55"/>
  <c r="J75" i="55" s="1"/>
  <c r="G110" i="55"/>
  <c r="J110" i="55" s="1"/>
  <c r="G142" i="55"/>
  <c r="J142" i="55" s="1"/>
  <c r="J25" i="55"/>
  <c r="G144" i="55"/>
  <c r="J144" i="55" s="1"/>
  <c r="B51" i="55"/>
  <c r="B55" i="55"/>
  <c r="B81" i="55"/>
  <c r="B79" i="55"/>
  <c r="B82" i="55" s="1"/>
  <c r="B83" i="55" s="1"/>
  <c r="B84" i="55" s="1"/>
  <c r="B85" i="55" s="1"/>
  <c r="B86" i="55" s="1"/>
  <c r="B87" i="55" s="1"/>
  <c r="B88" i="55" s="1"/>
  <c r="B89" i="55" s="1"/>
  <c r="B90" i="55" s="1"/>
  <c r="B91" i="55" s="1"/>
  <c r="J35" i="55"/>
  <c r="J96" i="55"/>
  <c r="J109" i="55"/>
  <c r="J174" i="55"/>
  <c r="J48" i="55"/>
  <c r="J171" i="55"/>
  <c r="J43" i="55"/>
  <c r="J34" i="55"/>
  <c r="G47" i="55"/>
  <c r="J47" i="55" s="1"/>
  <c r="G94" i="55"/>
  <c r="J101" i="55"/>
  <c r="G112" i="55"/>
  <c r="J172" i="55"/>
  <c r="J175" i="55"/>
  <c r="G46" i="55"/>
  <c r="G83" i="55"/>
  <c r="G91" i="55"/>
  <c r="J91" i="55" s="1"/>
  <c r="J29" i="55"/>
  <c r="J176" i="55"/>
  <c r="J89" i="55"/>
  <c r="G111" i="55"/>
  <c r="J156" i="55"/>
  <c r="J53" i="55"/>
  <c r="J145" i="55"/>
  <c r="G61" i="55"/>
  <c r="G85" i="55"/>
  <c r="J113" i="55"/>
  <c r="G141" i="55"/>
  <c r="J141" i="55" s="1"/>
  <c r="G162" i="55"/>
  <c r="J148" i="55"/>
  <c r="J153" i="55"/>
  <c r="J154" i="55"/>
  <c r="J68" i="55"/>
  <c r="J84" i="55"/>
  <c r="I22" i="55" l="1"/>
  <c r="J14" i="55"/>
  <c r="J83" i="55"/>
  <c r="J46" i="55"/>
  <c r="J111" i="55"/>
  <c r="J19" i="55"/>
  <c r="B52" i="55"/>
  <c r="B56" i="55"/>
  <c r="J85" i="55"/>
  <c r="J112" i="55"/>
  <c r="J15" i="55"/>
  <c r="J61" i="55"/>
  <c r="J162" i="55"/>
  <c r="J21" i="55" s="1"/>
  <c r="J94" i="55"/>
  <c r="J17" i="55" l="1"/>
  <c r="J16" i="55"/>
  <c r="I23" i="55"/>
  <c r="B53" i="55"/>
  <c r="B58" i="55" s="1"/>
  <c r="B59" i="55" s="1"/>
  <c r="B60" i="55" s="1"/>
  <c r="B61" i="55" s="1"/>
  <c r="B57" i="55"/>
  <c r="J10" i="55"/>
  <c r="J18" i="55"/>
  <c r="J22" i="55" l="1"/>
  <c r="J23" i="55" s="1"/>
  <c r="F66" i="59"/>
  <c r="F65" i="59"/>
  <c r="F64" i="59"/>
  <c r="F60" i="59"/>
  <c r="F45" i="59"/>
  <c r="E57" i="59"/>
  <c r="F41" i="59"/>
  <c r="F56" i="59" s="1"/>
  <c r="F40" i="59"/>
  <c r="F55" i="59" s="1"/>
  <c r="F39" i="59"/>
  <c r="F54" i="59" s="1"/>
  <c r="E53" i="59"/>
  <c r="E52" i="59"/>
  <c r="F36" i="59"/>
  <c r="F51" i="59" s="1"/>
  <c r="F35" i="59"/>
  <c r="F50" i="59" s="1"/>
  <c r="E49" i="59"/>
  <c r="E48" i="59"/>
  <c r="E47" i="59"/>
  <c r="F46" i="59"/>
  <c r="E46" i="59"/>
  <c r="F30" i="59"/>
  <c r="F28" i="59"/>
  <c r="E28" i="59"/>
  <c r="F27" i="59"/>
  <c r="H23" i="59"/>
  <c r="C23" i="59"/>
  <c r="H22" i="59"/>
  <c r="C22" i="59"/>
  <c r="H18" i="59"/>
  <c r="C18" i="59"/>
  <c r="H17" i="59"/>
  <c r="C17" i="59"/>
  <c r="H16" i="59"/>
  <c r="C16" i="59"/>
  <c r="H15" i="59"/>
  <c r="C15" i="59"/>
  <c r="H14" i="59"/>
  <c r="C14" i="59"/>
  <c r="H13" i="59"/>
  <c r="C13" i="59"/>
  <c r="H12" i="59"/>
  <c r="C12" i="59"/>
  <c r="H11" i="59"/>
  <c r="C11" i="59"/>
  <c r="H10" i="59"/>
  <c r="C10" i="59"/>
  <c r="H9" i="59"/>
  <c r="C9" i="59"/>
  <c r="H8" i="59"/>
  <c r="C8" i="59"/>
  <c r="H7" i="59"/>
  <c r="C7" i="59"/>
  <c r="I10" i="32"/>
  <c r="G10" i="32"/>
  <c r="H20" i="59" l="1"/>
  <c r="C20" i="59"/>
  <c r="E80" i="59"/>
  <c r="B12" i="59" s="1"/>
  <c r="E84" i="59"/>
  <c r="B16" i="59" s="1"/>
  <c r="E85" i="59"/>
  <c r="B17" i="59" s="1"/>
  <c r="E78" i="59"/>
  <c r="B10" i="59" s="1"/>
  <c r="E82" i="59"/>
  <c r="B14" i="59" s="1"/>
  <c r="I23" i="32"/>
  <c r="E50" i="59"/>
  <c r="I28" i="32"/>
  <c r="F37" i="59"/>
  <c r="F52" i="59" s="1"/>
  <c r="C87" i="59"/>
  <c r="E79" i="59"/>
  <c r="B11" i="59" s="1"/>
  <c r="E83" i="59"/>
  <c r="B15" i="59" s="1"/>
  <c r="F33" i="59"/>
  <c r="F48" i="59" s="1"/>
  <c r="E55" i="59"/>
  <c r="E76" i="59"/>
  <c r="B8" i="59" s="1"/>
  <c r="I17" i="32"/>
  <c r="E81" i="59"/>
  <c r="B13" i="59" s="1"/>
  <c r="F42" i="59"/>
  <c r="F57" i="59" s="1"/>
  <c r="E54" i="59"/>
  <c r="E77" i="59"/>
  <c r="B9" i="59" s="1"/>
  <c r="E56" i="59"/>
  <c r="D87" i="59"/>
  <c r="E43" i="59"/>
  <c r="E67" i="59"/>
  <c r="E86" i="59"/>
  <c r="B18" i="59" s="1"/>
  <c r="E51" i="59"/>
  <c r="F63" i="59"/>
  <c r="F67" i="59" s="1"/>
  <c r="E75" i="59"/>
  <c r="F34" i="59"/>
  <c r="F49" i="59" s="1"/>
  <c r="F38" i="59"/>
  <c r="F53" i="59" s="1"/>
  <c r="G28" i="32"/>
  <c r="G17" i="32"/>
  <c r="G23" i="32"/>
  <c r="E69" i="59" l="1"/>
  <c r="D10" i="59"/>
  <c r="I36" i="32"/>
  <c r="I40" i="32" s="1"/>
  <c r="E58" i="59"/>
  <c r="E70" i="59" s="1"/>
  <c r="E23" i="59" s="1"/>
  <c r="D16" i="59"/>
  <c r="D18" i="59"/>
  <c r="D9" i="59"/>
  <c r="D12" i="59"/>
  <c r="D15" i="59"/>
  <c r="D8" i="59"/>
  <c r="D17" i="59"/>
  <c r="D13" i="59"/>
  <c r="D23" i="59"/>
  <c r="G36" i="32"/>
  <c r="G40" i="32" s="1"/>
  <c r="D14" i="59"/>
  <c r="D11" i="59"/>
  <c r="E89" i="59"/>
  <c r="E87" i="59"/>
  <c r="B7" i="59"/>
  <c r="E13" i="59" l="1"/>
  <c r="F13" i="59" s="1"/>
  <c r="E18" i="59"/>
  <c r="F18" i="59" s="1"/>
  <c r="E8" i="59"/>
  <c r="E12" i="59"/>
  <c r="F12" i="59" s="1"/>
  <c r="F23" i="59"/>
  <c r="E16" i="59"/>
  <c r="F16" i="59" s="1"/>
  <c r="E15" i="59"/>
  <c r="F15" i="59" s="1"/>
  <c r="E14" i="59"/>
  <c r="F14" i="59" s="1"/>
  <c r="E9" i="59"/>
  <c r="F9" i="59" s="1"/>
  <c r="E10" i="59"/>
  <c r="F10" i="59" s="1"/>
  <c r="E17" i="59"/>
  <c r="F17" i="59" s="1"/>
  <c r="E11" i="59"/>
  <c r="F11" i="59" s="1"/>
  <c r="F8" i="59"/>
  <c r="B20" i="59"/>
  <c r="E7" i="59"/>
  <c r="D7" i="59"/>
  <c r="B22" i="59"/>
  <c r="E20" i="59" l="1"/>
  <c r="E22" i="59"/>
  <c r="D22" i="59"/>
  <c r="D20" i="59"/>
  <c r="F7" i="59"/>
  <c r="F20" i="59" s="1"/>
  <c r="F22" i="59" l="1"/>
  <c r="E35" i="65" l="1"/>
  <c r="N28" i="32" l="1"/>
  <c r="N10" i="32"/>
  <c r="N23" i="32" l="1"/>
  <c r="N17" i="32"/>
  <c r="N36" i="32" l="1"/>
  <c r="N40" i="32" s="1"/>
  <c r="D5" i="12" l="1"/>
  <c r="D4" i="65" s="1"/>
  <c r="A3" i="12" l="1"/>
  <c r="E5" i="12"/>
  <c r="A3" i="32"/>
  <c r="A2" i="55" l="1"/>
  <c r="A2" i="65"/>
  <c r="A9" i="12" l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l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D28" i="65" l="1"/>
  <c r="D32" i="12" s="1"/>
  <c r="D26" i="65"/>
  <c r="D30" i="12" s="1"/>
  <c r="D21" i="65"/>
  <c r="D24" i="12" s="1"/>
  <c r="C9" i="64"/>
  <c r="D12" i="65"/>
  <c r="D13" i="12" s="1"/>
  <c r="D10" i="65"/>
  <c r="D11" i="12" s="1"/>
  <c r="D32" i="65"/>
  <c r="D37" i="12" s="1"/>
  <c r="D17" i="65"/>
  <c r="D19" i="12" s="1"/>
  <c r="D11" i="65"/>
  <c r="D12" i="12" s="1"/>
  <c r="D16" i="65"/>
  <c r="D18" i="12" s="1"/>
  <c r="C20" i="64" l="1"/>
  <c r="C24" i="64"/>
  <c r="D9" i="65"/>
  <c r="D17" i="32"/>
  <c r="D20" i="65"/>
  <c r="D28" i="32"/>
  <c r="D15" i="65"/>
  <c r="D23" i="32"/>
  <c r="C15" i="64"/>
  <c r="C30" i="64" s="1"/>
  <c r="C34" i="64" s="1"/>
  <c r="D24" i="65"/>
  <c r="AC32" i="64"/>
  <c r="D22" i="65" l="1"/>
  <c r="D23" i="12"/>
  <c r="D7" i="65"/>
  <c r="D8" i="12" s="1"/>
  <c r="D10" i="32"/>
  <c r="D36" i="32" s="1"/>
  <c r="D40" i="32" s="1"/>
  <c r="D18" i="65"/>
  <c r="D17" i="12"/>
  <c r="D13" i="65"/>
  <c r="D10" i="12"/>
  <c r="D28" i="12"/>
  <c r="D15" i="12" l="1"/>
  <c r="D21" i="12"/>
  <c r="D34" i="12" s="1"/>
  <c r="D39" i="12" s="1"/>
  <c r="D26" i="12"/>
  <c r="D29" i="65"/>
  <c r="D33" i="65" s="1"/>
  <c r="V24" i="64" l="1"/>
  <c r="Q28" i="32"/>
  <c r="U24" i="64" l="1"/>
  <c r="P28" i="32"/>
  <c r="W24" i="64" l="1"/>
  <c r="D9" i="64" l="1"/>
  <c r="E10" i="32" l="1"/>
  <c r="N24" i="64" l="1"/>
  <c r="N9" i="64" l="1"/>
  <c r="R9" i="64" l="1"/>
  <c r="Q9" i="64"/>
  <c r="V9" i="64"/>
  <c r="P9" i="64"/>
  <c r="L10" i="32" l="1"/>
  <c r="K10" i="32"/>
  <c r="J10" i="32"/>
  <c r="V15" i="64"/>
  <c r="Q10" i="32"/>
  <c r="P24" i="64"/>
  <c r="N20" i="64"/>
  <c r="Q17" i="32" l="1"/>
  <c r="Q24" i="64"/>
  <c r="R24" i="64"/>
  <c r="V20" i="64"/>
  <c r="V30" i="64" s="1"/>
  <c r="V34" i="64" s="1"/>
  <c r="N15" i="64"/>
  <c r="N30" i="64" s="1"/>
  <c r="N34" i="64" s="1"/>
  <c r="R15" i="64"/>
  <c r="P15" i="64"/>
  <c r="R20" i="64"/>
  <c r="P20" i="64"/>
  <c r="K23" i="32" l="1"/>
  <c r="L17" i="32"/>
  <c r="Q20" i="64"/>
  <c r="L23" i="32"/>
  <c r="J28" i="32"/>
  <c r="R30" i="64"/>
  <c r="R34" i="64" s="1"/>
  <c r="Q15" i="64"/>
  <c r="Q30" i="64" s="1"/>
  <c r="Q34" i="64" s="1"/>
  <c r="J17" i="32"/>
  <c r="P30" i="64"/>
  <c r="P34" i="64" s="1"/>
  <c r="L28" i="32"/>
  <c r="K28" i="32"/>
  <c r="L36" i="32" l="1"/>
  <c r="L40" i="32" s="1"/>
  <c r="Q23" i="32"/>
  <c r="Q36" i="32" s="1"/>
  <c r="Q40" i="32" s="1"/>
  <c r="J23" i="32"/>
  <c r="J36" i="32" s="1"/>
  <c r="J40" i="32" s="1"/>
  <c r="K17" i="32"/>
  <c r="K36" i="32" s="1"/>
  <c r="K40" i="32" s="1"/>
  <c r="G9" i="64" l="1"/>
  <c r="E9" i="64"/>
  <c r="E24" i="64" l="1"/>
  <c r="G20" i="64"/>
  <c r="E20" i="64"/>
  <c r="F23" i="32"/>
  <c r="G24" i="64"/>
  <c r="F10" i="32"/>
  <c r="F28" i="32" l="1"/>
  <c r="G15" i="64" l="1"/>
  <c r="G30" i="64" s="1"/>
  <c r="G34" i="64" s="1"/>
  <c r="E15" i="64"/>
  <c r="E30" i="64" s="1"/>
  <c r="E34" i="64" s="1"/>
  <c r="F17" i="32"/>
  <c r="F36" i="32" s="1"/>
  <c r="F40" i="32" s="1"/>
  <c r="U9" i="64" l="1"/>
  <c r="P10" i="32" l="1"/>
  <c r="U15" i="64" l="1"/>
  <c r="U20" i="64"/>
  <c r="P23" i="32"/>
  <c r="P17" i="32"/>
  <c r="T24" i="64" l="1"/>
  <c r="T9" i="64" l="1"/>
  <c r="T15" i="64"/>
  <c r="T20" i="64"/>
  <c r="O28" i="32" l="1"/>
  <c r="T30" i="64"/>
  <c r="T34" i="64" s="1"/>
  <c r="O23" i="32" l="1"/>
  <c r="O17" i="32"/>
  <c r="O10" i="32"/>
  <c r="O36" i="32" s="1"/>
  <c r="O40" i="32" s="1"/>
  <c r="D24" i="64" l="1"/>
  <c r="D15" i="64" l="1"/>
  <c r="D20" i="64"/>
  <c r="E17" i="32"/>
  <c r="D30" i="64" l="1"/>
  <c r="D34" i="64" s="1"/>
  <c r="E28" i="32" l="1"/>
  <c r="E23" i="32"/>
  <c r="E36" i="32" s="1"/>
  <c r="E40" i="32" s="1"/>
  <c r="W9" i="64" l="1"/>
  <c r="W20" i="64" l="1"/>
  <c r="W15" i="64"/>
  <c r="W30" i="64" l="1"/>
  <c r="W34" i="64" s="1"/>
  <c r="S24" i="64" l="1"/>
  <c r="S9" i="64"/>
  <c r="M10" i="32" l="1"/>
  <c r="M28" i="32"/>
  <c r="S20" i="64"/>
  <c r="M23" i="32"/>
  <c r="S15" i="64" l="1"/>
  <c r="S30" i="64" s="1"/>
  <c r="S34" i="64" s="1"/>
  <c r="M17" i="32" l="1"/>
  <c r="M36" i="32" s="1"/>
  <c r="M40" i="32" s="1"/>
  <c r="U30" i="64" l="1"/>
  <c r="U34" i="64" s="1"/>
  <c r="P36" i="32" l="1"/>
  <c r="P40" i="32" s="1"/>
  <c r="H20" i="64" l="1"/>
  <c r="H24" i="64"/>
  <c r="H15" i="64" l="1"/>
  <c r="H9" i="64" l="1"/>
  <c r="H30" i="64" l="1"/>
  <c r="H34" i="64" s="1"/>
  <c r="R32" i="32" l="1"/>
  <c r="S32" i="32" s="1"/>
  <c r="E26" i="65" s="1"/>
  <c r="R26" i="32" l="1"/>
  <c r="R34" i="32" l="1"/>
  <c r="S34" i="32" s="1"/>
  <c r="E28" i="65" s="1"/>
  <c r="R22" i="32"/>
  <c r="S22" i="32" s="1"/>
  <c r="E17" i="65" s="1"/>
  <c r="R30" i="32"/>
  <c r="M9" i="64"/>
  <c r="R16" i="32" l="1"/>
  <c r="S16" i="32" s="1"/>
  <c r="E12" i="65" s="1"/>
  <c r="R15" i="32"/>
  <c r="S15" i="32" s="1"/>
  <c r="E11" i="65" s="1"/>
  <c r="R27" i="32"/>
  <c r="S27" i="32" s="1"/>
  <c r="E21" i="65" s="1"/>
  <c r="R28" i="32"/>
  <c r="S26" i="32"/>
  <c r="H28" i="32"/>
  <c r="M24" i="64"/>
  <c r="M20" i="64"/>
  <c r="R20" i="32"/>
  <c r="R9" i="32"/>
  <c r="R13" i="32"/>
  <c r="R21" i="32" l="1"/>
  <c r="S21" i="32" s="1"/>
  <c r="E16" i="65" s="1"/>
  <c r="R14" i="32"/>
  <c r="S14" i="32" s="1"/>
  <c r="E10" i="65" s="1"/>
  <c r="H10" i="32"/>
  <c r="H23" i="32"/>
  <c r="E20" i="65"/>
  <c r="E22" i="65" s="1"/>
  <c r="S28" i="32"/>
  <c r="H17" i="32"/>
  <c r="M15" i="64"/>
  <c r="M30" i="64" s="1"/>
  <c r="M34" i="64" s="1"/>
  <c r="S30" i="32"/>
  <c r="E24" i="65" s="1"/>
  <c r="R17" i="32" l="1"/>
  <c r="S13" i="32"/>
  <c r="R23" i="32"/>
  <c r="S20" i="32"/>
  <c r="S9" i="32"/>
  <c r="R10" i="32"/>
  <c r="R36" i="32" s="1"/>
  <c r="S36" i="32" s="1"/>
  <c r="H36" i="32"/>
  <c r="E15" i="65" l="1"/>
  <c r="E18" i="65" s="1"/>
  <c r="S23" i="32"/>
  <c r="E9" i="65"/>
  <c r="E13" i="65" s="1"/>
  <c r="S17" i="32"/>
  <c r="E7" i="65"/>
  <c r="E29" i="65" s="1"/>
  <c r="E36" i="65" s="1"/>
  <c r="E38" i="65" s="1"/>
  <c r="S10" i="32"/>
  <c r="R38" i="32"/>
  <c r="H40" i="32" l="1"/>
  <c r="F26" i="65"/>
  <c r="F17" i="65"/>
  <c r="F10" i="65"/>
  <c r="F15" i="65"/>
  <c r="F11" i="65"/>
  <c r="F12" i="65"/>
  <c r="F16" i="65"/>
  <c r="F21" i="65"/>
  <c r="F9" i="65"/>
  <c r="F20" i="65"/>
  <c r="F7" i="65"/>
  <c r="F28" i="65"/>
  <c r="F24" i="65"/>
  <c r="H12" i="65" l="1"/>
  <c r="G13" i="12"/>
  <c r="H10" i="65"/>
  <c r="G11" i="12"/>
  <c r="H20" i="65"/>
  <c r="G23" i="12"/>
  <c r="H24" i="65"/>
  <c r="G28" i="12"/>
  <c r="H15" i="65"/>
  <c r="G17" i="12"/>
  <c r="H26" i="65"/>
  <c r="G30" i="12"/>
  <c r="H28" i="65"/>
  <c r="G32" i="12"/>
  <c r="G12" i="12"/>
  <c r="H11" i="65"/>
  <c r="H7" i="65"/>
  <c r="G8" i="12"/>
  <c r="H17" i="65"/>
  <c r="G19" i="12"/>
  <c r="G10" i="12"/>
  <c r="H9" i="65"/>
  <c r="H21" i="65"/>
  <c r="G24" i="12"/>
  <c r="H16" i="65"/>
  <c r="G18" i="12"/>
  <c r="S38" i="32"/>
  <c r="E32" i="65" s="1"/>
  <c r="E33" i="65" s="1"/>
  <c r="R40" i="32"/>
  <c r="S40" i="32" s="1"/>
  <c r="H23" i="12" l="1"/>
  <c r="H11" i="12"/>
  <c r="H12" i="12"/>
  <c r="H19" i="12"/>
  <c r="H24" i="12"/>
  <c r="H32" i="12"/>
  <c r="H18" i="12"/>
  <c r="H17" i="12"/>
  <c r="H10" i="12"/>
  <c r="H30" i="12"/>
  <c r="H13" i="12"/>
  <c r="H28" i="12"/>
  <c r="H91" i="55"/>
  <c r="K91" i="55" s="1"/>
  <c r="H43" i="55"/>
  <c r="K43" i="55" s="1"/>
  <c r="G28" i="65"/>
  <c r="I28" i="65"/>
  <c r="H22" i="65"/>
  <c r="I20" i="65"/>
  <c r="G20" i="65"/>
  <c r="K11" i="55"/>
  <c r="L11" i="55" s="1"/>
  <c r="L10" i="55" s="1"/>
  <c r="G24" i="65"/>
  <c r="I24" i="65"/>
  <c r="G9" i="65"/>
  <c r="I9" i="65"/>
  <c r="H13" i="65"/>
  <c r="G21" i="65"/>
  <c r="I21" i="65"/>
  <c r="G17" i="65"/>
  <c r="I17" i="65"/>
  <c r="I26" i="65"/>
  <c r="G26" i="65"/>
  <c r="I10" i="65"/>
  <c r="G10" i="65"/>
  <c r="I11" i="65"/>
  <c r="G11" i="65"/>
  <c r="H8" i="12"/>
  <c r="F32" i="59"/>
  <c r="G16" i="65"/>
  <c r="I16" i="65"/>
  <c r="I7" i="65"/>
  <c r="G7" i="65"/>
  <c r="H18" i="65"/>
  <c r="I15" i="65"/>
  <c r="G15" i="65"/>
  <c r="I12" i="65"/>
  <c r="G12" i="65"/>
  <c r="G22" i="65" l="1"/>
  <c r="I18" i="65"/>
  <c r="F18" i="65"/>
  <c r="F13" i="65"/>
  <c r="I13" i="65"/>
  <c r="I22" i="65"/>
  <c r="F22" i="65"/>
  <c r="H29" i="65"/>
  <c r="G13" i="65"/>
  <c r="G18" i="65"/>
  <c r="F43" i="59"/>
  <c r="F69" i="59" s="1"/>
  <c r="F47" i="59"/>
  <c r="F58" i="59" s="1"/>
  <c r="F70" i="59" s="1"/>
  <c r="H86" i="55"/>
  <c r="K86" i="55" s="1"/>
  <c r="H47" i="55"/>
  <c r="K47" i="55" s="1"/>
  <c r="H159" i="55"/>
  <c r="K159" i="55" s="1"/>
  <c r="H125" i="55"/>
  <c r="K125" i="55" s="1"/>
  <c r="H56" i="55"/>
  <c r="K56" i="55" s="1"/>
  <c r="H67" i="55"/>
  <c r="K67" i="55" s="1"/>
  <c r="H48" i="55"/>
  <c r="K48" i="55" s="1"/>
  <c r="H132" i="55"/>
  <c r="K132" i="55" s="1"/>
  <c r="H78" i="55"/>
  <c r="K78" i="55" s="1"/>
  <c r="H98" i="55"/>
  <c r="K98" i="55" s="1"/>
  <c r="H143" i="55"/>
  <c r="K143" i="55" s="1"/>
  <c r="H101" i="55"/>
  <c r="K101" i="55" s="1"/>
  <c r="H142" i="55"/>
  <c r="K142" i="55" s="1"/>
  <c r="H121" i="55"/>
  <c r="K121" i="55" s="1"/>
  <c r="H75" i="55"/>
  <c r="K75" i="55" s="1"/>
  <c r="H128" i="55"/>
  <c r="K128" i="55" s="1"/>
  <c r="H140" i="55"/>
  <c r="K140" i="55" s="1"/>
  <c r="H88" i="55"/>
  <c r="K88" i="55" s="1"/>
  <c r="H61" i="55"/>
  <c r="K61" i="55" s="1"/>
  <c r="H94" i="55"/>
  <c r="K94" i="55" s="1"/>
  <c r="H33" i="55"/>
  <c r="K33" i="55" s="1"/>
  <c r="H141" i="55"/>
  <c r="K141" i="55" s="1"/>
  <c r="H133" i="55"/>
  <c r="K133" i="55" s="1"/>
  <c r="H60" i="55"/>
  <c r="K60" i="55" s="1"/>
  <c r="H42" i="55"/>
  <c r="K42" i="55" s="1"/>
  <c r="H34" i="55"/>
  <c r="K34" i="55" s="1"/>
  <c r="H158" i="55"/>
  <c r="K158" i="55" s="1"/>
  <c r="H38" i="55"/>
  <c r="K38" i="55" s="1"/>
  <c r="H49" i="55"/>
  <c r="K49" i="55" s="1"/>
  <c r="H176" i="55"/>
  <c r="K176" i="55" s="1"/>
  <c r="H105" i="55"/>
  <c r="K105" i="55" s="1"/>
  <c r="H29" i="55"/>
  <c r="K29" i="55" s="1"/>
  <c r="H72" i="55"/>
  <c r="K72" i="55" s="1"/>
  <c r="H166" i="55"/>
  <c r="K166" i="55" s="1"/>
  <c r="H104" i="55"/>
  <c r="K104" i="55" s="1"/>
  <c r="H99" i="55"/>
  <c r="K99" i="55" s="1"/>
  <c r="H50" i="55"/>
  <c r="K50" i="55" s="1"/>
  <c r="H39" i="55"/>
  <c r="K39" i="55" s="1"/>
  <c r="H151" i="55"/>
  <c r="K151" i="55" s="1"/>
  <c r="H51" i="55"/>
  <c r="K51" i="55" s="1"/>
  <c r="H126" i="55"/>
  <c r="K126" i="55" s="1"/>
  <c r="H156" i="55"/>
  <c r="K156" i="55" s="1"/>
  <c r="H30" i="55"/>
  <c r="K30" i="55" s="1"/>
  <c r="H68" i="55"/>
  <c r="K68" i="55" s="1"/>
  <c r="H111" i="55"/>
  <c r="K111" i="55" s="1"/>
  <c r="H120" i="55"/>
  <c r="K120" i="55" s="1"/>
  <c r="H170" i="55"/>
  <c r="K170" i="55" s="1"/>
  <c r="H149" i="55"/>
  <c r="K149" i="55" s="1"/>
  <c r="H108" i="55"/>
  <c r="K108" i="55" s="1"/>
  <c r="H107" i="55"/>
  <c r="K107" i="55" s="1"/>
  <c r="H175" i="55"/>
  <c r="K175" i="55" s="1"/>
  <c r="H161" i="55"/>
  <c r="K161" i="55" s="1"/>
  <c r="H117" i="55"/>
  <c r="K117" i="55" s="1"/>
  <c r="H57" i="55"/>
  <c r="K57" i="55" s="1"/>
  <c r="H173" i="55"/>
  <c r="K173" i="55" s="1"/>
  <c r="H167" i="55"/>
  <c r="K167" i="55" s="1"/>
  <c r="H171" i="55"/>
  <c r="K171" i="55" s="1"/>
  <c r="H172" i="55"/>
  <c r="K172" i="55" s="1"/>
  <c r="H174" i="55"/>
  <c r="K174" i="55" s="1"/>
  <c r="H36" i="55"/>
  <c r="K36" i="55" s="1"/>
  <c r="H153" i="55"/>
  <c r="K153" i="55" s="1"/>
  <c r="H95" i="55"/>
  <c r="K95" i="55" s="1"/>
  <c r="H64" i="55"/>
  <c r="K64" i="55" s="1"/>
  <c r="H119" i="55"/>
  <c r="K119" i="55" s="1"/>
  <c r="H113" i="55"/>
  <c r="K113" i="55" s="1"/>
  <c r="H87" i="55"/>
  <c r="K87" i="55" s="1"/>
  <c r="H112" i="55"/>
  <c r="K112" i="55" s="1"/>
  <c r="H169" i="55"/>
  <c r="K169" i="55" s="1"/>
  <c r="H59" i="55"/>
  <c r="K59" i="55" s="1"/>
  <c r="H90" i="55"/>
  <c r="K90" i="55" s="1"/>
  <c r="H79" i="55"/>
  <c r="K79" i="55" s="1"/>
  <c r="H97" i="55"/>
  <c r="K97" i="55" s="1"/>
  <c r="H129" i="55"/>
  <c r="K129" i="55" s="1"/>
  <c r="H162" i="55"/>
  <c r="K162" i="55" s="1"/>
  <c r="H106" i="55"/>
  <c r="K106" i="55" s="1"/>
  <c r="H145" i="55"/>
  <c r="K145" i="55" s="1"/>
  <c r="H85" i="55"/>
  <c r="K85" i="55" s="1"/>
  <c r="H144" i="55"/>
  <c r="K144" i="55" s="1"/>
  <c r="H147" i="55"/>
  <c r="K147" i="55" s="1"/>
  <c r="H100" i="55"/>
  <c r="K100" i="55" s="1"/>
  <c r="H168" i="55"/>
  <c r="K168" i="55" s="1"/>
  <c r="H150" i="55"/>
  <c r="K150" i="55" s="1"/>
  <c r="H110" i="55"/>
  <c r="K110" i="55" s="1"/>
  <c r="H25" i="55"/>
  <c r="K25" i="55" s="1"/>
  <c r="H69" i="55"/>
  <c r="K69" i="55" s="1"/>
  <c r="H53" i="55"/>
  <c r="K53" i="55" s="1"/>
  <c r="H163" i="55"/>
  <c r="K163" i="55" s="1"/>
  <c r="H82" i="55"/>
  <c r="K82" i="55" s="1"/>
  <c r="H35" i="55"/>
  <c r="K35" i="55" s="1"/>
  <c r="H58" i="55"/>
  <c r="K58" i="55" s="1"/>
  <c r="H165" i="55"/>
  <c r="K165" i="55" s="1"/>
  <c r="H65" i="55"/>
  <c r="K65" i="55" s="1"/>
  <c r="H155" i="55"/>
  <c r="K155" i="55" s="1"/>
  <c r="H134" i="55"/>
  <c r="K134" i="55" s="1"/>
  <c r="H46" i="55"/>
  <c r="K46" i="55" s="1"/>
  <c r="H118" i="55"/>
  <c r="K118" i="55" s="1"/>
  <c r="H83" i="55"/>
  <c r="K83" i="55" s="1"/>
  <c r="H41" i="55"/>
  <c r="K41" i="55" s="1"/>
  <c r="H66" i="55"/>
  <c r="K66" i="55" s="1"/>
  <c r="H76" i="55"/>
  <c r="K76" i="55" s="1"/>
  <c r="H84" i="55"/>
  <c r="K84" i="55" s="1"/>
  <c r="H37" i="55"/>
  <c r="K37" i="55" s="1"/>
  <c r="H116" i="55"/>
  <c r="K116" i="55" s="1"/>
  <c r="H81" i="55"/>
  <c r="K81" i="55" s="1"/>
  <c r="H28" i="55"/>
  <c r="K28" i="55" s="1"/>
  <c r="H89" i="55"/>
  <c r="K89" i="55" s="1"/>
  <c r="H154" i="55"/>
  <c r="K154" i="55" s="1"/>
  <c r="H130" i="55"/>
  <c r="K130" i="55" s="1"/>
  <c r="H137" i="55"/>
  <c r="K137" i="55" s="1"/>
  <c r="K20" i="55" s="1"/>
  <c r="H164" i="55"/>
  <c r="K164" i="55" s="1"/>
  <c r="H127" i="55"/>
  <c r="K127" i="55" s="1"/>
  <c r="H102" i="55"/>
  <c r="K102" i="55" s="1"/>
  <c r="H109" i="55"/>
  <c r="K109" i="55" s="1"/>
  <c r="H96" i="55"/>
  <c r="K96" i="55" s="1"/>
  <c r="H74" i="55"/>
  <c r="K74" i="55" s="1"/>
  <c r="H40" i="55"/>
  <c r="K40" i="55" s="1"/>
  <c r="H27" i="55"/>
  <c r="K27" i="55" s="1"/>
  <c r="H52" i="55"/>
  <c r="K52" i="55" s="1"/>
  <c r="H148" i="55"/>
  <c r="K148" i="55" s="1"/>
  <c r="H131" i="55"/>
  <c r="K131" i="55" s="1"/>
  <c r="H123" i="55"/>
  <c r="K123" i="55" s="1"/>
  <c r="H55" i="55"/>
  <c r="K55" i="55" s="1"/>
  <c r="H70" i="55"/>
  <c r="K70" i="55" s="1"/>
  <c r="H77" i="55"/>
  <c r="K77" i="55" s="1"/>
  <c r="H71" i="55"/>
  <c r="K71" i="55" s="1"/>
  <c r="G29" i="65" l="1"/>
  <c r="K10" i="55"/>
  <c r="K12" i="55" s="1"/>
  <c r="K14" i="55"/>
  <c r="K18" i="55"/>
  <c r="K21" i="55"/>
  <c r="J11" i="59"/>
  <c r="J13" i="59"/>
  <c r="J10" i="59"/>
  <c r="J17" i="59"/>
  <c r="J12" i="59"/>
  <c r="J22" i="59"/>
  <c r="J8" i="59"/>
  <c r="J14" i="59"/>
  <c r="J16" i="59"/>
  <c r="J7" i="59"/>
  <c r="J9" i="59"/>
  <c r="J15" i="59"/>
  <c r="J23" i="59"/>
  <c r="J18" i="59"/>
  <c r="K19" i="55"/>
  <c r="K16" i="55"/>
  <c r="K17" i="55"/>
  <c r="I11" i="59"/>
  <c r="K11" i="59" s="1"/>
  <c r="L11" i="59" s="1"/>
  <c r="M11" i="59" s="1"/>
  <c r="I10" i="59"/>
  <c r="K10" i="59" s="1"/>
  <c r="L10" i="59" s="1"/>
  <c r="M10" i="59" s="1"/>
  <c r="I8" i="59"/>
  <c r="I15" i="59"/>
  <c r="I18" i="59"/>
  <c r="K18" i="59" s="1"/>
  <c r="L18" i="59" s="1"/>
  <c r="M18" i="59" s="1"/>
  <c r="I23" i="59"/>
  <c r="I16" i="59"/>
  <c r="I12" i="59"/>
  <c r="I9" i="59"/>
  <c r="I17" i="59"/>
  <c r="I14" i="59"/>
  <c r="I7" i="59"/>
  <c r="I22" i="59"/>
  <c r="K22" i="59" s="1"/>
  <c r="L22" i="59" s="1"/>
  <c r="M22" i="59" s="1"/>
  <c r="I13" i="59"/>
  <c r="F29" i="65"/>
  <c r="H32" i="65"/>
  <c r="I29" i="65"/>
  <c r="K15" i="55"/>
  <c r="K12" i="59" l="1"/>
  <c r="L12" i="59" s="1"/>
  <c r="M12" i="59" s="1"/>
  <c r="K14" i="59"/>
  <c r="L14" i="59" s="1"/>
  <c r="M14" i="59" s="1"/>
  <c r="K23" i="59"/>
  <c r="L23" i="59" s="1"/>
  <c r="M23" i="59" s="1"/>
  <c r="K8" i="59"/>
  <c r="L8" i="59" s="1"/>
  <c r="M8" i="59" s="1"/>
  <c r="K16" i="59"/>
  <c r="L16" i="59" s="1"/>
  <c r="M16" i="59" s="1"/>
  <c r="K17" i="59"/>
  <c r="L17" i="59" s="1"/>
  <c r="M17" i="59" s="1"/>
  <c r="K13" i="59"/>
  <c r="L13" i="59" s="1"/>
  <c r="M13" i="59" s="1"/>
  <c r="J20" i="59"/>
  <c r="K22" i="55"/>
  <c r="K23" i="55" s="1"/>
  <c r="K9" i="59"/>
  <c r="L9" i="59" s="1"/>
  <c r="M9" i="59" s="1"/>
  <c r="I20" i="59"/>
  <c r="K7" i="59"/>
  <c r="K15" i="59"/>
  <c r="L15" i="59" s="1"/>
  <c r="M15" i="59" s="1"/>
  <c r="K20" i="59" l="1"/>
  <c r="L20" i="59" s="1"/>
  <c r="M20" i="59" s="1"/>
  <c r="L7" i="59"/>
  <c r="M7" i="59" s="1"/>
  <c r="AE32" i="64" l="1"/>
  <c r="AD32" i="64"/>
  <c r="AF32" i="64" s="1"/>
  <c r="AG32" i="64"/>
  <c r="W38" i="32" l="1"/>
  <c r="E37" i="12" s="1"/>
  <c r="I24" i="64" l="1"/>
  <c r="I9" i="64" l="1"/>
  <c r="I15" i="64"/>
  <c r="I20" i="64"/>
  <c r="I30" i="64" l="1"/>
  <c r="I34" i="64" s="1"/>
  <c r="X27" i="64" l="1"/>
  <c r="Y27" i="64" s="1"/>
  <c r="X14" i="64"/>
  <c r="Y14" i="64" s="1"/>
  <c r="X19" i="64"/>
  <c r="Y19" i="64" s="1"/>
  <c r="X18" i="64"/>
  <c r="Y18" i="64" s="1"/>
  <c r="X12" i="64"/>
  <c r="Y12" i="64" s="1"/>
  <c r="X23" i="64"/>
  <c r="Y23" i="64" s="1"/>
  <c r="X28" i="64"/>
  <c r="Y28" i="64" s="1"/>
  <c r="AE23" i="64" l="1"/>
  <c r="AE14" i="64"/>
  <c r="AE19" i="64"/>
  <c r="X13" i="64"/>
  <c r="Y13" i="64" s="1"/>
  <c r="AE12" i="64"/>
  <c r="AE18" i="64"/>
  <c r="AE28" i="64"/>
  <c r="AE27" i="64"/>
  <c r="X26" i="64"/>
  <c r="Y26" i="64" s="1"/>
  <c r="AE13" i="64" l="1"/>
  <c r="AE26" i="64"/>
  <c r="J9" i="64" l="1"/>
  <c r="X8" i="64"/>
  <c r="J15" i="64"/>
  <c r="X11" i="64"/>
  <c r="J24" i="64"/>
  <c r="X22" i="64"/>
  <c r="J20" i="64"/>
  <c r="X17" i="64"/>
  <c r="AA9" i="64" l="1"/>
  <c r="X20" i="64"/>
  <c r="Y17" i="64"/>
  <c r="Y22" i="64"/>
  <c r="X24" i="64"/>
  <c r="AA15" i="64"/>
  <c r="X15" i="64"/>
  <c r="Y11" i="64"/>
  <c r="AA20" i="64"/>
  <c r="AA24" i="64"/>
  <c r="X9" i="64"/>
  <c r="Y8" i="64"/>
  <c r="J30" i="64"/>
  <c r="J34" i="64" s="1"/>
  <c r="X30" i="64" l="1"/>
  <c r="X34" i="64" s="1"/>
  <c r="Y9" i="64"/>
  <c r="AE8" i="64"/>
  <c r="AE22" i="64"/>
  <c r="Y24" i="64"/>
  <c r="AE24" i="64" s="1"/>
  <c r="AE17" i="64"/>
  <c r="Y20" i="64"/>
  <c r="AE20" i="64" s="1"/>
  <c r="AE11" i="64"/>
  <c r="Y15" i="64"/>
  <c r="AE15" i="64" s="1"/>
  <c r="AA30" i="64"/>
  <c r="AA34" i="64" s="1"/>
  <c r="AE9" i="64" l="1"/>
  <c r="Y30" i="64"/>
  <c r="Y34" i="64" l="1"/>
  <c r="AE34" i="64" s="1"/>
  <c r="AE30" i="64"/>
  <c r="V10" i="32" l="1"/>
  <c r="V23" i="32" l="1"/>
  <c r="V28" i="32" l="1"/>
  <c r="V17" i="32"/>
  <c r="V36" i="32" s="1"/>
  <c r="V40" i="32" s="1"/>
  <c r="W27" i="32" l="1"/>
  <c r="E24" i="12" s="1"/>
  <c r="W34" i="32"/>
  <c r="E32" i="12" s="1"/>
  <c r="W22" i="32"/>
  <c r="E19" i="12" s="1"/>
  <c r="W32" i="32"/>
  <c r="E30" i="12" s="1"/>
  <c r="W21" i="32"/>
  <c r="E18" i="12" s="1"/>
  <c r="W16" i="32"/>
  <c r="E13" i="12" s="1"/>
  <c r="J24" i="12" l="1"/>
  <c r="I24" i="12"/>
  <c r="J13" i="12"/>
  <c r="I13" i="12"/>
  <c r="I32" i="12"/>
  <c r="J32" i="12"/>
  <c r="K32" i="12" s="1"/>
  <c r="L32" i="12" s="1"/>
  <c r="I19" i="12"/>
  <c r="J19" i="12"/>
  <c r="K19" i="12" s="1"/>
  <c r="L19" i="12" s="1"/>
  <c r="J30" i="12"/>
  <c r="I30" i="12"/>
  <c r="J18" i="12"/>
  <c r="I18" i="12"/>
  <c r="W15" i="32"/>
  <c r="E12" i="12" s="1"/>
  <c r="W30" i="32"/>
  <c r="E28" i="12" s="1"/>
  <c r="W14" i="32"/>
  <c r="E11" i="12" s="1"/>
  <c r="K18" i="12" l="1"/>
  <c r="L18" i="12" s="1"/>
  <c r="J12" i="12"/>
  <c r="I12" i="12"/>
  <c r="K30" i="12"/>
  <c r="L30" i="12" s="1"/>
  <c r="K13" i="12"/>
  <c r="L13" i="12" s="1"/>
  <c r="I28" i="12"/>
  <c r="J28" i="12"/>
  <c r="K28" i="12" s="1"/>
  <c r="L28" i="12" s="1"/>
  <c r="I11" i="12"/>
  <c r="J11" i="12"/>
  <c r="K24" i="12"/>
  <c r="L24" i="12" s="1"/>
  <c r="K12" i="12" l="1"/>
  <c r="L12" i="12" s="1"/>
  <c r="K11" i="12"/>
  <c r="L11" i="12"/>
  <c r="W20" i="32" l="1"/>
  <c r="U23" i="32"/>
  <c r="U28" i="32"/>
  <c r="W26" i="32"/>
  <c r="W9" i="32" l="1"/>
  <c r="U10" i="32"/>
  <c r="E23" i="12"/>
  <c r="W28" i="32"/>
  <c r="U17" i="32"/>
  <c r="W13" i="32"/>
  <c r="E17" i="12"/>
  <c r="W23" i="32"/>
  <c r="E10" i="12" l="1"/>
  <c r="W17" i="32"/>
  <c r="J23" i="12"/>
  <c r="I23" i="12"/>
  <c r="E26" i="12"/>
  <c r="E21" i="12"/>
  <c r="I17" i="12"/>
  <c r="J17" i="12"/>
  <c r="U36" i="32"/>
  <c r="U40" i="32" s="1"/>
  <c r="W10" i="32"/>
  <c r="E8" i="12"/>
  <c r="I21" i="12" l="1"/>
  <c r="I26" i="12"/>
  <c r="I8" i="12"/>
  <c r="J8" i="12"/>
  <c r="K23" i="12"/>
  <c r="K26" i="12" s="1"/>
  <c r="J26" i="12"/>
  <c r="G26" i="12" s="1"/>
  <c r="W36" i="32"/>
  <c r="W40" i="32" s="1"/>
  <c r="J21" i="12"/>
  <c r="G21" i="12" s="1"/>
  <c r="K17" i="12"/>
  <c r="K21" i="12" s="1"/>
  <c r="E15" i="12"/>
  <c r="E34" i="12" s="1"/>
  <c r="E39" i="12" s="1"/>
  <c r="J10" i="12"/>
  <c r="I10" i="12"/>
  <c r="I15" i="12" l="1"/>
  <c r="I34" i="12" s="1"/>
  <c r="L23" i="12"/>
  <c r="K10" i="12"/>
  <c r="K15" i="12" s="1"/>
  <c r="J15" i="12"/>
  <c r="G15" i="12" s="1"/>
  <c r="L26" i="12"/>
  <c r="F26" i="12"/>
  <c r="H26" i="12" s="1"/>
  <c r="L17" i="12"/>
  <c r="K8" i="12"/>
  <c r="L8" i="12" s="1"/>
  <c r="F21" i="12"/>
  <c r="H21" i="12" s="1"/>
  <c r="L21" i="12"/>
  <c r="J34" i="12" l="1"/>
  <c r="G34" i="12" s="1"/>
  <c r="F34" i="12"/>
  <c r="K34" i="12"/>
  <c r="L34" i="12" s="1"/>
  <c r="L10" i="12"/>
  <c r="L15" i="12"/>
  <c r="F15" i="12"/>
  <c r="H15" i="12" s="1"/>
  <c r="H34" i="12" l="1"/>
  <c r="AC14" i="64"/>
  <c r="AC19" i="64"/>
  <c r="AC28" i="64"/>
  <c r="AC27" i="64"/>
  <c r="AC23" i="64"/>
  <c r="AC18" i="64"/>
  <c r="AG23" i="64" l="1"/>
  <c r="AD23" i="64"/>
  <c r="AF23" i="64" s="1"/>
  <c r="AG27" i="64"/>
  <c r="AD27" i="64"/>
  <c r="AF27" i="64" s="1"/>
  <c r="AG28" i="64"/>
  <c r="AD28" i="64"/>
  <c r="AF28" i="64" s="1"/>
  <c r="AG19" i="64"/>
  <c r="AD19" i="64"/>
  <c r="AF19" i="64" s="1"/>
  <c r="AG14" i="64"/>
  <c r="AD14" i="64"/>
  <c r="AF14" i="64" s="1"/>
  <c r="AG18" i="64"/>
  <c r="AD18" i="64"/>
  <c r="AF18" i="64" s="1"/>
  <c r="AC26" i="64"/>
  <c r="AC12" i="64"/>
  <c r="AC13" i="64"/>
  <c r="AB24" i="64" l="1"/>
  <c r="AC22" i="64"/>
  <c r="AG12" i="64"/>
  <c r="AD12" i="64"/>
  <c r="AF12" i="64" s="1"/>
  <c r="AG13" i="64"/>
  <c r="AD13" i="64"/>
  <c r="AF13" i="64" s="1"/>
  <c r="AG26" i="64"/>
  <c r="AD26" i="64"/>
  <c r="AF26" i="64" s="1"/>
  <c r="AB20" i="64" l="1"/>
  <c r="AC17" i="64"/>
  <c r="AB9" i="64"/>
  <c r="AC8" i="64"/>
  <c r="AB15" i="64"/>
  <c r="AC11" i="64"/>
  <c r="AG22" i="64"/>
  <c r="AC24" i="64"/>
  <c r="AG24" i="64" s="1"/>
  <c r="AD22" i="64"/>
  <c r="AG8" i="64" l="1"/>
  <c r="AC9" i="64"/>
  <c r="AD8" i="64"/>
  <c r="AB30" i="64"/>
  <c r="AB34" i="64" s="1"/>
  <c r="AC20" i="64"/>
  <c r="AG20" i="64" s="1"/>
  <c r="AG17" i="64"/>
  <c r="AD17" i="64"/>
  <c r="AG11" i="64"/>
  <c r="AC15" i="64"/>
  <c r="AG15" i="64" s="1"/>
  <c r="AD11" i="64"/>
  <c r="AD24" i="64"/>
  <c r="AF24" i="64" s="1"/>
  <c r="AF22" i="64"/>
  <c r="AF8" i="64" l="1"/>
  <c r="AD9" i="64"/>
  <c r="AD20" i="64"/>
  <c r="AF20" i="64" s="1"/>
  <c r="AF17" i="64"/>
  <c r="AD15" i="64"/>
  <c r="AF15" i="64" s="1"/>
  <c r="AF11" i="64"/>
  <c r="AG9" i="64"/>
  <c r="AC30" i="64"/>
  <c r="AC34" i="64" l="1"/>
  <c r="AG30" i="64"/>
  <c r="AF9" i="64"/>
  <c r="AD30" i="64"/>
  <c r="AF30" i="64" l="1"/>
  <c r="AD34" i="64"/>
  <c r="AF34" i="64" s="1"/>
  <c r="AG34" i="64"/>
  <c r="AC36" i="64"/>
</calcChain>
</file>

<file path=xl/sharedStrings.xml><?xml version="1.0" encoding="utf-8"?>
<sst xmlns="http://schemas.openxmlformats.org/spreadsheetml/2006/main" count="828" uniqueCount="402">
  <si>
    <t>Schedule</t>
  </si>
  <si>
    <t>Residential</t>
  </si>
  <si>
    <t>Puget Sound Energy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</si>
  <si>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</si>
  <si>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</si>
  <si>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</si>
  <si>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</si>
  <si>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</si>
  <si>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</si>
  <si>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</si>
  <si>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</si>
  <si>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</si>
  <si>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</si>
  <si>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</si>
  <si>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</si>
  <si>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</si>
  <si>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</si>
  <si>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</si>
  <si>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</si>
  <si>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</si>
  <si>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</si>
  <si>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</si>
  <si>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</si>
  <si>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</si>
  <si>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</si>
  <si>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</si>
  <si>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</si>
  <si>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</si>
  <si>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</si>
  <si>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</si>
  <si>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</si>
  <si>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</si>
  <si>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</si>
  <si>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</si>
  <si>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</si>
  <si>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</si>
  <si>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</si>
  <si>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</si>
  <si>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</si>
  <si>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</si>
  <si>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</si>
  <si>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</si>
  <si>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</si>
  <si>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</si>
  <si>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</si>
  <si>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</si>
  <si>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</si>
  <si>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</si>
  <si>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</si>
  <si>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</si>
  <si>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</si>
  <si>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</si>
  <si>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</si>
  <si>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</si>
  <si>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</si>
  <si>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</si>
  <si>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</si>
  <si>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</si>
  <si>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</si>
  <si>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</si>
  <si>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</si>
  <si>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</si>
  <si>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</si>
  <si>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</si>
  <si>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 xml:space="preserve"> </t>
  </si>
  <si>
    <t>Change In Rates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</si>
  <si>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</si>
  <si>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</si>
  <si>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</si>
  <si>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</si>
  <si>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</si>
  <si>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</si>
  <si>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</si>
  <si>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</si>
  <si>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</si>
  <si>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</si>
  <si>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</si>
  <si>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</si>
  <si>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</si>
  <si>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</si>
  <si>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</si>
  <si>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</si>
  <si>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</si>
  <si>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</si>
  <si>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</si>
  <si>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</si>
  <si>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</si>
  <si>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</si>
  <si>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</si>
  <si>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Proposed % to Forecast Revenue</t>
  </si>
  <si>
    <t>(e)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</si>
  <si>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</si>
  <si>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</si>
  <si>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</si>
  <si>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</si>
  <si>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</si>
  <si>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</si>
  <si>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</si>
  <si>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</si>
  <si>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</si>
  <si>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</si>
  <si>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</si>
  <si>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</si>
  <si>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</si>
  <si>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</si>
  <si>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11,25 &amp; 7A</t>
  </si>
  <si>
    <t>12,26 &amp; 26P</t>
  </si>
  <si>
    <t>449&amp;459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</si>
  <si>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</si>
  <si>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</si>
  <si>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</si>
  <si>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</si>
  <si>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</si>
  <si>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</si>
  <si>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</si>
  <si>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</si>
  <si>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</si>
  <si>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</si>
  <si>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</si>
  <si>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</si>
  <si>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</si>
  <si>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</si>
  <si>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</si>
  <si>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</si>
  <si>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</si>
  <si>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</si>
  <si>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</si>
  <si>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</si>
  <si>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</si>
  <si>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</si>
  <si>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</si>
  <si>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</si>
  <si>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</si>
  <si>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</si>
  <si>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</si>
  <si>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</si>
  <si>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</si>
  <si>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</si>
  <si>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</si>
  <si>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</si>
  <si>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</si>
  <si>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</si>
  <si>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</si>
  <si>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</si>
  <si>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Sch 53E</t>
  </si>
  <si>
    <t xml:space="preserve">52E </t>
  </si>
  <si>
    <t>Sch 52E</t>
  </si>
  <si>
    <t>51E</t>
  </si>
  <si>
    <t>Sch 51E</t>
  </si>
  <si>
    <t>Compact Flourescent</t>
  </si>
  <si>
    <t>003</t>
  </si>
  <si>
    <t>Sch 50E</t>
  </si>
  <si>
    <t>Wattage (W)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</si>
  <si>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</si>
  <si>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</si>
  <si>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</si>
  <si>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</si>
  <si>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</si>
  <si>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</si>
  <si>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</si>
  <si>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</si>
  <si>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</si>
  <si>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AA</t>
  </si>
  <si>
    <t>50 - 59</t>
  </si>
  <si>
    <t>50-59</t>
  </si>
  <si>
    <t>Total Lamp Revenue Requirement Based on Inventory</t>
  </si>
  <si>
    <t>Demand-Related</t>
  </si>
  <si>
    <t>Energy-Related</t>
  </si>
  <si>
    <t>Special Contract</t>
  </si>
  <si>
    <t>SC</t>
  </si>
  <si>
    <t>Total Firm Resale</t>
  </si>
  <si>
    <t>Used for Rate Impacts</t>
  </si>
  <si>
    <t>Total Retail Sales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</si>
  <si>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</si>
  <si>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</si>
  <si>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</si>
  <si>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</si>
  <si>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</si>
  <si>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</si>
  <si>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</si>
  <si>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Last ALL Rate Revision Effective Date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</si>
  <si>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</si>
  <si>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</si>
  <si>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</si>
  <si>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</si>
  <si>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</si>
  <si>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</si>
  <si>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Schedule 141Z - EDIT Rider</t>
  </si>
  <si>
    <t>Schedule 142 - Decoupling Rider - Supplemental</t>
  </si>
  <si>
    <t>Schedule 95 - Power Cost Adjustment Clause-Supplemental</t>
  </si>
  <si>
    <t>Smart LED</t>
  </si>
  <si>
    <t>Per kWh - All Lamps</t>
  </si>
  <si>
    <t>10/01/2023</t>
  </si>
  <si>
    <t>F2023</t>
  </si>
  <si>
    <t>Proposed Bill Discount Rate Rider Schedule 129D</t>
  </si>
  <si>
    <t xml:space="preserve">SCHEDULE 129D REVENUE REQUIREMENT </t>
  </si>
  <si>
    <t>Final</t>
  </si>
  <si>
    <t>Rates, effective May 1, 2023</t>
  </si>
  <si>
    <t>Proposed</t>
  </si>
  <si>
    <t>Previous</t>
  </si>
  <si>
    <t>First</t>
  </si>
  <si>
    <t>Second</t>
  </si>
  <si>
    <r>
      <t>Total</t>
    </r>
    <r>
      <rPr>
        <vertAlign val="superscript"/>
        <sz val="8"/>
        <rFont val="Arial"/>
        <family val="2"/>
      </rPr>
      <t>(1)</t>
    </r>
  </si>
  <si>
    <t>Program</t>
  </si>
  <si>
    <t>Discount</t>
  </si>
  <si>
    <t>Block</t>
  </si>
  <si>
    <t>Energy</t>
  </si>
  <si>
    <t>Year's</t>
  </si>
  <si>
    <t>Rate</t>
  </si>
  <si>
    <t>For</t>
  </si>
  <si>
    <t>Number</t>
  </si>
  <si>
    <t>(&lt;600 kWh)</t>
  </si>
  <si>
    <t>(&gt;600 kWh)</t>
  </si>
  <si>
    <t>Assumed</t>
  </si>
  <si>
    <t>Basic</t>
  </si>
  <si>
    <t>Charge</t>
  </si>
  <si>
    <r>
      <t>Net</t>
    </r>
    <r>
      <rPr>
        <vertAlign val="superscript"/>
        <sz val="8"/>
        <rFont val="Arial"/>
        <family val="2"/>
      </rPr>
      <t>(2)</t>
    </r>
  </si>
  <si>
    <t>PSE HELP</t>
  </si>
  <si>
    <t>Rider</t>
  </si>
  <si>
    <t>Line</t>
  </si>
  <si>
    <t>Electric</t>
  </si>
  <si>
    <t>BDR</t>
  </si>
  <si>
    <t>of</t>
  </si>
  <si>
    <t>Growth</t>
  </si>
  <si>
    <t>First block</t>
  </si>
  <si>
    <t>Second block</t>
  </si>
  <si>
    <t>Revenue</t>
  </si>
  <si>
    <t>Credits</t>
  </si>
  <si>
    <t>Administrative</t>
  </si>
  <si>
    <t>Unspent</t>
  </si>
  <si>
    <t>No.</t>
  </si>
  <si>
    <t>Bills</t>
  </si>
  <si>
    <t>$/bill</t>
  </si>
  <si>
    <t>$/kWh</t>
  </si>
  <si>
    <t>$</t>
  </si>
  <si>
    <t>To be Given</t>
  </si>
  <si>
    <r>
      <t xml:space="preserve">Costs 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</t>
    </r>
  </si>
  <si>
    <t>Requirement</t>
  </si>
  <si>
    <t>Funds</t>
  </si>
  <si>
    <t>E</t>
  </si>
  <si>
    <t>F</t>
  </si>
  <si>
    <t>G</t>
  </si>
  <si>
    <t>H</t>
  </si>
  <si>
    <t>I</t>
  </si>
  <si>
    <t>J</t>
  </si>
  <si>
    <t>K</t>
  </si>
  <si>
    <t>L = (E*I + F*J + G*K)</t>
  </si>
  <si>
    <r>
      <t xml:space="preserve">M = L * </t>
    </r>
    <r>
      <rPr>
        <b/>
        <sz val="8"/>
        <rFont val="Arial"/>
        <family val="2"/>
      </rPr>
      <t>D</t>
    </r>
  </si>
  <si>
    <t>N</t>
  </si>
  <si>
    <r>
      <t>O = (M +N ) / RSI</t>
    </r>
    <r>
      <rPr>
        <vertAlign val="superscript"/>
        <sz val="8"/>
        <rFont val="Arial"/>
        <family val="2"/>
      </rPr>
      <t>(3)</t>
    </r>
  </si>
  <si>
    <t>P</t>
  </si>
  <si>
    <t>R = O - P</t>
  </si>
  <si>
    <t>Residential Bill Discount Rate - Tier 1</t>
  </si>
  <si>
    <t>7BDR</t>
  </si>
  <si>
    <t xml:space="preserve"> T1: 0% FPL to ≤ 20% FPL</t>
  </si>
  <si>
    <t>Residential Bill Discount Rate - Tier 2</t>
  </si>
  <si>
    <t xml:space="preserve"> T2: &gt;20% FPL to ≤ 50% FPL</t>
  </si>
  <si>
    <t>Residential Bill Discount Rate - Tier 3</t>
  </si>
  <si>
    <t xml:space="preserve"> T3: &gt;50% FPL to ≤ 100% FPL</t>
  </si>
  <si>
    <t>Residential Bill Discount Rate - Tier 4</t>
  </si>
  <si>
    <t xml:space="preserve"> T4: &gt;100% FPL to ≤ 150% FPL</t>
  </si>
  <si>
    <t>Residential Bill Discount Rate - Tier 5</t>
  </si>
  <si>
    <t xml:space="preserve"> T5: &gt;150% FPL to ≤ 200% FPL</t>
  </si>
  <si>
    <t>Residential Bill Discount Rate - Tier 6</t>
  </si>
  <si>
    <t xml:space="preserve"> T6: &gt;200% FPL &amp; ≤ 80% AMI </t>
  </si>
  <si>
    <t>Total - Electric</t>
  </si>
  <si>
    <r>
      <t>Unspent PSE HELP funding - Electric</t>
    </r>
    <r>
      <rPr>
        <vertAlign val="superscript"/>
        <sz val="8"/>
        <rFont val="Arial"/>
        <family val="2"/>
      </rPr>
      <t>(5)</t>
    </r>
  </si>
  <si>
    <r>
      <t>Revenue Requirement - Electric</t>
    </r>
    <r>
      <rPr>
        <b/>
        <vertAlign val="superscript"/>
        <sz val="8"/>
        <rFont val="Arial"/>
        <family val="2"/>
      </rPr>
      <t>(4,5)</t>
    </r>
  </si>
  <si>
    <t>Notes:</t>
  </si>
  <si>
    <t>(1)</t>
  </si>
  <si>
    <t>Includes all volumetric charges, including riders and trackers.</t>
  </si>
  <si>
    <t>(2)</t>
  </si>
  <si>
    <t>Net bill includes all charges but does not include any optional or voluntary schedules.</t>
  </si>
  <si>
    <t>(3)</t>
  </si>
  <si>
    <t>RSI means revenue sensitive items adjustment, including taxes, bad debt, and annual filing fee.</t>
  </si>
  <si>
    <t>(4)</t>
  </si>
  <si>
    <t>* Note: Docket Number filed but not yet approved UE-230591 (proposed effective date August 1, 2023)</t>
  </si>
  <si>
    <t>Used for allocation of Schedule 129 and Schedule 129D Revenue Requirement</t>
  </si>
  <si>
    <t>Cross check</t>
  </si>
  <si>
    <t>Schedule 141CEI Clean Energy Implementation Plan *</t>
  </si>
  <si>
    <t>Schedule 141COL
Colstrip Adjustment</t>
  </si>
  <si>
    <t>Schedule 141N
Rates Not Subject to Refund</t>
  </si>
  <si>
    <t>Schedule 141R
Rates Subject to Refund</t>
  </si>
  <si>
    <t>Schedule 141TEP Transportation Electrification Plan</t>
  </si>
  <si>
    <t>Subtotal of
Estimated Applicable
Rider Revenue **</t>
  </si>
  <si>
    <t>Schedule 129D - Bill Discount Rate Rider</t>
  </si>
  <si>
    <t>Schedule 141A - Energy Charge Credit Recovery Adjustment</t>
  </si>
  <si>
    <t>Schedule 141CEI Clean Energy Implementation Plan*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</si>
  <si>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</si>
  <si>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</si>
  <si>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</si>
  <si>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</si>
  <si>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t>Year</t>
  </si>
  <si>
    <t>Month No.</t>
  </si>
  <si>
    <t>Forecast kWh</t>
  </si>
  <si>
    <t>Forecast Customer Count</t>
  </si>
  <si>
    <t>Average Use per Customer</t>
  </si>
  <si>
    <t>Average</t>
  </si>
  <si>
    <t>Estimated Revenue October 1, 2023 through September 29, 2024 (All Riders + Base) Rates Effective 5/1/2023</t>
  </si>
  <si>
    <t>Lighting Rate Design</t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</si>
  <si>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</si>
  <si>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Energy-Related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</si>
  <si>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 &amp; Energy-Related
Base Rate
Effective 
</t>
    </r>
    <r>
      <rPr>
        <b/>
        <sz val="8"/>
        <color rgb="FF0033CC"/>
        <rFont val="Arial"/>
        <family val="2"/>
      </rPr>
      <t>1/11/2023</t>
    </r>
  </si>
  <si>
    <t>Base Lamp Demand &amp; Energy Cost</t>
  </si>
  <si>
    <t>(c)</t>
  </si>
  <si>
    <t>(g)</t>
  </si>
  <si>
    <t>(h)</t>
  </si>
  <si>
    <t>= (a) + (b)</t>
  </si>
  <si>
    <t>= (c) * (AA)</t>
  </si>
  <si>
    <t>= (c) * (e)</t>
  </si>
  <si>
    <t>= (d) * (e)</t>
  </si>
  <si>
    <t xml:space="preserve"> = (g) / (f)</t>
  </si>
  <si>
    <t>Lighting Revenue Requirement Allocation</t>
  </si>
  <si>
    <t>Difference due to rounding adjustment</t>
  </si>
  <si>
    <t>Cross Check</t>
  </si>
  <si>
    <t>50E</t>
  </si>
  <si>
    <t>0-30</t>
  </si>
  <si>
    <t>30 - 60</t>
  </si>
  <si>
    <t>53E</t>
  </si>
  <si>
    <t>Smart LED (Company)</t>
  </si>
  <si>
    <t>0 - 30</t>
  </si>
  <si>
    <t>Proposed Schedule 129D Bill Discount Lamp Charge</t>
  </si>
  <si>
    <r>
      <t xml:space="preserve">Annual Lamp Inventory @ </t>
    </r>
    <r>
      <rPr>
        <b/>
        <sz val="8"/>
        <color rgb="FF0033CC"/>
        <rFont val="Arial"/>
        <family val="2"/>
      </rPr>
      <t>6/2023</t>
    </r>
  </si>
  <si>
    <t>Proposed Schedule 129D Lamp Revenue</t>
  </si>
  <si>
    <t>Ratio of Schedule SCH 129D Revenue Requirement to Base Demand &amp; Energy Light Charge Cost</t>
  </si>
  <si>
    <t>Bill Discount Revenue Requirement</t>
  </si>
  <si>
    <t>Bill Discount Revenue Requirement as % of Total Revenue Adj for Firm Resale</t>
  </si>
  <si>
    <t>Total Sales less Firm Resale</t>
  </si>
  <si>
    <t>cross check</t>
  </si>
  <si>
    <t>Annual kWh Delivered Sales  10/01/23 to 09/30/24 (F2023)</t>
  </si>
  <si>
    <t>Estimated Base Revenue October 1, 2023 through September 30, 2024</t>
  </si>
  <si>
    <t>Estimated Schedule 95
PCA Revenue</t>
  </si>
  <si>
    <t>Estimated Schedule 95
PCORC Revenue</t>
  </si>
  <si>
    <t>Estimated Schedule 141X (Pass-back)
ERF Revenue</t>
  </si>
  <si>
    <t>Estimated Schedule 141Z (Unprotected)
EDIT Revenue</t>
  </si>
  <si>
    <t>Estimated Schedule 142
 Deferral Revenue</t>
  </si>
  <si>
    <t>Estimated Schedule 142
Supplemental Revenue</t>
  </si>
  <si>
    <t>Total Estimated Applicable Revenue</t>
  </si>
  <si>
    <t>Remove:</t>
  </si>
  <si>
    <t>Add:</t>
  </si>
  <si>
    <t>Tariff</t>
  </si>
  <si>
    <t>Net Adjustments</t>
  </si>
  <si>
    <t>% Change (Net)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</si>
  <si>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</si>
  <si>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</si>
  <si>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</si>
  <si>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</si>
  <si>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</si>
  <si>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</si>
  <si>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</si>
  <si>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Retail Sales</t>
  </si>
  <si>
    <t>* Note: Docket Number filed but not yet approved UE-230591</t>
  </si>
  <si>
    <t>Schedule 140
Property Tax</t>
  </si>
  <si>
    <t>** Note: Applicable (Base) Revenue includes Sch. 95 (PCA &amp; PCORC), SCH 140 (Property Tax), Sch. 141 (ERF), Sch. 141CEI (CEIP)*, Sch. 141COL (Colstrip), Sch. 141N (Rates not subject to refund), Sch. 141R (Rates subject to refund), Sch. 141TEP (Transportation Electrification Plan), Sch. 141x (Pass-Back) &amp; Sch. 141z (Unprotected EDIT)</t>
  </si>
  <si>
    <t>No Projected BDR administrative cost for 2023 filing per GRC settlement, page 23, section 37.i. approved in Final Order 24/10 in Docket UE-220066.</t>
  </si>
  <si>
    <t>(5)</t>
  </si>
  <si>
    <t>Unspent PSE HELP funds from the 2021-2022 program year</t>
  </si>
  <si>
    <t>(6)</t>
  </si>
  <si>
    <r>
      <t>Billing determinants</t>
    </r>
    <r>
      <rPr>
        <vertAlign val="superscript"/>
        <sz val="8"/>
        <rFont val="Arial"/>
        <family val="2"/>
      </rPr>
      <t>(7)</t>
    </r>
  </si>
  <si>
    <t>/Implied</t>
  </si>
  <si>
    <t xml:space="preserve">Income </t>
  </si>
  <si>
    <r>
      <t xml:space="preserve">Tiers </t>
    </r>
    <r>
      <rPr>
        <vertAlign val="superscript"/>
        <sz val="8"/>
        <rFont val="Arial"/>
        <family val="2"/>
      </rPr>
      <t>(6)</t>
    </r>
  </si>
  <si>
    <t>Delivery</t>
  </si>
  <si>
    <t>Gas</t>
  </si>
  <si>
    <t>Therms</t>
  </si>
  <si>
    <t>$/therm</t>
  </si>
  <si>
    <t>23BDR</t>
  </si>
  <si>
    <t>Total - Gas</t>
  </si>
  <si>
    <r>
      <t>Unspent PSE HELP funding - Gas</t>
    </r>
    <r>
      <rPr>
        <vertAlign val="superscript"/>
        <sz val="8"/>
        <rFont val="Arial"/>
        <family val="2"/>
      </rPr>
      <t>(5)</t>
    </r>
  </si>
  <si>
    <r>
      <t>Revenue Requirement - Gas</t>
    </r>
    <r>
      <rPr>
        <b/>
        <vertAlign val="superscript"/>
        <sz val="8"/>
        <rFont val="Arial"/>
        <family val="2"/>
      </rPr>
      <t>(4,5)</t>
    </r>
  </si>
  <si>
    <t>Total - Electric and Gas</t>
  </si>
  <si>
    <r>
      <t>Revenue Requirement - Total</t>
    </r>
    <r>
      <rPr>
        <b/>
        <vertAlign val="superscript"/>
        <sz val="8"/>
        <rFont val="Arial"/>
        <family val="2"/>
      </rPr>
      <t>(4,5)</t>
    </r>
  </si>
  <si>
    <t>FPL = Federal Poverty Level; AMI = Area (County) Median Income</t>
  </si>
  <si>
    <t>(7)</t>
  </si>
  <si>
    <t xml:space="preserve">Assumes 70,000 customers in gas BDR by January 1, 2023, and 70,000 customers in electric BDR by October 1, 2024. Per Order 01 (Aug 3, 2023) in Docket UG-230470 (PSE's 2023 Gas CCA tariff), PSE is required to enroll a targeted 70,000 customers into energy assistance or bill assistance program by January 1, 2023. </t>
  </si>
  <si>
    <t>Note 1: Applicable (Base) Revenue includes Sch. 95 (PCA &amp; PCORC), SCH 140 (Property Tax), Sch. 141 (ERF), Sch. 141CEI (CEIP)*, Sch. 141COL (Colstrip), Sch. 141N (Rates not subject to refund), Sch. 141R (Rates subject to refund), Sch. 141TEP (Transportation Electrification Plan), Sch. 141x (Pass-Back) &amp; Sch. 141z (Unprotected EDIT)</t>
  </si>
  <si>
    <t>Rate Impacts</t>
  </si>
  <si>
    <t>Test Year Ended September 30, 2024</t>
  </si>
  <si>
    <t>Proposed Effective date October 1, 2023</t>
  </si>
  <si>
    <t>Estimated Annual
Base Revenue
Rates Effective
01/11/23</t>
  </si>
  <si>
    <t>Schedule 95
PCA Supplemental</t>
  </si>
  <si>
    <t>Schedule 95
PCORC</t>
  </si>
  <si>
    <t>Schedule 95A
Federal Incentive Credit</t>
  </si>
  <si>
    <t>Schedule 120
Conservation</t>
  </si>
  <si>
    <t>Schedule 129
Low Income</t>
  </si>
  <si>
    <t xml:space="preserve">Schedule 129D
Bill Discount </t>
  </si>
  <si>
    <t xml:space="preserve">Schedule 139 Green Direct </t>
  </si>
  <si>
    <t>Schedule 139 Green Direct Supplemental</t>
  </si>
  <si>
    <t>Schedule 141A
Energy Charge Credit</t>
  </si>
  <si>
    <t>Schedule 141TEP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</si>
  <si>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</si>
  <si>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</si>
  <si>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</si>
  <si>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</si>
  <si>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</si>
  <si>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05/01/23</t>
  </si>
  <si>
    <t>Total 
Proposed
Rates at 10/01/2023</t>
  </si>
  <si>
    <t>Current  Average 
Rates per KWHs</t>
  </si>
  <si>
    <t>Proposed Average 
Rates per KWHs</t>
  </si>
  <si>
    <t>Present Rates Effective 05/01/2023</t>
  </si>
  <si>
    <t>Proposed Rates Effective 10/01/2023</t>
  </si>
  <si>
    <t>Average Residential Usage Test Year Ended September 30,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</si>
</sst>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0.000%"/>
    <numFmt numFmtId="169" formatCode="0.0000\ \¢"/>
    <numFmt numFmtId="170" formatCode="_(* #,##0.000000_);_(* \(#,##0.000000\);_(* &quot;-&quot;??_);_(@_)"/>
    <numFmt numFmtId="171" formatCode="mm/dd/yy;@"/>
    <numFmt numFmtId="172" formatCode="_(&quot;$&quot;* #,##0.000000_);_(&quot;$&quot;* \(#,##0.000000\);_(&quot;$&quot;* &quot;-&quot;??????_);_(@_)"/>
    <numFmt numFmtId="173" formatCode="0.0%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vertAlign val="superscript"/>
      <sz val="8"/>
      <name val="Arial"/>
      <family val="2"/>
    </font>
    <font>
      <b/>
      <sz val="8"/>
      <color rgb="FFFF0000"/>
      <name val="Arial"/>
      <family val="2"/>
    </font>
    <font>
      <sz val="12"/>
      <name val="Times New Roman"/>
      <family val="1"/>
    </font>
    <font>
      <sz val="8"/>
      <color rgb="FF006666"/>
      <name val="Arial"/>
      <family val="2"/>
    </font>
    <font>
      <b/>
      <vertAlign val="superscript"/>
      <sz val="8"/>
      <name val="Arial"/>
      <family val="2"/>
    </font>
    <font>
      <b/>
      <sz val="8"/>
      <color rgb="FF008080"/>
      <name val="Arial"/>
      <family val="2"/>
    </font>
    <font>
      <b/>
      <i/>
      <u/>
      <sz val="8"/>
      <name val="Arial"/>
      <family val="2"/>
    </font>
    <font>
      <b/>
      <sz val="8"/>
      <color rgb="FF0033CC"/>
      <name val="Arial"/>
      <family val="2"/>
    </font>
    <font>
      <sz val="8"/>
      <color rgb="FF0033CC"/>
      <name val="Arial"/>
      <family val="2"/>
    </font>
    <font>
      <sz val="8"/>
      <color theme="1" tint="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4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64">
    <xf numFmtId="0" fontId="0" fillId="0" borderId="0" xfId="0"/>
    <xf numFmtId="0" fontId="6" fillId="0" borderId="0" xfId="0" applyFont="1" applyAlignment="1">
      <alignment horizontal="centerContinuous"/>
    </xf>
    <xf numFmtId="0" fontId="2" fillId="0" borderId="0" xfId="0" applyFont="1"/>
    <xf numFmtId="0" fontId="2" fillId="0" borderId="0" xfId="0" quotePrefix="1" applyFont="1" applyAlignment="1">
      <alignment horizontal="center"/>
    </xf>
    <xf numFmtId="167" fontId="2" fillId="0" borderId="0" xfId="0" applyNumberFormat="1" applyFont="1"/>
    <xf numFmtId="44" fontId="2" fillId="0" borderId="0" xfId="8" applyFont="1"/>
    <xf numFmtId="44" fontId="2" fillId="0" borderId="0" xfId="0" applyNumberFormat="1" applyFont="1"/>
    <xf numFmtId="0" fontId="2" fillId="0" borderId="0" xfId="0" quotePrefix="1" applyFont="1" applyAlignment="1">
      <alignment horizontal="left"/>
    </xf>
    <xf numFmtId="44" fontId="2" fillId="0" borderId="5" xfId="8" applyFont="1" applyBorder="1"/>
    <xf numFmtId="0" fontId="2" fillId="0" borderId="0" xfId="0" applyFont="1" applyAlignment="1">
      <alignment horizontal="left"/>
    </xf>
    <xf numFmtId="167" fontId="2" fillId="0" borderId="5" xfId="0" applyNumberFormat="1" applyFont="1" applyBorder="1"/>
    <xf numFmtId="0" fontId="2" fillId="0" borderId="6" xfId="0" applyFont="1" applyBorder="1"/>
    <xf numFmtId="0" fontId="2" fillId="0" borderId="0" xfId="0" applyFont="1" applyAlignment="1">
      <alignment horizontal="center" wrapText="1"/>
    </xf>
    <xf numFmtId="171" fontId="2" fillId="0" borderId="0" xfId="0" applyNumberFormat="1" applyFont="1"/>
    <xf numFmtId="0" fontId="6" fillId="0" borderId="0" xfId="0" applyFont="1" applyAlignment="1">
      <alignment horizontal="center"/>
    </xf>
    <xf numFmtId="0" fontId="2" fillId="0" borderId="0" xfId="0" quotePrefix="1" applyFont="1" applyAlignment="1">
      <alignment horizont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167" fontId="9" fillId="0" borderId="0" xfId="4" quotePrefix="1" applyNumberFormat="1" applyFont="1" applyFill="1" applyAlignment="1">
      <alignment horizontal="left"/>
    </xf>
    <xf numFmtId="164" fontId="2" fillId="0" borderId="0" xfId="0" quotePrefix="1" applyNumberFormat="1" applyFont="1" applyAlignment="1">
      <alignment horizontal="left"/>
    </xf>
    <xf numFmtId="164" fontId="9" fillId="0" borderId="0" xfId="0" quotePrefix="1" applyNumberFormat="1" applyFont="1" applyAlignment="1">
      <alignment horizontal="left"/>
    </xf>
    <xf numFmtId="0" fontId="9" fillId="0" borderId="0" xfId="0" applyFont="1"/>
    <xf numFmtId="167" fontId="2" fillId="0" borderId="2" xfId="4" applyNumberFormat="1" applyFont="1" applyFill="1" applyBorder="1"/>
    <xf numFmtId="164" fontId="2" fillId="0" borderId="2" xfId="0" applyNumberFormat="1" applyFont="1" applyBorder="1"/>
    <xf numFmtId="167" fontId="2" fillId="0" borderId="0" xfId="4" applyNumberFormat="1" applyFont="1" applyFill="1" applyBorder="1"/>
    <xf numFmtId="164" fontId="2" fillId="0" borderId="0" xfId="0" applyNumberFormat="1" applyFont="1"/>
    <xf numFmtId="0" fontId="2" fillId="0" borderId="0" xfId="0" quotePrefix="1" applyFont="1" applyAlignment="1">
      <alignment horizontal="left" indent="1"/>
    </xf>
    <xf numFmtId="167" fontId="2" fillId="0" borderId="0" xfId="4" applyNumberFormat="1" applyFont="1" applyFill="1"/>
    <xf numFmtId="167" fontId="9" fillId="0" borderId="2" xfId="4" applyNumberFormat="1" applyFont="1" applyFill="1" applyBorder="1"/>
    <xf numFmtId="164" fontId="9" fillId="0" borderId="2" xfId="0" applyNumberFormat="1" applyFont="1" applyBorder="1"/>
    <xf numFmtId="167" fontId="2" fillId="0" borderId="5" xfId="4" applyNumberFormat="1" applyFont="1" applyFill="1" applyBorder="1"/>
    <xf numFmtId="164" fontId="2" fillId="0" borderId="5" xfId="0" applyNumberFormat="1" applyFont="1" applyBorder="1"/>
    <xf numFmtId="167" fontId="2" fillId="0" borderId="7" xfId="4" applyNumberFormat="1" applyFont="1" applyFill="1" applyBorder="1"/>
    <xf numFmtId="164" fontId="2" fillId="0" borderId="7" xfId="0" applyNumberFormat="1" applyFont="1" applyBorder="1"/>
    <xf numFmtId="0" fontId="6" fillId="0" borderId="6" xfId="0" applyFont="1" applyBorder="1" applyAlignment="1">
      <alignment horizontal="center" wrapText="1"/>
    </xf>
    <xf numFmtId="0" fontId="6" fillId="0" borderId="6" xfId="0" quotePrefix="1" applyFont="1" applyBorder="1" applyAlignment="1">
      <alignment horizontal="center" wrapText="1"/>
    </xf>
    <xf numFmtId="0" fontId="12" fillId="0" borderId="0" xfId="0" applyFont="1"/>
    <xf numFmtId="167" fontId="12" fillId="0" borderId="0" xfId="4" applyNumberFormat="1" applyFont="1" applyFill="1"/>
    <xf numFmtId="164" fontId="12" fillId="0" borderId="0" xfId="0" applyNumberFormat="1" applyFont="1"/>
    <xf numFmtId="0" fontId="6" fillId="0" borderId="0" xfId="0" applyFont="1"/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4" xfId="0" quotePrefix="1" applyFont="1" applyBorder="1" applyAlignment="1">
      <alignment horizontal="center" wrapText="1"/>
    </xf>
    <xf numFmtId="166" fontId="2" fillId="0" borderId="0" xfId="0" applyNumberFormat="1" applyFont="1"/>
    <xf numFmtId="16" fontId="2" fillId="0" borderId="0" xfId="0" quotePrefix="1" applyNumberFormat="1" applyFont="1" applyAlignment="1">
      <alignment horizontal="center"/>
    </xf>
    <xf numFmtId="164" fontId="2" fillId="0" borderId="0" xfId="1" applyNumberFormat="1" applyFont="1" applyFill="1" applyBorder="1"/>
    <xf numFmtId="0" fontId="2" fillId="0" borderId="1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67" fontId="2" fillId="0" borderId="4" xfId="0" quotePrefix="1" applyNumberFormat="1" applyFont="1" applyBorder="1" applyAlignment="1">
      <alignment horizontal="center" wrapText="1"/>
    </xf>
    <xf numFmtId="0" fontId="2" fillId="0" borderId="4" xfId="0" quotePrefix="1" applyFont="1" applyBorder="1" applyAlignment="1">
      <alignment horizontal="center" wrapText="1"/>
    </xf>
    <xf numFmtId="0" fontId="2" fillId="0" borderId="16" xfId="0" quotePrefix="1" applyFont="1" applyBorder="1" applyAlignment="1">
      <alignment horizontal="center" wrapText="1"/>
    </xf>
    <xf numFmtId="167" fontId="2" fillId="0" borderId="4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14" xfId="0" applyFont="1" applyBorder="1"/>
    <xf numFmtId="10" fontId="2" fillId="0" borderId="14" xfId="0" applyNumberFormat="1" applyFont="1" applyBorder="1"/>
    <xf numFmtId="169" fontId="2" fillId="0" borderId="0" xfId="0" applyNumberFormat="1" applyFont="1"/>
    <xf numFmtId="0" fontId="2" fillId="0" borderId="15" xfId="0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167" fontId="2" fillId="0" borderId="4" xfId="0" applyNumberFormat="1" applyFont="1" applyBorder="1"/>
    <xf numFmtId="0" fontId="2" fillId="0" borderId="4" xfId="0" applyFont="1" applyBorder="1"/>
    <xf numFmtId="164" fontId="2" fillId="0" borderId="4" xfId="0" applyNumberFormat="1" applyFont="1" applyBorder="1"/>
    <xf numFmtId="168" fontId="2" fillId="0" borderId="16" xfId="0" applyNumberFormat="1" applyFont="1" applyBorder="1"/>
    <xf numFmtId="0" fontId="6" fillId="0" borderId="13" xfId="0" applyFont="1" applyBorder="1" applyAlignment="1">
      <alignment horizontal="centerContinuous"/>
    </xf>
    <xf numFmtId="167" fontId="6" fillId="0" borderId="0" xfId="0" applyNumberFormat="1" applyFont="1" applyAlignment="1">
      <alignment horizontal="centerContinuous"/>
    </xf>
    <xf numFmtId="0" fontId="6" fillId="0" borderId="14" xfId="0" applyFont="1" applyBorder="1" applyAlignment="1">
      <alignment horizontal="centerContinuous"/>
    </xf>
    <xf numFmtId="0" fontId="6" fillId="0" borderId="15" xfId="0" applyFont="1" applyBorder="1" applyAlignment="1">
      <alignment horizontal="center" wrapText="1"/>
    </xf>
    <xf numFmtId="167" fontId="6" fillId="0" borderId="4" xfId="0" quotePrefix="1" applyNumberFormat="1" applyFont="1" applyBorder="1" applyAlignment="1">
      <alignment horizontal="center" wrapText="1"/>
    </xf>
    <xf numFmtId="0" fontId="6" fillId="0" borderId="16" xfId="0" quotePrefix="1" applyFont="1" applyBorder="1" applyAlignment="1">
      <alignment horizontal="center" wrapText="1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7" fontId="2" fillId="0" borderId="0" xfId="0" applyNumberFormat="1" applyFont="1"/>
    <xf numFmtId="37" fontId="2" fillId="0" borderId="0" xfId="0" applyNumberFormat="1" applyFont="1"/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37" fontId="2" fillId="0" borderId="0" xfId="0" applyNumberFormat="1" applyFont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7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7" fontId="6" fillId="0" borderId="0" xfId="0" applyNumberFormat="1" applyFont="1" applyAlignment="1">
      <alignment horizontal="center" vertical="center"/>
    </xf>
    <xf numFmtId="7" fontId="2" fillId="0" borderId="6" xfId="0" applyNumberFormat="1" applyFont="1" applyBorder="1" applyAlignment="1">
      <alignment horizontal="center" vertical="center"/>
    </xf>
    <xf numFmtId="37" fontId="2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7" fontId="2" fillId="0" borderId="0" xfId="0" applyNumberFormat="1" applyFont="1" applyAlignment="1">
      <alignment horizontal="center" vertical="center" wrapText="1"/>
    </xf>
    <xf numFmtId="37" fontId="2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vertical="center"/>
    </xf>
    <xf numFmtId="9" fontId="7" fillId="0" borderId="0" xfId="0" applyNumberFormat="1" applyFont="1"/>
    <xf numFmtId="167" fontId="16" fillId="0" borderId="0" xfId="4" applyNumberFormat="1" applyFont="1"/>
    <xf numFmtId="164" fontId="2" fillId="0" borderId="0" xfId="1" applyNumberFormat="1" applyFont="1"/>
    <xf numFmtId="164" fontId="2" fillId="0" borderId="0" xfId="1" applyNumberFormat="1" applyFont="1" applyFill="1"/>
    <xf numFmtId="9" fontId="2" fillId="0" borderId="0" xfId="10" applyFont="1"/>
    <xf numFmtId="9" fontId="2" fillId="0" borderId="0" xfId="10" applyFont="1" applyBorder="1"/>
    <xf numFmtId="164" fontId="2" fillId="0" borderId="0" xfId="6" applyNumberFormat="1" applyFont="1" applyFill="1"/>
    <xf numFmtId="37" fontId="6" fillId="0" borderId="6" xfId="0" applyNumberFormat="1" applyFont="1" applyBorder="1"/>
    <xf numFmtId="37" fontId="2" fillId="0" borderId="6" xfId="0" applyNumberFormat="1" applyFont="1" applyBorder="1"/>
    <xf numFmtId="164" fontId="6" fillId="0" borderId="6" xfId="0" applyNumberFormat="1" applyFont="1" applyBorder="1"/>
    <xf numFmtId="37" fontId="6" fillId="0" borderId="0" xfId="0" applyNumberFormat="1" applyFont="1"/>
    <xf numFmtId="164" fontId="6" fillId="0" borderId="0" xfId="0" applyNumberFormat="1" applyFont="1"/>
    <xf numFmtId="0" fontId="13" fillId="0" borderId="0" xfId="0" quotePrefix="1" applyFont="1" applyAlignment="1">
      <alignment horizontal="center" vertical="top"/>
    </xf>
    <xf numFmtId="9" fontId="18" fillId="0" borderId="0" xfId="0" applyNumberFormat="1" applyFont="1"/>
    <xf numFmtId="44" fontId="9" fillId="0" borderId="0" xfId="1" applyFont="1" applyFill="1"/>
    <xf numFmtId="166" fontId="9" fillId="0" borderId="0" xfId="1" applyNumberFormat="1" applyFont="1" applyFill="1"/>
    <xf numFmtId="164" fontId="9" fillId="0" borderId="0" xfId="1" applyNumberFormat="1" applyFont="1" applyFill="1"/>
    <xf numFmtId="0" fontId="2" fillId="0" borderId="0" xfId="11" applyFont="1"/>
    <xf numFmtId="17" fontId="6" fillId="0" borderId="6" xfId="11" quotePrefix="1" applyNumberFormat="1" applyFont="1" applyBorder="1" applyAlignment="1">
      <alignment horizontal="center" wrapText="1"/>
    </xf>
    <xf numFmtId="164" fontId="8" fillId="0" borderId="0" xfId="0" quotePrefix="1" applyNumberFormat="1" applyFont="1" applyAlignment="1">
      <alignment horizontal="left"/>
    </xf>
    <xf numFmtId="164" fontId="8" fillId="0" borderId="2" xfId="0" applyNumberFormat="1" applyFont="1" applyBorder="1"/>
    <xf numFmtId="0" fontId="6" fillId="0" borderId="0" xfId="11" applyFont="1" applyAlignment="1">
      <alignment horizontal="centerContinuous" vertical="center"/>
    </xf>
    <xf numFmtId="0" fontId="6" fillId="0" borderId="0" xfId="11" applyFont="1" applyAlignment="1">
      <alignment horizontal="centerContinuous"/>
    </xf>
    <xf numFmtId="0" fontId="6" fillId="0" borderId="0" xfId="11" applyFont="1"/>
    <xf numFmtId="0" fontId="2" fillId="0" borderId="0" xfId="11" applyFont="1" applyAlignment="1">
      <alignment horizontal="centerContinuous" vertical="center"/>
    </xf>
    <xf numFmtId="0" fontId="2" fillId="0" borderId="0" xfId="11" quotePrefix="1" applyFont="1" applyAlignment="1">
      <alignment horizontal="center"/>
    </xf>
    <xf numFmtId="0" fontId="2" fillId="0" borderId="6" xfId="11" applyFont="1" applyBorder="1" applyAlignment="1">
      <alignment horizontal="center" wrapText="1"/>
    </xf>
    <xf numFmtId="0" fontId="2" fillId="0" borderId="6" xfId="11" quotePrefix="1" applyFont="1" applyBorder="1" applyAlignment="1">
      <alignment horizontal="center" wrapText="1"/>
    </xf>
    <xf numFmtId="0" fontId="8" fillId="0" borderId="0" xfId="11" applyFont="1"/>
    <xf numFmtId="167" fontId="2" fillId="0" borderId="0" xfId="11" applyNumberFormat="1" applyFont="1"/>
    <xf numFmtId="44" fontId="2" fillId="0" borderId="0" xfId="11" applyNumberFormat="1" applyFont="1"/>
    <xf numFmtId="10" fontId="2" fillId="0" borderId="0" xfId="5" applyNumberFormat="1" applyFont="1"/>
    <xf numFmtId="0" fontId="2" fillId="0" borderId="0" xfId="11" quotePrefix="1" applyFont="1" applyAlignment="1">
      <alignment horizontal="left"/>
    </xf>
    <xf numFmtId="167" fontId="2" fillId="0" borderId="5" xfId="11" applyNumberFormat="1" applyFont="1" applyBorder="1"/>
    <xf numFmtId="10" fontId="2" fillId="0" borderId="5" xfId="5" applyNumberFormat="1" applyFont="1" applyBorder="1"/>
    <xf numFmtId="0" fontId="2" fillId="0" borderId="0" xfId="11" applyFont="1" applyAlignment="1">
      <alignment horizontal="left"/>
    </xf>
    <xf numFmtId="44" fontId="2" fillId="0" borderId="5" xfId="11" applyNumberFormat="1" applyFont="1" applyBorder="1"/>
    <xf numFmtId="167" fontId="8" fillId="2" borderId="5" xfId="11" applyNumberFormat="1" applyFont="1" applyFill="1" applyBorder="1"/>
    <xf numFmtId="10" fontId="2" fillId="2" borderId="5" xfId="5" applyNumberFormat="1" applyFont="1" applyFill="1" applyBorder="1"/>
    <xf numFmtId="0" fontId="2" fillId="0" borderId="6" xfId="11" quotePrefix="1" applyFont="1" applyBorder="1" applyAlignment="1">
      <alignment horizontal="left"/>
    </xf>
    <xf numFmtId="0" fontId="2" fillId="0" borderId="6" xfId="11" applyFont="1" applyBorder="1"/>
    <xf numFmtId="0" fontId="18" fillId="4" borderId="3" xfId="11" quotePrefix="1" applyFont="1" applyFill="1" applyBorder="1" applyAlignment="1">
      <alignment horizontal="center" wrapText="1"/>
    </xf>
    <xf numFmtId="0" fontId="18" fillId="2" borderId="3" xfId="11" quotePrefix="1" applyFont="1" applyFill="1" applyBorder="1" applyAlignment="1">
      <alignment horizontal="center" wrapText="1"/>
    </xf>
    <xf numFmtId="0" fontId="2" fillId="0" borderId="17" xfId="11" quotePrefix="1" applyFont="1" applyBorder="1" applyAlignment="1">
      <alignment horizontal="center" wrapText="1"/>
    </xf>
    <xf numFmtId="166" fontId="8" fillId="0" borderId="17" xfId="11" applyNumberFormat="1" applyFont="1" applyBorder="1"/>
    <xf numFmtId="166" fontId="2" fillId="0" borderId="17" xfId="11" applyNumberFormat="1" applyFont="1" applyBorder="1"/>
    <xf numFmtId="166" fontId="2" fillId="0" borderId="18" xfId="11" applyNumberFormat="1" applyFont="1" applyBorder="1"/>
    <xf numFmtId="0" fontId="2" fillId="0" borderId="17" xfId="11" applyFont="1" applyBorder="1"/>
    <xf numFmtId="166" fontId="8" fillId="0" borderId="8" xfId="8" quotePrefix="1" applyNumberFormat="1" applyFont="1" applyFill="1" applyBorder="1" applyAlignment="1">
      <alignment horizontal="right"/>
    </xf>
    <xf numFmtId="166" fontId="2" fillId="0" borderId="8" xfId="11" quotePrefix="1" applyNumberFormat="1" applyFont="1" applyBorder="1"/>
    <xf numFmtId="166" fontId="9" fillId="4" borderId="8" xfId="11" quotePrefix="1" applyNumberFormat="1" applyFont="1" applyFill="1" applyBorder="1"/>
    <xf numFmtId="0" fontId="2" fillId="4" borderId="0" xfId="11" applyFont="1" applyFill="1"/>
    <xf numFmtId="0" fontId="2" fillId="0" borderId="0" xfId="11" quotePrefix="1" applyFont="1" applyAlignment="1">
      <alignment horizontal="left" indent="2"/>
    </xf>
    <xf numFmtId="166" fontId="2" fillId="0" borderId="18" xfId="11" quotePrefix="1" applyNumberFormat="1" applyFont="1" applyBorder="1"/>
    <xf numFmtId="166" fontId="8" fillId="0" borderId="8" xfId="11" quotePrefix="1" applyNumberFormat="1" applyFont="1" applyBorder="1"/>
    <xf numFmtId="166" fontId="2" fillId="4" borderId="8" xfId="11" quotePrefix="1" applyNumberFormat="1" applyFont="1" applyFill="1" applyBorder="1"/>
    <xf numFmtId="166" fontId="2" fillId="0" borderId="8" xfId="11" applyNumberFormat="1" applyFont="1" applyBorder="1"/>
    <xf numFmtId="172" fontId="2" fillId="0" borderId="0" xfId="11" applyNumberFormat="1" applyFont="1"/>
    <xf numFmtId="166" fontId="2" fillId="0" borderId="9" xfId="11" applyNumberFormat="1" applyFont="1" applyBorder="1"/>
    <xf numFmtId="0" fontId="18" fillId="3" borderId="25" xfId="11" quotePrefix="1" applyFont="1" applyFill="1" applyBorder="1" applyAlignment="1">
      <alignment horizontal="centerContinuous"/>
    </xf>
    <xf numFmtId="0" fontId="6" fillId="3" borderId="1" xfId="11" quotePrefix="1" applyFont="1" applyFill="1" applyBorder="1" applyAlignment="1">
      <alignment horizontal="centerContinuous"/>
    </xf>
    <xf numFmtId="0" fontId="6" fillId="3" borderId="22" xfId="11" quotePrefix="1" applyFont="1" applyFill="1" applyBorder="1" applyAlignment="1">
      <alignment horizontal="centerContinuous"/>
    </xf>
    <xf numFmtId="0" fontId="6" fillId="3" borderId="4" xfId="11" applyFont="1" applyFill="1" applyBorder="1" applyAlignment="1">
      <alignment horizontal="center" vertical="center" wrapText="1"/>
    </xf>
    <xf numFmtId="0" fontId="6" fillId="3" borderId="16" xfId="11" applyFont="1" applyFill="1" applyBorder="1" applyAlignment="1">
      <alignment horizontal="center" vertical="center" wrapText="1"/>
    </xf>
    <xf numFmtId="0" fontId="2" fillId="0" borderId="0" xfId="11" applyFont="1" applyAlignment="1">
      <alignment horizontal="center" wrapText="1"/>
    </xf>
    <xf numFmtId="0" fontId="8" fillId="3" borderId="0" xfId="11" applyFont="1" applyFill="1"/>
    <xf numFmtId="167" fontId="9" fillId="3" borderId="0" xfId="11" applyNumberFormat="1" applyFont="1" applyFill="1"/>
    <xf numFmtId="167" fontId="2" fillId="3" borderId="14" xfId="11" applyNumberFormat="1" applyFont="1" applyFill="1" applyBorder="1"/>
    <xf numFmtId="0" fontId="2" fillId="3" borderId="0" xfId="11" applyFont="1" applyFill="1"/>
    <xf numFmtId="167" fontId="2" fillId="3" borderId="7" xfId="11" applyNumberFormat="1" applyFont="1" applyFill="1" applyBorder="1"/>
    <xf numFmtId="167" fontId="2" fillId="3" borderId="24" xfId="11" applyNumberFormat="1" applyFont="1" applyFill="1" applyBorder="1"/>
    <xf numFmtId="0" fontId="2" fillId="3" borderId="4" xfId="11" applyFont="1" applyFill="1" applyBorder="1"/>
    <xf numFmtId="167" fontId="2" fillId="3" borderId="4" xfId="11" applyNumberFormat="1" applyFont="1" applyFill="1" applyBorder="1"/>
    <xf numFmtId="167" fontId="2" fillId="3" borderId="16" xfId="11" applyNumberFormat="1" applyFont="1" applyFill="1" applyBorder="1"/>
    <xf numFmtId="0" fontId="6" fillId="0" borderId="13" xfId="0" applyFont="1" applyBorder="1"/>
    <xf numFmtId="167" fontId="6" fillId="0" borderId="0" xfId="0" applyNumberFormat="1" applyFont="1"/>
    <xf numFmtId="0" fontId="6" fillId="0" borderId="14" xfId="0" applyFont="1" applyBorder="1"/>
    <xf numFmtId="167" fontId="6" fillId="0" borderId="4" xfId="0" applyNumberFormat="1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0" fontId="2" fillId="0" borderId="13" xfId="0" applyFont="1" applyBorder="1"/>
    <xf numFmtId="168" fontId="2" fillId="0" borderId="14" xfId="0" applyNumberFormat="1" applyFont="1" applyBorder="1"/>
    <xf numFmtId="167" fontId="2" fillId="0" borderId="7" xfId="0" applyNumberFormat="1" applyFont="1" applyBorder="1"/>
    <xf numFmtId="166" fontId="2" fillId="0" borderId="7" xfId="0" applyNumberFormat="1" applyFont="1" applyBorder="1"/>
    <xf numFmtId="168" fontId="2" fillId="0" borderId="24" xfId="0" applyNumberFormat="1" applyFont="1" applyBorder="1"/>
    <xf numFmtId="168" fontId="2" fillId="0" borderId="14" xfId="0" applyNumberFormat="1" applyFont="1" applyBorder="1" applyAlignment="1">
      <alignment horizontal="right"/>
    </xf>
    <xf numFmtId="166" fontId="2" fillId="0" borderId="5" xfId="0" applyNumberFormat="1" applyFont="1" applyBorder="1"/>
    <xf numFmtId="168" fontId="2" fillId="0" borderId="23" xfId="0" applyNumberFormat="1" applyFont="1" applyBorder="1"/>
    <xf numFmtId="0" fontId="2" fillId="0" borderId="16" xfId="0" applyFont="1" applyBorder="1"/>
    <xf numFmtId="0" fontId="19" fillId="0" borderId="0" xfId="0" applyFont="1"/>
    <xf numFmtId="0" fontId="6" fillId="0" borderId="1" xfId="0" quotePrefix="1" applyFont="1" applyBorder="1" applyAlignment="1">
      <alignment horizontal="left"/>
    </xf>
    <xf numFmtId="167" fontId="6" fillId="0" borderId="1" xfId="0" applyNumberFormat="1" applyFont="1" applyBorder="1"/>
    <xf numFmtId="0" fontId="6" fillId="0" borderId="1" xfId="0" applyFont="1" applyBorder="1"/>
    <xf numFmtId="167" fontId="2" fillId="0" borderId="1" xfId="0" applyNumberFormat="1" applyFont="1" applyBorder="1"/>
    <xf numFmtId="0" fontId="2" fillId="0" borderId="1" xfId="0" applyFont="1" applyBorder="1"/>
    <xf numFmtId="0" fontId="2" fillId="0" borderId="22" xfId="0" applyFont="1" applyBorder="1"/>
    <xf numFmtId="44" fontId="18" fillId="0" borderId="0" xfId="12" applyNumberFormat="1" applyFont="1"/>
    <xf numFmtId="0" fontId="18" fillId="0" borderId="0" xfId="12" applyFont="1"/>
    <xf numFmtId="0" fontId="6" fillId="0" borderId="0" xfId="12" applyFont="1" applyAlignment="1">
      <alignment horizontal="center"/>
    </xf>
    <xf numFmtId="0" fontId="6" fillId="0" borderId="0" xfId="12" applyFont="1"/>
    <xf numFmtId="44" fontId="6" fillId="0" borderId="0" xfId="12" applyNumberFormat="1" applyFont="1"/>
    <xf numFmtId="0" fontId="6" fillId="0" borderId="6" xfId="12" applyFont="1" applyBorder="1" applyAlignment="1">
      <alignment horizontal="center" wrapText="1"/>
    </xf>
    <xf numFmtId="0" fontId="6" fillId="0" borderId="6" xfId="12" quotePrefix="1" applyFont="1" applyBorder="1" applyAlignment="1">
      <alignment horizontal="center" wrapText="1"/>
    </xf>
    <xf numFmtId="0" fontId="2" fillId="0" borderId="0" xfId="12" applyFont="1" applyAlignment="1">
      <alignment horizontal="center"/>
    </xf>
    <xf numFmtId="0" fontId="2" fillId="0" borderId="0" xfId="12" quotePrefix="1" applyFont="1" applyAlignment="1">
      <alignment horizontal="center"/>
    </xf>
    <xf numFmtId="0" fontId="2" fillId="0" borderId="0" xfId="11" applyFont="1" applyAlignment="1">
      <alignment horizontal="center"/>
    </xf>
    <xf numFmtId="44" fontId="2" fillId="0" borderId="0" xfId="12" applyNumberFormat="1" applyFont="1"/>
    <xf numFmtId="0" fontId="2" fillId="0" borderId="0" xfId="12" applyFont="1"/>
    <xf numFmtId="0" fontId="2" fillId="0" borderId="0" xfId="12" quotePrefix="1" applyFont="1" applyAlignment="1">
      <alignment horizontal="center" wrapText="1"/>
    </xf>
    <xf numFmtId="167" fontId="2" fillId="0" borderId="0" xfId="12" applyNumberFormat="1" applyFont="1"/>
    <xf numFmtId="0" fontId="6" fillId="0" borderId="19" xfId="12" applyFont="1" applyBorder="1" applyAlignment="1">
      <alignment horizontal="center"/>
    </xf>
    <xf numFmtId="0" fontId="2" fillId="0" borderId="0" xfId="12" quotePrefix="1" applyFont="1" applyAlignment="1">
      <alignment horizontal="left"/>
    </xf>
    <xf numFmtId="41" fontId="2" fillId="0" borderId="0" xfId="12" applyNumberFormat="1" applyFont="1"/>
    <xf numFmtId="164" fontId="2" fillId="0" borderId="0" xfId="12" applyNumberFormat="1" applyFont="1"/>
    <xf numFmtId="170" fontId="6" fillId="0" borderId="20" xfId="12" applyNumberFormat="1" applyFont="1" applyBorder="1" applyAlignment="1">
      <alignment horizontal="center"/>
    </xf>
    <xf numFmtId="41" fontId="9" fillId="3" borderId="0" xfId="12" applyNumberFormat="1" applyFont="1" applyFill="1"/>
    <xf numFmtId="170" fontId="2" fillId="0" borderId="0" xfId="12" applyNumberFormat="1" applyFont="1"/>
    <xf numFmtId="0" fontId="12" fillId="0" borderId="0" xfId="12" quotePrefix="1" applyFont="1" applyAlignment="1">
      <alignment horizontal="left"/>
    </xf>
    <xf numFmtId="164" fontId="12" fillId="0" borderId="0" xfId="12" applyNumberFormat="1" applyFont="1"/>
    <xf numFmtId="170" fontId="12" fillId="0" borderId="0" xfId="12" applyNumberFormat="1" applyFont="1"/>
    <xf numFmtId="167" fontId="2" fillId="0" borderId="28" xfId="12" applyNumberFormat="1" applyFont="1" applyBorder="1"/>
    <xf numFmtId="164" fontId="2" fillId="0" borderId="7" xfId="12" applyNumberFormat="1" applyFont="1" applyBorder="1"/>
    <xf numFmtId="41" fontId="12" fillId="0" borderId="0" xfId="12" applyNumberFormat="1" applyFont="1"/>
    <xf numFmtId="0" fontId="12" fillId="0" borderId="0" xfId="12" applyFont="1"/>
    <xf numFmtId="0" fontId="2" fillId="0" borderId="0" xfId="12" quotePrefix="1" applyFont="1" applyAlignment="1">
      <alignment horizontal="left" indent="1"/>
    </xf>
    <xf numFmtId="0" fontId="2" fillId="0" borderId="0" xfId="12" quotePrefix="1" applyFont="1" applyAlignment="1">
      <alignment horizontal="right" wrapText="1"/>
    </xf>
    <xf numFmtId="44" fontId="9" fillId="0" borderId="0" xfId="8" applyFont="1" applyFill="1" applyBorder="1"/>
    <xf numFmtId="44" fontId="2" fillId="0" borderId="0" xfId="8" applyFont="1" applyFill="1" applyBorder="1"/>
    <xf numFmtId="41" fontId="9" fillId="0" borderId="0" xfId="12" applyNumberFormat="1" applyFont="1"/>
    <xf numFmtId="0" fontId="2" fillId="0" borderId="0" xfId="12" applyFont="1" applyAlignment="1">
      <alignment horizontal="center" wrapText="1"/>
    </xf>
    <xf numFmtId="167" fontId="2" fillId="0" borderId="0" xfId="12" applyNumberFormat="1" applyFont="1" applyAlignment="1">
      <alignment horizontal="right"/>
    </xf>
    <xf numFmtId="41" fontId="21" fillId="0" borderId="0" xfId="12" applyNumberFormat="1" applyFont="1"/>
    <xf numFmtId="0" fontId="2" fillId="0" borderId="0" xfId="12" applyFont="1" applyAlignment="1">
      <alignment horizontal="right"/>
    </xf>
    <xf numFmtId="167" fontId="2" fillId="0" borderId="0" xfId="12" quotePrefix="1" applyNumberFormat="1" applyFont="1" applyAlignment="1">
      <alignment horizontal="right"/>
    </xf>
    <xf numFmtId="166" fontId="9" fillId="0" borderId="0" xfId="8" applyNumberFormat="1" applyFont="1" applyFill="1" applyBorder="1"/>
    <xf numFmtId="166" fontId="2" fillId="0" borderId="0" xfId="8" applyNumberFormat="1" applyFont="1" applyFill="1" applyBorder="1"/>
    <xf numFmtId="44" fontId="9" fillId="0" borderId="0" xfId="8" quotePrefix="1" applyFont="1" applyFill="1" applyBorder="1"/>
    <xf numFmtId="0" fontId="2" fillId="0" borderId="0" xfId="12" applyFont="1" applyAlignment="1">
      <alignment horizontal="left"/>
    </xf>
    <xf numFmtId="0" fontId="2" fillId="0" borderId="0" xfId="12" applyFont="1" applyAlignment="1">
      <alignment horizontal="left" indent="1"/>
    </xf>
    <xf numFmtId="166" fontId="9" fillId="0" borderId="0" xfId="8" applyNumberFormat="1" applyFont="1" applyFill="1"/>
    <xf numFmtId="166" fontId="2" fillId="0" borderId="0" xfId="8" applyNumberFormat="1" applyFont="1" applyFill="1"/>
    <xf numFmtId="17" fontId="2" fillId="0" borderId="0" xfId="12" applyNumberFormat="1" applyFont="1"/>
    <xf numFmtId="0" fontId="9" fillId="0" borderId="0" xfId="12" applyFont="1"/>
    <xf numFmtId="41" fontId="8" fillId="0" borderId="0" xfId="12" applyNumberFormat="1" applyFont="1"/>
    <xf numFmtId="167" fontId="9" fillId="0" borderId="0" xfId="0" applyNumberFormat="1" applyFont="1"/>
    <xf numFmtId="164" fontId="9" fillId="2" borderId="0" xfId="0" applyNumberFormat="1" applyFont="1" applyFill="1"/>
    <xf numFmtId="164" fontId="9" fillId="0" borderId="0" xfId="0" applyNumberFormat="1" applyFont="1"/>
    <xf numFmtId="0" fontId="18" fillId="0" borderId="10" xfId="0" applyFont="1" applyBorder="1" applyAlignment="1">
      <alignment horizontal="centerContinuous"/>
    </xf>
    <xf numFmtId="0" fontId="18" fillId="0" borderId="11" xfId="0" applyFont="1" applyBorder="1" applyAlignment="1">
      <alignment horizontal="centerContinuous"/>
    </xf>
    <xf numFmtId="167" fontId="18" fillId="0" borderId="11" xfId="0" applyNumberFormat="1" applyFont="1" applyBorder="1" applyAlignment="1">
      <alignment horizontal="centerContinuous"/>
    </xf>
    <xf numFmtId="0" fontId="18" fillId="0" borderId="12" xfId="0" applyFont="1" applyBorder="1" applyAlignment="1">
      <alignment horizontal="centerContinuous"/>
    </xf>
    <xf numFmtId="0" fontId="18" fillId="0" borderId="0" xfId="0" applyFont="1"/>
    <xf numFmtId="0" fontId="18" fillId="0" borderId="13" xfId="0" applyFont="1" applyBorder="1" applyAlignment="1">
      <alignment horizontal="centerContinuous"/>
    </xf>
    <xf numFmtId="0" fontId="18" fillId="0" borderId="0" xfId="0" applyFont="1" applyAlignment="1">
      <alignment horizontal="centerContinuous"/>
    </xf>
    <xf numFmtId="167" fontId="18" fillId="0" borderId="0" xfId="0" applyNumberFormat="1" applyFont="1" applyAlignment="1">
      <alignment horizontal="centerContinuous"/>
    </xf>
    <xf numFmtId="0" fontId="18" fillId="0" borderId="14" xfId="0" applyFont="1" applyBorder="1" applyAlignment="1">
      <alignment horizontal="centerContinuous"/>
    </xf>
    <xf numFmtId="0" fontId="6" fillId="4" borderId="26" xfId="12" quotePrefix="1" applyFont="1" applyFill="1" applyBorder="1" applyAlignment="1">
      <alignment horizontal="center" wrapText="1"/>
    </xf>
    <xf numFmtId="0" fontId="2" fillId="4" borderId="27" xfId="12" quotePrefix="1" applyFont="1" applyFill="1" applyBorder="1" applyAlignment="1">
      <alignment horizontal="center"/>
    </xf>
    <xf numFmtId="0" fontId="2" fillId="4" borderId="27" xfId="12" quotePrefix="1" applyFont="1" applyFill="1" applyBorder="1" applyAlignment="1">
      <alignment horizontal="center" wrapText="1"/>
    </xf>
    <xf numFmtId="0" fontId="2" fillId="4" borderId="27" xfId="12" applyFont="1" applyFill="1" applyBorder="1"/>
    <xf numFmtId="44" fontId="2" fillId="4" borderId="27" xfId="8" applyFont="1" applyFill="1" applyBorder="1"/>
    <xf numFmtId="166" fontId="9" fillId="4" borderId="27" xfId="8" applyNumberFormat="1" applyFont="1" applyFill="1" applyBorder="1"/>
    <xf numFmtId="165" fontId="2" fillId="4" borderId="27" xfId="8" applyNumberFormat="1" applyFont="1" applyFill="1" applyBorder="1"/>
    <xf numFmtId="0" fontId="2" fillId="4" borderId="20" xfId="12" applyFont="1" applyFill="1" applyBorder="1"/>
    <xf numFmtId="166" fontId="8" fillId="0" borderId="0" xfId="0" applyNumberFormat="1" applyFont="1"/>
    <xf numFmtId="166" fontId="9" fillId="0" borderId="0" xfId="0" applyNumberFormat="1" applyFont="1"/>
    <xf numFmtId="169" fontId="9" fillId="0" borderId="0" xfId="0" applyNumberFormat="1" applyFont="1"/>
    <xf numFmtId="0" fontId="6" fillId="0" borderId="2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0" xfId="11" applyNumberFormat="1" applyFont="1"/>
    <xf numFmtId="0" fontId="6" fillId="4" borderId="21" xfId="11" applyFont="1" applyFill="1" applyBorder="1" applyAlignment="1">
      <alignment horizontal="center" wrapText="1"/>
    </xf>
    <xf numFmtId="0" fontId="6" fillId="4" borderId="25" xfId="11" applyFont="1" applyFill="1" applyBorder="1" applyAlignment="1">
      <alignment horizontal="center" wrapText="1"/>
    </xf>
    <xf numFmtId="0" fontId="6" fillId="0" borderId="6" xfId="11" applyFont="1" applyBorder="1" applyAlignment="1">
      <alignment horizontal="center" wrapText="1"/>
    </xf>
    <xf numFmtId="0" fontId="6" fillId="0" borderId="6" xfId="11" quotePrefix="1" applyFont="1" applyBorder="1" applyAlignment="1">
      <alignment horizontal="center" wrapText="1"/>
    </xf>
    <xf numFmtId="17" fontId="6" fillId="4" borderId="6" xfId="11" quotePrefix="1" applyNumberFormat="1" applyFont="1" applyFill="1" applyBorder="1" applyAlignment="1">
      <alignment horizontal="center" wrapText="1"/>
    </xf>
    <xf numFmtId="17" fontId="6" fillId="0" borderId="0" xfId="11" quotePrefix="1" applyNumberFormat="1" applyFont="1" applyAlignment="1">
      <alignment horizontal="center" wrapText="1"/>
    </xf>
    <xf numFmtId="17" fontId="6" fillId="4" borderId="21" xfId="11" quotePrefix="1" applyNumberFormat="1" applyFont="1" applyFill="1" applyBorder="1" applyAlignment="1">
      <alignment horizontal="center" wrapText="1"/>
    </xf>
    <xf numFmtId="17" fontId="6" fillId="4" borderId="25" xfId="11" quotePrefix="1" applyNumberFormat="1" applyFont="1" applyFill="1" applyBorder="1" applyAlignment="1">
      <alignment horizontal="center" wrapText="1"/>
    </xf>
    <xf numFmtId="17" fontId="6" fillId="5" borderId="29" xfId="11" quotePrefix="1" applyNumberFormat="1" applyFont="1" applyFill="1" applyBorder="1" applyAlignment="1">
      <alignment horizontal="center" wrapText="1"/>
    </xf>
    <xf numFmtId="0" fontId="6" fillId="5" borderId="30" xfId="11" quotePrefix="1" applyFont="1" applyFill="1" applyBorder="1" applyAlignment="1">
      <alignment horizontal="center" wrapText="1"/>
    </xf>
    <xf numFmtId="164" fontId="2" fillId="0" borderId="0" xfId="8" applyNumberFormat="1" applyFont="1" applyFill="1"/>
    <xf numFmtId="164" fontId="2" fillId="4" borderId="0" xfId="8" applyNumberFormat="1" applyFont="1" applyFill="1"/>
    <xf numFmtId="164" fontId="2" fillId="0" borderId="0" xfId="11" applyNumberFormat="1" applyFont="1"/>
    <xf numFmtId="164" fontId="2" fillId="4" borderId="13" xfId="11" applyNumberFormat="1" applyFont="1" applyFill="1" applyBorder="1"/>
    <xf numFmtId="164" fontId="2" fillId="4" borderId="27" xfId="11" applyNumberFormat="1" applyFont="1" applyFill="1" applyBorder="1"/>
    <xf numFmtId="164" fontId="2" fillId="5" borderId="0" xfId="11" applyNumberFormat="1" applyFont="1" applyFill="1"/>
    <xf numFmtId="166" fontId="2" fillId="5" borderId="0" xfId="11" applyNumberFormat="1" applyFont="1" applyFill="1"/>
    <xf numFmtId="10" fontId="2" fillId="5" borderId="14" xfId="11" applyNumberFormat="1" applyFont="1" applyFill="1" applyBorder="1"/>
    <xf numFmtId="173" fontId="2" fillId="0" borderId="0" xfId="11" applyNumberFormat="1" applyFont="1"/>
    <xf numFmtId="167" fontId="2" fillId="0" borderId="2" xfId="11" applyNumberFormat="1" applyFont="1" applyBorder="1"/>
    <xf numFmtId="164" fontId="2" fillId="0" borderId="2" xfId="8" applyNumberFormat="1" applyFont="1" applyFill="1" applyBorder="1"/>
    <xf numFmtId="164" fontId="2" fillId="4" borderId="2" xfId="8" applyNumberFormat="1" applyFont="1" applyFill="1" applyBorder="1"/>
    <xf numFmtId="164" fontId="2" fillId="0" borderId="2" xfId="11" applyNumberFormat="1" applyFont="1" applyBorder="1"/>
    <xf numFmtId="164" fontId="2" fillId="4" borderId="31" xfId="11" applyNumberFormat="1" applyFont="1" applyFill="1" applyBorder="1"/>
    <xf numFmtId="164" fontId="2" fillId="4" borderId="32" xfId="11" applyNumberFormat="1" applyFont="1" applyFill="1" applyBorder="1"/>
    <xf numFmtId="164" fontId="2" fillId="5" borderId="2" xfId="11" applyNumberFormat="1" applyFont="1" applyFill="1" applyBorder="1"/>
    <xf numFmtId="166" fontId="2" fillId="5" borderId="2" xfId="11" applyNumberFormat="1" applyFont="1" applyFill="1" applyBorder="1"/>
    <xf numFmtId="10" fontId="2" fillId="5" borderId="33" xfId="11" applyNumberFormat="1" applyFont="1" applyFill="1" applyBorder="1"/>
    <xf numFmtId="164" fontId="2" fillId="0" borderId="0" xfId="8" applyNumberFormat="1" applyFont="1" applyFill="1" applyBorder="1"/>
    <xf numFmtId="164" fontId="2" fillId="4" borderId="0" xfId="8" applyNumberFormat="1" applyFont="1" applyFill="1" applyBorder="1"/>
    <xf numFmtId="164" fontId="2" fillId="0" borderId="5" xfId="8" applyNumberFormat="1" applyFont="1" applyFill="1" applyBorder="1"/>
    <xf numFmtId="164" fontId="2" fillId="4" borderId="5" xfId="8" applyNumberFormat="1" applyFont="1" applyFill="1" applyBorder="1"/>
    <xf numFmtId="164" fontId="2" fillId="4" borderId="34" xfId="8" applyNumberFormat="1" applyFont="1" applyFill="1" applyBorder="1"/>
    <xf numFmtId="164" fontId="2" fillId="4" borderId="35" xfId="8" applyNumberFormat="1" applyFont="1" applyFill="1" applyBorder="1"/>
    <xf numFmtId="164" fontId="2" fillId="5" borderId="5" xfId="8" applyNumberFormat="1" applyFont="1" applyFill="1" applyBorder="1"/>
    <xf numFmtId="166" fontId="2" fillId="5" borderId="5" xfId="11" applyNumberFormat="1" applyFont="1" applyFill="1" applyBorder="1"/>
    <xf numFmtId="10" fontId="2" fillId="5" borderId="23" xfId="11" applyNumberFormat="1" applyFont="1" applyFill="1" applyBorder="1"/>
    <xf numFmtId="164" fontId="2" fillId="4" borderId="31" xfId="8" applyNumberFormat="1" applyFont="1" applyFill="1" applyBorder="1"/>
    <xf numFmtId="164" fontId="2" fillId="4" borderId="32" xfId="8" applyNumberFormat="1" applyFont="1" applyFill="1" applyBorder="1"/>
    <xf numFmtId="164" fontId="2" fillId="5" borderId="4" xfId="11" applyNumberFormat="1" applyFont="1" applyFill="1" applyBorder="1"/>
    <xf numFmtId="166" fontId="2" fillId="5" borderId="36" xfId="11" applyNumberFormat="1" applyFont="1" applyFill="1" applyBorder="1"/>
    <xf numFmtId="10" fontId="2" fillId="5" borderId="37" xfId="11" applyNumberFormat="1" applyFont="1" applyFill="1" applyBorder="1"/>
    <xf numFmtId="164" fontId="2" fillId="5" borderId="4" xfId="8" applyNumberFormat="1" applyFont="1" applyFill="1" applyBorder="1"/>
    <xf numFmtId="10" fontId="2" fillId="5" borderId="16" xfId="11" applyNumberFormat="1" applyFont="1" applyFill="1" applyBorder="1"/>
    <xf numFmtId="164" fontId="9" fillId="0" borderId="0" xfId="8" applyNumberFormat="1" applyFont="1" applyFill="1"/>
    <xf numFmtId="164" fontId="9" fillId="4" borderId="0" xfId="8" applyNumberFormat="1" applyFont="1" applyFill="1"/>
    <xf numFmtId="0" fontId="12" fillId="0" borderId="0" xfId="11" applyFont="1"/>
    <xf numFmtId="164" fontId="12" fillId="0" borderId="0" xfId="11" applyNumberFormat="1" applyFont="1"/>
    <xf numFmtId="167" fontId="9" fillId="0" borderId="0" xfId="11" applyNumberFormat="1" applyFont="1"/>
    <xf numFmtId="0" fontId="18" fillId="0" borderId="0" xfId="11" applyFont="1" applyAlignment="1">
      <alignment horizontal="centerContinuous" vertical="center"/>
    </xf>
    <xf numFmtId="0" fontId="9" fillId="0" borderId="0" xfId="11" applyFont="1" applyAlignment="1">
      <alignment horizontal="centerContinuous" vertical="center"/>
    </xf>
    <xf numFmtId="167" fontId="9" fillId="0" borderId="2" xfId="11" applyNumberFormat="1" applyFont="1" applyBorder="1"/>
    <xf numFmtId="164" fontId="9" fillId="0" borderId="2" xfId="8" applyNumberFormat="1" applyFont="1" applyFill="1" applyBorder="1"/>
    <xf numFmtId="164" fontId="9" fillId="4" borderId="2" xfId="8" applyNumberFormat="1" applyFont="1" applyFill="1" applyBorder="1"/>
    <xf numFmtId="0" fontId="9" fillId="0" borderId="0" xfId="11" applyFont="1"/>
    <xf numFmtId="168" fontId="6" fillId="0" borderId="1" xfId="5" applyNumberFormat="1" applyFont="1" applyFill="1" applyBorder="1"/>
    <xf numFmtId="164" fontId="2" fillId="0" borderId="0" xfId="7" applyNumberFormat="1" applyFont="1" applyFill="1" applyBorder="1"/>
    <xf numFmtId="164" fontId="2" fillId="0" borderId="5" xfId="7" applyNumberFormat="1" applyFont="1" applyFill="1" applyBorder="1"/>
    <xf numFmtId="167" fontId="2" fillId="0" borderId="5" xfId="13" applyNumberFormat="1" applyFont="1" applyFill="1" applyBorder="1"/>
    <xf numFmtId="0" fontId="6" fillId="0" borderId="6" xfId="0" quotePrefix="1" applyFont="1" applyFill="1" applyBorder="1" applyAlignment="1">
      <alignment horizontal="center" wrapText="1"/>
    </xf>
    <xf numFmtId="171" fontId="7" fillId="0" borderId="0" xfId="0" quotePrefix="1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/>
    </xf>
    <xf numFmtId="164" fontId="2" fillId="0" borderId="2" xfId="0" quotePrefix="1" applyNumberFormat="1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9" fontId="8" fillId="0" borderId="0" xfId="0" applyNumberFormat="1" applyFont="1"/>
    <xf numFmtId="0" fontId="2" fillId="0" borderId="0" xfId="0" quotePrefix="1" applyFont="1" applyAlignment="1">
      <alignment horizontal="center" vertical="center"/>
    </xf>
    <xf numFmtId="9" fontId="8" fillId="0" borderId="0" xfId="10" applyFont="1"/>
    <xf numFmtId="9" fontId="8" fillId="0" borderId="0" xfId="10" applyFont="1" applyBorder="1"/>
    <xf numFmtId="43" fontId="2" fillId="0" borderId="0" xfId="0" applyNumberFormat="1" applyFont="1"/>
    <xf numFmtId="165" fontId="2" fillId="0" borderId="0" xfId="0" applyNumberFormat="1" applyFont="1"/>
    <xf numFmtId="37" fontId="6" fillId="0" borderId="38" xfId="0" applyNumberFormat="1" applyFont="1" applyBorder="1"/>
    <xf numFmtId="37" fontId="2" fillId="0" borderId="2" xfId="0" applyNumberFormat="1" applyFont="1" applyBorder="1"/>
    <xf numFmtId="0" fontId="2" fillId="0" borderId="2" xfId="0" applyFont="1" applyBorder="1"/>
    <xf numFmtId="164" fontId="6" fillId="0" borderId="2" xfId="0" applyNumberFormat="1" applyFont="1" applyBorder="1"/>
    <xf numFmtId="164" fontId="6" fillId="0" borderId="39" xfId="0" applyNumberFormat="1" applyFont="1" applyBorder="1"/>
    <xf numFmtId="43" fontId="22" fillId="0" borderId="0" xfId="4" applyFont="1" applyFill="1"/>
    <xf numFmtId="43" fontId="12" fillId="0" borderId="0" xfId="4" applyFont="1" applyFill="1"/>
    <xf numFmtId="9" fontId="9" fillId="0" borderId="0" xfId="10" applyFont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4" xfId="0" applyFont="1" applyBorder="1" applyAlignment="1">
      <alignment horizontal="center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wrapText="1"/>
    </xf>
    <xf numFmtId="0" fontId="20" fillId="0" borderId="0" xfId="12" applyFont="1" applyAlignment="1">
      <alignment horizontal="center"/>
    </xf>
    <xf numFmtId="0" fontId="6" fillId="0" borderId="0" xfId="12" applyFont="1" applyAlignment="1">
      <alignment horizontal="center"/>
    </xf>
    <xf numFmtId="0" fontId="18" fillId="0" borderId="0" xfId="12" applyFont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" fillId="0" borderId="0" xfId="11" quotePrefix="1" applyFont="1" applyAlignment="1">
      <alignment horizontal="left" indent="3"/>
    </xf>
    <xf numFmtId="0" fontId="2" fillId="0" borderId="0" xfId="11" quotePrefix="1" applyFont="1" applyAlignment="1">
      <alignment horizontal="left" indent="1"/>
    </xf>
    <xf numFmtId="0" fontId="2" fillId="0" borderId="0" xfId="11" quotePrefix="1" applyFont="1" applyAlignment="1">
      <alignment horizontal="left" indent="2"/>
    </xf>
    <xf numFmtId="0" fontId="2" fillId="0" borderId="6" xfId="11" quotePrefix="1" applyFont="1" applyBorder="1" applyAlignment="1">
      <alignment horizontal="center"/>
    </xf>
    <xf numFmtId="0" fontId="2" fillId="4" borderId="0" xfId="11" quotePrefix="1" applyFont="1" applyFill="1" applyAlignment="1">
      <alignment horizontal="left" indent="2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</cellXfs>
  <cellStyles count="14">
    <cellStyle name="Comma" xfId="4" builtinId="3"/>
    <cellStyle name="Comma 10" xfId="13" xr:uid="{00000000-0005-0000-0000-000001000000}"/>
    <cellStyle name="Comma 3" xfId="3" xr:uid="{00000000-0005-0000-0000-000002000000}"/>
    <cellStyle name="Currency" xfId="1" builtinId="4"/>
    <cellStyle name="Currency 10 2" xfId="7" xr:uid="{00000000-0005-0000-0000-000004000000}"/>
    <cellStyle name="Currency 2" xfId="6" xr:uid="{00000000-0005-0000-0000-000005000000}"/>
    <cellStyle name="Currency 2 12" xfId="8" xr:uid="{00000000-0005-0000-0000-000006000000}"/>
    <cellStyle name="Normal" xfId="0" builtinId="0"/>
    <cellStyle name="Normal 2 10" xfId="11" xr:uid="{00000000-0005-0000-0000-000008000000}"/>
    <cellStyle name="Normal 4" xfId="2" xr:uid="{00000000-0005-0000-0000-000009000000}"/>
    <cellStyle name="Normal 510" xfId="12" xr:uid="{00000000-0005-0000-0000-00000A000000}"/>
    <cellStyle name="Percent 2" xfId="5" xr:uid="{00000000-0005-0000-0000-00000C000000}"/>
    <cellStyle name="Percent 2 3 3" xfId="9" xr:uid="{00000000-0005-0000-0000-00000D000000}"/>
    <cellStyle name="Percent 3" xfId="10" xr:uid="{00000000-0005-0000-0000-00000E000000}"/>
  </cellStyles>
  <dxfs count="0"/>
  <tableStyles count="0" defaultTableStyle="TableStyleMedium9" defaultPivotStyle="PivotStyleLight16"/>
  <colors>
    <mruColors>
      <color rgb="FF008080"/>
      <color rgb="FF00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customXml" Target="../customXml/item2.xml"/><Relationship Id="rId16" Type="http://schemas.openxmlformats.org/officeDocument/2006/relationships/externalLink" Target="externalLinks/externalLink7.xml"/><Relationship Id="rId107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customXml" Target="../customXml/item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styles" Target="styles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customXml" Target="../customXml/item4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calcChain" Target="calcChain.xml"/><Relationship Id="rId115" Type="http://schemas.openxmlformats.org/officeDocument/2006/relationships/customXml" Target="../customXml/item5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24</xdr:col>
      <xdr:colOff>279144</xdr:colOff>
      <xdr:row>28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0"/>
          <a:ext cx="6089394" cy="47339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188364</xdr:colOff>
      <xdr:row>29</xdr:row>
      <xdr:rowOff>28575</xdr:rowOff>
    </xdr:from>
    <xdr:to>
      <xdr:col>25</xdr:col>
      <xdr:colOff>208422</xdr:colOff>
      <xdr:row>62</xdr:row>
      <xdr:rowOff>84912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0839" y="4819650"/>
          <a:ext cx="6678033" cy="48093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  <pageSetUpPr fitToPage="1"/>
  </sheetPr>
  <dimension ref="A1:L184"/>
  <sheetViews>
    <sheetView tabSelected="1" zoomScaleNormal="100" workbookViewId="0">
      <pane xSplit="3" ySplit="5" topLeftCell="D6" activePane="bottomRight" state="frozen"/>
      <selection activeCell="B13" sqref="B13"/>
      <selection pane="topRight" activeCell="B13" sqref="B13"/>
      <selection pane="bottomLeft" activeCell="B13" sqref="B13"/>
      <selection pane="bottomRight" activeCell="D25" sqref="D25"/>
    </sheetView>
  </sheetViews>
  <sheetFormatPr defaultColWidth="9.140625" defaultRowHeight="11.25" x14ac:dyDescent="0.2"/>
  <cols>
    <col min="1" max="1" width="5.7109375" style="2" customWidth="1"/>
    <col min="2" max="2" width="19.42578125" style="2" bestFit="1" customWidth="1"/>
    <col min="3" max="3" width="9.5703125" style="18" bestFit="1" customWidth="1"/>
    <col min="4" max="5" width="15.42578125" style="4" customWidth="1"/>
    <col min="6" max="6" width="12.85546875" style="2" customWidth="1"/>
    <col min="7" max="7" width="12" style="2" customWidth="1"/>
    <col min="8" max="8" width="11.5703125" style="2" customWidth="1"/>
    <col min="9" max="9" width="13.7109375" style="4" customWidth="1"/>
    <col min="10" max="10" width="13.42578125" style="4" customWidth="1"/>
    <col min="11" max="11" width="10.7109375" style="2" customWidth="1"/>
    <col min="12" max="12" width="9.7109375" style="2" customWidth="1"/>
    <col min="13" max="13" width="9.140625" style="2"/>
    <col min="14" max="15" width="9.85546875" style="2" bestFit="1" customWidth="1"/>
    <col min="16" max="16" width="6.85546875" style="2" bestFit="1" customWidth="1"/>
    <col min="17" max="18" width="14" style="2" bestFit="1" customWidth="1"/>
    <col min="19" max="16384" width="9.140625" style="2"/>
  </cols>
  <sheetData>
    <row r="1" spans="1:12" s="40" customFormat="1" x14ac:dyDescent="0.2">
      <c r="A1" s="343" t="str">
        <f>TEXT(Controls!B7,"yyyy")&amp;" Bill Discount Rider Rate"</f>
        <v>2023 Bill Discount Rider Rate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5"/>
    </row>
    <row r="2" spans="1:12" s="40" customFormat="1" x14ac:dyDescent="0.2">
      <c r="A2" s="346" t="s">
        <v>56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8"/>
    </row>
    <row r="3" spans="1:12" s="40" customFormat="1" x14ac:dyDescent="0.2">
      <c r="A3" s="346" t="str">
        <f>"For the Twelve Months Ended "&amp;TEXT(Controls!B8,"mmmm d, yyyy")</f>
        <v>For the Twelve Months Ended September 30, 2024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8"/>
    </row>
    <row r="4" spans="1:12" s="40" customFormat="1" x14ac:dyDescent="0.2">
      <c r="A4" s="65"/>
      <c r="B4" s="1"/>
      <c r="C4" s="1"/>
      <c r="D4" s="66"/>
      <c r="E4" s="66"/>
      <c r="F4" s="1"/>
      <c r="G4" s="1"/>
      <c r="H4" s="1"/>
      <c r="I4" s="66"/>
      <c r="J4" s="66"/>
      <c r="K4" s="1"/>
      <c r="L4" s="67"/>
    </row>
    <row r="5" spans="1:12" s="42" customFormat="1" ht="68.25" thickBot="1" x14ac:dyDescent="0.25">
      <c r="A5" s="68" t="s">
        <v>3</v>
      </c>
      <c r="B5" s="43" t="s">
        <v>57</v>
      </c>
      <c r="C5" s="43" t="s">
        <v>0</v>
      </c>
      <c r="D5" s="69" t="str">
        <f>Controls!B6&amp;" Forecast Delivered kWh "&amp;TEXT(Controls!B7,"MM/DD/YY")&amp;" through "&amp;TEXT(Controls!B8,"MM/DD/YY")</f>
        <v>F2023 Forecast Delivered kWh 10/01/23 through 09/30/24</v>
      </c>
      <c r="E5" s="69" t="str">
        <f>"Estimated Delivered Revenue "&amp;TEXT(Controls!B7,"mmmm d, yyyy")&amp;" through "&amp;TEXT(Controls!B8,"mmmm d, yyyy")&amp;" (Note 1)"</f>
        <v>Estimated Delivered Revenue October 1, 2023 through September 30, 2024 (Note 1)</v>
      </c>
      <c r="F5" s="44" t="str">
        <f>TEXT(Controls!B4,"yyyy")&amp;" Bill Discount Rider Effective "&amp;TEXT(Controls!B4,"MM/DD/YY")</f>
        <v>2022 Bill Discount Rider Effective 10/01/22</v>
      </c>
      <c r="G5" s="44" t="str">
        <f>"Proposed "&amp;TEXT(Controls!B7,"yyyy")&amp;" Bill Discount Rider"</f>
        <v>Proposed 2023 Bill Discount Rider</v>
      </c>
      <c r="H5" s="44" t="s">
        <v>65</v>
      </c>
      <c r="I5" s="69" t="str">
        <f>"$ Including "&amp;TEXT(Controls!B4,"yyyy")&amp;" Bill Discount Effective
 "&amp;TEXT(Controls!B4,"mm/dd/yy")</f>
        <v>$ Including 2022 Bill Discount Effective
 10/01/22</v>
      </c>
      <c r="J5" s="69" t="str">
        <f>"$ Including Proposed "&amp;TEXT(Controls!B1,"yyyy")&amp;" Bill Discount Efective
 "&amp;TEXT(Controls!B1,"mm/dd/yy")</f>
        <v>$ Including Proposed 2023 Bill Discount Efective
 10/01/23</v>
      </c>
      <c r="K5" s="44" t="s">
        <v>58</v>
      </c>
      <c r="L5" s="70" t="s">
        <v>59</v>
      </c>
    </row>
    <row r="6" spans="1:12" s="12" customFormat="1" ht="12" thickBot="1" x14ac:dyDescent="0.25">
      <c r="A6" s="48"/>
      <c r="B6" s="49"/>
      <c r="C6" s="49"/>
      <c r="D6" s="53"/>
      <c r="E6" s="53"/>
      <c r="F6" s="49"/>
      <c r="G6" s="49"/>
      <c r="H6" s="51"/>
      <c r="I6" s="50"/>
      <c r="J6" s="50"/>
      <c r="K6" s="51"/>
      <c r="L6" s="52"/>
    </row>
    <row r="7" spans="1:12" x14ac:dyDescent="0.2">
      <c r="A7" s="54"/>
      <c r="L7" s="55"/>
    </row>
    <row r="8" spans="1:12" x14ac:dyDescent="0.2">
      <c r="A8" s="54">
        <v>1</v>
      </c>
      <c r="B8" s="9" t="s">
        <v>1</v>
      </c>
      <c r="C8" s="18">
        <v>7</v>
      </c>
      <c r="D8" s="237">
        <f>+'Equal % Allocation'!D7</f>
        <v>11213362869.317253</v>
      </c>
      <c r="E8" s="239">
        <f>+'Base Revenue'!W9</f>
        <v>1431447741.5450921</v>
      </c>
      <c r="F8" s="257">
        <v>0</v>
      </c>
      <c r="G8" s="258">
        <f>ROUND(+'Equal % Allocation'!F7,6)</f>
        <v>6.0700000000000001E-4</v>
      </c>
      <c r="H8" s="45">
        <f>G8-F8</f>
        <v>6.0700000000000001E-4</v>
      </c>
      <c r="I8" s="26">
        <f>+F8*D8+E8</f>
        <v>1431447741.5450921</v>
      </c>
      <c r="J8" s="26">
        <f>+G8*D8+E8</f>
        <v>1438254252.8067677</v>
      </c>
      <c r="K8" s="26">
        <f>+J8-I8</f>
        <v>6806511.2616755962</v>
      </c>
      <c r="L8" s="56">
        <f>IF(I8&gt;0,+K8/I8,0)</f>
        <v>4.7549841074384647E-3</v>
      </c>
    </row>
    <row r="9" spans="1:12" x14ac:dyDescent="0.2">
      <c r="A9" s="54">
        <f>+A8+1</f>
        <v>2</v>
      </c>
      <c r="B9" s="9"/>
      <c r="D9" s="237"/>
      <c r="E9" s="239"/>
      <c r="F9" s="57"/>
      <c r="G9" s="57"/>
      <c r="H9" s="45" t="s">
        <v>64</v>
      </c>
      <c r="I9" s="26"/>
      <c r="J9" s="26"/>
      <c r="K9" s="26"/>
      <c r="L9" s="56"/>
    </row>
    <row r="10" spans="1:12" x14ac:dyDescent="0.2">
      <c r="A10" s="54">
        <f t="shared" ref="A10:A39" si="0">+A9+1</f>
        <v>3</v>
      </c>
      <c r="B10" s="27" t="s">
        <v>40</v>
      </c>
      <c r="C10" s="46" t="s">
        <v>97</v>
      </c>
      <c r="D10" s="237">
        <f>+'Equal % Allocation'!D9</f>
        <v>2754555586.0203085</v>
      </c>
      <c r="E10" s="239">
        <f>+'Base Revenue'!W13</f>
        <v>340979378.75708306</v>
      </c>
      <c r="F10" s="257">
        <v>0</v>
      </c>
      <c r="G10" s="258">
        <f>ROUND(+'Equal % Allocation'!F9,6)</f>
        <v>5.5900000000000004E-4</v>
      </c>
      <c r="H10" s="45">
        <f t="shared" ref="H10:H34" si="1">G10-F10</f>
        <v>5.5900000000000004E-4</v>
      </c>
      <c r="I10" s="26">
        <f t="shared" ref="I10:I13" si="2">+F10*D10+E10</f>
        <v>340979378.75708306</v>
      </c>
      <c r="J10" s="26">
        <f t="shared" ref="J10:J13" si="3">+G10*D10+E10</f>
        <v>342519175.3296684</v>
      </c>
      <c r="K10" s="26">
        <f>+J10-I10</f>
        <v>1539796.5725853443</v>
      </c>
      <c r="L10" s="56">
        <f>IF(I10&gt;0,+K10/I10,0)</f>
        <v>4.5158055545708236E-3</v>
      </c>
    </row>
    <row r="11" spans="1:12" x14ac:dyDescent="0.2">
      <c r="A11" s="54">
        <f t="shared" si="0"/>
        <v>4</v>
      </c>
      <c r="B11" s="17" t="s">
        <v>41</v>
      </c>
      <c r="C11" s="3" t="s">
        <v>98</v>
      </c>
      <c r="D11" s="237">
        <f>+'Equal % Allocation'!D10</f>
        <v>2952911791.3048167</v>
      </c>
      <c r="E11" s="239">
        <f>+'Base Revenue'!W14</f>
        <v>358048724.477135</v>
      </c>
      <c r="F11" s="257">
        <v>0</v>
      </c>
      <c r="G11" s="258">
        <f>ROUND(+'Equal % Allocation'!F10,6)</f>
        <v>5.1999999999999995E-4</v>
      </c>
      <c r="H11" s="45">
        <f t="shared" si="1"/>
        <v>5.1999999999999995E-4</v>
      </c>
      <c r="I11" s="26">
        <f t="shared" si="2"/>
        <v>358048724.477135</v>
      </c>
      <c r="J11" s="26">
        <f t="shared" si="3"/>
        <v>359584238.60861349</v>
      </c>
      <c r="K11" s="26">
        <f>+J11-I11</f>
        <v>1535514.1314784884</v>
      </c>
      <c r="L11" s="56">
        <f>IF(I11&gt;0,+K11/I11,0)</f>
        <v>4.2885619372637828E-3</v>
      </c>
    </row>
    <row r="12" spans="1:12" x14ac:dyDescent="0.2">
      <c r="A12" s="54">
        <f t="shared" si="0"/>
        <v>5</v>
      </c>
      <c r="B12" s="17" t="s">
        <v>42</v>
      </c>
      <c r="C12" s="3" t="s">
        <v>99</v>
      </c>
      <c r="D12" s="237">
        <f>+'Equal % Allocation'!D11</f>
        <v>1951040617.7585633</v>
      </c>
      <c r="E12" s="239">
        <f>+'Base Revenue'!W15</f>
        <v>216556824.46231484</v>
      </c>
      <c r="F12" s="257">
        <v>0</v>
      </c>
      <c r="G12" s="258">
        <f>ROUND(+'Equal % Allocation'!F11,6)</f>
        <v>4.7800000000000002E-4</v>
      </c>
      <c r="H12" s="45">
        <f t="shared" si="1"/>
        <v>4.7800000000000002E-4</v>
      </c>
      <c r="I12" s="26">
        <f t="shared" si="2"/>
        <v>216556824.46231484</v>
      </c>
      <c r="J12" s="26">
        <f t="shared" si="3"/>
        <v>217489421.87760344</v>
      </c>
      <c r="K12" s="26">
        <f>+J12-I12</f>
        <v>932597.41528859735</v>
      </c>
      <c r="L12" s="56">
        <f>IF(I12&gt;0,+K12/I12,0)</f>
        <v>4.3064789927730381E-3</v>
      </c>
    </row>
    <row r="13" spans="1:12" x14ac:dyDescent="0.2">
      <c r="A13" s="54">
        <f t="shared" si="0"/>
        <v>6</v>
      </c>
      <c r="B13" s="17" t="s">
        <v>43</v>
      </c>
      <c r="C13" s="18">
        <v>29</v>
      </c>
      <c r="D13" s="237">
        <f>+'Equal % Allocation'!D12</f>
        <v>15033126.247213177</v>
      </c>
      <c r="E13" s="239">
        <f>+'Base Revenue'!W16</f>
        <v>1630781.8293336441</v>
      </c>
      <c r="F13" s="257">
        <v>0</v>
      </c>
      <c r="G13" s="258">
        <f>ROUND(+'Equal % Allocation'!F12,6)</f>
        <v>4.9100000000000001E-4</v>
      </c>
      <c r="H13" s="45">
        <f t="shared" si="1"/>
        <v>4.9100000000000001E-4</v>
      </c>
      <c r="I13" s="26">
        <f t="shared" si="2"/>
        <v>1630781.8293336441</v>
      </c>
      <c r="J13" s="26">
        <f t="shared" si="3"/>
        <v>1638163.0943210258</v>
      </c>
      <c r="K13" s="26">
        <f>+J13-I13</f>
        <v>7381.2649873816408</v>
      </c>
      <c r="L13" s="56">
        <f>IF(I13&gt;0,+K13/I13,0)</f>
        <v>4.5262124305111423E-3</v>
      </c>
    </row>
    <row r="14" spans="1:12" x14ac:dyDescent="0.2">
      <c r="A14" s="54">
        <f t="shared" si="0"/>
        <v>7</v>
      </c>
      <c r="B14" s="9"/>
      <c r="E14" s="26"/>
      <c r="F14" s="57"/>
      <c r="G14" s="57"/>
      <c r="H14" s="45" t="s">
        <v>64</v>
      </c>
      <c r="I14" s="26"/>
      <c r="J14" s="26"/>
      <c r="K14" s="26"/>
      <c r="L14" s="56"/>
    </row>
    <row r="15" spans="1:12" x14ac:dyDescent="0.2">
      <c r="A15" s="54">
        <f t="shared" si="0"/>
        <v>8</v>
      </c>
      <c r="B15" s="9" t="s">
        <v>44</v>
      </c>
      <c r="D15" s="4">
        <f>SUM(D10:D14)</f>
        <v>7673541121.3309011</v>
      </c>
      <c r="E15" s="26">
        <f>SUM(E10:E14)</f>
        <v>917215709.52586663</v>
      </c>
      <c r="F15" s="45">
        <f>($I15-$E15)/$D15</f>
        <v>0</v>
      </c>
      <c r="G15" s="45">
        <f>($J15-$E15)/$D15</f>
        <v>5.2326420369052209E-4</v>
      </c>
      <c r="H15" s="45">
        <f t="shared" si="1"/>
        <v>5.2326420369052209E-4</v>
      </c>
      <c r="I15" s="26">
        <f>SUM(I10:I14)</f>
        <v>917215709.52586663</v>
      </c>
      <c r="J15" s="26">
        <f>SUM(J10:J14)</f>
        <v>921230998.91020632</v>
      </c>
      <c r="K15" s="26">
        <f>SUM(K10:K13)</f>
        <v>4015289.3843398117</v>
      </c>
      <c r="L15" s="56">
        <f>IF(I15&gt;0,+K15/I15,0)</f>
        <v>4.3776936468035666E-3</v>
      </c>
    </row>
    <row r="16" spans="1:12" x14ac:dyDescent="0.2">
      <c r="A16" s="54">
        <f t="shared" si="0"/>
        <v>9</v>
      </c>
      <c r="B16" s="9"/>
      <c r="E16" s="26"/>
      <c r="F16" s="45"/>
      <c r="G16" s="57"/>
      <c r="H16" s="45" t="s">
        <v>64</v>
      </c>
      <c r="I16" s="26"/>
      <c r="J16" s="26"/>
      <c r="K16" s="26"/>
      <c r="L16" s="56"/>
    </row>
    <row r="17" spans="1:12" x14ac:dyDescent="0.2">
      <c r="A17" s="54">
        <f t="shared" si="0"/>
        <v>10</v>
      </c>
      <c r="B17" s="17" t="s">
        <v>45</v>
      </c>
      <c r="C17" s="46" t="s">
        <v>101</v>
      </c>
      <c r="D17" s="237">
        <f>+'Equal % Allocation'!D15</f>
        <v>1414567504.5081706</v>
      </c>
      <c r="E17" s="239">
        <f>+'Base Revenue'!W20</f>
        <v>151454385.76056162</v>
      </c>
      <c r="F17" s="257">
        <v>0</v>
      </c>
      <c r="G17" s="258">
        <f>ROUND(+'Equal % Allocation'!F15,6)</f>
        <v>4.6799999999999999E-4</v>
      </c>
      <c r="H17" s="45">
        <f t="shared" si="1"/>
        <v>4.6799999999999999E-4</v>
      </c>
      <c r="I17" s="26">
        <f t="shared" ref="I17:I19" si="4">+F17*D17+E17</f>
        <v>151454385.76056162</v>
      </c>
      <c r="J17" s="26">
        <f t="shared" ref="J17:J19" si="5">+G17*D17+E17</f>
        <v>152116403.35267144</v>
      </c>
      <c r="K17" s="26">
        <f>+J17-I17</f>
        <v>662017.59210982919</v>
      </c>
      <c r="L17" s="56">
        <f>IF(I17&gt;0,+K17/I17,0)</f>
        <v>4.371069142602651E-3</v>
      </c>
    </row>
    <row r="18" spans="1:12" x14ac:dyDescent="0.2">
      <c r="A18" s="54">
        <f t="shared" si="0"/>
        <v>11</v>
      </c>
      <c r="B18" s="17" t="s">
        <v>46</v>
      </c>
      <c r="C18" s="18">
        <v>35</v>
      </c>
      <c r="D18" s="237">
        <f>+'Equal % Allocation'!D16</f>
        <v>4436241.4261872498</v>
      </c>
      <c r="E18" s="239">
        <f>+'Base Revenue'!W21</f>
        <v>373606.2647204682</v>
      </c>
      <c r="F18" s="257">
        <v>0</v>
      </c>
      <c r="G18" s="258">
        <f>ROUND(+'Equal % Allocation'!F16,6)</f>
        <v>3.88E-4</v>
      </c>
      <c r="H18" s="45">
        <f t="shared" si="1"/>
        <v>3.88E-4</v>
      </c>
      <c r="I18" s="26">
        <f t="shared" si="4"/>
        <v>373606.2647204682</v>
      </c>
      <c r="J18" s="26">
        <f t="shared" si="5"/>
        <v>375327.52639382886</v>
      </c>
      <c r="K18" s="26">
        <f>+J18-I18</f>
        <v>1721.2616733606555</v>
      </c>
      <c r="L18" s="56">
        <f>IF(I18&gt;0,+K18/I18,0)</f>
        <v>4.6071542045701555E-3</v>
      </c>
    </row>
    <row r="19" spans="1:12" x14ac:dyDescent="0.2">
      <c r="A19" s="54">
        <f t="shared" si="0"/>
        <v>12</v>
      </c>
      <c r="B19" s="17" t="s">
        <v>47</v>
      </c>
      <c r="C19" s="18">
        <v>43</v>
      </c>
      <c r="D19" s="237">
        <f>+'Equal % Allocation'!D17</f>
        <v>123047958.74213007</v>
      </c>
      <c r="E19" s="239">
        <f>+'Base Revenue'!W22</f>
        <v>13452189.164098695</v>
      </c>
      <c r="F19" s="257">
        <v>0</v>
      </c>
      <c r="G19" s="258">
        <f>ROUND(+'Equal % Allocation'!F17,6)</f>
        <v>4.7899999999999999E-4</v>
      </c>
      <c r="H19" s="45">
        <f t="shared" si="1"/>
        <v>4.7899999999999999E-4</v>
      </c>
      <c r="I19" s="26">
        <f t="shared" si="4"/>
        <v>13452189.164098695</v>
      </c>
      <c r="J19" s="26">
        <f t="shared" si="5"/>
        <v>13511129.136336176</v>
      </c>
      <c r="K19" s="26">
        <f>+J19-I19</f>
        <v>58939.972237480804</v>
      </c>
      <c r="L19" s="56">
        <f>IF(I19&gt;0,+K19/I19,0)</f>
        <v>4.3814409326610017E-3</v>
      </c>
    </row>
    <row r="20" spans="1:12" x14ac:dyDescent="0.2">
      <c r="A20" s="54">
        <f t="shared" si="0"/>
        <v>13</v>
      </c>
      <c r="B20" s="7"/>
      <c r="E20" s="26"/>
      <c r="F20" s="45"/>
      <c r="G20" s="57"/>
      <c r="H20" s="45" t="s">
        <v>64</v>
      </c>
      <c r="I20" s="26"/>
      <c r="J20" s="26"/>
      <c r="K20" s="26"/>
      <c r="L20" s="56"/>
    </row>
    <row r="21" spans="1:12" x14ac:dyDescent="0.2">
      <c r="A21" s="54">
        <f t="shared" si="0"/>
        <v>14</v>
      </c>
      <c r="B21" s="7" t="s">
        <v>48</v>
      </c>
      <c r="D21" s="4">
        <f>SUM(D17:D20)</f>
        <v>1542051704.6764879</v>
      </c>
      <c r="E21" s="26">
        <f>SUM(E17:E20)</f>
        <v>165280181.18938076</v>
      </c>
      <c r="F21" s="45">
        <f>($I21-$E21)/$D21</f>
        <v>0</v>
      </c>
      <c r="G21" s="45">
        <f>($J21-$E21)/$D21</f>
        <v>4.6864759711303001E-4</v>
      </c>
      <c r="H21" s="45">
        <f t="shared" si="1"/>
        <v>4.6864759711303001E-4</v>
      </c>
      <c r="I21" s="26">
        <f>SUM(I17:I19)</f>
        <v>165280181.18938076</v>
      </c>
      <c r="J21" s="26">
        <f>SUM(J17:J19)</f>
        <v>166002860.01540145</v>
      </c>
      <c r="K21" s="26">
        <f>SUM(K17:K19)</f>
        <v>722678.82602067059</v>
      </c>
      <c r="L21" s="56">
        <f>IF(I21&gt;0,+K21/I21,0)</f>
        <v>4.3724469613971029E-3</v>
      </c>
    </row>
    <row r="22" spans="1:12" x14ac:dyDescent="0.2">
      <c r="A22" s="54">
        <f t="shared" si="0"/>
        <v>15</v>
      </c>
      <c r="B22" s="7"/>
      <c r="E22" s="26"/>
      <c r="F22" s="45"/>
      <c r="G22" s="57"/>
      <c r="H22" s="45" t="s">
        <v>64</v>
      </c>
      <c r="I22" s="26"/>
      <c r="J22" s="26"/>
      <c r="K22" s="26"/>
      <c r="L22" s="56"/>
    </row>
    <row r="23" spans="1:12" x14ac:dyDescent="0.2">
      <c r="A23" s="54">
        <f t="shared" si="0"/>
        <v>16</v>
      </c>
      <c r="B23" s="17" t="s">
        <v>49</v>
      </c>
      <c r="C23" s="18">
        <v>46</v>
      </c>
      <c r="D23" s="237">
        <f>+'Equal % Allocation'!D20</f>
        <v>97208997.868969813</v>
      </c>
      <c r="E23" s="239">
        <f>+'Base Revenue'!W26</f>
        <v>7562315.2959882189</v>
      </c>
      <c r="F23" s="257">
        <v>0</v>
      </c>
      <c r="G23" s="258">
        <f>ROUND(+'Equal % Allocation'!F20,6)</f>
        <v>3.4499999999999998E-4</v>
      </c>
      <c r="H23" s="45">
        <f t="shared" si="1"/>
        <v>3.4499999999999998E-4</v>
      </c>
      <c r="I23" s="26">
        <f t="shared" ref="I23:I24" si="6">+F23*D23+E23</f>
        <v>7562315.2959882189</v>
      </c>
      <c r="J23" s="26">
        <f t="shared" ref="J23:J24" si="7">+G23*D23+E23</f>
        <v>7595852.4002530137</v>
      </c>
      <c r="K23" s="26">
        <f>+J23-I23</f>
        <v>33537.104264794849</v>
      </c>
      <c r="L23" s="56">
        <f>IF(I23&gt;0,+K23/I23,0)</f>
        <v>4.4347667284629303E-3</v>
      </c>
    </row>
    <row r="24" spans="1:12" x14ac:dyDescent="0.2">
      <c r="A24" s="54">
        <f t="shared" si="0"/>
        <v>17</v>
      </c>
      <c r="B24" s="27" t="s">
        <v>50</v>
      </c>
      <c r="C24" s="18">
        <v>49</v>
      </c>
      <c r="D24" s="237">
        <f>+'Equal % Allocation'!D21</f>
        <v>536314720.56256545</v>
      </c>
      <c r="E24" s="239">
        <f>+'Base Revenue'!W27</f>
        <v>44516381.30704806</v>
      </c>
      <c r="F24" s="257">
        <v>0</v>
      </c>
      <c r="G24" s="258">
        <f>ROUND(+'Equal % Allocation'!F21,6)</f>
        <v>3.5599999999999998E-4</v>
      </c>
      <c r="H24" s="45">
        <f t="shared" si="1"/>
        <v>3.5599999999999998E-4</v>
      </c>
      <c r="I24" s="26">
        <f t="shared" si="6"/>
        <v>44516381.30704806</v>
      </c>
      <c r="J24" s="26">
        <f t="shared" si="7"/>
        <v>44707309.347568333</v>
      </c>
      <c r="K24" s="26">
        <f>+J24-I24</f>
        <v>190928.04052027315</v>
      </c>
      <c r="L24" s="56">
        <f>IF(I24&gt;0,+K24/I24,0)</f>
        <v>4.2889389234799383E-3</v>
      </c>
    </row>
    <row r="25" spans="1:12" x14ac:dyDescent="0.2">
      <c r="A25" s="54">
        <f t="shared" si="0"/>
        <v>18</v>
      </c>
      <c r="B25" s="9"/>
      <c r="E25" s="26"/>
      <c r="F25" s="45"/>
      <c r="G25" s="259"/>
      <c r="H25" s="45" t="s">
        <v>64</v>
      </c>
      <c r="I25" s="26"/>
      <c r="J25" s="26"/>
      <c r="K25" s="26"/>
      <c r="L25" s="56"/>
    </row>
    <row r="26" spans="1:12" x14ac:dyDescent="0.2">
      <c r="A26" s="54">
        <f t="shared" si="0"/>
        <v>19</v>
      </c>
      <c r="B26" s="9" t="s">
        <v>51</v>
      </c>
      <c r="D26" s="4">
        <f>SUM(D23:D25)</f>
        <v>633523718.43153524</v>
      </c>
      <c r="E26" s="26">
        <f>SUM(E23:E25)</f>
        <v>52078696.603036277</v>
      </c>
      <c r="F26" s="45">
        <f>($I26-$E26)/$D26</f>
        <v>0</v>
      </c>
      <c r="G26" s="45">
        <f>($J26-$E26)/$D26</f>
        <v>3.543121405790379E-4</v>
      </c>
      <c r="H26" s="45">
        <f t="shared" si="1"/>
        <v>3.543121405790379E-4</v>
      </c>
      <c r="I26" s="4">
        <f>SUM(I23:I25)</f>
        <v>52078696.603036277</v>
      </c>
      <c r="J26" s="4">
        <f>SUM(J23:J25)</f>
        <v>52303161.747821346</v>
      </c>
      <c r="K26" s="26">
        <f>SUM(K23:K25)</f>
        <v>224465.144785068</v>
      </c>
      <c r="L26" s="56">
        <f>IF(I26&gt;0,+K26/I26,0)</f>
        <v>4.3101144887712356E-3</v>
      </c>
    </row>
    <row r="27" spans="1:12" x14ac:dyDescent="0.2">
      <c r="A27" s="54">
        <f t="shared" si="0"/>
        <v>20</v>
      </c>
      <c r="B27" s="9"/>
      <c r="E27" s="26"/>
      <c r="F27" s="45"/>
      <c r="G27" s="57"/>
      <c r="H27" s="45"/>
      <c r="K27" s="26"/>
      <c r="L27" s="56"/>
    </row>
    <row r="28" spans="1:12" x14ac:dyDescent="0.2">
      <c r="A28" s="54">
        <f t="shared" si="0"/>
        <v>21</v>
      </c>
      <c r="B28" s="9" t="s">
        <v>52</v>
      </c>
      <c r="C28" s="3" t="s">
        <v>100</v>
      </c>
      <c r="D28" s="237">
        <f>+'Equal % Allocation'!D24</f>
        <v>67622676.457585469</v>
      </c>
      <c r="E28" s="239">
        <f>+'Base Revenue'!W30</f>
        <v>21770377.597807743</v>
      </c>
      <c r="F28" s="257">
        <v>0</v>
      </c>
      <c r="G28" s="258">
        <f>ROUND(+'Equal % Allocation'!F24,6)</f>
        <v>1.477E-3</v>
      </c>
      <c r="H28" s="45">
        <f>G28-F28</f>
        <v>1.477E-3</v>
      </c>
      <c r="I28" s="26">
        <f t="shared" ref="I28" si="8">+F28*D28+E28</f>
        <v>21770377.597807743</v>
      </c>
      <c r="J28" s="26">
        <f>+G28*D28+E28</f>
        <v>21870256.290935595</v>
      </c>
      <c r="K28" s="26">
        <f>+J28-I28</f>
        <v>99878.693127851933</v>
      </c>
      <c r="L28" s="56">
        <f>IF(I28&gt;0,+K28/I28,0)</f>
        <v>4.5878254834638066E-3</v>
      </c>
    </row>
    <row r="29" spans="1:12" x14ac:dyDescent="0.2">
      <c r="A29" s="54">
        <f t="shared" si="0"/>
        <v>22</v>
      </c>
      <c r="B29" s="9"/>
      <c r="D29" s="237"/>
      <c r="E29" s="239"/>
      <c r="F29" s="45"/>
      <c r="G29" s="22"/>
      <c r="H29" s="45" t="s">
        <v>64</v>
      </c>
      <c r="I29" s="26"/>
      <c r="J29" s="26"/>
      <c r="K29" s="26"/>
      <c r="L29" s="56"/>
    </row>
    <row r="30" spans="1:12" x14ac:dyDescent="0.2">
      <c r="A30" s="54">
        <f t="shared" si="0"/>
        <v>23</v>
      </c>
      <c r="B30" s="9" t="s">
        <v>86</v>
      </c>
      <c r="C30" s="3" t="s">
        <v>102</v>
      </c>
      <c r="D30" s="237">
        <f>+'Equal % Allocation'!D26</f>
        <v>1979340018.3287396</v>
      </c>
      <c r="E30" s="239">
        <f>+'Base Revenue'!W32</f>
        <v>12692779.267236508</v>
      </c>
      <c r="F30" s="257">
        <v>0</v>
      </c>
      <c r="G30" s="258">
        <f>ROUND(+'Equal % Allocation'!F26,6)</f>
        <v>2.3E-5</v>
      </c>
      <c r="H30" s="45">
        <f>G30-F30</f>
        <v>2.3E-5</v>
      </c>
      <c r="I30" s="26">
        <f t="shared" ref="I30" si="9">+F30*D30+E30</f>
        <v>12692779.267236508</v>
      </c>
      <c r="J30" s="26">
        <f>+G30*D30+E30</f>
        <v>12738304.08765807</v>
      </c>
      <c r="K30" s="26">
        <f>+J30-I30</f>
        <v>45524.820421561599</v>
      </c>
      <c r="L30" s="56">
        <f>IF(I30&gt;0,+K30/I30,0)</f>
        <v>3.5866707726552416E-3</v>
      </c>
    </row>
    <row r="31" spans="1:12" x14ac:dyDescent="0.2">
      <c r="A31" s="54">
        <f t="shared" si="0"/>
        <v>24</v>
      </c>
      <c r="B31" s="9"/>
      <c r="D31" s="237"/>
      <c r="E31" s="239"/>
      <c r="F31" s="57"/>
      <c r="G31" s="259"/>
      <c r="H31" s="45" t="s">
        <v>64</v>
      </c>
      <c r="I31" s="26"/>
      <c r="J31" s="26"/>
      <c r="K31" s="26"/>
      <c r="L31" s="56"/>
    </row>
    <row r="32" spans="1:12" x14ac:dyDescent="0.2">
      <c r="A32" s="54">
        <f t="shared" si="0"/>
        <v>25</v>
      </c>
      <c r="B32" s="9" t="s">
        <v>168</v>
      </c>
      <c r="C32" s="3" t="s">
        <v>169</v>
      </c>
      <c r="D32" s="237">
        <f>+'Equal % Allocation'!D28</f>
        <v>304641655.46199995</v>
      </c>
      <c r="E32" s="239">
        <f>+'Base Revenue'!W34</f>
        <v>6042947.0492252279</v>
      </c>
      <c r="F32" s="257">
        <v>0</v>
      </c>
      <c r="G32" s="258">
        <f>ROUND(+'Equal % Allocation'!F28,6)</f>
        <v>6.4999999999999994E-5</v>
      </c>
      <c r="H32" s="45">
        <f>G32-F32</f>
        <v>6.4999999999999994E-5</v>
      </c>
      <c r="I32" s="26">
        <f t="shared" ref="I32" si="10">+F32*D32+E32</f>
        <v>6042947.0492252279</v>
      </c>
      <c r="J32" s="26">
        <f>+G32*D32+E32</f>
        <v>6062748.7568302583</v>
      </c>
      <c r="K32" s="26">
        <f>+J32-I32</f>
        <v>19801.707605030388</v>
      </c>
      <c r="L32" s="56">
        <f>IF(I32&gt;0,+K32/I32,0)</f>
        <v>3.2768295740021724E-3</v>
      </c>
    </row>
    <row r="33" spans="1:12" x14ac:dyDescent="0.2">
      <c r="A33" s="54">
        <f t="shared" si="0"/>
        <v>26</v>
      </c>
      <c r="B33" s="9"/>
      <c r="E33" s="26"/>
      <c r="F33" s="57"/>
      <c r="G33" s="57"/>
      <c r="H33" s="45" t="s">
        <v>64</v>
      </c>
      <c r="I33" s="26"/>
      <c r="J33" s="26"/>
      <c r="K33" s="26"/>
      <c r="L33" s="56"/>
    </row>
    <row r="34" spans="1:12" x14ac:dyDescent="0.2">
      <c r="A34" s="54">
        <f t="shared" si="0"/>
        <v>27</v>
      </c>
      <c r="B34" s="9" t="s">
        <v>53</v>
      </c>
      <c r="D34" s="4">
        <f>SUM(D8,D15,D21,D26,D28,D30,D32)</f>
        <v>23414083764.004501</v>
      </c>
      <c r="E34" s="47">
        <f>SUM(E8,E15,E21,E26,E28,E30,E32)</f>
        <v>2606528432.7776456</v>
      </c>
      <c r="F34" s="45">
        <f>($I34-$E34)/$D34</f>
        <v>0</v>
      </c>
      <c r="G34" s="45">
        <f>($J34-$E34)/$D34</f>
        <v>5.0969963028499614E-4</v>
      </c>
      <c r="H34" s="45">
        <f t="shared" si="1"/>
        <v>5.0969963028499614E-4</v>
      </c>
      <c r="I34" s="26">
        <f>SUM(I8,I15,I21,I26,I28,I30,I32)</f>
        <v>2606528432.7776456</v>
      </c>
      <c r="J34" s="26">
        <f>SUM(J8,J15,J21,J26,J28,J30,J32)</f>
        <v>2618462582.6156206</v>
      </c>
      <c r="K34" s="26">
        <f>SUM(K8,K15,K21,K26,K28,K30,K32)</f>
        <v>11934149.837975591</v>
      </c>
      <c r="L34" s="56">
        <f>IF(I34&gt;0,+K34/I34,0)</f>
        <v>4.5785611574004478E-3</v>
      </c>
    </row>
    <row r="35" spans="1:12" ht="12" thickBot="1" x14ac:dyDescent="0.25">
      <c r="A35" s="58">
        <f t="shared" si="0"/>
        <v>28</v>
      </c>
      <c r="B35" s="59"/>
      <c r="C35" s="60"/>
      <c r="D35" s="61"/>
      <c r="E35" s="61"/>
      <c r="F35" s="62"/>
      <c r="G35" s="62"/>
      <c r="H35" s="62"/>
      <c r="I35" s="61"/>
      <c r="J35" s="61"/>
      <c r="K35" s="63"/>
      <c r="L35" s="64"/>
    </row>
    <row r="36" spans="1:12" x14ac:dyDescent="0.2">
      <c r="A36" s="18">
        <f t="shared" si="0"/>
        <v>29</v>
      </c>
      <c r="B36" s="9"/>
    </row>
    <row r="37" spans="1:12" x14ac:dyDescent="0.2">
      <c r="A37" s="18">
        <f t="shared" si="0"/>
        <v>30</v>
      </c>
      <c r="B37" s="9" t="s">
        <v>54</v>
      </c>
      <c r="D37" s="4">
        <f>+'Equal % Allocation'!D32</f>
        <v>6791642.9865201386</v>
      </c>
      <c r="E37" s="26">
        <f>+'Base Revenue'!W38</f>
        <v>627643.61145368591</v>
      </c>
      <c r="K37" s="26"/>
    </row>
    <row r="38" spans="1:12" x14ac:dyDescent="0.2">
      <c r="A38" s="18">
        <f t="shared" si="0"/>
        <v>31</v>
      </c>
      <c r="B38" s="9"/>
      <c r="E38" s="26"/>
    </row>
    <row r="39" spans="1:12" x14ac:dyDescent="0.2">
      <c r="A39" s="18">
        <f t="shared" si="0"/>
        <v>32</v>
      </c>
      <c r="B39" s="9" t="s">
        <v>55</v>
      </c>
      <c r="D39" s="4">
        <f>+D37+D34</f>
        <v>23420875406.99102</v>
      </c>
      <c r="E39" s="26">
        <f>+E37+E34</f>
        <v>2607156076.3890991</v>
      </c>
    </row>
    <row r="40" spans="1:12" x14ac:dyDescent="0.2">
      <c r="A40" s="9"/>
      <c r="B40" s="9"/>
      <c r="K40" s="26"/>
    </row>
    <row r="41" spans="1:12" x14ac:dyDescent="0.2">
      <c r="A41" s="349" t="s">
        <v>375</v>
      </c>
      <c r="B41" s="349"/>
      <c r="C41" s="349"/>
      <c r="D41" s="349"/>
      <c r="E41" s="349"/>
      <c r="F41" s="349"/>
      <c r="G41" s="349"/>
      <c r="H41" s="349"/>
      <c r="I41" s="349"/>
      <c r="J41" s="350"/>
      <c r="K41" s="350"/>
      <c r="L41" s="350"/>
    </row>
    <row r="42" spans="1:12" ht="11.25" customHeight="1" x14ac:dyDescent="0.2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</row>
    <row r="43" spans="1:12" ht="11.25" customHeight="1" x14ac:dyDescent="0.2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</row>
    <row r="44" spans="1:12" x14ac:dyDescent="0.2">
      <c r="A44" s="9"/>
      <c r="B44" s="349"/>
      <c r="C44" s="349"/>
      <c r="D44" s="349"/>
      <c r="E44" s="349"/>
      <c r="F44" s="349"/>
      <c r="G44" s="349"/>
      <c r="H44" s="349"/>
      <c r="I44" s="349"/>
      <c r="J44" s="349"/>
    </row>
    <row r="45" spans="1:12" x14ac:dyDescent="0.2">
      <c r="A45" s="9"/>
      <c r="B45" s="9"/>
    </row>
    <row r="46" spans="1:12" x14ac:dyDescent="0.2">
      <c r="A46" s="9"/>
      <c r="B46" s="9"/>
    </row>
    <row r="47" spans="1:12" x14ac:dyDescent="0.2">
      <c r="A47" s="9"/>
      <c r="B47" s="9"/>
    </row>
    <row r="48" spans="1:12" x14ac:dyDescent="0.2">
      <c r="A48" s="9"/>
      <c r="B48" s="9"/>
    </row>
    <row r="49" spans="1:2" x14ac:dyDescent="0.2">
      <c r="A49" s="9"/>
      <c r="B49" s="9"/>
    </row>
    <row r="50" spans="1:2" x14ac:dyDescent="0.2">
      <c r="A50" s="9"/>
      <c r="B50" s="9"/>
    </row>
    <row r="51" spans="1:2" x14ac:dyDescent="0.2">
      <c r="A51" s="9"/>
      <c r="B51" s="9"/>
    </row>
    <row r="52" spans="1:2" x14ac:dyDescent="0.2">
      <c r="A52" s="9"/>
      <c r="B52" s="9"/>
    </row>
    <row r="53" spans="1:2" x14ac:dyDescent="0.2">
      <c r="A53" s="9"/>
      <c r="B53" s="9"/>
    </row>
    <row r="54" spans="1:2" x14ac:dyDescent="0.2">
      <c r="A54" s="9"/>
      <c r="B54" s="9"/>
    </row>
    <row r="55" spans="1:2" x14ac:dyDescent="0.2">
      <c r="A55" s="9"/>
      <c r="B55" s="9"/>
    </row>
    <row r="56" spans="1:2" x14ac:dyDescent="0.2">
      <c r="A56" s="9"/>
      <c r="B56" s="9"/>
    </row>
    <row r="57" spans="1:2" x14ac:dyDescent="0.2">
      <c r="A57" s="9"/>
      <c r="B57" s="9"/>
    </row>
    <row r="58" spans="1:2" x14ac:dyDescent="0.2">
      <c r="A58" s="9"/>
      <c r="B58" s="9"/>
    </row>
    <row r="59" spans="1:2" x14ac:dyDescent="0.2">
      <c r="A59" s="9"/>
      <c r="B59" s="9"/>
    </row>
    <row r="60" spans="1:2" x14ac:dyDescent="0.2">
      <c r="A60" s="9"/>
      <c r="B60" s="9"/>
    </row>
    <row r="61" spans="1:2" x14ac:dyDescent="0.2">
      <c r="A61" s="9"/>
      <c r="B61" s="9"/>
    </row>
    <row r="62" spans="1:2" x14ac:dyDescent="0.2">
      <c r="A62" s="9"/>
      <c r="B62" s="9"/>
    </row>
    <row r="63" spans="1:2" x14ac:dyDescent="0.2">
      <c r="A63" s="9"/>
      <c r="B63" s="9"/>
    </row>
    <row r="64" spans="1:2" x14ac:dyDescent="0.2">
      <c r="A64" s="9"/>
      <c r="B64" s="9"/>
    </row>
    <row r="65" spans="1:2" x14ac:dyDescent="0.2">
      <c r="A65" s="9"/>
      <c r="B65" s="9"/>
    </row>
    <row r="66" spans="1:2" x14ac:dyDescent="0.2">
      <c r="A66" s="9"/>
      <c r="B66" s="9"/>
    </row>
    <row r="67" spans="1:2" x14ac:dyDescent="0.2">
      <c r="A67" s="9"/>
      <c r="B67" s="9"/>
    </row>
    <row r="68" spans="1:2" x14ac:dyDescent="0.2">
      <c r="A68" s="9"/>
      <c r="B68" s="9"/>
    </row>
    <row r="69" spans="1:2" x14ac:dyDescent="0.2">
      <c r="A69" s="9"/>
      <c r="B69" s="9"/>
    </row>
    <row r="70" spans="1:2" x14ac:dyDescent="0.2">
      <c r="A70" s="9"/>
      <c r="B70" s="9"/>
    </row>
    <row r="71" spans="1:2" x14ac:dyDescent="0.2">
      <c r="A71" s="9"/>
      <c r="B71" s="9"/>
    </row>
    <row r="72" spans="1:2" x14ac:dyDescent="0.2">
      <c r="A72" s="9"/>
      <c r="B72" s="9"/>
    </row>
    <row r="73" spans="1:2" x14ac:dyDescent="0.2">
      <c r="A73" s="9"/>
      <c r="B73" s="9"/>
    </row>
    <row r="74" spans="1:2" x14ac:dyDescent="0.2">
      <c r="A74" s="9"/>
      <c r="B74" s="9"/>
    </row>
    <row r="75" spans="1:2" x14ac:dyDescent="0.2">
      <c r="A75" s="9"/>
      <c r="B75" s="9"/>
    </row>
    <row r="76" spans="1:2" x14ac:dyDescent="0.2">
      <c r="A76" s="9"/>
      <c r="B76" s="9"/>
    </row>
    <row r="77" spans="1:2" x14ac:dyDescent="0.2">
      <c r="A77" s="9"/>
      <c r="B77" s="9"/>
    </row>
    <row r="78" spans="1:2" x14ac:dyDescent="0.2">
      <c r="A78" s="9"/>
      <c r="B78" s="9"/>
    </row>
    <row r="79" spans="1:2" x14ac:dyDescent="0.2">
      <c r="A79" s="9"/>
      <c r="B79" s="9"/>
    </row>
    <row r="80" spans="1:2" x14ac:dyDescent="0.2">
      <c r="A80" s="9"/>
      <c r="B80" s="9"/>
    </row>
    <row r="81" spans="1:2" x14ac:dyDescent="0.2">
      <c r="A81" s="9"/>
      <c r="B81" s="9"/>
    </row>
    <row r="82" spans="1:2" x14ac:dyDescent="0.2">
      <c r="A82" s="9"/>
      <c r="B82" s="9"/>
    </row>
    <row r="83" spans="1:2" x14ac:dyDescent="0.2">
      <c r="A83" s="9"/>
      <c r="B83" s="9"/>
    </row>
    <row r="84" spans="1:2" x14ac:dyDescent="0.2">
      <c r="A84" s="9"/>
      <c r="B84" s="9"/>
    </row>
    <row r="85" spans="1:2" x14ac:dyDescent="0.2">
      <c r="A85" s="9"/>
      <c r="B85" s="9"/>
    </row>
    <row r="86" spans="1:2" x14ac:dyDescent="0.2">
      <c r="A86" s="9"/>
      <c r="B86" s="9"/>
    </row>
    <row r="87" spans="1:2" x14ac:dyDescent="0.2">
      <c r="A87" s="9"/>
      <c r="B87" s="9"/>
    </row>
    <row r="88" spans="1:2" x14ac:dyDescent="0.2">
      <c r="A88" s="9"/>
      <c r="B88" s="9"/>
    </row>
    <row r="89" spans="1:2" x14ac:dyDescent="0.2">
      <c r="A89" s="9"/>
      <c r="B89" s="9"/>
    </row>
    <row r="90" spans="1:2" x14ac:dyDescent="0.2">
      <c r="A90" s="9"/>
      <c r="B90" s="9"/>
    </row>
    <row r="91" spans="1:2" x14ac:dyDescent="0.2">
      <c r="A91" s="9"/>
      <c r="B91" s="9"/>
    </row>
    <row r="92" spans="1:2" x14ac:dyDescent="0.2">
      <c r="A92" s="9"/>
      <c r="B92" s="9"/>
    </row>
    <row r="93" spans="1:2" x14ac:dyDescent="0.2">
      <c r="A93" s="9"/>
      <c r="B93" s="9"/>
    </row>
    <row r="94" spans="1:2" x14ac:dyDescent="0.2">
      <c r="A94" s="9"/>
      <c r="B94" s="9"/>
    </row>
    <row r="95" spans="1:2" x14ac:dyDescent="0.2">
      <c r="A95" s="9"/>
      <c r="B95" s="9"/>
    </row>
    <row r="96" spans="1:2" x14ac:dyDescent="0.2">
      <c r="A96" s="9"/>
      <c r="B96" s="9"/>
    </row>
    <row r="97" spans="1:2" x14ac:dyDescent="0.2">
      <c r="A97" s="9"/>
      <c r="B97" s="9"/>
    </row>
    <row r="98" spans="1:2" x14ac:dyDescent="0.2">
      <c r="A98" s="9"/>
      <c r="B98" s="9"/>
    </row>
    <row r="99" spans="1:2" x14ac:dyDescent="0.2">
      <c r="A99" s="9"/>
      <c r="B99" s="9"/>
    </row>
    <row r="100" spans="1:2" x14ac:dyDescent="0.2">
      <c r="A100" s="9"/>
      <c r="B100" s="9"/>
    </row>
    <row r="101" spans="1:2" x14ac:dyDescent="0.2">
      <c r="A101" s="9"/>
      <c r="B101" s="9"/>
    </row>
    <row r="102" spans="1:2" x14ac:dyDescent="0.2">
      <c r="A102" s="9"/>
      <c r="B102" s="9"/>
    </row>
    <row r="103" spans="1:2" x14ac:dyDescent="0.2">
      <c r="A103" s="9"/>
      <c r="B103" s="9"/>
    </row>
    <row r="104" spans="1:2" x14ac:dyDescent="0.2">
      <c r="A104" s="9"/>
      <c r="B104" s="9"/>
    </row>
    <row r="105" spans="1:2" x14ac:dyDescent="0.2">
      <c r="A105" s="9"/>
      <c r="B105" s="9"/>
    </row>
    <row r="106" spans="1:2" x14ac:dyDescent="0.2">
      <c r="A106" s="9"/>
      <c r="B106" s="9"/>
    </row>
    <row r="107" spans="1:2" x14ac:dyDescent="0.2">
      <c r="A107" s="9"/>
      <c r="B107" s="9"/>
    </row>
    <row r="108" spans="1:2" x14ac:dyDescent="0.2">
      <c r="A108" s="9"/>
      <c r="B108" s="9"/>
    </row>
    <row r="109" spans="1:2" x14ac:dyDescent="0.2">
      <c r="A109" s="9"/>
      <c r="B109" s="9"/>
    </row>
    <row r="110" spans="1:2" x14ac:dyDescent="0.2">
      <c r="A110" s="9"/>
      <c r="B110" s="9"/>
    </row>
    <row r="111" spans="1:2" x14ac:dyDescent="0.2">
      <c r="A111" s="9"/>
      <c r="B111" s="9"/>
    </row>
    <row r="112" spans="1:2" x14ac:dyDescent="0.2">
      <c r="A112" s="9"/>
      <c r="B112" s="9"/>
    </row>
    <row r="113" spans="1:2" x14ac:dyDescent="0.2">
      <c r="A113" s="9"/>
      <c r="B113" s="9"/>
    </row>
    <row r="114" spans="1:2" x14ac:dyDescent="0.2">
      <c r="A114" s="9"/>
      <c r="B114" s="9"/>
    </row>
    <row r="115" spans="1:2" x14ac:dyDescent="0.2">
      <c r="A115" s="9"/>
      <c r="B115" s="9"/>
    </row>
    <row r="116" spans="1:2" x14ac:dyDescent="0.2">
      <c r="A116" s="9"/>
      <c r="B116" s="9"/>
    </row>
    <row r="117" spans="1:2" x14ac:dyDescent="0.2">
      <c r="A117" s="9"/>
      <c r="B117" s="9"/>
    </row>
    <row r="118" spans="1:2" x14ac:dyDescent="0.2">
      <c r="A118" s="9"/>
      <c r="B118" s="9"/>
    </row>
    <row r="119" spans="1:2" x14ac:dyDescent="0.2">
      <c r="A119" s="9"/>
      <c r="B119" s="9"/>
    </row>
    <row r="120" spans="1:2" x14ac:dyDescent="0.2">
      <c r="A120" s="9"/>
      <c r="B120" s="9"/>
    </row>
    <row r="121" spans="1:2" x14ac:dyDescent="0.2">
      <c r="A121" s="9"/>
      <c r="B121" s="9"/>
    </row>
    <row r="122" spans="1:2" x14ac:dyDescent="0.2">
      <c r="A122" s="9"/>
      <c r="B122" s="9"/>
    </row>
    <row r="123" spans="1:2" x14ac:dyDescent="0.2">
      <c r="A123" s="9"/>
      <c r="B123" s="9"/>
    </row>
    <row r="124" spans="1:2" x14ac:dyDescent="0.2">
      <c r="A124" s="9"/>
      <c r="B124" s="9"/>
    </row>
    <row r="125" spans="1:2" x14ac:dyDescent="0.2">
      <c r="A125" s="9"/>
      <c r="B125" s="9"/>
    </row>
    <row r="126" spans="1:2" x14ac:dyDescent="0.2">
      <c r="A126" s="9"/>
      <c r="B126" s="9"/>
    </row>
    <row r="127" spans="1:2" x14ac:dyDescent="0.2">
      <c r="A127" s="9"/>
      <c r="B127" s="9"/>
    </row>
    <row r="128" spans="1:2" x14ac:dyDescent="0.2">
      <c r="A128" s="9"/>
      <c r="B128" s="9"/>
    </row>
    <row r="129" spans="1:2" x14ac:dyDescent="0.2">
      <c r="A129" s="9"/>
      <c r="B129" s="9"/>
    </row>
    <row r="130" spans="1:2" x14ac:dyDescent="0.2">
      <c r="A130" s="9"/>
      <c r="B130" s="9"/>
    </row>
    <row r="131" spans="1:2" x14ac:dyDescent="0.2">
      <c r="A131" s="9"/>
      <c r="B131" s="9"/>
    </row>
    <row r="132" spans="1:2" x14ac:dyDescent="0.2">
      <c r="A132" s="9"/>
      <c r="B132" s="9"/>
    </row>
    <row r="133" spans="1:2" x14ac:dyDescent="0.2">
      <c r="A133" s="9"/>
      <c r="B133" s="9"/>
    </row>
    <row r="134" spans="1:2" x14ac:dyDescent="0.2">
      <c r="A134" s="9"/>
      <c r="B134" s="9"/>
    </row>
    <row r="135" spans="1:2" x14ac:dyDescent="0.2">
      <c r="A135" s="9"/>
      <c r="B135" s="9"/>
    </row>
    <row r="136" spans="1:2" x14ac:dyDescent="0.2">
      <c r="A136" s="9"/>
      <c r="B136" s="9"/>
    </row>
    <row r="137" spans="1:2" x14ac:dyDescent="0.2">
      <c r="A137" s="9"/>
      <c r="B137" s="9"/>
    </row>
    <row r="138" spans="1:2" x14ac:dyDescent="0.2">
      <c r="A138" s="9"/>
      <c r="B138" s="9"/>
    </row>
    <row r="139" spans="1:2" x14ac:dyDescent="0.2">
      <c r="A139" s="9"/>
      <c r="B139" s="9"/>
    </row>
    <row r="140" spans="1:2" x14ac:dyDescent="0.2">
      <c r="A140" s="9"/>
      <c r="B140" s="9"/>
    </row>
    <row r="141" spans="1:2" x14ac:dyDescent="0.2">
      <c r="A141" s="9"/>
      <c r="B141" s="9"/>
    </row>
    <row r="142" spans="1:2" x14ac:dyDescent="0.2">
      <c r="A142" s="9"/>
      <c r="B142" s="9"/>
    </row>
    <row r="143" spans="1:2" x14ac:dyDescent="0.2">
      <c r="A143" s="9"/>
      <c r="B143" s="9"/>
    </row>
    <row r="144" spans="1:2" x14ac:dyDescent="0.2">
      <c r="A144" s="9"/>
      <c r="B144" s="9"/>
    </row>
    <row r="145" spans="1:2" x14ac:dyDescent="0.2">
      <c r="A145" s="9"/>
      <c r="B145" s="9"/>
    </row>
    <row r="146" spans="1:2" x14ac:dyDescent="0.2">
      <c r="A146" s="9"/>
      <c r="B146" s="9"/>
    </row>
    <row r="147" spans="1:2" x14ac:dyDescent="0.2">
      <c r="A147" s="9"/>
      <c r="B147" s="9"/>
    </row>
    <row r="148" spans="1:2" x14ac:dyDescent="0.2">
      <c r="A148" s="9"/>
      <c r="B148" s="9"/>
    </row>
    <row r="149" spans="1:2" x14ac:dyDescent="0.2">
      <c r="A149" s="9"/>
      <c r="B149" s="9"/>
    </row>
    <row r="150" spans="1:2" x14ac:dyDescent="0.2">
      <c r="A150" s="9"/>
      <c r="B150" s="9"/>
    </row>
    <row r="151" spans="1:2" x14ac:dyDescent="0.2">
      <c r="A151" s="9"/>
      <c r="B151" s="9"/>
    </row>
    <row r="152" spans="1:2" x14ac:dyDescent="0.2">
      <c r="A152" s="9"/>
      <c r="B152" s="9"/>
    </row>
    <row r="153" spans="1:2" x14ac:dyDescent="0.2">
      <c r="A153" s="9"/>
      <c r="B153" s="9"/>
    </row>
    <row r="154" spans="1:2" x14ac:dyDescent="0.2">
      <c r="A154" s="9"/>
      <c r="B154" s="9"/>
    </row>
    <row r="155" spans="1:2" x14ac:dyDescent="0.2">
      <c r="A155" s="9"/>
      <c r="B155" s="9"/>
    </row>
    <row r="156" spans="1:2" x14ac:dyDescent="0.2">
      <c r="A156" s="9"/>
      <c r="B156" s="9"/>
    </row>
    <row r="157" spans="1:2" x14ac:dyDescent="0.2">
      <c r="A157" s="9"/>
      <c r="B157" s="9"/>
    </row>
    <row r="158" spans="1:2" x14ac:dyDescent="0.2">
      <c r="A158" s="9"/>
      <c r="B158" s="9"/>
    </row>
    <row r="159" spans="1:2" x14ac:dyDescent="0.2">
      <c r="A159" s="9"/>
      <c r="B159" s="9"/>
    </row>
    <row r="160" spans="1:2" x14ac:dyDescent="0.2">
      <c r="A160" s="9"/>
      <c r="B160" s="9"/>
    </row>
    <row r="161" spans="1:2" x14ac:dyDescent="0.2">
      <c r="A161" s="9"/>
      <c r="B161" s="9"/>
    </row>
    <row r="162" spans="1:2" x14ac:dyDescent="0.2">
      <c r="A162" s="9"/>
      <c r="B162" s="9"/>
    </row>
    <row r="163" spans="1:2" x14ac:dyDescent="0.2">
      <c r="A163" s="9"/>
      <c r="B163" s="9"/>
    </row>
    <row r="164" spans="1:2" x14ac:dyDescent="0.2">
      <c r="A164" s="9"/>
      <c r="B164" s="9"/>
    </row>
    <row r="165" spans="1:2" x14ac:dyDescent="0.2">
      <c r="A165" s="9"/>
      <c r="B165" s="9"/>
    </row>
    <row r="166" spans="1:2" x14ac:dyDescent="0.2">
      <c r="A166" s="9"/>
      <c r="B166" s="9"/>
    </row>
    <row r="167" spans="1:2" x14ac:dyDescent="0.2">
      <c r="A167" s="9"/>
      <c r="B167" s="9"/>
    </row>
    <row r="168" spans="1:2" x14ac:dyDescent="0.2">
      <c r="A168" s="9"/>
      <c r="B168" s="9"/>
    </row>
    <row r="169" spans="1:2" x14ac:dyDescent="0.2">
      <c r="A169" s="9"/>
      <c r="B169" s="9"/>
    </row>
    <row r="170" spans="1:2" x14ac:dyDescent="0.2">
      <c r="A170" s="9"/>
      <c r="B170" s="9"/>
    </row>
    <row r="171" spans="1:2" x14ac:dyDescent="0.2">
      <c r="A171" s="9"/>
      <c r="B171" s="9"/>
    </row>
    <row r="172" spans="1:2" x14ac:dyDescent="0.2">
      <c r="A172" s="9"/>
      <c r="B172" s="9"/>
    </row>
    <row r="173" spans="1:2" x14ac:dyDescent="0.2">
      <c r="A173" s="9"/>
      <c r="B173" s="9"/>
    </row>
    <row r="174" spans="1:2" x14ac:dyDescent="0.2">
      <c r="A174" s="9"/>
      <c r="B174" s="9"/>
    </row>
    <row r="175" spans="1:2" x14ac:dyDescent="0.2">
      <c r="A175" s="9"/>
      <c r="B175" s="9"/>
    </row>
    <row r="176" spans="1:2" x14ac:dyDescent="0.2">
      <c r="A176" s="9"/>
      <c r="B176" s="9"/>
    </row>
    <row r="177" spans="1:2" x14ac:dyDescent="0.2">
      <c r="A177" s="9"/>
      <c r="B177" s="9"/>
    </row>
    <row r="178" spans="1:2" x14ac:dyDescent="0.2">
      <c r="A178" s="9"/>
      <c r="B178" s="9"/>
    </row>
    <row r="179" spans="1:2" x14ac:dyDescent="0.2">
      <c r="A179" s="9"/>
      <c r="B179" s="9"/>
    </row>
    <row r="180" spans="1:2" x14ac:dyDescent="0.2">
      <c r="A180" s="9"/>
      <c r="B180" s="9"/>
    </row>
    <row r="181" spans="1:2" x14ac:dyDescent="0.2">
      <c r="A181" s="9"/>
      <c r="B181" s="9"/>
    </row>
    <row r="182" spans="1:2" x14ac:dyDescent="0.2">
      <c r="A182" s="9"/>
      <c r="B182" s="9"/>
    </row>
    <row r="183" spans="1:2" x14ac:dyDescent="0.2">
      <c r="A183" s="9"/>
      <c r="B183" s="9"/>
    </row>
    <row r="184" spans="1:2" x14ac:dyDescent="0.2">
      <c r="A184" s="9"/>
      <c r="B184" s="9"/>
    </row>
  </sheetData>
  <mergeCells count="5">
    <mergeCell ref="A1:L1"/>
    <mergeCell ref="A2:L2"/>
    <mergeCell ref="A3:L3"/>
    <mergeCell ref="B44:J44"/>
    <mergeCell ref="A41:L43"/>
  </mergeCells>
  <phoneticPr fontId="2" type="noConversion"/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79998168889431442"/>
    <pageSetUpPr fitToPage="1"/>
  </sheetPr>
  <dimension ref="A1:Q184"/>
  <sheetViews>
    <sheetView workbookViewId="0">
      <pane xSplit="4" ySplit="3" topLeftCell="E4" activePane="bottomRight" state="frozen"/>
      <selection pane="topRight" activeCell="E1" sqref="E1"/>
      <selection pane="bottomLeft" activeCell="A6" sqref="A6"/>
      <selection pane="bottomRight" activeCell="L13" sqref="L13"/>
    </sheetView>
  </sheetViews>
  <sheetFormatPr defaultColWidth="8.85546875" defaultRowHeight="11.25" x14ac:dyDescent="0.2"/>
  <cols>
    <col min="1" max="1" width="4.42578125" style="200" bestFit="1" customWidth="1"/>
    <col min="2" max="2" width="38.85546875" style="200" bestFit="1" customWidth="1"/>
    <col min="3" max="3" width="17.5703125" style="200" bestFit="1" customWidth="1"/>
    <col min="4" max="4" width="16.140625" style="200" bestFit="1" customWidth="1"/>
    <col min="5" max="6" width="9.42578125" style="200" bestFit="1" customWidth="1"/>
    <col min="7" max="7" width="13.140625" style="200" bestFit="1" customWidth="1"/>
    <col min="8" max="8" width="10" style="200" bestFit="1" customWidth="1"/>
    <col min="9" max="9" width="12.85546875" style="200" customWidth="1"/>
    <col min="10" max="10" width="10.5703125" style="200" bestFit="1" customWidth="1"/>
    <col min="11" max="11" width="9.85546875" style="200" bestFit="1" customWidth="1"/>
    <col min="12" max="12" width="11.28515625" style="200" bestFit="1" customWidth="1"/>
    <col min="13" max="13" width="1.85546875" style="199" customWidth="1"/>
    <col min="14" max="16384" width="8.85546875" style="200"/>
  </cols>
  <sheetData>
    <row r="1" spans="1:15" s="190" customFormat="1" x14ac:dyDescent="0.2">
      <c r="A1" s="353" t="str">
        <f>'2023 Proposed Impacts'!A1:L1</f>
        <v>2023 Bill Discount Rider Rate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189"/>
    </row>
    <row r="2" spans="1:15" s="190" customFormat="1" x14ac:dyDescent="0.2">
      <c r="A2" s="353" t="str">
        <f>'2023 Proposed Impacts'!A3:L3</f>
        <v>For the Twelve Months Ended September 30, 2024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189"/>
    </row>
    <row r="3" spans="1:15" s="190" customFormat="1" x14ac:dyDescent="0.2">
      <c r="A3" s="351" t="s">
        <v>299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189"/>
    </row>
    <row r="4" spans="1:15" s="192" customFormat="1" ht="12" thickBot="1" x14ac:dyDescent="0.25">
      <c r="A4" s="191"/>
      <c r="B4" s="352"/>
      <c r="C4" s="352"/>
      <c r="D4" s="352"/>
      <c r="E4" s="352"/>
      <c r="F4" s="352"/>
      <c r="G4" s="352"/>
      <c r="H4" s="352"/>
      <c r="M4" s="193"/>
    </row>
    <row r="5" spans="1:15" s="192" customFormat="1" ht="102" thickBot="1" x14ac:dyDescent="0.25">
      <c r="A5" s="194" t="s">
        <v>3</v>
      </c>
      <c r="B5" s="194" t="s">
        <v>0</v>
      </c>
      <c r="C5" s="194" t="s">
        <v>4</v>
      </c>
      <c r="D5" s="194" t="s">
        <v>152</v>
      </c>
      <c r="E5" s="195" t="s">
        <v>300</v>
      </c>
      <c r="F5" s="195" t="s">
        <v>301</v>
      </c>
      <c r="G5" s="195" t="s">
        <v>302</v>
      </c>
      <c r="H5" s="249" t="s">
        <v>321</v>
      </c>
      <c r="I5" s="195" t="s">
        <v>322</v>
      </c>
      <c r="J5" s="195" t="s">
        <v>303</v>
      </c>
      <c r="K5" s="195" t="s">
        <v>323</v>
      </c>
      <c r="L5" s="195" t="s">
        <v>324</v>
      </c>
      <c r="M5" s="193"/>
      <c r="N5" s="43" t="s">
        <v>166</v>
      </c>
      <c r="O5" s="43" t="s">
        <v>167</v>
      </c>
    </row>
    <row r="6" spans="1:15" x14ac:dyDescent="0.2">
      <c r="A6" s="196"/>
      <c r="B6" s="196"/>
      <c r="C6" s="196"/>
      <c r="D6" s="197"/>
      <c r="E6" s="198" t="s">
        <v>67</v>
      </c>
      <c r="F6" s="198" t="s">
        <v>68</v>
      </c>
      <c r="G6" s="118" t="s">
        <v>304</v>
      </c>
      <c r="H6" s="250" t="s">
        <v>69</v>
      </c>
      <c r="I6" s="197" t="s">
        <v>90</v>
      </c>
      <c r="J6" s="197" t="s">
        <v>70</v>
      </c>
      <c r="K6" s="197" t="s">
        <v>305</v>
      </c>
      <c r="L6" s="197" t="s">
        <v>306</v>
      </c>
    </row>
    <row r="7" spans="1:15" x14ac:dyDescent="0.2">
      <c r="A7" s="196"/>
      <c r="B7" s="196"/>
      <c r="C7" s="196"/>
      <c r="D7" s="197"/>
      <c r="E7" s="110"/>
      <c r="F7" s="110"/>
      <c r="G7" s="118" t="s">
        <v>307</v>
      </c>
      <c r="H7" s="251" t="s">
        <v>308</v>
      </c>
      <c r="J7" s="201" t="s">
        <v>309</v>
      </c>
      <c r="K7" s="201" t="s">
        <v>310</v>
      </c>
      <c r="L7" s="197" t="s">
        <v>311</v>
      </c>
    </row>
    <row r="8" spans="1:15" ht="12" thickBot="1" x14ac:dyDescent="0.25">
      <c r="A8" s="196"/>
      <c r="E8" s="110"/>
      <c r="F8" s="110"/>
      <c r="G8" s="110"/>
      <c r="H8" s="252"/>
      <c r="I8" s="202"/>
      <c r="J8" s="202"/>
      <c r="K8" s="202"/>
    </row>
    <row r="9" spans="1:15" x14ac:dyDescent="0.2">
      <c r="A9" s="196"/>
      <c r="E9" s="110"/>
      <c r="F9" s="110"/>
      <c r="G9" s="110"/>
      <c r="H9" s="252"/>
      <c r="L9" s="203" t="s">
        <v>162</v>
      </c>
      <c r="M9" s="200"/>
    </row>
    <row r="10" spans="1:15" ht="12" thickBot="1" x14ac:dyDescent="0.25">
      <c r="A10" s="196">
        <v>1</v>
      </c>
      <c r="B10" s="204" t="s">
        <v>165</v>
      </c>
      <c r="E10" s="110"/>
      <c r="F10" s="110"/>
      <c r="G10" s="110"/>
      <c r="H10" s="252"/>
      <c r="I10" s="205"/>
      <c r="J10" s="206">
        <f>SUM(J25:J176)</f>
        <v>3994061</v>
      </c>
      <c r="K10" s="206">
        <f>SUM(K25:K176)</f>
        <v>101639</v>
      </c>
      <c r="L10" s="207">
        <f>SUM(L11:L12)</f>
        <v>2.4509953994171305E-2</v>
      </c>
      <c r="M10" s="200"/>
    </row>
    <row r="11" spans="1:15" x14ac:dyDescent="0.2">
      <c r="A11" s="196">
        <f>+A10+1</f>
        <v>2</v>
      </c>
      <c r="B11" s="204" t="s">
        <v>312</v>
      </c>
      <c r="E11" s="110"/>
      <c r="F11" s="110"/>
      <c r="G11" s="110"/>
      <c r="H11" s="252"/>
      <c r="I11" s="205"/>
      <c r="K11" s="208">
        <f>'Equal % Allocation'!H24</f>
        <v>99887.687205013834</v>
      </c>
      <c r="L11" s="209">
        <f>+K11/J10</f>
        <v>2.5009053994171304E-2</v>
      </c>
      <c r="M11" s="200"/>
    </row>
    <row r="12" spans="1:15" x14ac:dyDescent="0.2">
      <c r="A12" s="196">
        <f t="shared" ref="A12:A75" si="0">+A11+1</f>
        <v>3</v>
      </c>
      <c r="B12" s="210" t="s">
        <v>313</v>
      </c>
      <c r="E12" s="110"/>
      <c r="F12" s="110"/>
      <c r="G12" s="110"/>
      <c r="H12" s="252"/>
      <c r="I12" s="205"/>
      <c r="J12" s="206"/>
      <c r="K12" s="211">
        <f>+K11-K10</f>
        <v>-1751.3127949861664</v>
      </c>
      <c r="L12" s="212">
        <v>-4.9910000000000004E-4</v>
      </c>
      <c r="M12" s="200"/>
    </row>
    <row r="13" spans="1:15" x14ac:dyDescent="0.2">
      <c r="A13" s="196">
        <f t="shared" si="0"/>
        <v>4</v>
      </c>
      <c r="E13" s="110"/>
      <c r="F13" s="110"/>
      <c r="G13" s="110"/>
      <c r="H13" s="252"/>
      <c r="M13" s="200"/>
    </row>
    <row r="14" spans="1:15" x14ac:dyDescent="0.2">
      <c r="A14" s="196">
        <f t="shared" si="0"/>
        <v>5</v>
      </c>
      <c r="B14" s="200" t="s">
        <v>153</v>
      </c>
      <c r="E14" s="110"/>
      <c r="F14" s="110"/>
      <c r="G14" s="110"/>
      <c r="H14" s="252"/>
      <c r="I14" s="202">
        <f>SUM(I25:I30)</f>
        <v>1201</v>
      </c>
      <c r="J14" s="206">
        <f>SUM(J25:J30)</f>
        <v>3504</v>
      </c>
      <c r="K14" s="206">
        <f>SUM(K25:K30)</f>
        <v>85</v>
      </c>
      <c r="L14" s="206"/>
      <c r="M14" s="200"/>
    </row>
    <row r="15" spans="1:15" x14ac:dyDescent="0.2">
      <c r="A15" s="196">
        <f t="shared" si="0"/>
        <v>6</v>
      </c>
      <c r="B15" s="200" t="s">
        <v>154</v>
      </c>
      <c r="E15" s="110"/>
      <c r="F15" s="110"/>
      <c r="G15" s="110"/>
      <c r="H15" s="252"/>
      <c r="I15" s="202">
        <f>SUM(I33:I43)</f>
        <v>130223</v>
      </c>
      <c r="J15" s="206">
        <f>SUM(J33:J43)</f>
        <v>207547</v>
      </c>
      <c r="K15" s="206">
        <f>SUM(K33:K43)</f>
        <v>5404</v>
      </c>
      <c r="L15" s="206"/>
      <c r="M15" s="200"/>
    </row>
    <row r="16" spans="1:15" x14ac:dyDescent="0.2">
      <c r="A16" s="196">
        <f t="shared" si="0"/>
        <v>7</v>
      </c>
      <c r="B16" s="200" t="s">
        <v>155</v>
      </c>
      <c r="E16" s="110"/>
      <c r="F16" s="110"/>
      <c r="G16" s="110"/>
      <c r="H16" s="252"/>
      <c r="I16" s="202">
        <f>SUM(I46:I61)</f>
        <v>218635</v>
      </c>
      <c r="J16" s="206">
        <f>SUM(J46:J61)</f>
        <v>707370</v>
      </c>
      <c r="K16" s="206">
        <f>SUM(K46:K61)</f>
        <v>17592</v>
      </c>
      <c r="L16" s="206"/>
      <c r="M16" s="200"/>
    </row>
    <row r="17" spans="1:13" x14ac:dyDescent="0.2">
      <c r="A17" s="196">
        <f t="shared" si="0"/>
        <v>8</v>
      </c>
      <c r="B17" s="200" t="s">
        <v>156</v>
      </c>
      <c r="E17" s="110"/>
      <c r="F17" s="110"/>
      <c r="G17" s="110"/>
      <c r="H17" s="252"/>
      <c r="I17" s="202">
        <f>SUM(I64:I91)</f>
        <v>1017323</v>
      </c>
      <c r="J17" s="206">
        <f>SUM(J64:J91)</f>
        <v>2100624</v>
      </c>
      <c r="K17" s="206">
        <f>SUM(K64:K91)</f>
        <v>54192</v>
      </c>
      <c r="L17" s="206"/>
      <c r="M17" s="200"/>
    </row>
    <row r="18" spans="1:13" x14ac:dyDescent="0.2">
      <c r="A18" s="196">
        <f t="shared" si="0"/>
        <v>9</v>
      </c>
      <c r="B18" s="204" t="s">
        <v>157</v>
      </c>
      <c r="E18" s="110"/>
      <c r="F18" s="110"/>
      <c r="G18" s="110"/>
      <c r="H18" s="252"/>
      <c r="I18" s="202">
        <f>SUM(I94:I113)</f>
        <v>122716</v>
      </c>
      <c r="J18" s="206">
        <f>SUM(J94:J113)</f>
        <v>332734</v>
      </c>
      <c r="K18" s="206">
        <f>SUM(K94:K113)</f>
        <v>8443</v>
      </c>
      <c r="L18" s="206"/>
      <c r="M18" s="200"/>
    </row>
    <row r="19" spans="1:13" x14ac:dyDescent="0.2">
      <c r="A19" s="196">
        <f t="shared" si="0"/>
        <v>10</v>
      </c>
      <c r="B19" s="204" t="s">
        <v>159</v>
      </c>
      <c r="E19" s="110"/>
      <c r="F19" s="110"/>
      <c r="G19" s="110"/>
      <c r="H19" s="252"/>
      <c r="I19" s="202">
        <f>SUM(I116:I134)</f>
        <v>73316</v>
      </c>
      <c r="J19" s="206">
        <f>SUM(J116:J134)</f>
        <v>196368</v>
      </c>
      <c r="K19" s="206">
        <f>SUM(K116:K134)</f>
        <v>4991</v>
      </c>
      <c r="L19" s="206"/>
      <c r="M19" s="200"/>
    </row>
    <row r="20" spans="1:13" x14ac:dyDescent="0.2">
      <c r="A20" s="196">
        <f t="shared" si="0"/>
        <v>11</v>
      </c>
      <c r="B20" s="200" t="s">
        <v>158</v>
      </c>
      <c r="E20" s="110"/>
      <c r="F20" s="110"/>
      <c r="G20" s="110"/>
      <c r="H20" s="252"/>
      <c r="I20" s="202">
        <f>SUM(I137)</f>
        <v>7518937</v>
      </c>
      <c r="J20" s="206">
        <f>SUM(J137)</f>
        <v>320983</v>
      </c>
      <c r="K20" s="206">
        <f>SUM(K137)</f>
        <v>7895</v>
      </c>
      <c r="L20" s="206"/>
      <c r="M20" s="200"/>
    </row>
    <row r="21" spans="1:13" x14ac:dyDescent="0.2">
      <c r="A21" s="196">
        <f t="shared" si="0"/>
        <v>12</v>
      </c>
      <c r="B21" s="204" t="s">
        <v>160</v>
      </c>
      <c r="E21" s="110"/>
      <c r="F21" s="110"/>
      <c r="G21" s="110"/>
      <c r="H21" s="252"/>
      <c r="I21" s="202">
        <f>SUM(I140:I176)</f>
        <v>17762</v>
      </c>
      <c r="J21" s="206">
        <f>SUM(J140:J176)</f>
        <v>124931</v>
      </c>
      <c r="K21" s="206">
        <f>SUM(K140:K176)</f>
        <v>3037</v>
      </c>
      <c r="L21" s="206"/>
      <c r="M21" s="200"/>
    </row>
    <row r="22" spans="1:13" x14ac:dyDescent="0.2">
      <c r="A22" s="196">
        <f t="shared" si="0"/>
        <v>13</v>
      </c>
      <c r="B22" s="200" t="s">
        <v>161</v>
      </c>
      <c r="E22" s="110"/>
      <c r="F22" s="110"/>
      <c r="G22" s="110"/>
      <c r="H22" s="252"/>
      <c r="I22" s="213">
        <f>SUM(I14:I21)</f>
        <v>9100113</v>
      </c>
      <c r="J22" s="214">
        <f>SUM(J14:J21)</f>
        <v>3994061</v>
      </c>
      <c r="K22" s="214">
        <f>SUM(K14:K21)</f>
        <v>101639</v>
      </c>
      <c r="L22" s="206"/>
      <c r="M22" s="200"/>
    </row>
    <row r="23" spans="1:13" x14ac:dyDescent="0.2">
      <c r="A23" s="196">
        <f t="shared" si="0"/>
        <v>14</v>
      </c>
      <c r="E23" s="110"/>
      <c r="F23" s="110"/>
      <c r="G23" s="110"/>
      <c r="H23" s="252"/>
      <c r="I23" s="215">
        <f>I22-SUM(I25:I176)</f>
        <v>0</v>
      </c>
      <c r="J23" s="215">
        <f t="shared" ref="J23:K23" si="1">J22-SUM(J25:J176)</f>
        <v>0</v>
      </c>
      <c r="K23" s="215">
        <f t="shared" si="1"/>
        <v>0</v>
      </c>
      <c r="L23" s="216" t="s">
        <v>314</v>
      </c>
      <c r="M23" s="200"/>
    </row>
    <row r="24" spans="1:13" x14ac:dyDescent="0.2">
      <c r="A24" s="196">
        <f t="shared" si="0"/>
        <v>15</v>
      </c>
      <c r="B24" s="200" t="s">
        <v>151</v>
      </c>
      <c r="E24" s="110"/>
      <c r="F24" s="110"/>
      <c r="G24" s="110"/>
      <c r="H24" s="252"/>
    </row>
    <row r="25" spans="1:13" x14ac:dyDescent="0.2">
      <c r="A25" s="196">
        <f t="shared" si="0"/>
        <v>16</v>
      </c>
      <c r="B25" s="217" t="s">
        <v>150</v>
      </c>
      <c r="C25" s="204" t="s">
        <v>149</v>
      </c>
      <c r="D25" s="218">
        <v>22</v>
      </c>
      <c r="E25" s="219">
        <v>0.08</v>
      </c>
      <c r="F25" s="219">
        <v>0.42</v>
      </c>
      <c r="G25" s="220">
        <f>SUM(E25:F25)</f>
        <v>0.5</v>
      </c>
      <c r="H25" s="253">
        <f>ROUND(+G25*$L$10,2)</f>
        <v>0.01</v>
      </c>
      <c r="I25" s="221">
        <v>708</v>
      </c>
      <c r="J25" s="206">
        <f>ROUND($I25*G25,0)</f>
        <v>354</v>
      </c>
      <c r="K25" s="206">
        <f>ROUND($I25*H25,0)</f>
        <v>7</v>
      </c>
      <c r="M25" s="200"/>
    </row>
    <row r="26" spans="1:13" x14ac:dyDescent="0.2">
      <c r="A26" s="196">
        <f t="shared" si="0"/>
        <v>17</v>
      </c>
      <c r="B26" s="222"/>
      <c r="C26" s="197"/>
      <c r="D26" s="218"/>
      <c r="E26" s="220"/>
      <c r="F26" s="220"/>
      <c r="G26" s="220"/>
      <c r="H26" s="253"/>
      <c r="I26" s="221"/>
      <c r="J26" s="202"/>
      <c r="K26" s="202"/>
      <c r="M26" s="200"/>
    </row>
    <row r="27" spans="1:13" x14ac:dyDescent="0.2">
      <c r="A27" s="196">
        <f t="shared" si="0"/>
        <v>18</v>
      </c>
      <c r="B27" s="217" t="s">
        <v>315</v>
      </c>
      <c r="C27" s="202" t="s">
        <v>6</v>
      </c>
      <c r="D27" s="223">
        <v>100</v>
      </c>
      <c r="E27" s="219">
        <v>0.37</v>
      </c>
      <c r="F27" s="219">
        <v>1.91</v>
      </c>
      <c r="G27" s="220">
        <f>SUM(E27:F27)</f>
        <v>2.2799999999999998</v>
      </c>
      <c r="H27" s="253">
        <f>ROUND(+G27*$L$10,2)</f>
        <v>0.06</v>
      </c>
      <c r="I27" s="221">
        <v>36</v>
      </c>
      <c r="J27" s="206">
        <f t="shared" ref="J27:K30" si="2">ROUND($I27*G27,0)</f>
        <v>82</v>
      </c>
      <c r="K27" s="206">
        <f t="shared" si="2"/>
        <v>2</v>
      </c>
      <c r="M27" s="200"/>
    </row>
    <row r="28" spans="1:13" x14ac:dyDescent="0.2">
      <c r="A28" s="196">
        <f t="shared" si="0"/>
        <v>19</v>
      </c>
      <c r="B28" s="217" t="str">
        <f>+B27</f>
        <v>50E</v>
      </c>
      <c r="C28" s="202" t="s">
        <v>6</v>
      </c>
      <c r="D28" s="223">
        <v>175</v>
      </c>
      <c r="E28" s="219">
        <v>0.64</v>
      </c>
      <c r="F28" s="219">
        <v>3.34</v>
      </c>
      <c r="G28" s="220">
        <f>SUM(E28:F28)</f>
        <v>3.98</v>
      </c>
      <c r="H28" s="253">
        <f>ROUND(+G28*$L$10,2)</f>
        <v>0.1</v>
      </c>
      <c r="I28" s="221">
        <v>229</v>
      </c>
      <c r="J28" s="206">
        <f t="shared" si="2"/>
        <v>911</v>
      </c>
      <c r="K28" s="206">
        <f t="shared" si="2"/>
        <v>23</v>
      </c>
      <c r="M28" s="200"/>
    </row>
    <row r="29" spans="1:13" x14ac:dyDescent="0.2">
      <c r="A29" s="196">
        <f t="shared" si="0"/>
        <v>20</v>
      </c>
      <c r="B29" s="217" t="str">
        <f>+B28</f>
        <v>50E</v>
      </c>
      <c r="C29" s="202" t="s">
        <v>6</v>
      </c>
      <c r="D29" s="223">
        <v>400</v>
      </c>
      <c r="E29" s="219">
        <v>1.46</v>
      </c>
      <c r="F29" s="219">
        <v>7.64</v>
      </c>
      <c r="G29" s="220">
        <f>SUM(E29:F29)</f>
        <v>9.1</v>
      </c>
      <c r="H29" s="253">
        <f>ROUND(+G29*$L$10,2)</f>
        <v>0.22</v>
      </c>
      <c r="I29" s="221">
        <v>216</v>
      </c>
      <c r="J29" s="206">
        <f t="shared" si="2"/>
        <v>1966</v>
      </c>
      <c r="K29" s="206">
        <f t="shared" si="2"/>
        <v>48</v>
      </c>
      <c r="M29" s="200"/>
    </row>
    <row r="30" spans="1:13" x14ac:dyDescent="0.2">
      <c r="A30" s="196">
        <f t="shared" si="0"/>
        <v>21</v>
      </c>
      <c r="B30" s="217" t="str">
        <f>+B29</f>
        <v>50E</v>
      </c>
      <c r="C30" s="202" t="s">
        <v>6</v>
      </c>
      <c r="D30" s="223">
        <v>700</v>
      </c>
      <c r="E30" s="219">
        <v>2.56</v>
      </c>
      <c r="F30" s="219">
        <v>13.37</v>
      </c>
      <c r="G30" s="220">
        <f>SUM(E30:F30)</f>
        <v>15.93</v>
      </c>
      <c r="H30" s="253">
        <f>ROUND(+G30*$L$10,2)</f>
        <v>0.39</v>
      </c>
      <c r="I30" s="221">
        <v>12</v>
      </c>
      <c r="J30" s="206">
        <f t="shared" si="2"/>
        <v>191</v>
      </c>
      <c r="K30" s="206">
        <f t="shared" si="2"/>
        <v>5</v>
      </c>
      <c r="M30" s="200"/>
    </row>
    <row r="31" spans="1:13" x14ac:dyDescent="0.2">
      <c r="A31" s="196">
        <f t="shared" si="0"/>
        <v>22</v>
      </c>
      <c r="D31" s="225"/>
      <c r="E31" s="220"/>
      <c r="F31" s="220"/>
      <c r="G31" s="220"/>
      <c r="H31" s="253"/>
      <c r="I31" s="221"/>
      <c r="J31" s="202"/>
      <c r="K31" s="202"/>
      <c r="M31" s="200"/>
    </row>
    <row r="32" spans="1:13" x14ac:dyDescent="0.2">
      <c r="A32" s="196">
        <f t="shared" si="0"/>
        <v>23</v>
      </c>
      <c r="B32" s="200" t="s">
        <v>148</v>
      </c>
      <c r="D32" s="225"/>
      <c r="E32" s="220"/>
      <c r="F32" s="220"/>
      <c r="G32" s="220"/>
      <c r="H32" s="253"/>
      <c r="I32" s="221"/>
      <c r="J32" s="202"/>
      <c r="K32" s="202"/>
      <c r="M32" s="200"/>
    </row>
    <row r="33" spans="1:13" x14ac:dyDescent="0.2">
      <c r="A33" s="196">
        <f t="shared" si="0"/>
        <v>24</v>
      </c>
      <c r="B33" s="217" t="s">
        <v>147</v>
      </c>
      <c r="C33" s="202" t="s">
        <v>120</v>
      </c>
      <c r="D33" s="225" t="s">
        <v>316</v>
      </c>
      <c r="E33" s="219">
        <v>0.05</v>
      </c>
      <c r="F33" s="219">
        <v>0.28999999999999998</v>
      </c>
      <c r="G33" s="220">
        <f>SUM(E33:F33)</f>
        <v>0.33999999999999997</v>
      </c>
      <c r="H33" s="253">
        <f t="shared" ref="H33:H42" si="3">ROUND(+G33*$L$10,2)</f>
        <v>0.01</v>
      </c>
      <c r="I33" s="236">
        <v>0</v>
      </c>
      <c r="J33" s="206">
        <f t="shared" ref="J33:K43" si="4">ROUND($I33*G33,0)</f>
        <v>0</v>
      </c>
      <c r="K33" s="206">
        <f t="shared" si="4"/>
        <v>0</v>
      </c>
      <c r="M33" s="200"/>
    </row>
    <row r="34" spans="1:13" x14ac:dyDescent="0.2">
      <c r="A34" s="196">
        <f t="shared" si="0"/>
        <v>25</v>
      </c>
      <c r="B34" s="217" t="s">
        <v>147</v>
      </c>
      <c r="C34" s="202" t="s">
        <v>120</v>
      </c>
      <c r="D34" s="226" t="s">
        <v>317</v>
      </c>
      <c r="E34" s="219">
        <v>0.16</v>
      </c>
      <c r="F34" s="219">
        <v>0.86</v>
      </c>
      <c r="G34" s="220">
        <f t="shared" ref="G34:G43" si="5">SUM(E34:F34)</f>
        <v>1.02</v>
      </c>
      <c r="H34" s="253">
        <f t="shared" si="3"/>
        <v>0.03</v>
      </c>
      <c r="I34" s="221">
        <v>62432</v>
      </c>
      <c r="J34" s="206">
        <f>ROUND($I34*G34,0)</f>
        <v>63681</v>
      </c>
      <c r="K34" s="206">
        <f t="shared" si="4"/>
        <v>1873</v>
      </c>
      <c r="M34" s="200"/>
    </row>
    <row r="35" spans="1:13" x14ac:dyDescent="0.2">
      <c r="A35" s="196">
        <f t="shared" si="0"/>
        <v>26</v>
      </c>
      <c r="B35" s="217" t="s">
        <v>147</v>
      </c>
      <c r="C35" s="202" t="s">
        <v>120</v>
      </c>
      <c r="D35" s="223" t="s">
        <v>133</v>
      </c>
      <c r="E35" s="219">
        <v>0.27</v>
      </c>
      <c r="F35" s="219">
        <v>1.43</v>
      </c>
      <c r="G35" s="220">
        <f t="shared" si="5"/>
        <v>1.7</v>
      </c>
      <c r="H35" s="253">
        <f t="shared" si="3"/>
        <v>0.04</v>
      </c>
      <c r="I35" s="221">
        <v>35235</v>
      </c>
      <c r="J35" s="206">
        <f t="shared" si="4"/>
        <v>59900</v>
      </c>
      <c r="K35" s="206">
        <f t="shared" si="4"/>
        <v>1409</v>
      </c>
      <c r="M35" s="200"/>
    </row>
    <row r="36" spans="1:13" x14ac:dyDescent="0.2">
      <c r="A36" s="196">
        <f t="shared" si="0"/>
        <v>27</v>
      </c>
      <c r="B36" s="217" t="s">
        <v>147</v>
      </c>
      <c r="C36" s="202" t="s">
        <v>120</v>
      </c>
      <c r="D36" s="223" t="s">
        <v>132</v>
      </c>
      <c r="E36" s="219">
        <v>0.38</v>
      </c>
      <c r="F36" s="219">
        <v>2</v>
      </c>
      <c r="G36" s="220">
        <f t="shared" si="5"/>
        <v>2.38</v>
      </c>
      <c r="H36" s="253">
        <f t="shared" si="3"/>
        <v>0.06</v>
      </c>
      <c r="I36" s="221">
        <v>15281</v>
      </c>
      <c r="J36" s="206">
        <f t="shared" si="4"/>
        <v>36369</v>
      </c>
      <c r="K36" s="206">
        <f t="shared" si="4"/>
        <v>917</v>
      </c>
      <c r="M36" s="200"/>
    </row>
    <row r="37" spans="1:13" x14ac:dyDescent="0.2">
      <c r="A37" s="196">
        <f t="shared" si="0"/>
        <v>28</v>
      </c>
      <c r="B37" s="217" t="s">
        <v>147</v>
      </c>
      <c r="C37" s="202" t="s">
        <v>120</v>
      </c>
      <c r="D37" s="223" t="s">
        <v>131</v>
      </c>
      <c r="E37" s="219">
        <v>0.49</v>
      </c>
      <c r="F37" s="219">
        <v>2.58</v>
      </c>
      <c r="G37" s="220">
        <f t="shared" si="5"/>
        <v>3.0700000000000003</v>
      </c>
      <c r="H37" s="253">
        <f t="shared" si="3"/>
        <v>0.08</v>
      </c>
      <c r="I37" s="221">
        <v>6961</v>
      </c>
      <c r="J37" s="206">
        <f t="shared" si="4"/>
        <v>21370</v>
      </c>
      <c r="K37" s="206">
        <f t="shared" si="4"/>
        <v>557</v>
      </c>
      <c r="M37" s="200"/>
    </row>
    <row r="38" spans="1:13" x14ac:dyDescent="0.2">
      <c r="A38" s="196">
        <f t="shared" si="0"/>
        <v>29</v>
      </c>
      <c r="B38" s="217" t="s">
        <v>147</v>
      </c>
      <c r="C38" s="202" t="s">
        <v>120</v>
      </c>
      <c r="D38" s="223" t="s">
        <v>130</v>
      </c>
      <c r="E38" s="219">
        <v>0.6</v>
      </c>
      <c r="F38" s="219">
        <v>3.15</v>
      </c>
      <c r="G38" s="220">
        <f t="shared" si="5"/>
        <v>3.75</v>
      </c>
      <c r="H38" s="253">
        <f t="shared" si="3"/>
        <v>0.09</v>
      </c>
      <c r="I38" s="221">
        <v>908</v>
      </c>
      <c r="J38" s="206">
        <f t="shared" si="4"/>
        <v>3405</v>
      </c>
      <c r="K38" s="206">
        <f t="shared" si="4"/>
        <v>82</v>
      </c>
      <c r="M38" s="200"/>
    </row>
    <row r="39" spans="1:13" x14ac:dyDescent="0.2">
      <c r="A39" s="196">
        <f t="shared" si="0"/>
        <v>30</v>
      </c>
      <c r="B39" s="217" t="s">
        <v>147</v>
      </c>
      <c r="C39" s="202" t="s">
        <v>120</v>
      </c>
      <c r="D39" s="223" t="s">
        <v>129</v>
      </c>
      <c r="E39" s="219">
        <v>0.71</v>
      </c>
      <c r="F39" s="219">
        <v>3.72</v>
      </c>
      <c r="G39" s="220">
        <f t="shared" si="5"/>
        <v>4.43</v>
      </c>
      <c r="H39" s="253">
        <f t="shared" si="3"/>
        <v>0.11</v>
      </c>
      <c r="I39" s="221">
        <v>2412</v>
      </c>
      <c r="J39" s="206">
        <f t="shared" si="4"/>
        <v>10685</v>
      </c>
      <c r="K39" s="206">
        <f t="shared" si="4"/>
        <v>265</v>
      </c>
      <c r="M39" s="200"/>
    </row>
    <row r="40" spans="1:13" x14ac:dyDescent="0.2">
      <c r="A40" s="196">
        <f t="shared" si="0"/>
        <v>31</v>
      </c>
      <c r="B40" s="217" t="s">
        <v>147</v>
      </c>
      <c r="C40" s="202" t="s">
        <v>120</v>
      </c>
      <c r="D40" s="223" t="s">
        <v>128</v>
      </c>
      <c r="E40" s="219">
        <v>0.82</v>
      </c>
      <c r="F40" s="219">
        <v>4.3</v>
      </c>
      <c r="G40" s="220">
        <f t="shared" si="5"/>
        <v>5.12</v>
      </c>
      <c r="H40" s="253">
        <f t="shared" si="3"/>
        <v>0.13</v>
      </c>
      <c r="I40" s="221">
        <v>938</v>
      </c>
      <c r="J40" s="206">
        <f t="shared" si="4"/>
        <v>4803</v>
      </c>
      <c r="K40" s="206">
        <f t="shared" si="4"/>
        <v>122</v>
      </c>
      <c r="M40" s="200"/>
    </row>
    <row r="41" spans="1:13" x14ac:dyDescent="0.2">
      <c r="A41" s="196">
        <f t="shared" si="0"/>
        <v>32</v>
      </c>
      <c r="B41" s="217" t="s">
        <v>147</v>
      </c>
      <c r="C41" s="202" t="s">
        <v>120</v>
      </c>
      <c r="D41" s="223" t="s">
        <v>127</v>
      </c>
      <c r="E41" s="219">
        <v>0.93</v>
      </c>
      <c r="F41" s="219">
        <v>4.87</v>
      </c>
      <c r="G41" s="220">
        <f t="shared" si="5"/>
        <v>5.8</v>
      </c>
      <c r="H41" s="253">
        <f t="shared" si="3"/>
        <v>0.14000000000000001</v>
      </c>
      <c r="I41" s="221">
        <v>96</v>
      </c>
      <c r="J41" s="206">
        <f t="shared" si="4"/>
        <v>557</v>
      </c>
      <c r="K41" s="206">
        <f t="shared" si="4"/>
        <v>13</v>
      </c>
      <c r="M41" s="200"/>
    </row>
    <row r="42" spans="1:13" x14ac:dyDescent="0.2">
      <c r="A42" s="196">
        <f t="shared" si="0"/>
        <v>33</v>
      </c>
      <c r="B42" s="217" t="s">
        <v>147</v>
      </c>
      <c r="C42" s="202" t="s">
        <v>120</v>
      </c>
      <c r="D42" s="223" t="s">
        <v>126</v>
      </c>
      <c r="E42" s="219">
        <v>1.04</v>
      </c>
      <c r="F42" s="219">
        <v>5.44</v>
      </c>
      <c r="G42" s="220">
        <f t="shared" si="5"/>
        <v>6.48</v>
      </c>
      <c r="H42" s="253">
        <f t="shared" si="3"/>
        <v>0.16</v>
      </c>
      <c r="I42" s="221">
        <v>996</v>
      </c>
      <c r="J42" s="206">
        <f t="shared" si="4"/>
        <v>6454</v>
      </c>
      <c r="K42" s="206">
        <f t="shared" si="4"/>
        <v>159</v>
      </c>
      <c r="M42" s="200"/>
    </row>
    <row r="43" spans="1:13" x14ac:dyDescent="0.2">
      <c r="A43" s="196">
        <f t="shared" si="0"/>
        <v>34</v>
      </c>
      <c r="B43" s="217" t="s">
        <v>147</v>
      </c>
      <c r="C43" s="202" t="s">
        <v>190</v>
      </c>
      <c r="D43" s="202" t="s">
        <v>191</v>
      </c>
      <c r="E43" s="227">
        <v>1.0432E-2</v>
      </c>
      <c r="F43" s="227">
        <v>5.4556E-2</v>
      </c>
      <c r="G43" s="228">
        <f t="shared" si="5"/>
        <v>6.4988000000000004E-2</v>
      </c>
      <c r="H43" s="254">
        <f>'2023 Proposed Impacts'!G28</f>
        <v>1.477E-3</v>
      </c>
      <c r="I43" s="221">
        <v>4964</v>
      </c>
      <c r="J43" s="206">
        <f t="shared" si="4"/>
        <v>323</v>
      </c>
      <c r="K43" s="206">
        <f t="shared" si="4"/>
        <v>7</v>
      </c>
      <c r="M43" s="200"/>
    </row>
    <row r="44" spans="1:13" x14ac:dyDescent="0.2">
      <c r="A44" s="196">
        <f t="shared" si="0"/>
        <v>35</v>
      </c>
      <c r="D44" s="225"/>
      <c r="E44" s="220"/>
      <c r="F44" s="220"/>
      <c r="G44" s="220"/>
      <c r="H44" s="253"/>
      <c r="I44" s="221"/>
      <c r="J44" s="202"/>
      <c r="K44" s="202"/>
      <c r="M44" s="200"/>
    </row>
    <row r="45" spans="1:13" x14ac:dyDescent="0.2">
      <c r="A45" s="196">
        <f t="shared" si="0"/>
        <v>36</v>
      </c>
      <c r="B45" s="200" t="s">
        <v>146</v>
      </c>
      <c r="D45" s="225"/>
      <c r="E45" s="220"/>
      <c r="F45" s="220"/>
      <c r="G45" s="220"/>
      <c r="H45" s="253"/>
      <c r="I45" s="221"/>
      <c r="J45" s="202"/>
      <c r="K45" s="202"/>
      <c r="M45" s="200"/>
    </row>
    <row r="46" spans="1:13" x14ac:dyDescent="0.2">
      <c r="A46" s="196">
        <f t="shared" si="0"/>
        <v>37</v>
      </c>
      <c r="B46" s="217" t="s">
        <v>145</v>
      </c>
      <c r="C46" s="202" t="s">
        <v>7</v>
      </c>
      <c r="D46" s="223">
        <v>50</v>
      </c>
      <c r="E46" s="229">
        <v>0.18</v>
      </c>
      <c r="F46" s="229">
        <v>0.95</v>
      </c>
      <c r="G46" s="220">
        <f t="shared" ref="G46:G53" si="6">SUM(E46:F46)</f>
        <v>1.1299999999999999</v>
      </c>
      <c r="H46" s="253">
        <f t="shared" ref="H46:H53" si="7">ROUND(+G46*$L$10,2)</f>
        <v>0.03</v>
      </c>
      <c r="I46" s="236">
        <v>0</v>
      </c>
      <c r="J46" s="206">
        <f>ROUND($I46*G46,0)</f>
        <v>0</v>
      </c>
      <c r="K46" s="206">
        <f t="shared" ref="J46:K53" si="8">ROUND($I46*H46,0)</f>
        <v>0</v>
      </c>
      <c r="M46" s="196"/>
    </row>
    <row r="47" spans="1:13" x14ac:dyDescent="0.2">
      <c r="A47" s="196">
        <f t="shared" si="0"/>
        <v>38</v>
      </c>
      <c r="B47" s="217" t="str">
        <f t="shared" ref="B47:B53" si="9">+B46</f>
        <v xml:space="preserve">52E </v>
      </c>
      <c r="C47" s="202" t="s">
        <v>7</v>
      </c>
      <c r="D47" s="223">
        <v>70</v>
      </c>
      <c r="E47" s="229">
        <v>0.26</v>
      </c>
      <c r="F47" s="229">
        <v>1.34</v>
      </c>
      <c r="G47" s="220">
        <f t="shared" si="6"/>
        <v>1.6</v>
      </c>
      <c r="H47" s="253">
        <f t="shared" si="7"/>
        <v>0.04</v>
      </c>
      <c r="I47" s="221">
        <v>7894</v>
      </c>
      <c r="J47" s="206">
        <f t="shared" si="8"/>
        <v>12630</v>
      </c>
      <c r="K47" s="206">
        <f t="shared" si="8"/>
        <v>316</v>
      </c>
      <c r="M47" s="196"/>
    </row>
    <row r="48" spans="1:13" x14ac:dyDescent="0.2">
      <c r="A48" s="196">
        <f t="shared" si="0"/>
        <v>39</v>
      </c>
      <c r="B48" s="217" t="str">
        <f t="shared" si="9"/>
        <v xml:space="preserve">52E </v>
      </c>
      <c r="C48" s="202" t="s">
        <v>7</v>
      </c>
      <c r="D48" s="223">
        <v>100</v>
      </c>
      <c r="E48" s="229">
        <v>0.37</v>
      </c>
      <c r="F48" s="229">
        <v>1.91</v>
      </c>
      <c r="G48" s="220">
        <f t="shared" si="6"/>
        <v>2.2799999999999998</v>
      </c>
      <c r="H48" s="253">
        <f t="shared" si="7"/>
        <v>0.06</v>
      </c>
      <c r="I48" s="221">
        <v>114110</v>
      </c>
      <c r="J48" s="206">
        <f t="shared" si="8"/>
        <v>260171</v>
      </c>
      <c r="K48" s="206">
        <f t="shared" si="8"/>
        <v>6847</v>
      </c>
      <c r="M48" s="196"/>
    </row>
    <row r="49" spans="1:13" x14ac:dyDescent="0.2">
      <c r="A49" s="196">
        <f t="shared" si="0"/>
        <v>40</v>
      </c>
      <c r="B49" s="217" t="str">
        <f t="shared" si="9"/>
        <v xml:space="preserve">52E </v>
      </c>
      <c r="C49" s="202" t="s">
        <v>7</v>
      </c>
      <c r="D49" s="223">
        <v>150</v>
      </c>
      <c r="E49" s="229">
        <v>0.55000000000000004</v>
      </c>
      <c r="F49" s="229">
        <v>2.86</v>
      </c>
      <c r="G49" s="220">
        <f t="shared" si="6"/>
        <v>3.41</v>
      </c>
      <c r="H49" s="253">
        <f t="shared" si="7"/>
        <v>0.08</v>
      </c>
      <c r="I49" s="221">
        <v>53138</v>
      </c>
      <c r="J49" s="206">
        <f t="shared" si="8"/>
        <v>181201</v>
      </c>
      <c r="K49" s="206">
        <f t="shared" si="8"/>
        <v>4251</v>
      </c>
      <c r="M49" s="196"/>
    </row>
    <row r="50" spans="1:13" x14ac:dyDescent="0.2">
      <c r="A50" s="196">
        <f t="shared" si="0"/>
        <v>41</v>
      </c>
      <c r="B50" s="217" t="str">
        <f t="shared" si="9"/>
        <v xml:space="preserve">52E </v>
      </c>
      <c r="C50" s="202" t="s">
        <v>7</v>
      </c>
      <c r="D50" s="223">
        <v>200</v>
      </c>
      <c r="E50" s="229">
        <v>0.73</v>
      </c>
      <c r="F50" s="229">
        <v>3.82</v>
      </c>
      <c r="G50" s="220">
        <f t="shared" si="6"/>
        <v>4.55</v>
      </c>
      <c r="H50" s="253">
        <f t="shared" si="7"/>
        <v>0.11</v>
      </c>
      <c r="I50" s="221">
        <v>11171</v>
      </c>
      <c r="J50" s="206">
        <f t="shared" si="8"/>
        <v>50828</v>
      </c>
      <c r="K50" s="206">
        <f t="shared" si="8"/>
        <v>1229</v>
      </c>
      <c r="M50" s="196"/>
    </row>
    <row r="51" spans="1:13" x14ac:dyDescent="0.2">
      <c r="A51" s="196">
        <f t="shared" si="0"/>
        <v>42</v>
      </c>
      <c r="B51" s="217" t="str">
        <f t="shared" si="9"/>
        <v xml:space="preserve">52E </v>
      </c>
      <c r="C51" s="202" t="s">
        <v>7</v>
      </c>
      <c r="D51" s="223">
        <v>250</v>
      </c>
      <c r="E51" s="229">
        <v>0.91</v>
      </c>
      <c r="F51" s="229">
        <v>4.7699999999999996</v>
      </c>
      <c r="G51" s="220">
        <f t="shared" si="6"/>
        <v>5.68</v>
      </c>
      <c r="H51" s="253">
        <f t="shared" si="7"/>
        <v>0.14000000000000001</v>
      </c>
      <c r="I51" s="221">
        <v>16530</v>
      </c>
      <c r="J51" s="206">
        <f t="shared" si="8"/>
        <v>93890</v>
      </c>
      <c r="K51" s="206">
        <f t="shared" si="8"/>
        <v>2314</v>
      </c>
      <c r="M51" s="196"/>
    </row>
    <row r="52" spans="1:13" x14ac:dyDescent="0.2">
      <c r="A52" s="196">
        <f t="shared" si="0"/>
        <v>43</v>
      </c>
      <c r="B52" s="217" t="str">
        <f t="shared" si="9"/>
        <v xml:space="preserve">52E </v>
      </c>
      <c r="C52" s="202" t="s">
        <v>7</v>
      </c>
      <c r="D52" s="223">
        <v>310</v>
      </c>
      <c r="E52" s="229">
        <v>1.1299999999999999</v>
      </c>
      <c r="F52" s="229">
        <v>5.92</v>
      </c>
      <c r="G52" s="220">
        <f t="shared" si="6"/>
        <v>7.05</v>
      </c>
      <c r="H52" s="253">
        <f t="shared" si="7"/>
        <v>0.17</v>
      </c>
      <c r="I52" s="221">
        <v>1721</v>
      </c>
      <c r="J52" s="206">
        <f t="shared" si="8"/>
        <v>12133</v>
      </c>
      <c r="K52" s="206">
        <f t="shared" si="8"/>
        <v>293</v>
      </c>
      <c r="M52" s="196"/>
    </row>
    <row r="53" spans="1:13" x14ac:dyDescent="0.2">
      <c r="A53" s="196">
        <f t="shared" si="0"/>
        <v>44</v>
      </c>
      <c r="B53" s="217" t="str">
        <f t="shared" si="9"/>
        <v xml:space="preserve">52E </v>
      </c>
      <c r="C53" s="202" t="s">
        <v>7</v>
      </c>
      <c r="D53" s="223">
        <v>400</v>
      </c>
      <c r="E53" s="229">
        <v>1.46</v>
      </c>
      <c r="F53" s="229">
        <v>7.64</v>
      </c>
      <c r="G53" s="220">
        <f t="shared" si="6"/>
        <v>9.1</v>
      </c>
      <c r="H53" s="253">
        <f t="shared" si="7"/>
        <v>0.22</v>
      </c>
      <c r="I53" s="221">
        <v>6966</v>
      </c>
      <c r="J53" s="206">
        <f t="shared" si="8"/>
        <v>63391</v>
      </c>
      <c r="K53" s="206">
        <f t="shared" si="8"/>
        <v>1533</v>
      </c>
      <c r="M53" s="196"/>
    </row>
    <row r="54" spans="1:13" x14ac:dyDescent="0.2">
      <c r="A54" s="196">
        <f t="shared" si="0"/>
        <v>45</v>
      </c>
      <c r="B54" s="230"/>
      <c r="C54" s="202"/>
      <c r="D54" s="223"/>
      <c r="E54" s="220"/>
      <c r="F54" s="220"/>
      <c r="G54" s="220"/>
      <c r="H54" s="253"/>
      <c r="I54" s="221"/>
      <c r="J54" s="202"/>
      <c r="K54" s="202"/>
      <c r="M54" s="196"/>
    </row>
    <row r="55" spans="1:13" x14ac:dyDescent="0.2">
      <c r="A55" s="196">
        <f t="shared" si="0"/>
        <v>46</v>
      </c>
      <c r="B55" s="217" t="str">
        <f>+B50</f>
        <v xml:space="preserve">52E </v>
      </c>
      <c r="C55" s="202" t="s">
        <v>136</v>
      </c>
      <c r="D55" s="223">
        <v>70</v>
      </c>
      <c r="E55" s="229">
        <v>0.26</v>
      </c>
      <c r="F55" s="229">
        <v>1.34</v>
      </c>
      <c r="G55" s="220">
        <f t="shared" ref="G55:G61" si="10">SUM(E55:F55)</f>
        <v>1.6</v>
      </c>
      <c r="H55" s="253">
        <f t="shared" ref="H55:H61" si="11">ROUND(+G55*$L$10,2)</f>
        <v>0.04</v>
      </c>
      <c r="I55" s="221">
        <v>841</v>
      </c>
      <c r="J55" s="206">
        <f t="shared" ref="J55:K61" si="12">ROUND($I55*G55,0)</f>
        <v>1346</v>
      </c>
      <c r="K55" s="206">
        <f t="shared" si="12"/>
        <v>34</v>
      </c>
      <c r="M55" s="196"/>
    </row>
    <row r="56" spans="1:13" x14ac:dyDescent="0.2">
      <c r="A56" s="196">
        <f t="shared" si="0"/>
        <v>47</v>
      </c>
      <c r="B56" s="217" t="str">
        <f>+B51</f>
        <v xml:space="preserve">52E </v>
      </c>
      <c r="C56" s="202" t="s">
        <v>136</v>
      </c>
      <c r="D56" s="223">
        <v>100</v>
      </c>
      <c r="E56" s="229">
        <v>0.37</v>
      </c>
      <c r="F56" s="229">
        <v>1.91</v>
      </c>
      <c r="G56" s="220">
        <f t="shared" si="10"/>
        <v>2.2799999999999998</v>
      </c>
      <c r="H56" s="253">
        <f t="shared" si="11"/>
        <v>0.06</v>
      </c>
      <c r="I56" s="221">
        <v>46</v>
      </c>
      <c r="J56" s="206">
        <f t="shared" si="12"/>
        <v>105</v>
      </c>
      <c r="K56" s="206">
        <f t="shared" si="12"/>
        <v>3</v>
      </c>
      <c r="M56" s="196"/>
    </row>
    <row r="57" spans="1:13" x14ac:dyDescent="0.2">
      <c r="A57" s="196">
        <f t="shared" si="0"/>
        <v>48</v>
      </c>
      <c r="B57" s="217" t="str">
        <f>+B52</f>
        <v xml:space="preserve">52E </v>
      </c>
      <c r="C57" s="202" t="s">
        <v>136</v>
      </c>
      <c r="D57" s="223">
        <v>150</v>
      </c>
      <c r="E57" s="229">
        <v>0.55000000000000004</v>
      </c>
      <c r="F57" s="229">
        <v>2.86</v>
      </c>
      <c r="G57" s="220">
        <f t="shared" si="10"/>
        <v>3.41</v>
      </c>
      <c r="H57" s="253">
        <f t="shared" si="11"/>
        <v>0.08</v>
      </c>
      <c r="I57" s="221">
        <v>2376</v>
      </c>
      <c r="J57" s="206">
        <f t="shared" si="12"/>
        <v>8102</v>
      </c>
      <c r="K57" s="206">
        <f t="shared" si="12"/>
        <v>190</v>
      </c>
      <c r="M57" s="196"/>
    </row>
    <row r="58" spans="1:13" x14ac:dyDescent="0.2">
      <c r="A58" s="196">
        <f t="shared" si="0"/>
        <v>49</v>
      </c>
      <c r="B58" s="217" t="str">
        <f>+B53</f>
        <v xml:space="preserve">52E </v>
      </c>
      <c r="C58" s="202" t="s">
        <v>136</v>
      </c>
      <c r="D58" s="223">
        <v>175</v>
      </c>
      <c r="E58" s="229">
        <v>0.64</v>
      </c>
      <c r="F58" s="229">
        <v>3.34</v>
      </c>
      <c r="G58" s="220">
        <f t="shared" si="10"/>
        <v>3.98</v>
      </c>
      <c r="H58" s="253">
        <f t="shared" si="11"/>
        <v>0.1</v>
      </c>
      <c r="I58" s="221">
        <v>2514</v>
      </c>
      <c r="J58" s="206">
        <f t="shared" si="12"/>
        <v>10006</v>
      </c>
      <c r="K58" s="206">
        <f t="shared" si="12"/>
        <v>251</v>
      </c>
      <c r="M58" s="196"/>
    </row>
    <row r="59" spans="1:13" x14ac:dyDescent="0.2">
      <c r="A59" s="196">
        <f t="shared" si="0"/>
        <v>50</v>
      </c>
      <c r="B59" s="217" t="str">
        <f t="shared" ref="B59:C61" si="13">+B58</f>
        <v xml:space="preserve">52E </v>
      </c>
      <c r="C59" s="202" t="str">
        <f t="shared" si="13"/>
        <v>Metal Halide</v>
      </c>
      <c r="D59" s="223">
        <v>250</v>
      </c>
      <c r="E59" s="229">
        <v>0.91</v>
      </c>
      <c r="F59" s="229">
        <v>4.7699999999999996</v>
      </c>
      <c r="G59" s="220">
        <f t="shared" si="10"/>
        <v>5.68</v>
      </c>
      <c r="H59" s="253">
        <f t="shared" si="11"/>
        <v>0.14000000000000001</v>
      </c>
      <c r="I59" s="221">
        <v>428</v>
      </c>
      <c r="J59" s="206">
        <f t="shared" si="12"/>
        <v>2431</v>
      </c>
      <c r="K59" s="206">
        <f t="shared" si="12"/>
        <v>60</v>
      </c>
      <c r="M59" s="196"/>
    </row>
    <row r="60" spans="1:13" x14ac:dyDescent="0.2">
      <c r="A60" s="196">
        <f t="shared" si="0"/>
        <v>51</v>
      </c>
      <c r="B60" s="217" t="str">
        <f t="shared" si="13"/>
        <v xml:space="preserve">52E </v>
      </c>
      <c r="C60" s="202" t="str">
        <f t="shared" si="13"/>
        <v>Metal Halide</v>
      </c>
      <c r="D60" s="223">
        <v>400</v>
      </c>
      <c r="E60" s="229">
        <v>1.46</v>
      </c>
      <c r="F60" s="229">
        <v>7.64</v>
      </c>
      <c r="G60" s="220">
        <f t="shared" si="10"/>
        <v>9.1</v>
      </c>
      <c r="H60" s="253">
        <f t="shared" si="11"/>
        <v>0.22</v>
      </c>
      <c r="I60" s="221">
        <v>684</v>
      </c>
      <c r="J60" s="206">
        <f t="shared" si="12"/>
        <v>6224</v>
      </c>
      <c r="K60" s="206">
        <f t="shared" si="12"/>
        <v>150</v>
      </c>
      <c r="M60" s="196"/>
    </row>
    <row r="61" spans="1:13" x14ac:dyDescent="0.2">
      <c r="A61" s="196">
        <f t="shared" si="0"/>
        <v>52</v>
      </c>
      <c r="B61" s="217" t="str">
        <f t="shared" si="13"/>
        <v xml:space="preserve">52E </v>
      </c>
      <c r="C61" s="202" t="str">
        <f t="shared" si="13"/>
        <v>Metal Halide</v>
      </c>
      <c r="D61" s="223">
        <v>1000</v>
      </c>
      <c r="E61" s="229">
        <v>3.65</v>
      </c>
      <c r="F61" s="229">
        <v>19.09</v>
      </c>
      <c r="G61" s="220">
        <f t="shared" si="10"/>
        <v>22.74</v>
      </c>
      <c r="H61" s="253">
        <f t="shared" si="11"/>
        <v>0.56000000000000005</v>
      </c>
      <c r="I61" s="221">
        <v>216</v>
      </c>
      <c r="J61" s="206">
        <f t="shared" si="12"/>
        <v>4912</v>
      </c>
      <c r="K61" s="206">
        <f t="shared" si="12"/>
        <v>121</v>
      </c>
      <c r="M61" s="196"/>
    </row>
    <row r="62" spans="1:13" x14ac:dyDescent="0.2">
      <c r="A62" s="196">
        <f t="shared" si="0"/>
        <v>53</v>
      </c>
      <c r="D62" s="225"/>
      <c r="E62" s="220"/>
      <c r="F62" s="220"/>
      <c r="G62" s="220"/>
      <c r="H62" s="253"/>
      <c r="I62" s="221"/>
      <c r="J62" s="202"/>
      <c r="K62" s="202"/>
      <c r="M62" s="196"/>
    </row>
    <row r="63" spans="1:13" x14ac:dyDescent="0.2">
      <c r="A63" s="196">
        <f t="shared" si="0"/>
        <v>54</v>
      </c>
      <c r="B63" s="200" t="s">
        <v>144</v>
      </c>
      <c r="D63" s="225"/>
      <c r="E63" s="220"/>
      <c r="F63" s="220"/>
      <c r="G63" s="220"/>
      <c r="H63" s="253"/>
      <c r="I63" s="221"/>
      <c r="J63" s="202"/>
      <c r="K63" s="202"/>
      <c r="M63" s="196"/>
    </row>
    <row r="64" spans="1:13" x14ac:dyDescent="0.2">
      <c r="A64" s="196">
        <f t="shared" si="0"/>
        <v>55</v>
      </c>
      <c r="B64" s="217" t="s">
        <v>318</v>
      </c>
      <c r="C64" s="202" t="s">
        <v>7</v>
      </c>
      <c r="D64" s="223">
        <v>50</v>
      </c>
      <c r="E64" s="229">
        <v>0.18</v>
      </c>
      <c r="F64" s="229">
        <v>0.95</v>
      </c>
      <c r="G64" s="220">
        <f t="shared" ref="G64:G72" si="14">SUM(E64:F64)</f>
        <v>1.1299999999999999</v>
      </c>
      <c r="H64" s="253">
        <f t="shared" ref="H64:H72" si="15">ROUND(+G64*$L$10,2)</f>
        <v>0.03</v>
      </c>
      <c r="I64" s="221">
        <v>0</v>
      </c>
      <c r="J64" s="206">
        <f t="shared" ref="J64:K72" si="16">ROUND($I64*G64,0)</f>
        <v>0</v>
      </c>
      <c r="K64" s="206">
        <f t="shared" si="16"/>
        <v>0</v>
      </c>
      <c r="M64" s="196"/>
    </row>
    <row r="65" spans="1:13" x14ac:dyDescent="0.2">
      <c r="A65" s="196">
        <f t="shared" si="0"/>
        <v>56</v>
      </c>
      <c r="B65" s="217" t="str">
        <f t="shared" ref="B65:B72" si="17">+B64</f>
        <v>53E</v>
      </c>
      <c r="C65" s="202" t="s">
        <v>7</v>
      </c>
      <c r="D65" s="223">
        <v>70</v>
      </c>
      <c r="E65" s="229">
        <v>0.26</v>
      </c>
      <c r="F65" s="229">
        <v>1.34</v>
      </c>
      <c r="G65" s="220">
        <f t="shared" si="14"/>
        <v>1.6</v>
      </c>
      <c r="H65" s="253">
        <f t="shared" si="15"/>
        <v>0.04</v>
      </c>
      <c r="I65" s="221">
        <v>45285</v>
      </c>
      <c r="J65" s="206">
        <f t="shared" si="16"/>
        <v>72456</v>
      </c>
      <c r="K65" s="206">
        <f t="shared" si="16"/>
        <v>1811</v>
      </c>
      <c r="M65" s="196"/>
    </row>
    <row r="66" spans="1:13" x14ac:dyDescent="0.2">
      <c r="A66" s="196">
        <f t="shared" si="0"/>
        <v>57</v>
      </c>
      <c r="B66" s="217" t="str">
        <f t="shared" si="17"/>
        <v>53E</v>
      </c>
      <c r="C66" s="202" t="s">
        <v>7</v>
      </c>
      <c r="D66" s="223">
        <v>100</v>
      </c>
      <c r="E66" s="229">
        <v>0.37</v>
      </c>
      <c r="F66" s="229">
        <v>1.91</v>
      </c>
      <c r="G66" s="220">
        <f t="shared" si="14"/>
        <v>2.2799999999999998</v>
      </c>
      <c r="H66" s="253">
        <f t="shared" si="15"/>
        <v>0.06</v>
      </c>
      <c r="I66" s="221">
        <v>334953</v>
      </c>
      <c r="J66" s="206">
        <f t="shared" si="16"/>
        <v>763693</v>
      </c>
      <c r="K66" s="206">
        <f t="shared" si="16"/>
        <v>20097</v>
      </c>
      <c r="M66" s="196"/>
    </row>
    <row r="67" spans="1:13" x14ac:dyDescent="0.2">
      <c r="A67" s="196">
        <f t="shared" si="0"/>
        <v>58</v>
      </c>
      <c r="B67" s="217" t="str">
        <f t="shared" si="17"/>
        <v>53E</v>
      </c>
      <c r="C67" s="202" t="s">
        <v>7</v>
      </c>
      <c r="D67" s="223">
        <v>150</v>
      </c>
      <c r="E67" s="229">
        <v>0.55000000000000004</v>
      </c>
      <c r="F67" s="229">
        <v>2.86</v>
      </c>
      <c r="G67" s="220">
        <f t="shared" si="14"/>
        <v>3.41</v>
      </c>
      <c r="H67" s="253">
        <f t="shared" si="15"/>
        <v>0.08</v>
      </c>
      <c r="I67" s="221">
        <v>41014</v>
      </c>
      <c r="J67" s="206">
        <f t="shared" si="16"/>
        <v>139858</v>
      </c>
      <c r="K67" s="206">
        <f t="shared" si="16"/>
        <v>3281</v>
      </c>
      <c r="M67" s="196"/>
    </row>
    <row r="68" spans="1:13" x14ac:dyDescent="0.2">
      <c r="A68" s="196">
        <f t="shared" si="0"/>
        <v>59</v>
      </c>
      <c r="B68" s="217" t="str">
        <f t="shared" si="17"/>
        <v>53E</v>
      </c>
      <c r="C68" s="202" t="s">
        <v>7</v>
      </c>
      <c r="D68" s="223">
        <v>200</v>
      </c>
      <c r="E68" s="229">
        <v>0.73</v>
      </c>
      <c r="F68" s="229">
        <v>3.82</v>
      </c>
      <c r="G68" s="220">
        <f t="shared" si="14"/>
        <v>4.55</v>
      </c>
      <c r="H68" s="253">
        <f t="shared" si="15"/>
        <v>0.11</v>
      </c>
      <c r="I68" s="221">
        <v>54688</v>
      </c>
      <c r="J68" s="206">
        <f t="shared" si="16"/>
        <v>248830</v>
      </c>
      <c r="K68" s="206">
        <f t="shared" si="16"/>
        <v>6016</v>
      </c>
      <c r="M68" s="196"/>
    </row>
    <row r="69" spans="1:13" x14ac:dyDescent="0.2">
      <c r="A69" s="196">
        <f t="shared" si="0"/>
        <v>60</v>
      </c>
      <c r="B69" s="217" t="str">
        <f t="shared" si="17"/>
        <v>53E</v>
      </c>
      <c r="C69" s="202" t="s">
        <v>7</v>
      </c>
      <c r="D69" s="223">
        <v>250</v>
      </c>
      <c r="E69" s="229">
        <v>0.91</v>
      </c>
      <c r="F69" s="229">
        <v>4.7699999999999996</v>
      </c>
      <c r="G69" s="220">
        <f t="shared" si="14"/>
        <v>5.68</v>
      </c>
      <c r="H69" s="253">
        <f t="shared" si="15"/>
        <v>0.14000000000000001</v>
      </c>
      <c r="I69" s="221">
        <v>21425</v>
      </c>
      <c r="J69" s="206">
        <f t="shared" si="16"/>
        <v>121694</v>
      </c>
      <c r="K69" s="206">
        <f t="shared" si="16"/>
        <v>3000</v>
      </c>
      <c r="M69" s="196"/>
    </row>
    <row r="70" spans="1:13" x14ac:dyDescent="0.2">
      <c r="A70" s="196">
        <f t="shared" si="0"/>
        <v>61</v>
      </c>
      <c r="B70" s="217" t="str">
        <f t="shared" si="17"/>
        <v>53E</v>
      </c>
      <c r="C70" s="202" t="s">
        <v>7</v>
      </c>
      <c r="D70" s="223">
        <v>310</v>
      </c>
      <c r="E70" s="229">
        <v>1.1299999999999999</v>
      </c>
      <c r="F70" s="229">
        <v>5.92</v>
      </c>
      <c r="G70" s="220">
        <f t="shared" si="14"/>
        <v>7.05</v>
      </c>
      <c r="H70" s="253">
        <f t="shared" si="15"/>
        <v>0.17</v>
      </c>
      <c r="I70" s="221">
        <v>237</v>
      </c>
      <c r="J70" s="206">
        <f t="shared" si="16"/>
        <v>1671</v>
      </c>
      <c r="K70" s="206">
        <f t="shared" si="16"/>
        <v>40</v>
      </c>
      <c r="M70" s="196"/>
    </row>
    <row r="71" spans="1:13" x14ac:dyDescent="0.2">
      <c r="A71" s="196">
        <f t="shared" si="0"/>
        <v>62</v>
      </c>
      <c r="B71" s="217" t="str">
        <f t="shared" si="17"/>
        <v>53E</v>
      </c>
      <c r="C71" s="202" t="s">
        <v>7</v>
      </c>
      <c r="D71" s="223">
        <v>400</v>
      </c>
      <c r="E71" s="229">
        <v>1.46</v>
      </c>
      <c r="F71" s="229">
        <v>7.64</v>
      </c>
      <c r="G71" s="220">
        <f t="shared" si="14"/>
        <v>9.1</v>
      </c>
      <c r="H71" s="253">
        <f t="shared" si="15"/>
        <v>0.22</v>
      </c>
      <c r="I71" s="221">
        <v>14576</v>
      </c>
      <c r="J71" s="206">
        <f t="shared" si="16"/>
        <v>132642</v>
      </c>
      <c r="K71" s="206">
        <f t="shared" si="16"/>
        <v>3207</v>
      </c>
      <c r="M71" s="196"/>
    </row>
    <row r="72" spans="1:13" x14ac:dyDescent="0.2">
      <c r="A72" s="196">
        <f t="shared" si="0"/>
        <v>63</v>
      </c>
      <c r="B72" s="217" t="str">
        <f t="shared" si="17"/>
        <v>53E</v>
      </c>
      <c r="C72" s="202" t="s">
        <v>7</v>
      </c>
      <c r="D72" s="223">
        <v>1000</v>
      </c>
      <c r="E72" s="229">
        <v>3.65</v>
      </c>
      <c r="F72" s="229">
        <v>19.09</v>
      </c>
      <c r="G72" s="220">
        <f t="shared" si="14"/>
        <v>22.74</v>
      </c>
      <c r="H72" s="253">
        <f t="shared" si="15"/>
        <v>0.56000000000000005</v>
      </c>
      <c r="I72" s="236">
        <v>0</v>
      </c>
      <c r="J72" s="206">
        <f t="shared" si="16"/>
        <v>0</v>
      </c>
      <c r="K72" s="206">
        <f t="shared" si="16"/>
        <v>0</v>
      </c>
      <c r="M72" s="196"/>
    </row>
    <row r="73" spans="1:13" x14ac:dyDescent="0.2">
      <c r="A73" s="196">
        <f t="shared" si="0"/>
        <v>64</v>
      </c>
      <c r="B73" s="217"/>
      <c r="C73" s="202"/>
      <c r="D73" s="223"/>
      <c r="E73" s="220"/>
      <c r="F73" s="220"/>
      <c r="G73" s="220"/>
      <c r="H73" s="253"/>
      <c r="I73" s="221"/>
      <c r="J73" s="202"/>
      <c r="K73" s="202"/>
      <c r="M73" s="196"/>
    </row>
    <row r="74" spans="1:13" x14ac:dyDescent="0.2">
      <c r="A74" s="196">
        <f t="shared" si="0"/>
        <v>65</v>
      </c>
      <c r="B74" s="217" t="str">
        <f>+B72</f>
        <v>53E</v>
      </c>
      <c r="C74" s="202" t="s">
        <v>136</v>
      </c>
      <c r="D74" s="223">
        <v>70</v>
      </c>
      <c r="E74" s="229">
        <v>0.26</v>
      </c>
      <c r="F74" s="229">
        <v>1.34</v>
      </c>
      <c r="G74" s="220">
        <f t="shared" ref="G74:G79" si="18">SUM(E74:F74)</f>
        <v>1.6</v>
      </c>
      <c r="H74" s="253">
        <f t="shared" ref="H74:H79" si="19">ROUND(+G74*$L$10,2)</f>
        <v>0.04</v>
      </c>
      <c r="I74" s="236">
        <v>0</v>
      </c>
      <c r="J74" s="206">
        <f t="shared" ref="J74:K79" si="20">ROUND($I74*G74,0)</f>
        <v>0</v>
      </c>
      <c r="K74" s="206">
        <f t="shared" si="20"/>
        <v>0</v>
      </c>
      <c r="M74" s="196"/>
    </row>
    <row r="75" spans="1:13" x14ac:dyDescent="0.2">
      <c r="A75" s="196">
        <f t="shared" si="0"/>
        <v>66</v>
      </c>
      <c r="B75" s="217" t="str">
        <f>+B74</f>
        <v>53E</v>
      </c>
      <c r="C75" s="202" t="s">
        <v>136</v>
      </c>
      <c r="D75" s="223">
        <v>100</v>
      </c>
      <c r="E75" s="229">
        <v>0.37</v>
      </c>
      <c r="F75" s="229">
        <v>1.91</v>
      </c>
      <c r="G75" s="220">
        <f t="shared" si="18"/>
        <v>2.2799999999999998</v>
      </c>
      <c r="H75" s="253">
        <f t="shared" si="19"/>
        <v>0.06</v>
      </c>
      <c r="I75" s="236">
        <v>0</v>
      </c>
      <c r="J75" s="206">
        <f t="shared" si="20"/>
        <v>0</v>
      </c>
      <c r="K75" s="206">
        <f t="shared" si="20"/>
        <v>0</v>
      </c>
      <c r="M75" s="196"/>
    </row>
    <row r="76" spans="1:13" x14ac:dyDescent="0.2">
      <c r="A76" s="196">
        <f t="shared" ref="A76:A139" si="21">+A75+1</f>
        <v>67</v>
      </c>
      <c r="B76" s="217" t="str">
        <f>+B75</f>
        <v>53E</v>
      </c>
      <c r="C76" s="202" t="s">
        <v>136</v>
      </c>
      <c r="D76" s="223">
        <v>150</v>
      </c>
      <c r="E76" s="229">
        <v>0.55000000000000004</v>
      </c>
      <c r="F76" s="229">
        <v>2.86</v>
      </c>
      <c r="G76" s="220">
        <f t="shared" si="18"/>
        <v>3.41</v>
      </c>
      <c r="H76" s="253">
        <f t="shared" si="19"/>
        <v>0.08</v>
      </c>
      <c r="I76" s="236">
        <v>0</v>
      </c>
      <c r="J76" s="206">
        <f t="shared" si="20"/>
        <v>0</v>
      </c>
      <c r="K76" s="206">
        <f t="shared" si="20"/>
        <v>0</v>
      </c>
      <c r="M76" s="196"/>
    </row>
    <row r="77" spans="1:13" x14ac:dyDescent="0.2">
      <c r="A77" s="196">
        <f t="shared" si="21"/>
        <v>68</v>
      </c>
      <c r="B77" s="217" t="str">
        <f>+B76</f>
        <v>53E</v>
      </c>
      <c r="C77" s="202" t="s">
        <v>136</v>
      </c>
      <c r="D77" s="223">
        <v>175</v>
      </c>
      <c r="E77" s="229">
        <v>0.64</v>
      </c>
      <c r="F77" s="229">
        <v>3.34</v>
      </c>
      <c r="G77" s="220">
        <f t="shared" si="18"/>
        <v>3.98</v>
      </c>
      <c r="H77" s="253">
        <f t="shared" si="19"/>
        <v>0.1</v>
      </c>
      <c r="I77" s="221">
        <v>48</v>
      </c>
      <c r="J77" s="206">
        <f t="shared" si="20"/>
        <v>191</v>
      </c>
      <c r="K77" s="206">
        <f t="shared" si="20"/>
        <v>5</v>
      </c>
      <c r="M77" s="196"/>
    </row>
    <row r="78" spans="1:13" x14ac:dyDescent="0.2">
      <c r="A78" s="196">
        <f t="shared" si="21"/>
        <v>69</v>
      </c>
      <c r="B78" s="217" t="str">
        <f>+B77</f>
        <v>53E</v>
      </c>
      <c r="C78" s="202" t="s">
        <v>136</v>
      </c>
      <c r="D78" s="223">
        <v>250</v>
      </c>
      <c r="E78" s="229">
        <v>0.91</v>
      </c>
      <c r="F78" s="229">
        <v>4.7699999999999996</v>
      </c>
      <c r="G78" s="220">
        <f t="shared" si="18"/>
        <v>5.68</v>
      </c>
      <c r="H78" s="253">
        <f t="shared" si="19"/>
        <v>0.14000000000000001</v>
      </c>
      <c r="I78" s="236">
        <v>0</v>
      </c>
      <c r="J78" s="206">
        <f t="shared" si="20"/>
        <v>0</v>
      </c>
      <c r="K78" s="206">
        <f t="shared" si="20"/>
        <v>0</v>
      </c>
      <c r="M78" s="196"/>
    </row>
    <row r="79" spans="1:13" x14ac:dyDescent="0.2">
      <c r="A79" s="196">
        <f t="shared" si="21"/>
        <v>70</v>
      </c>
      <c r="B79" s="217" t="str">
        <f>+B78</f>
        <v>53E</v>
      </c>
      <c r="C79" s="202" t="s">
        <v>136</v>
      </c>
      <c r="D79" s="223">
        <v>400</v>
      </c>
      <c r="E79" s="229">
        <v>1.46</v>
      </c>
      <c r="F79" s="229">
        <v>7.64</v>
      </c>
      <c r="G79" s="220">
        <f t="shared" si="18"/>
        <v>9.1</v>
      </c>
      <c r="H79" s="253">
        <f t="shared" si="19"/>
        <v>0.22</v>
      </c>
      <c r="I79" s="236">
        <v>0</v>
      </c>
      <c r="J79" s="206">
        <f t="shared" si="20"/>
        <v>0</v>
      </c>
      <c r="K79" s="206">
        <f t="shared" si="20"/>
        <v>0</v>
      </c>
      <c r="M79" s="196"/>
    </row>
    <row r="80" spans="1:13" x14ac:dyDescent="0.2">
      <c r="A80" s="196">
        <f t="shared" si="21"/>
        <v>71</v>
      </c>
      <c r="B80" s="217"/>
      <c r="C80" s="202"/>
      <c r="D80" s="223"/>
      <c r="E80" s="220"/>
      <c r="F80" s="220"/>
      <c r="G80" s="220"/>
      <c r="H80" s="253"/>
      <c r="I80" s="221"/>
      <c r="J80" s="202"/>
      <c r="K80" s="202"/>
      <c r="M80" s="196"/>
    </row>
    <row r="81" spans="1:13" x14ac:dyDescent="0.2">
      <c r="A81" s="196">
        <f t="shared" si="21"/>
        <v>72</v>
      </c>
      <c r="B81" s="217" t="str">
        <f>+B78</f>
        <v>53E</v>
      </c>
      <c r="C81" s="202" t="s">
        <v>120</v>
      </c>
      <c r="D81" s="225" t="s">
        <v>316</v>
      </c>
      <c r="E81" s="219">
        <v>0.05</v>
      </c>
      <c r="F81" s="219">
        <v>0.28999999999999998</v>
      </c>
      <c r="G81" s="220">
        <f t="shared" ref="G81:G91" si="22">SUM(E81:F81)</f>
        <v>0.33999999999999997</v>
      </c>
      <c r="H81" s="253">
        <f t="shared" ref="H81:H90" si="23">ROUND(+G81*$L$10,2)</f>
        <v>0.01</v>
      </c>
      <c r="I81" s="236">
        <v>0</v>
      </c>
      <c r="J81" s="206">
        <f>ROUND($I81*G81,0)</f>
        <v>0</v>
      </c>
      <c r="K81" s="206">
        <f>ROUND($I81*H81,0)</f>
        <v>0</v>
      </c>
      <c r="M81" s="196"/>
    </row>
    <row r="82" spans="1:13" x14ac:dyDescent="0.2">
      <c r="A82" s="196">
        <f t="shared" si="21"/>
        <v>73</v>
      </c>
      <c r="B82" s="217" t="str">
        <f>+B79</f>
        <v>53E</v>
      </c>
      <c r="C82" s="202" t="s">
        <v>120</v>
      </c>
      <c r="D82" s="226" t="s">
        <v>317</v>
      </c>
      <c r="E82" s="219">
        <v>0.16</v>
      </c>
      <c r="F82" s="219">
        <v>0.86</v>
      </c>
      <c r="G82" s="220">
        <f t="shared" si="22"/>
        <v>1.02</v>
      </c>
      <c r="H82" s="253">
        <f t="shared" si="23"/>
        <v>0.03</v>
      </c>
      <c r="I82" s="221">
        <v>284567</v>
      </c>
      <c r="J82" s="206">
        <f>ROUND($I82*G82,0)</f>
        <v>290258</v>
      </c>
      <c r="K82" s="206">
        <f>ROUND($I82*H82,0)</f>
        <v>8537</v>
      </c>
      <c r="M82" s="196"/>
    </row>
    <row r="83" spans="1:13" x14ac:dyDescent="0.2">
      <c r="A83" s="196">
        <f t="shared" si="21"/>
        <v>74</v>
      </c>
      <c r="B83" s="217" t="str">
        <f t="shared" ref="B83:B91" si="24">B82</f>
        <v>53E</v>
      </c>
      <c r="C83" s="202" t="s">
        <v>120</v>
      </c>
      <c r="D83" s="223" t="s">
        <v>133</v>
      </c>
      <c r="E83" s="219">
        <v>0.27</v>
      </c>
      <c r="F83" s="219">
        <v>1.43</v>
      </c>
      <c r="G83" s="220">
        <f t="shared" si="22"/>
        <v>1.7</v>
      </c>
      <c r="H83" s="253">
        <f t="shared" si="23"/>
        <v>0.04</v>
      </c>
      <c r="I83" s="221">
        <v>16395</v>
      </c>
      <c r="J83" s="206">
        <f t="shared" ref="J83:K91" si="25">ROUND($I83*G83,0)</f>
        <v>27872</v>
      </c>
      <c r="K83" s="206">
        <f t="shared" si="25"/>
        <v>656</v>
      </c>
      <c r="M83" s="196"/>
    </row>
    <row r="84" spans="1:13" x14ac:dyDescent="0.2">
      <c r="A84" s="196">
        <f t="shared" si="21"/>
        <v>75</v>
      </c>
      <c r="B84" s="217" t="str">
        <f t="shared" si="24"/>
        <v>53E</v>
      </c>
      <c r="C84" s="202" t="s">
        <v>120</v>
      </c>
      <c r="D84" s="223" t="s">
        <v>132</v>
      </c>
      <c r="E84" s="219">
        <v>0.38</v>
      </c>
      <c r="F84" s="219">
        <v>2</v>
      </c>
      <c r="G84" s="220">
        <f t="shared" si="22"/>
        <v>2.38</v>
      </c>
      <c r="H84" s="253">
        <f t="shared" si="23"/>
        <v>0.06</v>
      </c>
      <c r="I84" s="221">
        <v>43801</v>
      </c>
      <c r="J84" s="206">
        <f t="shared" si="25"/>
        <v>104246</v>
      </c>
      <c r="K84" s="206">
        <f t="shared" si="25"/>
        <v>2628</v>
      </c>
      <c r="M84" s="196"/>
    </row>
    <row r="85" spans="1:13" x14ac:dyDescent="0.2">
      <c r="A85" s="196">
        <f t="shared" si="21"/>
        <v>76</v>
      </c>
      <c r="B85" s="217" t="str">
        <f t="shared" si="24"/>
        <v>53E</v>
      </c>
      <c r="C85" s="202" t="s">
        <v>120</v>
      </c>
      <c r="D85" s="223" t="s">
        <v>131</v>
      </c>
      <c r="E85" s="219">
        <v>0.49</v>
      </c>
      <c r="F85" s="219">
        <v>2.58</v>
      </c>
      <c r="G85" s="220">
        <f t="shared" si="22"/>
        <v>3.0700000000000003</v>
      </c>
      <c r="H85" s="253">
        <f t="shared" si="23"/>
        <v>0.08</v>
      </c>
      <c r="I85" s="221">
        <v>23799</v>
      </c>
      <c r="J85" s="206">
        <f t="shared" si="25"/>
        <v>73063</v>
      </c>
      <c r="K85" s="206">
        <f t="shared" si="25"/>
        <v>1904</v>
      </c>
      <c r="M85" s="196"/>
    </row>
    <row r="86" spans="1:13" x14ac:dyDescent="0.2">
      <c r="A86" s="196">
        <f t="shared" si="21"/>
        <v>77</v>
      </c>
      <c r="B86" s="217" t="str">
        <f t="shared" si="24"/>
        <v>53E</v>
      </c>
      <c r="C86" s="202" t="s">
        <v>120</v>
      </c>
      <c r="D86" s="223" t="s">
        <v>130</v>
      </c>
      <c r="E86" s="219">
        <v>0.6</v>
      </c>
      <c r="F86" s="219">
        <v>3.15</v>
      </c>
      <c r="G86" s="220">
        <f t="shared" si="22"/>
        <v>3.75</v>
      </c>
      <c r="H86" s="253">
        <f t="shared" si="23"/>
        <v>0.09</v>
      </c>
      <c r="I86" s="221">
        <v>18581</v>
      </c>
      <c r="J86" s="206">
        <f t="shared" si="25"/>
        <v>69679</v>
      </c>
      <c r="K86" s="206">
        <f t="shared" si="25"/>
        <v>1672</v>
      </c>
      <c r="M86" s="196"/>
    </row>
    <row r="87" spans="1:13" x14ac:dyDescent="0.2">
      <c r="A87" s="196">
        <f t="shared" si="21"/>
        <v>78</v>
      </c>
      <c r="B87" s="217" t="str">
        <f t="shared" si="24"/>
        <v>53E</v>
      </c>
      <c r="C87" s="202" t="s">
        <v>120</v>
      </c>
      <c r="D87" s="223" t="s">
        <v>129</v>
      </c>
      <c r="E87" s="219">
        <v>0.71</v>
      </c>
      <c r="F87" s="219">
        <v>3.72</v>
      </c>
      <c r="G87" s="220">
        <f t="shared" si="22"/>
        <v>4.43</v>
      </c>
      <c r="H87" s="253">
        <f t="shared" si="23"/>
        <v>0.11</v>
      </c>
      <c r="I87" s="221">
        <v>6336</v>
      </c>
      <c r="J87" s="206">
        <f t="shared" si="25"/>
        <v>28068</v>
      </c>
      <c r="K87" s="206">
        <f t="shared" si="25"/>
        <v>697</v>
      </c>
      <c r="M87" s="196"/>
    </row>
    <row r="88" spans="1:13" x14ac:dyDescent="0.2">
      <c r="A88" s="196">
        <f t="shared" si="21"/>
        <v>79</v>
      </c>
      <c r="B88" s="217" t="str">
        <f t="shared" si="24"/>
        <v>53E</v>
      </c>
      <c r="C88" s="202" t="s">
        <v>120</v>
      </c>
      <c r="D88" s="223" t="s">
        <v>128</v>
      </c>
      <c r="E88" s="219">
        <v>0.82</v>
      </c>
      <c r="F88" s="219">
        <v>4.3</v>
      </c>
      <c r="G88" s="220">
        <f t="shared" si="22"/>
        <v>5.12</v>
      </c>
      <c r="H88" s="253">
        <f t="shared" si="23"/>
        <v>0.13</v>
      </c>
      <c r="I88" s="221">
        <v>1024</v>
      </c>
      <c r="J88" s="206">
        <f t="shared" si="25"/>
        <v>5243</v>
      </c>
      <c r="K88" s="206">
        <f t="shared" si="25"/>
        <v>133</v>
      </c>
      <c r="M88" s="196"/>
    </row>
    <row r="89" spans="1:13" x14ac:dyDescent="0.2">
      <c r="A89" s="196">
        <f t="shared" si="21"/>
        <v>80</v>
      </c>
      <c r="B89" s="217" t="str">
        <f t="shared" si="24"/>
        <v>53E</v>
      </c>
      <c r="C89" s="202" t="s">
        <v>120</v>
      </c>
      <c r="D89" s="223" t="s">
        <v>127</v>
      </c>
      <c r="E89" s="219">
        <v>0.93</v>
      </c>
      <c r="F89" s="219">
        <v>4.87</v>
      </c>
      <c r="G89" s="220">
        <f t="shared" si="22"/>
        <v>5.8</v>
      </c>
      <c r="H89" s="253">
        <f t="shared" si="23"/>
        <v>0.14000000000000001</v>
      </c>
      <c r="I89" s="221">
        <v>312</v>
      </c>
      <c r="J89" s="206">
        <f t="shared" si="25"/>
        <v>1810</v>
      </c>
      <c r="K89" s="206">
        <f t="shared" si="25"/>
        <v>44</v>
      </c>
      <c r="M89" s="196"/>
    </row>
    <row r="90" spans="1:13" x14ac:dyDescent="0.2">
      <c r="A90" s="196">
        <f t="shared" si="21"/>
        <v>81</v>
      </c>
      <c r="B90" s="217" t="str">
        <f t="shared" si="24"/>
        <v>53E</v>
      </c>
      <c r="C90" s="202" t="s">
        <v>120</v>
      </c>
      <c r="D90" s="223" t="s">
        <v>126</v>
      </c>
      <c r="E90" s="219">
        <v>1.04</v>
      </c>
      <c r="F90" s="219">
        <v>5.44</v>
      </c>
      <c r="G90" s="220">
        <f t="shared" si="22"/>
        <v>6.48</v>
      </c>
      <c r="H90" s="253">
        <f t="shared" si="23"/>
        <v>0.16</v>
      </c>
      <c r="I90" s="221">
        <v>1899</v>
      </c>
      <c r="J90" s="206">
        <f t="shared" si="25"/>
        <v>12306</v>
      </c>
      <c r="K90" s="206">
        <f t="shared" si="25"/>
        <v>304</v>
      </c>
      <c r="M90" s="196"/>
    </row>
    <row r="91" spans="1:13" x14ac:dyDescent="0.2">
      <c r="A91" s="196">
        <f t="shared" si="21"/>
        <v>82</v>
      </c>
      <c r="B91" s="217" t="str">
        <f t="shared" si="24"/>
        <v>53E</v>
      </c>
      <c r="C91" s="202" t="s">
        <v>319</v>
      </c>
      <c r="D91" s="202" t="s">
        <v>191</v>
      </c>
      <c r="E91" s="227">
        <v>1.0432E-2</v>
      </c>
      <c r="F91" s="227">
        <v>5.4556E-2</v>
      </c>
      <c r="G91" s="228">
        <f t="shared" si="22"/>
        <v>6.4988000000000004E-2</v>
      </c>
      <c r="H91" s="254">
        <f>'2023 Proposed Impacts'!G28</f>
        <v>1.477E-3</v>
      </c>
      <c r="I91" s="221">
        <v>108383</v>
      </c>
      <c r="J91" s="206">
        <f t="shared" si="25"/>
        <v>7044</v>
      </c>
      <c r="K91" s="206">
        <f t="shared" si="25"/>
        <v>160</v>
      </c>
      <c r="M91" s="196"/>
    </row>
    <row r="92" spans="1:13" x14ac:dyDescent="0.2">
      <c r="A92" s="196">
        <f t="shared" si="21"/>
        <v>83</v>
      </c>
      <c r="B92" s="231"/>
      <c r="C92" s="202"/>
      <c r="D92" s="223"/>
      <c r="E92" s="220"/>
      <c r="F92" s="220"/>
      <c r="G92" s="220"/>
      <c r="H92" s="253"/>
      <c r="I92" s="221"/>
      <c r="J92" s="202"/>
      <c r="K92" s="202"/>
      <c r="M92" s="196"/>
    </row>
    <row r="93" spans="1:13" x14ac:dyDescent="0.2">
      <c r="A93" s="196">
        <f t="shared" si="21"/>
        <v>84</v>
      </c>
      <c r="B93" s="200" t="s">
        <v>143</v>
      </c>
      <c r="D93" s="225"/>
      <c r="E93" s="220"/>
      <c r="F93" s="220"/>
      <c r="G93" s="220"/>
      <c r="H93" s="253"/>
      <c r="I93" s="221"/>
      <c r="J93" s="202"/>
      <c r="K93" s="202"/>
      <c r="M93" s="196"/>
    </row>
    <row r="94" spans="1:13" x14ac:dyDescent="0.2">
      <c r="A94" s="196">
        <f t="shared" si="21"/>
        <v>85</v>
      </c>
      <c r="B94" s="217" t="s">
        <v>142</v>
      </c>
      <c r="C94" s="202" t="s">
        <v>7</v>
      </c>
      <c r="D94" s="223">
        <v>50</v>
      </c>
      <c r="E94" s="219">
        <v>0.18</v>
      </c>
      <c r="F94" s="219">
        <v>0.95</v>
      </c>
      <c r="G94" s="220">
        <f t="shared" ref="G94:G102" si="26">SUM(E94:F94)</f>
        <v>1.1299999999999999</v>
      </c>
      <c r="H94" s="253">
        <f t="shared" ref="H94:H102" si="27">ROUND(+G94*$L$10,2)</f>
        <v>0.03</v>
      </c>
      <c r="I94" s="221">
        <v>456</v>
      </c>
      <c r="J94" s="206">
        <f t="shared" ref="J94:K102" si="28">ROUND($I94*G94,0)</f>
        <v>515</v>
      </c>
      <c r="K94" s="206">
        <f t="shared" si="28"/>
        <v>14</v>
      </c>
      <c r="M94" s="196"/>
    </row>
    <row r="95" spans="1:13" x14ac:dyDescent="0.2">
      <c r="A95" s="196">
        <f t="shared" si="21"/>
        <v>86</v>
      </c>
      <c r="B95" s="217" t="str">
        <f t="shared" ref="B95:B102" si="29">+B94</f>
        <v>54E</v>
      </c>
      <c r="C95" s="202" t="s">
        <v>7</v>
      </c>
      <c r="D95" s="223">
        <v>70</v>
      </c>
      <c r="E95" s="219">
        <v>0.26</v>
      </c>
      <c r="F95" s="219">
        <v>1.34</v>
      </c>
      <c r="G95" s="220">
        <f t="shared" si="26"/>
        <v>1.6</v>
      </c>
      <c r="H95" s="253">
        <f t="shared" si="27"/>
        <v>0.04</v>
      </c>
      <c r="I95" s="221">
        <v>1843</v>
      </c>
      <c r="J95" s="206">
        <f t="shared" si="28"/>
        <v>2949</v>
      </c>
      <c r="K95" s="206">
        <f t="shared" si="28"/>
        <v>74</v>
      </c>
      <c r="M95" s="196"/>
    </row>
    <row r="96" spans="1:13" x14ac:dyDescent="0.2">
      <c r="A96" s="196">
        <f t="shared" si="21"/>
        <v>87</v>
      </c>
      <c r="B96" s="217" t="str">
        <f t="shared" si="29"/>
        <v>54E</v>
      </c>
      <c r="C96" s="202" t="s">
        <v>7</v>
      </c>
      <c r="D96" s="223">
        <v>100</v>
      </c>
      <c r="E96" s="219">
        <v>0.37</v>
      </c>
      <c r="F96" s="219">
        <v>1.91</v>
      </c>
      <c r="G96" s="220">
        <f t="shared" si="26"/>
        <v>2.2799999999999998</v>
      </c>
      <c r="H96" s="253">
        <f t="shared" si="27"/>
        <v>0.06</v>
      </c>
      <c r="I96" s="221">
        <v>9599</v>
      </c>
      <c r="J96" s="206">
        <f t="shared" si="28"/>
        <v>21886</v>
      </c>
      <c r="K96" s="206">
        <f t="shared" si="28"/>
        <v>576</v>
      </c>
      <c r="M96" s="196"/>
    </row>
    <row r="97" spans="1:13" x14ac:dyDescent="0.2">
      <c r="A97" s="196">
        <f t="shared" si="21"/>
        <v>88</v>
      </c>
      <c r="B97" s="217" t="str">
        <f t="shared" si="29"/>
        <v>54E</v>
      </c>
      <c r="C97" s="202" t="s">
        <v>7</v>
      </c>
      <c r="D97" s="223">
        <v>150</v>
      </c>
      <c r="E97" s="219">
        <v>0.55000000000000004</v>
      </c>
      <c r="F97" s="219">
        <v>2.86</v>
      </c>
      <c r="G97" s="220">
        <f t="shared" si="26"/>
        <v>3.41</v>
      </c>
      <c r="H97" s="253">
        <f t="shared" si="27"/>
        <v>0.08</v>
      </c>
      <c r="I97" s="221">
        <v>3365</v>
      </c>
      <c r="J97" s="206">
        <f t="shared" si="28"/>
        <v>11475</v>
      </c>
      <c r="K97" s="206">
        <f t="shared" si="28"/>
        <v>269</v>
      </c>
      <c r="M97" s="196"/>
    </row>
    <row r="98" spans="1:13" x14ac:dyDescent="0.2">
      <c r="A98" s="196">
        <f t="shared" si="21"/>
        <v>89</v>
      </c>
      <c r="B98" s="217" t="str">
        <f t="shared" si="29"/>
        <v>54E</v>
      </c>
      <c r="C98" s="202" t="s">
        <v>7</v>
      </c>
      <c r="D98" s="223">
        <v>200</v>
      </c>
      <c r="E98" s="219">
        <v>0.73</v>
      </c>
      <c r="F98" s="219">
        <v>3.82</v>
      </c>
      <c r="G98" s="220">
        <f t="shared" si="26"/>
        <v>4.55</v>
      </c>
      <c r="H98" s="253">
        <f t="shared" si="27"/>
        <v>0.11</v>
      </c>
      <c r="I98" s="221">
        <v>3340</v>
      </c>
      <c r="J98" s="206">
        <f t="shared" si="28"/>
        <v>15197</v>
      </c>
      <c r="K98" s="206">
        <f t="shared" si="28"/>
        <v>367</v>
      </c>
      <c r="M98" s="196"/>
    </row>
    <row r="99" spans="1:13" x14ac:dyDescent="0.2">
      <c r="A99" s="196">
        <f t="shared" si="21"/>
        <v>90</v>
      </c>
      <c r="B99" s="217" t="str">
        <f t="shared" si="29"/>
        <v>54E</v>
      </c>
      <c r="C99" s="202" t="s">
        <v>7</v>
      </c>
      <c r="D99" s="223">
        <v>250</v>
      </c>
      <c r="E99" s="219">
        <v>0.91</v>
      </c>
      <c r="F99" s="219">
        <v>4.7699999999999996</v>
      </c>
      <c r="G99" s="220">
        <f t="shared" si="26"/>
        <v>5.68</v>
      </c>
      <c r="H99" s="253">
        <f t="shared" si="27"/>
        <v>0.14000000000000001</v>
      </c>
      <c r="I99" s="221">
        <v>3601</v>
      </c>
      <c r="J99" s="206">
        <f t="shared" si="28"/>
        <v>20454</v>
      </c>
      <c r="K99" s="206">
        <f t="shared" si="28"/>
        <v>504</v>
      </c>
      <c r="M99" s="196"/>
    </row>
    <row r="100" spans="1:13" x14ac:dyDescent="0.2">
      <c r="A100" s="196">
        <f t="shared" si="21"/>
        <v>91</v>
      </c>
      <c r="B100" s="217" t="str">
        <f t="shared" si="29"/>
        <v>54E</v>
      </c>
      <c r="C100" s="202" t="s">
        <v>7</v>
      </c>
      <c r="D100" s="223">
        <v>310</v>
      </c>
      <c r="E100" s="219">
        <v>1.1299999999999999</v>
      </c>
      <c r="F100" s="219">
        <v>5.92</v>
      </c>
      <c r="G100" s="220">
        <f t="shared" si="26"/>
        <v>7.05</v>
      </c>
      <c r="H100" s="253">
        <f t="shared" si="27"/>
        <v>0.17</v>
      </c>
      <c r="I100" s="221">
        <v>669</v>
      </c>
      <c r="J100" s="206">
        <f t="shared" si="28"/>
        <v>4716</v>
      </c>
      <c r="K100" s="206">
        <f t="shared" si="28"/>
        <v>114</v>
      </c>
      <c r="M100" s="196"/>
    </row>
    <row r="101" spans="1:13" x14ac:dyDescent="0.2">
      <c r="A101" s="196">
        <f t="shared" si="21"/>
        <v>92</v>
      </c>
      <c r="B101" s="217" t="str">
        <f t="shared" si="29"/>
        <v>54E</v>
      </c>
      <c r="C101" s="202" t="s">
        <v>7</v>
      </c>
      <c r="D101" s="223">
        <v>400</v>
      </c>
      <c r="E101" s="219">
        <v>1.46</v>
      </c>
      <c r="F101" s="219">
        <v>7.64</v>
      </c>
      <c r="G101" s="220">
        <f t="shared" si="26"/>
        <v>9.1</v>
      </c>
      <c r="H101" s="253">
        <f t="shared" si="27"/>
        <v>0.22</v>
      </c>
      <c r="I101" s="221">
        <v>6792</v>
      </c>
      <c r="J101" s="206">
        <f t="shared" si="28"/>
        <v>61807</v>
      </c>
      <c r="K101" s="206">
        <f t="shared" si="28"/>
        <v>1494</v>
      </c>
      <c r="M101" s="196"/>
    </row>
    <row r="102" spans="1:13" x14ac:dyDescent="0.2">
      <c r="A102" s="196">
        <f t="shared" si="21"/>
        <v>93</v>
      </c>
      <c r="B102" s="217" t="str">
        <f t="shared" si="29"/>
        <v>54E</v>
      </c>
      <c r="C102" s="202" t="s">
        <v>7</v>
      </c>
      <c r="D102" s="223">
        <v>1000</v>
      </c>
      <c r="E102" s="219">
        <v>3.65</v>
      </c>
      <c r="F102" s="219">
        <v>19.09</v>
      </c>
      <c r="G102" s="220">
        <f t="shared" si="26"/>
        <v>22.74</v>
      </c>
      <c r="H102" s="253">
        <f t="shared" si="27"/>
        <v>0.56000000000000005</v>
      </c>
      <c r="I102" s="236">
        <v>0</v>
      </c>
      <c r="J102" s="206">
        <f t="shared" si="28"/>
        <v>0</v>
      </c>
      <c r="K102" s="206">
        <f t="shared" si="28"/>
        <v>0</v>
      </c>
      <c r="M102" s="196"/>
    </row>
    <row r="103" spans="1:13" x14ac:dyDescent="0.2">
      <c r="A103" s="196">
        <f t="shared" si="21"/>
        <v>94</v>
      </c>
      <c r="B103" s="231"/>
      <c r="C103" s="202"/>
      <c r="D103" s="223"/>
      <c r="E103" s="220"/>
      <c r="F103" s="220"/>
      <c r="G103" s="220"/>
      <c r="H103" s="253"/>
      <c r="I103" s="221"/>
      <c r="J103" s="202"/>
      <c r="K103" s="202"/>
      <c r="M103" s="196"/>
    </row>
    <row r="104" spans="1:13" x14ac:dyDescent="0.2">
      <c r="A104" s="196">
        <f t="shared" si="21"/>
        <v>95</v>
      </c>
      <c r="B104" s="217" t="str">
        <f>+B101</f>
        <v>54E</v>
      </c>
      <c r="C104" s="202" t="s">
        <v>120</v>
      </c>
      <c r="D104" s="226" t="s">
        <v>320</v>
      </c>
      <c r="E104" s="219">
        <v>0.05</v>
      </c>
      <c r="F104" s="219">
        <v>0.28999999999999998</v>
      </c>
      <c r="G104" s="220">
        <f t="shared" ref="G104:G113" si="30">SUM(E104:F104)</f>
        <v>0.33999999999999997</v>
      </c>
      <c r="H104" s="253">
        <f t="shared" ref="H104:H113" si="31">ROUND(+G104*$L$10,2)</f>
        <v>0.01</v>
      </c>
      <c r="I104" s="236">
        <v>0</v>
      </c>
      <c r="J104" s="206">
        <f t="shared" ref="J104:K113" si="32">ROUND($I104*G104,0)</f>
        <v>0</v>
      </c>
      <c r="K104" s="206">
        <f t="shared" si="32"/>
        <v>0</v>
      </c>
      <c r="M104" s="196"/>
    </row>
    <row r="105" spans="1:13" x14ac:dyDescent="0.2">
      <c r="A105" s="196">
        <f t="shared" si="21"/>
        <v>96</v>
      </c>
      <c r="B105" s="217" t="str">
        <f>+B102</f>
        <v>54E</v>
      </c>
      <c r="C105" s="202" t="s">
        <v>120</v>
      </c>
      <c r="D105" s="226" t="s">
        <v>134</v>
      </c>
      <c r="E105" s="219">
        <v>0.16</v>
      </c>
      <c r="F105" s="219">
        <v>0.86</v>
      </c>
      <c r="G105" s="220">
        <f t="shared" si="30"/>
        <v>1.02</v>
      </c>
      <c r="H105" s="253">
        <f t="shared" si="31"/>
        <v>0.03</v>
      </c>
      <c r="I105" s="221">
        <v>34694</v>
      </c>
      <c r="J105" s="206">
        <f t="shared" si="32"/>
        <v>35388</v>
      </c>
      <c r="K105" s="206">
        <f t="shared" si="32"/>
        <v>1041</v>
      </c>
      <c r="M105" s="196"/>
    </row>
    <row r="106" spans="1:13" x14ac:dyDescent="0.2">
      <c r="A106" s="196">
        <f t="shared" si="21"/>
        <v>97</v>
      </c>
      <c r="B106" s="217" t="str">
        <f t="shared" ref="B106:B113" si="33">+B105</f>
        <v>54E</v>
      </c>
      <c r="C106" s="202" t="s">
        <v>120</v>
      </c>
      <c r="D106" s="223" t="s">
        <v>133</v>
      </c>
      <c r="E106" s="219">
        <v>0.27</v>
      </c>
      <c r="F106" s="219">
        <v>1.43</v>
      </c>
      <c r="G106" s="220">
        <f t="shared" si="30"/>
        <v>1.7</v>
      </c>
      <c r="H106" s="253">
        <f t="shared" si="31"/>
        <v>0.04</v>
      </c>
      <c r="I106" s="221">
        <v>2923</v>
      </c>
      <c r="J106" s="206">
        <f t="shared" si="32"/>
        <v>4969</v>
      </c>
      <c r="K106" s="206">
        <f t="shared" si="32"/>
        <v>117</v>
      </c>
      <c r="M106" s="196"/>
    </row>
    <row r="107" spans="1:13" x14ac:dyDescent="0.2">
      <c r="A107" s="196">
        <f t="shared" si="21"/>
        <v>98</v>
      </c>
      <c r="B107" s="217" t="str">
        <f t="shared" si="33"/>
        <v>54E</v>
      </c>
      <c r="C107" s="202" t="s">
        <v>120</v>
      </c>
      <c r="D107" s="223" t="s">
        <v>132</v>
      </c>
      <c r="E107" s="219">
        <v>0.38</v>
      </c>
      <c r="F107" s="219">
        <v>2</v>
      </c>
      <c r="G107" s="220">
        <f t="shared" si="30"/>
        <v>2.38</v>
      </c>
      <c r="H107" s="253">
        <f t="shared" si="31"/>
        <v>0.06</v>
      </c>
      <c r="I107" s="221">
        <v>35164</v>
      </c>
      <c r="J107" s="206">
        <f t="shared" si="32"/>
        <v>83690</v>
      </c>
      <c r="K107" s="206">
        <f t="shared" si="32"/>
        <v>2110</v>
      </c>
      <c r="M107" s="196"/>
    </row>
    <row r="108" spans="1:13" x14ac:dyDescent="0.2">
      <c r="A108" s="196">
        <f t="shared" si="21"/>
        <v>99</v>
      </c>
      <c r="B108" s="217" t="str">
        <f t="shared" si="33"/>
        <v>54E</v>
      </c>
      <c r="C108" s="202" t="s">
        <v>120</v>
      </c>
      <c r="D108" s="223" t="s">
        <v>131</v>
      </c>
      <c r="E108" s="219">
        <v>0.49</v>
      </c>
      <c r="F108" s="219">
        <v>2.58</v>
      </c>
      <c r="G108" s="220">
        <f t="shared" si="30"/>
        <v>3.0700000000000003</v>
      </c>
      <c r="H108" s="253">
        <f t="shared" si="31"/>
        <v>0.08</v>
      </c>
      <c r="I108" s="221">
        <v>12553</v>
      </c>
      <c r="J108" s="206">
        <f t="shared" si="32"/>
        <v>38538</v>
      </c>
      <c r="K108" s="206">
        <f t="shared" si="32"/>
        <v>1004</v>
      </c>
      <c r="M108" s="196"/>
    </row>
    <row r="109" spans="1:13" x14ac:dyDescent="0.2">
      <c r="A109" s="196">
        <f t="shared" si="21"/>
        <v>100</v>
      </c>
      <c r="B109" s="217" t="str">
        <f t="shared" si="33"/>
        <v>54E</v>
      </c>
      <c r="C109" s="202" t="s">
        <v>120</v>
      </c>
      <c r="D109" s="223" t="s">
        <v>130</v>
      </c>
      <c r="E109" s="219">
        <v>0.6</v>
      </c>
      <c r="F109" s="219">
        <v>3.15</v>
      </c>
      <c r="G109" s="220">
        <f t="shared" si="30"/>
        <v>3.75</v>
      </c>
      <c r="H109" s="253">
        <f t="shared" si="31"/>
        <v>0.09</v>
      </c>
      <c r="I109" s="221">
        <v>5036</v>
      </c>
      <c r="J109" s="206">
        <f t="shared" si="32"/>
        <v>18885</v>
      </c>
      <c r="K109" s="206">
        <f t="shared" si="32"/>
        <v>453</v>
      </c>
      <c r="M109" s="196"/>
    </row>
    <row r="110" spans="1:13" x14ac:dyDescent="0.2">
      <c r="A110" s="196">
        <f t="shared" si="21"/>
        <v>101</v>
      </c>
      <c r="B110" s="217" t="str">
        <f t="shared" si="33"/>
        <v>54E</v>
      </c>
      <c r="C110" s="202" t="s">
        <v>120</v>
      </c>
      <c r="D110" s="223" t="s">
        <v>129</v>
      </c>
      <c r="E110" s="219">
        <v>0.71</v>
      </c>
      <c r="F110" s="219">
        <v>3.72</v>
      </c>
      <c r="G110" s="220">
        <f t="shared" si="30"/>
        <v>4.43</v>
      </c>
      <c r="H110" s="253">
        <f t="shared" si="31"/>
        <v>0.11</v>
      </c>
      <c r="I110" s="221">
        <v>2165</v>
      </c>
      <c r="J110" s="206">
        <f t="shared" si="32"/>
        <v>9591</v>
      </c>
      <c r="K110" s="206">
        <f t="shared" si="32"/>
        <v>238</v>
      </c>
      <c r="M110" s="196"/>
    </row>
    <row r="111" spans="1:13" x14ac:dyDescent="0.2">
      <c r="A111" s="196">
        <f t="shared" si="21"/>
        <v>102</v>
      </c>
      <c r="B111" s="217" t="str">
        <f t="shared" si="33"/>
        <v>54E</v>
      </c>
      <c r="C111" s="202" t="s">
        <v>120</v>
      </c>
      <c r="D111" s="223" t="s">
        <v>128</v>
      </c>
      <c r="E111" s="219">
        <v>0.82</v>
      </c>
      <c r="F111" s="219">
        <v>4.3</v>
      </c>
      <c r="G111" s="220">
        <f t="shared" si="30"/>
        <v>5.12</v>
      </c>
      <c r="H111" s="253">
        <f t="shared" si="31"/>
        <v>0.13</v>
      </c>
      <c r="I111" s="221">
        <v>468</v>
      </c>
      <c r="J111" s="206">
        <f t="shared" si="32"/>
        <v>2396</v>
      </c>
      <c r="K111" s="206">
        <f t="shared" si="32"/>
        <v>61</v>
      </c>
      <c r="M111" s="196"/>
    </row>
    <row r="112" spans="1:13" x14ac:dyDescent="0.2">
      <c r="A112" s="196">
        <f t="shared" si="21"/>
        <v>103</v>
      </c>
      <c r="B112" s="217" t="str">
        <f t="shared" si="33"/>
        <v>54E</v>
      </c>
      <c r="C112" s="202" t="s">
        <v>120</v>
      </c>
      <c r="D112" s="223" t="s">
        <v>127</v>
      </c>
      <c r="E112" s="219">
        <v>0.93</v>
      </c>
      <c r="F112" s="219">
        <v>4.87</v>
      </c>
      <c r="G112" s="220">
        <f t="shared" si="30"/>
        <v>5.8</v>
      </c>
      <c r="H112" s="253">
        <f t="shared" si="31"/>
        <v>0.14000000000000001</v>
      </c>
      <c r="I112" s="221">
        <v>48</v>
      </c>
      <c r="J112" s="206">
        <f t="shared" si="32"/>
        <v>278</v>
      </c>
      <c r="K112" s="206">
        <f t="shared" si="32"/>
        <v>7</v>
      </c>
      <c r="M112" s="196"/>
    </row>
    <row r="113" spans="1:13" x14ac:dyDescent="0.2">
      <c r="A113" s="196">
        <f t="shared" si="21"/>
        <v>104</v>
      </c>
      <c r="B113" s="217" t="str">
        <f t="shared" si="33"/>
        <v>54E</v>
      </c>
      <c r="C113" s="202" t="s">
        <v>120</v>
      </c>
      <c r="D113" s="223" t="s">
        <v>126</v>
      </c>
      <c r="E113" s="219">
        <v>1.04</v>
      </c>
      <c r="F113" s="219">
        <v>5.44</v>
      </c>
      <c r="G113" s="220">
        <f t="shared" si="30"/>
        <v>6.48</v>
      </c>
      <c r="H113" s="253">
        <f t="shared" si="31"/>
        <v>0.16</v>
      </c>
      <c r="I113" s="236">
        <v>0</v>
      </c>
      <c r="J113" s="206">
        <f t="shared" si="32"/>
        <v>0</v>
      </c>
      <c r="K113" s="206">
        <f t="shared" si="32"/>
        <v>0</v>
      </c>
      <c r="M113" s="196"/>
    </row>
    <row r="114" spans="1:13" x14ac:dyDescent="0.2">
      <c r="A114" s="196">
        <f t="shared" si="21"/>
        <v>105</v>
      </c>
      <c r="B114" s="231"/>
      <c r="C114" s="202"/>
      <c r="D114" s="223"/>
      <c r="E114" s="220"/>
      <c r="F114" s="220"/>
      <c r="G114" s="220"/>
      <c r="H114" s="253"/>
      <c r="I114" s="221"/>
      <c r="J114" s="202"/>
      <c r="K114" s="202"/>
      <c r="M114" s="196"/>
    </row>
    <row r="115" spans="1:13" x14ac:dyDescent="0.2">
      <c r="A115" s="196">
        <f t="shared" si="21"/>
        <v>106</v>
      </c>
      <c r="B115" s="200" t="s">
        <v>141</v>
      </c>
      <c r="C115" s="202"/>
      <c r="D115" s="223"/>
      <c r="E115" s="220"/>
      <c r="F115" s="220"/>
      <c r="G115" s="220"/>
      <c r="H115" s="253"/>
      <c r="I115" s="221"/>
      <c r="J115" s="202"/>
      <c r="K115" s="202"/>
      <c r="M115" s="196"/>
    </row>
    <row r="116" spans="1:13" x14ac:dyDescent="0.2">
      <c r="A116" s="196">
        <f t="shared" si="21"/>
        <v>107</v>
      </c>
      <c r="B116" s="217" t="s">
        <v>140</v>
      </c>
      <c r="C116" s="202" t="s">
        <v>7</v>
      </c>
      <c r="D116" s="223">
        <v>70</v>
      </c>
      <c r="E116" s="219">
        <v>0.26</v>
      </c>
      <c r="F116" s="219">
        <v>1.34</v>
      </c>
      <c r="G116" s="220">
        <f t="shared" ref="G116:G121" si="34">SUM(E116:F116)</f>
        <v>1.6</v>
      </c>
      <c r="H116" s="253">
        <f t="shared" ref="H116:H121" si="35">ROUND(+G116*$L$10,2)</f>
        <v>0.04</v>
      </c>
      <c r="I116" s="221">
        <v>170</v>
      </c>
      <c r="J116" s="206">
        <f t="shared" ref="J116:K121" si="36">ROUND($I116*G116,0)</f>
        <v>272</v>
      </c>
      <c r="K116" s="206">
        <f t="shared" si="36"/>
        <v>7</v>
      </c>
      <c r="M116" s="196"/>
    </row>
    <row r="117" spans="1:13" x14ac:dyDescent="0.2">
      <c r="A117" s="196">
        <f t="shared" si="21"/>
        <v>108</v>
      </c>
      <c r="B117" s="231" t="str">
        <f>+B116</f>
        <v>55E &amp; 56E</v>
      </c>
      <c r="C117" s="202" t="s">
        <v>7</v>
      </c>
      <c r="D117" s="223">
        <v>100</v>
      </c>
      <c r="E117" s="219">
        <v>0.37</v>
      </c>
      <c r="F117" s="219">
        <v>1.91</v>
      </c>
      <c r="G117" s="220">
        <f t="shared" si="34"/>
        <v>2.2799999999999998</v>
      </c>
      <c r="H117" s="253">
        <f t="shared" si="35"/>
        <v>0.06</v>
      </c>
      <c r="I117" s="221">
        <v>42182</v>
      </c>
      <c r="J117" s="206">
        <f t="shared" si="36"/>
        <v>96175</v>
      </c>
      <c r="K117" s="206">
        <f t="shared" si="36"/>
        <v>2531</v>
      </c>
      <c r="M117" s="196"/>
    </row>
    <row r="118" spans="1:13" x14ac:dyDescent="0.2">
      <c r="A118" s="196">
        <f t="shared" si="21"/>
        <v>109</v>
      </c>
      <c r="B118" s="231" t="str">
        <f>+B117</f>
        <v>55E &amp; 56E</v>
      </c>
      <c r="C118" s="202" t="s">
        <v>7</v>
      </c>
      <c r="D118" s="223">
        <v>150</v>
      </c>
      <c r="E118" s="219">
        <v>0.56000000000000005</v>
      </c>
      <c r="F118" s="219">
        <v>2.86</v>
      </c>
      <c r="G118" s="220">
        <f t="shared" si="34"/>
        <v>3.42</v>
      </c>
      <c r="H118" s="253">
        <f t="shared" si="35"/>
        <v>0.08</v>
      </c>
      <c r="I118" s="221">
        <v>5620</v>
      </c>
      <c r="J118" s="206">
        <f t="shared" si="36"/>
        <v>19220</v>
      </c>
      <c r="K118" s="206">
        <f t="shared" si="36"/>
        <v>450</v>
      </c>
      <c r="M118" s="196"/>
    </row>
    <row r="119" spans="1:13" x14ac:dyDescent="0.2">
      <c r="A119" s="196">
        <f t="shared" si="21"/>
        <v>110</v>
      </c>
      <c r="B119" s="231" t="str">
        <f>+B118</f>
        <v>55E &amp; 56E</v>
      </c>
      <c r="C119" s="202" t="s">
        <v>7</v>
      </c>
      <c r="D119" s="223">
        <v>200</v>
      </c>
      <c r="E119" s="219">
        <v>0.74</v>
      </c>
      <c r="F119" s="219">
        <v>3.82</v>
      </c>
      <c r="G119" s="220">
        <f t="shared" si="34"/>
        <v>4.5599999999999996</v>
      </c>
      <c r="H119" s="253">
        <f t="shared" si="35"/>
        <v>0.11</v>
      </c>
      <c r="I119" s="221">
        <v>11814</v>
      </c>
      <c r="J119" s="206">
        <f t="shared" si="36"/>
        <v>53872</v>
      </c>
      <c r="K119" s="206">
        <f t="shared" si="36"/>
        <v>1300</v>
      </c>
      <c r="M119" s="196"/>
    </row>
    <row r="120" spans="1:13" x14ac:dyDescent="0.2">
      <c r="A120" s="196">
        <f t="shared" si="21"/>
        <v>111</v>
      </c>
      <c r="B120" s="231" t="str">
        <f>+B119</f>
        <v>55E &amp; 56E</v>
      </c>
      <c r="C120" s="202" t="s">
        <v>7</v>
      </c>
      <c r="D120" s="223">
        <v>250</v>
      </c>
      <c r="E120" s="219">
        <v>0.93</v>
      </c>
      <c r="F120" s="219">
        <v>4.7699999999999996</v>
      </c>
      <c r="G120" s="220">
        <f t="shared" si="34"/>
        <v>5.6999999999999993</v>
      </c>
      <c r="H120" s="253">
        <f t="shared" si="35"/>
        <v>0.14000000000000001</v>
      </c>
      <c r="I120" s="221">
        <v>1249</v>
      </c>
      <c r="J120" s="206">
        <f t="shared" si="36"/>
        <v>7119</v>
      </c>
      <c r="K120" s="206">
        <f t="shared" si="36"/>
        <v>175</v>
      </c>
      <c r="M120" s="196"/>
    </row>
    <row r="121" spans="1:13" x14ac:dyDescent="0.2">
      <c r="A121" s="196">
        <f t="shared" si="21"/>
        <v>112</v>
      </c>
      <c r="B121" s="231" t="str">
        <f>+B120</f>
        <v>55E &amp; 56E</v>
      </c>
      <c r="C121" s="202" t="s">
        <v>7</v>
      </c>
      <c r="D121" s="223">
        <v>400</v>
      </c>
      <c r="E121" s="219">
        <v>1.48</v>
      </c>
      <c r="F121" s="219">
        <v>7.64</v>
      </c>
      <c r="G121" s="220">
        <f t="shared" si="34"/>
        <v>9.1199999999999992</v>
      </c>
      <c r="H121" s="253">
        <f t="shared" si="35"/>
        <v>0.22</v>
      </c>
      <c r="I121" s="221">
        <v>468</v>
      </c>
      <c r="J121" s="206">
        <f t="shared" si="36"/>
        <v>4268</v>
      </c>
      <c r="K121" s="206">
        <f t="shared" si="36"/>
        <v>103</v>
      </c>
      <c r="M121" s="196"/>
    </row>
    <row r="122" spans="1:13" x14ac:dyDescent="0.2">
      <c r="A122" s="196">
        <f t="shared" si="21"/>
        <v>113</v>
      </c>
      <c r="B122" s="231"/>
      <c r="C122" s="202"/>
      <c r="D122" s="223"/>
      <c r="E122" s="219"/>
      <c r="F122" s="219"/>
      <c r="G122" s="220"/>
      <c r="H122" s="253"/>
      <c r="I122" s="221"/>
      <c r="J122" s="202"/>
      <c r="K122" s="202"/>
      <c r="M122" s="196"/>
    </row>
    <row r="123" spans="1:13" x14ac:dyDescent="0.2">
      <c r="A123" s="196">
        <f t="shared" si="21"/>
        <v>114</v>
      </c>
      <c r="B123" s="231" t="str">
        <f>+B121</f>
        <v>55E &amp; 56E</v>
      </c>
      <c r="C123" s="202" t="s">
        <v>136</v>
      </c>
      <c r="D123" s="223">
        <v>250</v>
      </c>
      <c r="E123" s="219">
        <v>0.93</v>
      </c>
      <c r="F123" s="219">
        <v>4.7699999999999996</v>
      </c>
      <c r="G123" s="220">
        <f>SUM(E123:F123)</f>
        <v>5.6999999999999993</v>
      </c>
      <c r="H123" s="253">
        <f>ROUND(+G123*$L$10,2)</f>
        <v>0.14000000000000001</v>
      </c>
      <c r="I123" s="221">
        <v>80</v>
      </c>
      <c r="J123" s="206">
        <f>ROUND($I123*G123,0)</f>
        <v>456</v>
      </c>
      <c r="K123" s="206">
        <f>ROUND($I123*H123,0)</f>
        <v>11</v>
      </c>
      <c r="M123" s="196"/>
    </row>
    <row r="124" spans="1:13" x14ac:dyDescent="0.2">
      <c r="A124" s="196">
        <f t="shared" si="21"/>
        <v>115</v>
      </c>
      <c r="B124" s="231"/>
      <c r="C124" s="202"/>
      <c r="D124" s="223"/>
      <c r="E124" s="219"/>
      <c r="F124" s="219"/>
      <c r="G124" s="220"/>
      <c r="H124" s="253"/>
      <c r="I124" s="221"/>
      <c r="J124" s="202"/>
      <c r="K124" s="202"/>
      <c r="M124" s="196"/>
    </row>
    <row r="125" spans="1:13" x14ac:dyDescent="0.2">
      <c r="A125" s="196">
        <f t="shared" si="21"/>
        <v>116</v>
      </c>
      <c r="B125" s="231" t="s">
        <v>140</v>
      </c>
      <c r="C125" s="202" t="s">
        <v>120</v>
      </c>
      <c r="D125" s="225" t="s">
        <v>316</v>
      </c>
      <c r="E125" s="219">
        <v>0.06</v>
      </c>
      <c r="F125" s="219">
        <v>0.28999999999999998</v>
      </c>
      <c r="G125" s="220">
        <f t="shared" ref="G125:G134" si="37">SUM(E125:F125)</f>
        <v>0.35</v>
      </c>
      <c r="H125" s="253">
        <f t="shared" ref="H125:H134" si="38">ROUND(+G125*$L$10,2)</f>
        <v>0.01</v>
      </c>
      <c r="I125" s="224">
        <v>0</v>
      </c>
      <c r="J125" s="206">
        <f t="shared" ref="J125:K134" si="39">ROUND($I125*G125,0)</f>
        <v>0</v>
      </c>
      <c r="K125" s="206">
        <f t="shared" si="39"/>
        <v>0</v>
      </c>
      <c r="M125" s="196"/>
    </row>
    <row r="126" spans="1:13" x14ac:dyDescent="0.2">
      <c r="A126" s="196">
        <f t="shared" si="21"/>
        <v>117</v>
      </c>
      <c r="B126" s="231" t="s">
        <v>140</v>
      </c>
      <c r="C126" s="202" t="s">
        <v>120</v>
      </c>
      <c r="D126" s="226" t="s">
        <v>134</v>
      </c>
      <c r="E126" s="219">
        <v>0.17</v>
      </c>
      <c r="F126" s="219">
        <v>0.86</v>
      </c>
      <c r="G126" s="220">
        <f t="shared" si="37"/>
        <v>1.03</v>
      </c>
      <c r="H126" s="253">
        <f t="shared" si="38"/>
        <v>0.03</v>
      </c>
      <c r="I126" s="221">
        <v>9435</v>
      </c>
      <c r="J126" s="206">
        <f t="shared" si="39"/>
        <v>9718</v>
      </c>
      <c r="K126" s="206">
        <f t="shared" si="39"/>
        <v>283</v>
      </c>
      <c r="M126" s="196"/>
    </row>
    <row r="127" spans="1:13" x14ac:dyDescent="0.2">
      <c r="A127" s="196">
        <f t="shared" si="21"/>
        <v>118</v>
      </c>
      <c r="B127" s="231" t="s">
        <v>140</v>
      </c>
      <c r="C127" s="202" t="s">
        <v>120</v>
      </c>
      <c r="D127" s="223" t="s">
        <v>133</v>
      </c>
      <c r="E127" s="219">
        <v>0.28000000000000003</v>
      </c>
      <c r="F127" s="219">
        <v>1.43</v>
      </c>
      <c r="G127" s="220">
        <f t="shared" si="37"/>
        <v>1.71</v>
      </c>
      <c r="H127" s="253">
        <f t="shared" si="38"/>
        <v>0.04</v>
      </c>
      <c r="I127" s="221">
        <v>330</v>
      </c>
      <c r="J127" s="206">
        <f t="shared" si="39"/>
        <v>564</v>
      </c>
      <c r="K127" s="206">
        <f t="shared" si="39"/>
        <v>13</v>
      </c>
      <c r="M127" s="196"/>
    </row>
    <row r="128" spans="1:13" x14ac:dyDescent="0.2">
      <c r="A128" s="196">
        <f t="shared" si="21"/>
        <v>119</v>
      </c>
      <c r="B128" s="231" t="s">
        <v>140</v>
      </c>
      <c r="C128" s="202" t="s">
        <v>120</v>
      </c>
      <c r="D128" s="223" t="s">
        <v>132</v>
      </c>
      <c r="E128" s="219">
        <v>0.39</v>
      </c>
      <c r="F128" s="219">
        <v>2</v>
      </c>
      <c r="G128" s="220">
        <f t="shared" si="37"/>
        <v>2.39</v>
      </c>
      <c r="H128" s="253">
        <f t="shared" si="38"/>
        <v>0.06</v>
      </c>
      <c r="I128" s="221">
        <v>1968</v>
      </c>
      <c r="J128" s="206">
        <f t="shared" si="39"/>
        <v>4704</v>
      </c>
      <c r="K128" s="206">
        <f t="shared" si="39"/>
        <v>118</v>
      </c>
      <c r="M128" s="196"/>
    </row>
    <row r="129" spans="1:17" x14ac:dyDescent="0.2">
      <c r="A129" s="196">
        <f t="shared" si="21"/>
        <v>120</v>
      </c>
      <c r="B129" s="231" t="s">
        <v>140</v>
      </c>
      <c r="C129" s="202" t="s">
        <v>120</v>
      </c>
      <c r="D129" s="223" t="s">
        <v>131</v>
      </c>
      <c r="E129" s="219">
        <v>0.5</v>
      </c>
      <c r="F129" s="219">
        <v>2.58</v>
      </c>
      <c r="G129" s="220">
        <f t="shared" si="37"/>
        <v>3.08</v>
      </c>
      <c r="H129" s="253">
        <f t="shared" si="38"/>
        <v>0.08</v>
      </c>
      <c r="I129" s="224">
        <v>0</v>
      </c>
      <c r="J129" s="206">
        <f t="shared" si="39"/>
        <v>0</v>
      </c>
      <c r="K129" s="206">
        <f t="shared" si="39"/>
        <v>0</v>
      </c>
      <c r="M129" s="196"/>
    </row>
    <row r="130" spans="1:17" x14ac:dyDescent="0.2">
      <c r="A130" s="196">
        <f t="shared" si="21"/>
        <v>121</v>
      </c>
      <c r="B130" s="231" t="s">
        <v>140</v>
      </c>
      <c r="C130" s="202" t="s">
        <v>120</v>
      </c>
      <c r="D130" s="223" t="s">
        <v>130</v>
      </c>
      <c r="E130" s="219">
        <v>0.61</v>
      </c>
      <c r="F130" s="219">
        <v>3.15</v>
      </c>
      <c r="G130" s="220">
        <f t="shared" si="37"/>
        <v>3.76</v>
      </c>
      <c r="H130" s="253">
        <f t="shared" si="38"/>
        <v>0.09</v>
      </c>
      <c r="I130" s="224">
        <v>0</v>
      </c>
      <c r="J130" s="206">
        <f t="shared" si="39"/>
        <v>0</v>
      </c>
      <c r="K130" s="206">
        <f t="shared" si="39"/>
        <v>0</v>
      </c>
      <c r="M130" s="196"/>
    </row>
    <row r="131" spans="1:17" x14ac:dyDescent="0.2">
      <c r="A131" s="196">
        <f t="shared" si="21"/>
        <v>122</v>
      </c>
      <c r="B131" s="231" t="s">
        <v>140</v>
      </c>
      <c r="C131" s="202" t="s">
        <v>120</v>
      </c>
      <c r="D131" s="223" t="s">
        <v>129</v>
      </c>
      <c r="E131" s="219">
        <v>0.72</v>
      </c>
      <c r="F131" s="219">
        <v>3.72</v>
      </c>
      <c r="G131" s="220">
        <f t="shared" si="37"/>
        <v>4.4400000000000004</v>
      </c>
      <c r="H131" s="253">
        <f t="shared" si="38"/>
        <v>0.11</v>
      </c>
      <c r="I131" s="224">
        <v>0</v>
      </c>
      <c r="J131" s="206">
        <f t="shared" si="39"/>
        <v>0</v>
      </c>
      <c r="K131" s="206">
        <f t="shared" si="39"/>
        <v>0</v>
      </c>
      <c r="M131" s="196"/>
    </row>
    <row r="132" spans="1:17" x14ac:dyDescent="0.2">
      <c r="A132" s="196">
        <f t="shared" si="21"/>
        <v>123</v>
      </c>
      <c r="B132" s="231" t="s">
        <v>140</v>
      </c>
      <c r="C132" s="202" t="s">
        <v>120</v>
      </c>
      <c r="D132" s="223" t="s">
        <v>128</v>
      </c>
      <c r="E132" s="219">
        <v>0.83</v>
      </c>
      <c r="F132" s="219">
        <v>4.3</v>
      </c>
      <c r="G132" s="220">
        <f t="shared" si="37"/>
        <v>5.13</v>
      </c>
      <c r="H132" s="253">
        <f t="shared" si="38"/>
        <v>0.13</v>
      </c>
      <c r="I132" s="224">
        <v>0</v>
      </c>
      <c r="J132" s="206">
        <f t="shared" si="39"/>
        <v>0</v>
      </c>
      <c r="K132" s="206">
        <f t="shared" si="39"/>
        <v>0</v>
      </c>
      <c r="M132" s="196"/>
    </row>
    <row r="133" spans="1:17" x14ac:dyDescent="0.2">
      <c r="A133" s="196">
        <f t="shared" si="21"/>
        <v>124</v>
      </c>
      <c r="B133" s="231" t="s">
        <v>140</v>
      </c>
      <c r="C133" s="202" t="s">
        <v>120</v>
      </c>
      <c r="D133" s="223" t="s">
        <v>127</v>
      </c>
      <c r="E133" s="219">
        <v>0.94</v>
      </c>
      <c r="F133" s="219">
        <v>4.87</v>
      </c>
      <c r="G133" s="220">
        <f t="shared" si="37"/>
        <v>5.8100000000000005</v>
      </c>
      <c r="H133" s="253">
        <f t="shared" si="38"/>
        <v>0.14000000000000001</v>
      </c>
      <c r="I133" s="224">
        <v>0</v>
      </c>
      <c r="J133" s="206">
        <f t="shared" si="39"/>
        <v>0</v>
      </c>
      <c r="K133" s="206">
        <f t="shared" si="39"/>
        <v>0</v>
      </c>
      <c r="M133" s="196"/>
    </row>
    <row r="134" spans="1:17" x14ac:dyDescent="0.2">
      <c r="A134" s="196">
        <f t="shared" si="21"/>
        <v>125</v>
      </c>
      <c r="B134" s="231" t="s">
        <v>140</v>
      </c>
      <c r="C134" s="202" t="s">
        <v>120</v>
      </c>
      <c r="D134" s="223" t="s">
        <v>126</v>
      </c>
      <c r="E134" s="219">
        <v>1.06</v>
      </c>
      <c r="F134" s="219">
        <v>5.44</v>
      </c>
      <c r="G134" s="220">
        <f t="shared" si="37"/>
        <v>6.5</v>
      </c>
      <c r="H134" s="253">
        <f t="shared" si="38"/>
        <v>0.16</v>
      </c>
      <c r="I134" s="224">
        <v>0</v>
      </c>
      <c r="J134" s="206">
        <f t="shared" si="39"/>
        <v>0</v>
      </c>
      <c r="K134" s="206">
        <f t="shared" si="39"/>
        <v>0</v>
      </c>
      <c r="M134" s="196"/>
    </row>
    <row r="135" spans="1:17" x14ac:dyDescent="0.2">
      <c r="A135" s="196">
        <f t="shared" si="21"/>
        <v>126</v>
      </c>
      <c r="B135" s="231"/>
      <c r="C135" s="202"/>
      <c r="D135" s="223"/>
      <c r="E135" s="219"/>
      <c r="F135" s="219"/>
      <c r="G135" s="220"/>
      <c r="H135" s="253"/>
      <c r="I135" s="221"/>
      <c r="J135" s="202"/>
      <c r="K135" s="202"/>
      <c r="M135" s="196"/>
    </row>
    <row r="136" spans="1:17" x14ac:dyDescent="0.2">
      <c r="A136" s="196">
        <f t="shared" si="21"/>
        <v>127</v>
      </c>
      <c r="B136" s="200" t="s">
        <v>118</v>
      </c>
      <c r="C136" s="202"/>
      <c r="D136" s="223"/>
      <c r="E136" s="220"/>
      <c r="F136" s="219"/>
      <c r="G136" s="220"/>
      <c r="H136" s="253"/>
      <c r="I136" s="221"/>
      <c r="J136" s="202"/>
      <c r="K136" s="202"/>
      <c r="M136" s="196"/>
    </row>
    <row r="137" spans="1:17" x14ac:dyDescent="0.2">
      <c r="A137" s="196">
        <f t="shared" si="21"/>
        <v>128</v>
      </c>
      <c r="B137" s="231" t="s">
        <v>117</v>
      </c>
      <c r="C137" s="202" t="s">
        <v>116</v>
      </c>
      <c r="D137" s="223">
        <v>0</v>
      </c>
      <c r="E137" s="232">
        <v>2.8600000000000001E-3</v>
      </c>
      <c r="F137" s="232">
        <v>3.9829999999999997E-2</v>
      </c>
      <c r="G137" s="233">
        <f>SUM(E137:F137)</f>
        <v>4.2689999999999999E-2</v>
      </c>
      <c r="H137" s="255">
        <f>ROUND(+G137*$L$10,5)</f>
        <v>1.0499999999999999E-3</v>
      </c>
      <c r="I137" s="221">
        <v>7518937</v>
      </c>
      <c r="J137" s="206">
        <f>ROUND($I137*G137,0)</f>
        <v>320983</v>
      </c>
      <c r="K137" s="206">
        <f>ROUND($I137*H137,0)</f>
        <v>7895</v>
      </c>
      <c r="M137" s="196"/>
    </row>
    <row r="138" spans="1:17" x14ac:dyDescent="0.2">
      <c r="A138" s="196">
        <f t="shared" si="21"/>
        <v>129</v>
      </c>
      <c r="B138" s="231"/>
      <c r="C138" s="202"/>
      <c r="D138" s="223"/>
      <c r="E138" s="220"/>
      <c r="F138" s="220"/>
      <c r="G138" s="220"/>
      <c r="H138" s="253"/>
      <c r="I138" s="221"/>
      <c r="J138" s="202"/>
      <c r="K138" s="202"/>
      <c r="M138" s="196"/>
    </row>
    <row r="139" spans="1:17" x14ac:dyDescent="0.2">
      <c r="A139" s="196">
        <f t="shared" si="21"/>
        <v>130</v>
      </c>
      <c r="B139" s="200" t="s">
        <v>139</v>
      </c>
      <c r="C139" s="202"/>
      <c r="D139" s="223"/>
      <c r="E139" s="220"/>
      <c r="F139" s="220"/>
      <c r="G139" s="220"/>
      <c r="H139" s="253"/>
      <c r="I139" s="221"/>
      <c r="J139" s="202"/>
      <c r="K139" s="202"/>
      <c r="M139" s="196"/>
    </row>
    <row r="140" spans="1:17" x14ac:dyDescent="0.2">
      <c r="A140" s="196">
        <f t="shared" ref="A140:A176" si="40">+A139+1</f>
        <v>131</v>
      </c>
      <c r="B140" s="217" t="s">
        <v>138</v>
      </c>
      <c r="C140" s="202" t="s">
        <v>7</v>
      </c>
      <c r="D140" s="223">
        <v>70</v>
      </c>
      <c r="E140" s="219">
        <v>0.26</v>
      </c>
      <c r="F140" s="219">
        <v>1.34</v>
      </c>
      <c r="G140" s="220">
        <f t="shared" ref="G140:G145" si="41">SUM(E140:F140)</f>
        <v>1.6</v>
      </c>
      <c r="H140" s="253">
        <f t="shared" ref="H140:H145" si="42">ROUND(+G140*$L$10,2)</f>
        <v>0.04</v>
      </c>
      <c r="I140" s="221">
        <v>614</v>
      </c>
      <c r="J140" s="206">
        <f t="shared" ref="J140:K145" si="43">ROUND($I140*G140,0)</f>
        <v>982</v>
      </c>
      <c r="K140" s="206">
        <f t="shared" si="43"/>
        <v>25</v>
      </c>
      <c r="M140" s="196"/>
    </row>
    <row r="141" spans="1:17" x14ac:dyDescent="0.2">
      <c r="A141" s="196">
        <f t="shared" si="40"/>
        <v>132</v>
      </c>
      <c r="B141" s="231" t="str">
        <f>+B140</f>
        <v>58E &amp; 59E - Directional</v>
      </c>
      <c r="C141" s="202" t="s">
        <v>7</v>
      </c>
      <c r="D141" s="223">
        <v>100</v>
      </c>
      <c r="E141" s="219">
        <v>0.37</v>
      </c>
      <c r="F141" s="219">
        <v>1.91</v>
      </c>
      <c r="G141" s="220">
        <f t="shared" si="41"/>
        <v>2.2799999999999998</v>
      </c>
      <c r="H141" s="253">
        <f t="shared" si="42"/>
        <v>0.06</v>
      </c>
      <c r="I141" s="221">
        <v>121</v>
      </c>
      <c r="J141" s="206">
        <f t="shared" si="43"/>
        <v>276</v>
      </c>
      <c r="K141" s="206">
        <f t="shared" si="43"/>
        <v>7</v>
      </c>
      <c r="M141" s="196"/>
      <c r="Q141" s="234"/>
    </row>
    <row r="142" spans="1:17" x14ac:dyDescent="0.2">
      <c r="A142" s="196">
        <f t="shared" si="40"/>
        <v>133</v>
      </c>
      <c r="B142" s="231" t="str">
        <f>+B141</f>
        <v>58E &amp; 59E - Directional</v>
      </c>
      <c r="C142" s="202" t="s">
        <v>7</v>
      </c>
      <c r="D142" s="223">
        <v>150</v>
      </c>
      <c r="E142" s="219">
        <v>0.56000000000000005</v>
      </c>
      <c r="F142" s="219">
        <v>2.86</v>
      </c>
      <c r="G142" s="220">
        <f t="shared" si="41"/>
        <v>3.42</v>
      </c>
      <c r="H142" s="253">
        <f t="shared" si="42"/>
        <v>0.08</v>
      </c>
      <c r="I142" s="221">
        <v>1701</v>
      </c>
      <c r="J142" s="206">
        <f t="shared" si="43"/>
        <v>5817</v>
      </c>
      <c r="K142" s="206">
        <f t="shared" si="43"/>
        <v>136</v>
      </c>
      <c r="M142" s="196"/>
      <c r="Q142" s="234"/>
    </row>
    <row r="143" spans="1:17" x14ac:dyDescent="0.2">
      <c r="A143" s="196">
        <f t="shared" si="40"/>
        <v>134</v>
      </c>
      <c r="B143" s="231" t="str">
        <f>+B142</f>
        <v>58E &amp; 59E - Directional</v>
      </c>
      <c r="C143" s="202" t="s">
        <v>7</v>
      </c>
      <c r="D143" s="223">
        <v>200</v>
      </c>
      <c r="E143" s="219">
        <v>0.74</v>
      </c>
      <c r="F143" s="219">
        <v>3.82</v>
      </c>
      <c r="G143" s="220">
        <f t="shared" si="41"/>
        <v>4.5599999999999996</v>
      </c>
      <c r="H143" s="253">
        <f t="shared" si="42"/>
        <v>0.11</v>
      </c>
      <c r="I143" s="221">
        <v>3072</v>
      </c>
      <c r="J143" s="206">
        <f t="shared" si="43"/>
        <v>14008</v>
      </c>
      <c r="K143" s="206">
        <f t="shared" si="43"/>
        <v>338</v>
      </c>
      <c r="M143" s="196"/>
      <c r="Q143" s="234"/>
    </row>
    <row r="144" spans="1:17" x14ac:dyDescent="0.2">
      <c r="A144" s="196">
        <f t="shared" si="40"/>
        <v>135</v>
      </c>
      <c r="B144" s="231" t="str">
        <f>+B143</f>
        <v>58E &amp; 59E - Directional</v>
      </c>
      <c r="C144" s="202" t="s">
        <v>7</v>
      </c>
      <c r="D144" s="223">
        <v>250</v>
      </c>
      <c r="E144" s="219">
        <v>0.93</v>
      </c>
      <c r="F144" s="219">
        <v>4.7699999999999996</v>
      </c>
      <c r="G144" s="220">
        <f t="shared" si="41"/>
        <v>5.6999999999999993</v>
      </c>
      <c r="H144" s="253">
        <f t="shared" si="42"/>
        <v>0.14000000000000001</v>
      </c>
      <c r="I144" s="221">
        <v>459</v>
      </c>
      <c r="J144" s="206">
        <f t="shared" si="43"/>
        <v>2616</v>
      </c>
      <c r="K144" s="206">
        <f t="shared" si="43"/>
        <v>64</v>
      </c>
      <c r="M144" s="196"/>
      <c r="Q144" s="234"/>
    </row>
    <row r="145" spans="1:17" x14ac:dyDescent="0.2">
      <c r="A145" s="196">
        <f t="shared" si="40"/>
        <v>136</v>
      </c>
      <c r="B145" s="231" t="str">
        <f>+B144</f>
        <v>58E &amp; 59E - Directional</v>
      </c>
      <c r="C145" s="202" t="s">
        <v>7</v>
      </c>
      <c r="D145" s="223">
        <v>400</v>
      </c>
      <c r="E145" s="219">
        <v>1.48</v>
      </c>
      <c r="F145" s="219">
        <v>7.64</v>
      </c>
      <c r="G145" s="220">
        <f t="shared" si="41"/>
        <v>9.1199999999999992</v>
      </c>
      <c r="H145" s="253">
        <f t="shared" si="42"/>
        <v>0.22</v>
      </c>
      <c r="I145" s="221">
        <v>4009</v>
      </c>
      <c r="J145" s="206">
        <f t="shared" si="43"/>
        <v>36562</v>
      </c>
      <c r="K145" s="206">
        <f t="shared" si="43"/>
        <v>882</v>
      </c>
      <c r="M145" s="196"/>
      <c r="Q145" s="234"/>
    </row>
    <row r="146" spans="1:17" x14ac:dyDescent="0.2">
      <c r="A146" s="196">
        <f t="shared" si="40"/>
        <v>137</v>
      </c>
      <c r="B146" s="231"/>
      <c r="C146" s="202"/>
      <c r="D146" s="223"/>
      <c r="E146" s="220"/>
      <c r="F146" s="220"/>
      <c r="G146" s="220"/>
      <c r="H146" s="253"/>
      <c r="I146" s="221"/>
      <c r="J146" s="202"/>
      <c r="K146" s="202"/>
      <c r="M146" s="196"/>
      <c r="Q146" s="234"/>
    </row>
    <row r="147" spans="1:17" x14ac:dyDescent="0.2">
      <c r="A147" s="196">
        <f t="shared" si="40"/>
        <v>138</v>
      </c>
      <c r="B147" s="217" t="s">
        <v>137</v>
      </c>
      <c r="C147" s="202" t="s">
        <v>7</v>
      </c>
      <c r="D147" s="223">
        <v>100</v>
      </c>
      <c r="E147" s="219">
        <v>0.37</v>
      </c>
      <c r="F147" s="219">
        <v>1.91</v>
      </c>
      <c r="G147" s="220">
        <f>SUM(E147:F147)</f>
        <v>2.2799999999999998</v>
      </c>
      <c r="H147" s="253">
        <f>ROUND(+G147*$L$10,2)</f>
        <v>0.06</v>
      </c>
      <c r="I147" s="224">
        <v>0</v>
      </c>
      <c r="J147" s="206">
        <f t="shared" ref="J147:K151" si="44">ROUND($I147*G147,0)</f>
        <v>0</v>
      </c>
      <c r="K147" s="206">
        <f t="shared" si="44"/>
        <v>0</v>
      </c>
      <c r="M147" s="196"/>
      <c r="Q147" s="234"/>
    </row>
    <row r="148" spans="1:17" x14ac:dyDescent="0.2">
      <c r="A148" s="196">
        <f t="shared" si="40"/>
        <v>139</v>
      </c>
      <c r="B148" s="231" t="str">
        <f>B147</f>
        <v>58E &amp; 59E - Horizontal</v>
      </c>
      <c r="C148" s="202" t="s">
        <v>7</v>
      </c>
      <c r="D148" s="223">
        <v>150</v>
      </c>
      <c r="E148" s="219">
        <v>0.56000000000000005</v>
      </c>
      <c r="F148" s="219">
        <v>2.86</v>
      </c>
      <c r="G148" s="220">
        <f>SUM(E148:F148)</f>
        <v>3.42</v>
      </c>
      <c r="H148" s="253">
        <f>ROUND(+G148*$L$10,2)</f>
        <v>0.08</v>
      </c>
      <c r="I148" s="221">
        <v>166</v>
      </c>
      <c r="J148" s="206">
        <f t="shared" si="44"/>
        <v>568</v>
      </c>
      <c r="K148" s="206">
        <f t="shared" si="44"/>
        <v>13</v>
      </c>
      <c r="M148" s="196"/>
      <c r="Q148" s="234"/>
    </row>
    <row r="149" spans="1:17" x14ac:dyDescent="0.2">
      <c r="A149" s="196">
        <f t="shared" si="40"/>
        <v>140</v>
      </c>
      <c r="B149" s="231" t="str">
        <f>B148</f>
        <v>58E &amp; 59E - Horizontal</v>
      </c>
      <c r="C149" s="202" t="s">
        <v>7</v>
      </c>
      <c r="D149" s="223">
        <v>200</v>
      </c>
      <c r="E149" s="219">
        <v>0.74</v>
      </c>
      <c r="F149" s="219">
        <v>3.82</v>
      </c>
      <c r="G149" s="220">
        <f>SUM(E149:F149)</f>
        <v>4.5599999999999996</v>
      </c>
      <c r="H149" s="253">
        <f>ROUND(+G149*$L$10,2)</f>
        <v>0.11</v>
      </c>
      <c r="I149" s="221">
        <v>99</v>
      </c>
      <c r="J149" s="206">
        <f t="shared" si="44"/>
        <v>451</v>
      </c>
      <c r="K149" s="206">
        <f t="shared" si="44"/>
        <v>11</v>
      </c>
      <c r="M149" s="196"/>
      <c r="Q149" s="234"/>
    </row>
    <row r="150" spans="1:17" x14ac:dyDescent="0.2">
      <c r="A150" s="196">
        <f t="shared" si="40"/>
        <v>141</v>
      </c>
      <c r="B150" s="231" t="str">
        <f>B149</f>
        <v>58E &amp; 59E - Horizontal</v>
      </c>
      <c r="C150" s="202" t="s">
        <v>7</v>
      </c>
      <c r="D150" s="223">
        <v>250</v>
      </c>
      <c r="E150" s="219">
        <v>0.93</v>
      </c>
      <c r="F150" s="219">
        <v>4.7699999999999996</v>
      </c>
      <c r="G150" s="220">
        <f>SUM(E150:F150)</f>
        <v>5.6999999999999993</v>
      </c>
      <c r="H150" s="253">
        <f>ROUND(+G150*$L$10,2)</f>
        <v>0.14000000000000001</v>
      </c>
      <c r="I150" s="221">
        <v>381</v>
      </c>
      <c r="J150" s="206">
        <f t="shared" si="44"/>
        <v>2172</v>
      </c>
      <c r="K150" s="206">
        <f t="shared" si="44"/>
        <v>53</v>
      </c>
      <c r="M150" s="196"/>
      <c r="Q150" s="234"/>
    </row>
    <row r="151" spans="1:17" x14ac:dyDescent="0.2">
      <c r="A151" s="196">
        <f t="shared" si="40"/>
        <v>142</v>
      </c>
      <c r="B151" s="231" t="str">
        <f>B150</f>
        <v>58E &amp; 59E - Horizontal</v>
      </c>
      <c r="C151" s="202" t="s">
        <v>7</v>
      </c>
      <c r="D151" s="223">
        <v>400</v>
      </c>
      <c r="E151" s="219">
        <v>1.48</v>
      </c>
      <c r="F151" s="219">
        <v>7.64</v>
      </c>
      <c r="G151" s="220">
        <f>SUM(E151:F151)</f>
        <v>9.1199999999999992</v>
      </c>
      <c r="H151" s="253">
        <f>ROUND(+G151*$L$10,2)</f>
        <v>0.22</v>
      </c>
      <c r="I151" s="221">
        <v>510</v>
      </c>
      <c r="J151" s="206">
        <f t="shared" si="44"/>
        <v>4651</v>
      </c>
      <c r="K151" s="206">
        <f t="shared" si="44"/>
        <v>112</v>
      </c>
      <c r="M151" s="196"/>
      <c r="Q151" s="234"/>
    </row>
    <row r="152" spans="1:17" x14ac:dyDescent="0.2">
      <c r="A152" s="196">
        <f t="shared" si="40"/>
        <v>143</v>
      </c>
      <c r="B152" s="231"/>
      <c r="C152" s="202"/>
      <c r="D152" s="223"/>
      <c r="E152" s="219"/>
      <c r="F152" s="219"/>
      <c r="G152" s="220"/>
      <c r="H152" s="253"/>
      <c r="I152" s="221"/>
      <c r="J152" s="202"/>
      <c r="K152" s="202"/>
      <c r="M152" s="196"/>
      <c r="Q152" s="234"/>
    </row>
    <row r="153" spans="1:17" x14ac:dyDescent="0.2">
      <c r="A153" s="196">
        <f t="shared" si="40"/>
        <v>144</v>
      </c>
      <c r="B153" s="231" t="str">
        <f>B141</f>
        <v>58E &amp; 59E - Directional</v>
      </c>
      <c r="C153" s="202" t="s">
        <v>136</v>
      </c>
      <c r="D153" s="223">
        <v>175</v>
      </c>
      <c r="E153" s="219">
        <v>0.65</v>
      </c>
      <c r="F153" s="219">
        <v>3.34</v>
      </c>
      <c r="G153" s="220">
        <f>SUM(E153:F153)</f>
        <v>3.9899999999999998</v>
      </c>
      <c r="H153" s="253">
        <f>ROUND(+G153*$L$10,2)</f>
        <v>0.1</v>
      </c>
      <c r="I153" s="221">
        <v>36</v>
      </c>
      <c r="J153" s="206">
        <f t="shared" ref="J153:K156" si="45">ROUND($I153*G153,0)</f>
        <v>144</v>
      </c>
      <c r="K153" s="206">
        <f t="shared" si="45"/>
        <v>4</v>
      </c>
      <c r="M153" s="196"/>
      <c r="Q153" s="234"/>
    </row>
    <row r="154" spans="1:17" x14ac:dyDescent="0.2">
      <c r="A154" s="196">
        <f t="shared" si="40"/>
        <v>145</v>
      </c>
      <c r="B154" s="231" t="str">
        <f>B153</f>
        <v>58E &amp; 59E - Directional</v>
      </c>
      <c r="C154" s="202" t="s">
        <v>136</v>
      </c>
      <c r="D154" s="223">
        <v>250</v>
      </c>
      <c r="E154" s="219">
        <v>0.93</v>
      </c>
      <c r="F154" s="219">
        <v>4.7699999999999996</v>
      </c>
      <c r="G154" s="220">
        <f>SUM(E154:F154)</f>
        <v>5.6999999999999993</v>
      </c>
      <c r="H154" s="253">
        <f>ROUND(+G154*$L$10,2)</f>
        <v>0.14000000000000001</v>
      </c>
      <c r="I154" s="221">
        <v>200</v>
      </c>
      <c r="J154" s="206">
        <f t="shared" si="45"/>
        <v>1140</v>
      </c>
      <c r="K154" s="206">
        <f t="shared" si="45"/>
        <v>28</v>
      </c>
      <c r="M154" s="196"/>
      <c r="Q154" s="234"/>
    </row>
    <row r="155" spans="1:17" x14ac:dyDescent="0.2">
      <c r="A155" s="196">
        <f t="shared" si="40"/>
        <v>146</v>
      </c>
      <c r="B155" s="231" t="str">
        <f>B154</f>
        <v>58E &amp; 59E - Directional</v>
      </c>
      <c r="C155" s="202" t="s">
        <v>136</v>
      </c>
      <c r="D155" s="223">
        <v>400</v>
      </c>
      <c r="E155" s="219">
        <v>1.48</v>
      </c>
      <c r="F155" s="219">
        <v>7.64</v>
      </c>
      <c r="G155" s="220">
        <f>SUM(E155:F155)</f>
        <v>9.1199999999999992</v>
      </c>
      <c r="H155" s="253">
        <f>ROUND(+G155*$L$10,2)</f>
        <v>0.22</v>
      </c>
      <c r="I155" s="221">
        <v>924</v>
      </c>
      <c r="J155" s="206">
        <f t="shared" si="45"/>
        <v>8427</v>
      </c>
      <c r="K155" s="206">
        <f t="shared" si="45"/>
        <v>203</v>
      </c>
      <c r="M155" s="196"/>
      <c r="Q155" s="234"/>
    </row>
    <row r="156" spans="1:17" x14ac:dyDescent="0.2">
      <c r="A156" s="196">
        <f t="shared" si="40"/>
        <v>147</v>
      </c>
      <c r="B156" s="231" t="str">
        <f>B155</f>
        <v>58E &amp; 59E - Directional</v>
      </c>
      <c r="C156" s="202" t="s">
        <v>136</v>
      </c>
      <c r="D156" s="223">
        <v>1000</v>
      </c>
      <c r="E156" s="219">
        <v>3.7</v>
      </c>
      <c r="F156" s="219">
        <v>19.09</v>
      </c>
      <c r="G156" s="220">
        <f>SUM(E156:F156)</f>
        <v>22.79</v>
      </c>
      <c r="H156" s="253">
        <f>ROUND(+G156*$L$10,2)</f>
        <v>0.56000000000000005</v>
      </c>
      <c r="I156" s="221">
        <v>1383</v>
      </c>
      <c r="J156" s="206">
        <f t="shared" si="45"/>
        <v>31519</v>
      </c>
      <c r="K156" s="206">
        <f t="shared" si="45"/>
        <v>774</v>
      </c>
      <c r="M156" s="196"/>
      <c r="Q156" s="234"/>
    </row>
    <row r="157" spans="1:17" x14ac:dyDescent="0.2">
      <c r="A157" s="196">
        <f t="shared" si="40"/>
        <v>148</v>
      </c>
      <c r="B157" s="231"/>
      <c r="C157" s="202"/>
      <c r="D157" s="223"/>
      <c r="E157" s="219"/>
      <c r="F157" s="219"/>
      <c r="G157" s="220"/>
      <c r="H157" s="253"/>
      <c r="I157" s="221"/>
      <c r="J157" s="202"/>
      <c r="K157" s="202"/>
      <c r="M157" s="196"/>
      <c r="Q157" s="234"/>
    </row>
    <row r="158" spans="1:17" x14ac:dyDescent="0.2">
      <c r="A158" s="196">
        <f t="shared" si="40"/>
        <v>149</v>
      </c>
      <c r="B158" s="231" t="str">
        <f>B147</f>
        <v>58E &amp; 59E - Horizontal</v>
      </c>
      <c r="C158" s="202" t="s">
        <v>136</v>
      </c>
      <c r="D158" s="223">
        <v>250</v>
      </c>
      <c r="E158" s="219">
        <v>0.93</v>
      </c>
      <c r="F158" s="219">
        <v>4.7699999999999996</v>
      </c>
      <c r="G158" s="220">
        <f>SUM(E158:F158)</f>
        <v>5.6999999999999993</v>
      </c>
      <c r="H158" s="253">
        <f>ROUND(+G158*$L$10,2)</f>
        <v>0.14000000000000001</v>
      </c>
      <c r="I158" s="221">
        <v>100</v>
      </c>
      <c r="J158" s="206">
        <f>ROUND($I158*G158,0)</f>
        <v>570</v>
      </c>
      <c r="K158" s="206">
        <f>ROUND($I158*H158,0)</f>
        <v>14</v>
      </c>
      <c r="M158" s="196"/>
      <c r="Q158" s="234"/>
    </row>
    <row r="159" spans="1:17" x14ac:dyDescent="0.2">
      <c r="A159" s="196">
        <f t="shared" si="40"/>
        <v>150</v>
      </c>
      <c r="B159" s="231" t="str">
        <f>B158</f>
        <v>58E &amp; 59E - Horizontal</v>
      </c>
      <c r="C159" s="202" t="s">
        <v>136</v>
      </c>
      <c r="D159" s="223">
        <v>400</v>
      </c>
      <c r="E159" s="219">
        <v>1.48</v>
      </c>
      <c r="F159" s="219">
        <v>7.64</v>
      </c>
      <c r="G159" s="220">
        <f>SUM(E159:F159)</f>
        <v>9.1199999999999992</v>
      </c>
      <c r="H159" s="253">
        <f>ROUND(+G159*$L$10,2)</f>
        <v>0.22</v>
      </c>
      <c r="I159" s="221">
        <v>468</v>
      </c>
      <c r="J159" s="206">
        <f>ROUND($I159*G159,0)</f>
        <v>4268</v>
      </c>
      <c r="K159" s="206">
        <f>ROUND($I159*H159,0)</f>
        <v>103</v>
      </c>
      <c r="M159" s="196"/>
    </row>
    <row r="160" spans="1:17" x14ac:dyDescent="0.2">
      <c r="A160" s="196">
        <f t="shared" si="40"/>
        <v>151</v>
      </c>
      <c r="B160" s="231"/>
      <c r="C160" s="202"/>
      <c r="D160" s="223"/>
      <c r="E160" s="219"/>
      <c r="F160" s="219"/>
      <c r="G160" s="220"/>
      <c r="H160" s="253"/>
      <c r="I160" s="221"/>
      <c r="J160" s="202"/>
      <c r="K160" s="202"/>
      <c r="M160" s="196"/>
    </row>
    <row r="161" spans="1:13" x14ac:dyDescent="0.2">
      <c r="A161" s="196">
        <f t="shared" si="40"/>
        <v>152</v>
      </c>
      <c r="B161" s="231" t="s">
        <v>135</v>
      </c>
      <c r="C161" s="202" t="s">
        <v>120</v>
      </c>
      <c r="D161" s="225" t="s">
        <v>316</v>
      </c>
      <c r="E161" s="219">
        <v>0.06</v>
      </c>
      <c r="F161" s="219">
        <v>0.28999999999999998</v>
      </c>
      <c r="G161" s="220">
        <f t="shared" ref="G161:G176" si="46">SUM(E161:F161)</f>
        <v>0.35</v>
      </c>
      <c r="H161" s="253">
        <f t="shared" ref="H161:H176" si="47">ROUND(+G161*$L$10,2)</f>
        <v>0.01</v>
      </c>
      <c r="I161" s="224">
        <v>0</v>
      </c>
      <c r="J161" s="206">
        <f t="shared" ref="J161:K176" si="48">ROUND($I161*G161,0)</f>
        <v>0</v>
      </c>
      <c r="K161" s="206">
        <f t="shared" si="48"/>
        <v>0</v>
      </c>
      <c r="M161" s="196"/>
    </row>
    <row r="162" spans="1:13" x14ac:dyDescent="0.2">
      <c r="A162" s="196">
        <f t="shared" si="40"/>
        <v>153</v>
      </c>
      <c r="B162" s="231" t="s">
        <v>135</v>
      </c>
      <c r="C162" s="202" t="s">
        <v>120</v>
      </c>
      <c r="D162" s="226" t="s">
        <v>317</v>
      </c>
      <c r="E162" s="219">
        <v>0.17</v>
      </c>
      <c r="F162" s="219">
        <v>0.86</v>
      </c>
      <c r="G162" s="220">
        <f t="shared" si="46"/>
        <v>1.03</v>
      </c>
      <c r="H162" s="253">
        <f t="shared" si="47"/>
        <v>0.03</v>
      </c>
      <c r="I162" s="221">
        <v>50</v>
      </c>
      <c r="J162" s="206">
        <f t="shared" si="48"/>
        <v>52</v>
      </c>
      <c r="K162" s="206">
        <f t="shared" si="48"/>
        <v>2</v>
      </c>
      <c r="M162" s="196"/>
    </row>
    <row r="163" spans="1:13" x14ac:dyDescent="0.2">
      <c r="A163" s="196">
        <f t="shared" si="40"/>
        <v>154</v>
      </c>
      <c r="B163" s="231" t="str">
        <f t="shared" ref="B163:B176" si="49">B162</f>
        <v>58E &amp; 59E</v>
      </c>
      <c r="C163" s="202" t="s">
        <v>120</v>
      </c>
      <c r="D163" s="223" t="s">
        <v>133</v>
      </c>
      <c r="E163" s="219">
        <v>0.28000000000000003</v>
      </c>
      <c r="F163" s="219">
        <v>1.43</v>
      </c>
      <c r="G163" s="220">
        <f t="shared" si="46"/>
        <v>1.71</v>
      </c>
      <c r="H163" s="253">
        <f t="shared" si="47"/>
        <v>0.04</v>
      </c>
      <c r="I163" s="221">
        <v>837</v>
      </c>
      <c r="J163" s="206">
        <f t="shared" si="48"/>
        <v>1431</v>
      </c>
      <c r="K163" s="206">
        <f t="shared" si="48"/>
        <v>33</v>
      </c>
      <c r="M163" s="196"/>
    </row>
    <row r="164" spans="1:13" x14ac:dyDescent="0.2">
      <c r="A164" s="196">
        <f t="shared" si="40"/>
        <v>155</v>
      </c>
      <c r="B164" s="231" t="str">
        <f t="shared" si="49"/>
        <v>58E &amp; 59E</v>
      </c>
      <c r="C164" s="202" t="s">
        <v>120</v>
      </c>
      <c r="D164" s="223" t="s">
        <v>132</v>
      </c>
      <c r="E164" s="219">
        <v>0.39</v>
      </c>
      <c r="F164" s="219">
        <v>2</v>
      </c>
      <c r="G164" s="220">
        <f t="shared" si="46"/>
        <v>2.39</v>
      </c>
      <c r="H164" s="253">
        <f t="shared" si="47"/>
        <v>0.06</v>
      </c>
      <c r="I164" s="221">
        <v>194</v>
      </c>
      <c r="J164" s="206">
        <f t="shared" si="48"/>
        <v>464</v>
      </c>
      <c r="K164" s="206">
        <f t="shared" si="48"/>
        <v>12</v>
      </c>
      <c r="M164" s="196"/>
    </row>
    <row r="165" spans="1:13" x14ac:dyDescent="0.2">
      <c r="A165" s="196">
        <f t="shared" si="40"/>
        <v>156</v>
      </c>
      <c r="B165" s="231" t="str">
        <f t="shared" si="49"/>
        <v>58E &amp; 59E</v>
      </c>
      <c r="C165" s="202" t="s">
        <v>120</v>
      </c>
      <c r="D165" s="223" t="s">
        <v>131</v>
      </c>
      <c r="E165" s="219">
        <v>0.5</v>
      </c>
      <c r="F165" s="219">
        <v>2.58</v>
      </c>
      <c r="G165" s="220">
        <f t="shared" si="46"/>
        <v>3.08</v>
      </c>
      <c r="H165" s="253">
        <f t="shared" si="47"/>
        <v>0.08</v>
      </c>
      <c r="I165" s="221">
        <v>1675</v>
      </c>
      <c r="J165" s="206">
        <f t="shared" si="48"/>
        <v>5159</v>
      </c>
      <c r="K165" s="206">
        <f t="shared" si="48"/>
        <v>134</v>
      </c>
      <c r="M165" s="196"/>
    </row>
    <row r="166" spans="1:13" x14ac:dyDescent="0.2">
      <c r="A166" s="196">
        <f t="shared" si="40"/>
        <v>157</v>
      </c>
      <c r="B166" s="231" t="str">
        <f t="shared" si="49"/>
        <v>58E &amp; 59E</v>
      </c>
      <c r="C166" s="202" t="s">
        <v>120</v>
      </c>
      <c r="D166" s="223" t="s">
        <v>130</v>
      </c>
      <c r="E166" s="219">
        <v>0.61</v>
      </c>
      <c r="F166" s="219">
        <v>3.15</v>
      </c>
      <c r="G166" s="220">
        <f t="shared" si="46"/>
        <v>3.76</v>
      </c>
      <c r="H166" s="253">
        <f t="shared" si="47"/>
        <v>0.09</v>
      </c>
      <c r="I166" s="221">
        <v>320</v>
      </c>
      <c r="J166" s="206">
        <f t="shared" si="48"/>
        <v>1203</v>
      </c>
      <c r="K166" s="206">
        <f t="shared" si="48"/>
        <v>29</v>
      </c>
      <c r="M166" s="196"/>
    </row>
    <row r="167" spans="1:13" x14ac:dyDescent="0.2">
      <c r="A167" s="196">
        <f t="shared" si="40"/>
        <v>158</v>
      </c>
      <c r="B167" s="231" t="str">
        <f t="shared" si="49"/>
        <v>58E &amp; 59E</v>
      </c>
      <c r="C167" s="202" t="s">
        <v>120</v>
      </c>
      <c r="D167" s="223" t="s">
        <v>129</v>
      </c>
      <c r="E167" s="219">
        <v>0.72</v>
      </c>
      <c r="F167" s="219">
        <v>3.72</v>
      </c>
      <c r="G167" s="220">
        <f t="shared" si="46"/>
        <v>4.4400000000000004</v>
      </c>
      <c r="H167" s="253">
        <f t="shared" si="47"/>
        <v>0.11</v>
      </c>
      <c r="I167" s="224">
        <v>0</v>
      </c>
      <c r="J167" s="206">
        <f t="shared" si="48"/>
        <v>0</v>
      </c>
      <c r="K167" s="206">
        <f t="shared" si="48"/>
        <v>0</v>
      </c>
      <c r="M167" s="196"/>
    </row>
    <row r="168" spans="1:13" x14ac:dyDescent="0.2">
      <c r="A168" s="196">
        <f t="shared" si="40"/>
        <v>159</v>
      </c>
      <c r="B168" s="231" t="str">
        <f t="shared" si="49"/>
        <v>58E &amp; 59E</v>
      </c>
      <c r="C168" s="202" t="s">
        <v>120</v>
      </c>
      <c r="D168" s="223" t="s">
        <v>128</v>
      </c>
      <c r="E168" s="219">
        <v>0.83</v>
      </c>
      <c r="F168" s="219">
        <v>4.3</v>
      </c>
      <c r="G168" s="220">
        <f t="shared" si="46"/>
        <v>5.13</v>
      </c>
      <c r="H168" s="253">
        <f t="shared" si="47"/>
        <v>0.13</v>
      </c>
      <c r="I168" s="221">
        <v>180</v>
      </c>
      <c r="J168" s="206">
        <f t="shared" si="48"/>
        <v>923</v>
      </c>
      <c r="K168" s="206">
        <f t="shared" si="48"/>
        <v>23</v>
      </c>
      <c r="M168" s="196"/>
    </row>
    <row r="169" spans="1:13" x14ac:dyDescent="0.2">
      <c r="A169" s="196">
        <f t="shared" si="40"/>
        <v>160</v>
      </c>
      <c r="B169" s="231" t="str">
        <f t="shared" si="49"/>
        <v>58E &amp; 59E</v>
      </c>
      <c r="C169" s="202" t="s">
        <v>120</v>
      </c>
      <c r="D169" s="223" t="s">
        <v>127</v>
      </c>
      <c r="E169" s="219">
        <v>0.94</v>
      </c>
      <c r="F169" s="219">
        <v>4.87</v>
      </c>
      <c r="G169" s="220">
        <f t="shared" si="46"/>
        <v>5.8100000000000005</v>
      </c>
      <c r="H169" s="253">
        <f t="shared" si="47"/>
        <v>0.14000000000000001</v>
      </c>
      <c r="I169" s="221">
        <v>263</v>
      </c>
      <c r="J169" s="206">
        <f t="shared" si="48"/>
        <v>1528</v>
      </c>
      <c r="K169" s="206">
        <f t="shared" si="48"/>
        <v>37</v>
      </c>
      <c r="M169" s="196"/>
    </row>
    <row r="170" spans="1:13" x14ac:dyDescent="0.2">
      <c r="A170" s="196">
        <f t="shared" si="40"/>
        <v>161</v>
      </c>
      <c r="B170" s="231" t="str">
        <f t="shared" si="49"/>
        <v>58E &amp; 59E</v>
      </c>
      <c r="C170" s="202" t="s">
        <v>120</v>
      </c>
      <c r="D170" s="223" t="s">
        <v>126</v>
      </c>
      <c r="E170" s="219">
        <v>1.06</v>
      </c>
      <c r="F170" s="219">
        <v>5.44</v>
      </c>
      <c r="G170" s="220">
        <f t="shared" si="46"/>
        <v>6.5</v>
      </c>
      <c r="H170" s="253">
        <f t="shared" si="47"/>
        <v>0.16</v>
      </c>
      <c r="I170" s="224">
        <v>0</v>
      </c>
      <c r="J170" s="206">
        <f t="shared" si="48"/>
        <v>0</v>
      </c>
      <c r="K170" s="206">
        <f t="shared" si="48"/>
        <v>0</v>
      </c>
      <c r="M170" s="196"/>
    </row>
    <row r="171" spans="1:13" x14ac:dyDescent="0.2">
      <c r="A171" s="196">
        <f t="shared" si="40"/>
        <v>162</v>
      </c>
      <c r="B171" s="231" t="str">
        <f t="shared" si="49"/>
        <v>58E &amp; 59E</v>
      </c>
      <c r="C171" s="202" t="s">
        <v>120</v>
      </c>
      <c r="D171" s="223" t="s">
        <v>125</v>
      </c>
      <c r="E171" s="219">
        <v>1.3</v>
      </c>
      <c r="F171" s="219">
        <v>6.68</v>
      </c>
      <c r="G171" s="220">
        <f t="shared" si="46"/>
        <v>7.9799999999999995</v>
      </c>
      <c r="H171" s="253">
        <f t="shared" si="47"/>
        <v>0.2</v>
      </c>
      <c r="I171" s="224">
        <v>0</v>
      </c>
      <c r="J171" s="206">
        <f t="shared" si="48"/>
        <v>0</v>
      </c>
      <c r="K171" s="206">
        <f t="shared" si="48"/>
        <v>0</v>
      </c>
      <c r="M171" s="196"/>
    </row>
    <row r="172" spans="1:13" x14ac:dyDescent="0.2">
      <c r="A172" s="196">
        <f t="shared" si="40"/>
        <v>163</v>
      </c>
      <c r="B172" s="231" t="str">
        <f t="shared" si="49"/>
        <v>58E &amp; 59E</v>
      </c>
      <c r="C172" s="202" t="s">
        <v>120</v>
      </c>
      <c r="D172" s="223" t="s">
        <v>124</v>
      </c>
      <c r="E172" s="219">
        <v>1.67</v>
      </c>
      <c r="F172" s="219">
        <v>8.59</v>
      </c>
      <c r="G172" s="220">
        <f t="shared" si="46"/>
        <v>10.26</v>
      </c>
      <c r="H172" s="253">
        <f t="shared" si="47"/>
        <v>0.25</v>
      </c>
      <c r="I172" s="224">
        <v>0</v>
      </c>
      <c r="J172" s="206">
        <f t="shared" si="48"/>
        <v>0</v>
      </c>
      <c r="K172" s="206">
        <f t="shared" si="48"/>
        <v>0</v>
      </c>
      <c r="M172" s="196"/>
    </row>
    <row r="173" spans="1:13" x14ac:dyDescent="0.2">
      <c r="A173" s="196">
        <f t="shared" si="40"/>
        <v>164</v>
      </c>
      <c r="B173" s="231" t="str">
        <f t="shared" si="49"/>
        <v>58E &amp; 59E</v>
      </c>
      <c r="C173" s="202" t="s">
        <v>120</v>
      </c>
      <c r="D173" s="223" t="s">
        <v>123</v>
      </c>
      <c r="E173" s="219">
        <v>2.04</v>
      </c>
      <c r="F173" s="219">
        <v>10.5</v>
      </c>
      <c r="G173" s="220">
        <f t="shared" si="46"/>
        <v>12.54</v>
      </c>
      <c r="H173" s="253">
        <f t="shared" si="47"/>
        <v>0.31</v>
      </c>
      <c r="I173" s="224">
        <v>0</v>
      </c>
      <c r="J173" s="206">
        <f t="shared" si="48"/>
        <v>0</v>
      </c>
      <c r="K173" s="206">
        <f t="shared" si="48"/>
        <v>0</v>
      </c>
      <c r="M173" s="196"/>
    </row>
    <row r="174" spans="1:13" x14ac:dyDescent="0.2">
      <c r="A174" s="196">
        <f t="shared" si="40"/>
        <v>165</v>
      </c>
      <c r="B174" s="231" t="str">
        <f t="shared" si="49"/>
        <v>58E &amp; 59E</v>
      </c>
      <c r="C174" s="202" t="s">
        <v>120</v>
      </c>
      <c r="D174" s="223" t="s">
        <v>122</v>
      </c>
      <c r="E174" s="219">
        <v>2.41</v>
      </c>
      <c r="F174" s="219">
        <v>12.41</v>
      </c>
      <c r="G174" s="220">
        <f t="shared" si="46"/>
        <v>14.82</v>
      </c>
      <c r="H174" s="253">
        <f t="shared" si="47"/>
        <v>0.36</v>
      </c>
      <c r="I174" s="224">
        <v>0</v>
      </c>
      <c r="J174" s="206">
        <f t="shared" si="48"/>
        <v>0</v>
      </c>
      <c r="K174" s="206">
        <f t="shared" si="48"/>
        <v>0</v>
      </c>
      <c r="M174" s="196"/>
    </row>
    <row r="175" spans="1:13" x14ac:dyDescent="0.2">
      <c r="A175" s="196">
        <f t="shared" si="40"/>
        <v>166</v>
      </c>
      <c r="B175" s="231" t="str">
        <f t="shared" si="49"/>
        <v>58E &amp; 59E</v>
      </c>
      <c r="C175" s="202" t="s">
        <v>120</v>
      </c>
      <c r="D175" s="223" t="s">
        <v>121</v>
      </c>
      <c r="E175" s="219">
        <v>2.78</v>
      </c>
      <c r="F175" s="219">
        <v>14.32</v>
      </c>
      <c r="G175" s="220">
        <f t="shared" si="46"/>
        <v>17.100000000000001</v>
      </c>
      <c r="H175" s="253">
        <f t="shared" si="47"/>
        <v>0.42</v>
      </c>
      <c r="I175" s="224">
        <v>0</v>
      </c>
      <c r="J175" s="206">
        <f t="shared" si="48"/>
        <v>0</v>
      </c>
      <c r="K175" s="206">
        <f t="shared" si="48"/>
        <v>0</v>
      </c>
      <c r="M175" s="196"/>
    </row>
    <row r="176" spans="1:13" x14ac:dyDescent="0.2">
      <c r="A176" s="196">
        <f t="shared" si="40"/>
        <v>167</v>
      </c>
      <c r="B176" s="231" t="str">
        <f t="shared" si="49"/>
        <v>58E &amp; 59E</v>
      </c>
      <c r="C176" s="202" t="s">
        <v>120</v>
      </c>
      <c r="D176" s="223" t="s">
        <v>119</v>
      </c>
      <c r="E176" s="219">
        <v>3.15</v>
      </c>
      <c r="F176" s="219">
        <v>16.23</v>
      </c>
      <c r="G176" s="220">
        <f t="shared" si="46"/>
        <v>19.38</v>
      </c>
      <c r="H176" s="253">
        <f t="shared" si="47"/>
        <v>0.48</v>
      </c>
      <c r="I176" s="224">
        <v>0</v>
      </c>
      <c r="J176" s="206">
        <f t="shared" si="48"/>
        <v>0</v>
      </c>
      <c r="K176" s="206">
        <f t="shared" si="48"/>
        <v>0</v>
      </c>
      <c r="M176" s="196"/>
    </row>
    <row r="177" spans="8:13" ht="12" thickBot="1" x14ac:dyDescent="0.25">
      <c r="H177" s="256"/>
      <c r="I177" s="235"/>
      <c r="M177" s="196"/>
    </row>
    <row r="178" spans="8:13" x14ac:dyDescent="0.2">
      <c r="I178" s="215">
        <v>0</v>
      </c>
      <c r="J178" s="216" t="s">
        <v>278</v>
      </c>
      <c r="M178" s="196"/>
    </row>
    <row r="179" spans="8:13" x14ac:dyDescent="0.2">
      <c r="I179" s="216"/>
    </row>
    <row r="180" spans="8:13" x14ac:dyDescent="0.2">
      <c r="M180" s="196"/>
    </row>
    <row r="181" spans="8:13" x14ac:dyDescent="0.2">
      <c r="M181" s="196"/>
    </row>
    <row r="182" spans="8:13" x14ac:dyDescent="0.2">
      <c r="M182" s="196"/>
    </row>
    <row r="183" spans="8:13" x14ac:dyDescent="0.2">
      <c r="I183" s="202"/>
      <c r="M183" s="196"/>
    </row>
    <row r="184" spans="8:13" x14ac:dyDescent="0.2">
      <c r="M184" s="196"/>
    </row>
  </sheetData>
  <mergeCells count="4">
    <mergeCell ref="A3:L3"/>
    <mergeCell ref="B4:H4"/>
    <mergeCell ref="A1:L1"/>
    <mergeCell ref="A2:L2"/>
  </mergeCells>
  <printOptions horizontalCentered="1"/>
  <pageMargins left="0.7" right="0.7" top="0.75" bottom="0.75" header="0.3" footer="0.3"/>
  <pageSetup scale="61" fitToHeight="0" orientation="portrait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79998168889431442"/>
  </sheetPr>
  <dimension ref="A1:AH37"/>
  <sheetViews>
    <sheetView zoomScaleNormal="100" workbookViewId="0">
      <pane xSplit="4" ySplit="7" topLeftCell="R29" activePane="bottomRight" state="frozen"/>
      <selection activeCell="H44" sqref="H44"/>
      <selection pane="topRight" activeCell="H44" sqref="H44"/>
      <selection pane="bottomLeft" activeCell="H44" sqref="H44"/>
      <selection pane="bottomRight" activeCell="T14" sqref="T14"/>
    </sheetView>
  </sheetViews>
  <sheetFormatPr defaultColWidth="6.28515625" defaultRowHeight="11.25" x14ac:dyDescent="0.2"/>
  <cols>
    <col min="1" max="1" width="3.7109375" style="110" bestFit="1" customWidth="1"/>
    <col min="2" max="2" width="17.42578125" style="110" bestFit="1" customWidth="1"/>
    <col min="3" max="3" width="14.7109375" style="110" customWidth="1"/>
    <col min="4" max="4" width="13.7109375" style="110" bestFit="1" customWidth="1"/>
    <col min="5" max="5" width="12" style="110" bestFit="1" customWidth="1"/>
    <col min="6" max="6" width="8.42578125" style="110" customWidth="1"/>
    <col min="7" max="7" width="12" style="110" bestFit="1" customWidth="1"/>
    <col min="8" max="9" width="11.5703125" style="110" bestFit="1" customWidth="1"/>
    <col min="10" max="10" width="11.5703125" style="110" customWidth="1"/>
    <col min="11" max="11" width="11.28515625" style="110" customWidth="1"/>
    <col min="12" max="12" width="11.85546875" style="110" bestFit="1" customWidth="1"/>
    <col min="13" max="13" width="11.5703125" style="110" bestFit="1" customWidth="1"/>
    <col min="14" max="14" width="12" style="110" customWidth="1"/>
    <col min="15" max="15" width="14" style="110" customWidth="1"/>
    <col min="16" max="17" width="12" style="110" customWidth="1"/>
    <col min="18" max="18" width="12.28515625" style="110" customWidth="1"/>
    <col min="19" max="21" width="12" style="110" customWidth="1"/>
    <col min="22" max="22" width="14" style="110" customWidth="1"/>
    <col min="23" max="23" width="12.140625" style="110" bestFit="1" customWidth="1"/>
    <col min="24" max="24" width="12.85546875" style="110" bestFit="1" customWidth="1"/>
    <col min="25" max="25" width="13.7109375" style="110" bestFit="1" customWidth="1"/>
    <col min="26" max="26" width="1.7109375" style="110" customWidth="1"/>
    <col min="27" max="28" width="13.28515625" style="110" customWidth="1"/>
    <col min="29" max="29" width="12.140625" style="110" bestFit="1" customWidth="1"/>
    <col min="30" max="30" width="12.7109375" style="110" bestFit="1" customWidth="1"/>
    <col min="31" max="31" width="10" style="110" customWidth="1"/>
    <col min="32" max="32" width="9.42578125" style="110" customWidth="1"/>
    <col min="33" max="33" width="7.42578125" style="110" bestFit="1" customWidth="1"/>
    <col min="34" max="16384" width="6.28515625" style="110"/>
  </cols>
  <sheetData>
    <row r="1" spans="1:34" s="317" customFormat="1" x14ac:dyDescent="0.2">
      <c r="A1" s="312" t="s">
        <v>2</v>
      </c>
      <c r="B1" s="312"/>
      <c r="C1" s="312"/>
      <c r="D1" s="312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</row>
    <row r="2" spans="1:34" s="317" customFormat="1" x14ac:dyDescent="0.2">
      <c r="A2" s="312" t="s">
        <v>376</v>
      </c>
      <c r="B2" s="312"/>
      <c r="C2" s="312"/>
      <c r="D2" s="312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</row>
    <row r="3" spans="1:34" s="317" customFormat="1" x14ac:dyDescent="0.2">
      <c r="A3" s="312" t="s">
        <v>377</v>
      </c>
      <c r="B3" s="312"/>
      <c r="C3" s="312"/>
      <c r="D3" s="312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</row>
    <row r="4" spans="1:34" s="317" customFormat="1" x14ac:dyDescent="0.2">
      <c r="A4" s="312" t="s">
        <v>378</v>
      </c>
      <c r="B4" s="312"/>
      <c r="C4" s="312"/>
      <c r="D4" s="312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</row>
    <row r="5" spans="1:34" ht="12" thickBot="1" x14ac:dyDescent="0.25">
      <c r="A5" s="118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</row>
    <row r="6" spans="1:34" ht="13.5" customHeight="1" thickBot="1" x14ac:dyDescent="0.25">
      <c r="A6" s="118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262"/>
      <c r="Z6" s="262"/>
      <c r="AA6" s="263" t="s">
        <v>338</v>
      </c>
      <c r="AB6" s="264" t="s">
        <v>339</v>
      </c>
      <c r="AC6" s="198"/>
    </row>
    <row r="7" spans="1:34" s="116" customFormat="1" ht="56.25" customHeight="1" thickBot="1" x14ac:dyDescent="0.25">
      <c r="A7" s="265" t="s">
        <v>3</v>
      </c>
      <c r="B7" s="265" t="s">
        <v>340</v>
      </c>
      <c r="C7" s="266" t="s">
        <v>329</v>
      </c>
      <c r="D7" s="111" t="s">
        <v>379</v>
      </c>
      <c r="E7" s="111" t="s">
        <v>380</v>
      </c>
      <c r="F7" s="111" t="s">
        <v>381</v>
      </c>
      <c r="G7" s="111" t="s">
        <v>382</v>
      </c>
      <c r="H7" s="111" t="s">
        <v>383</v>
      </c>
      <c r="I7" s="111" t="s">
        <v>384</v>
      </c>
      <c r="J7" s="267" t="s">
        <v>385</v>
      </c>
      <c r="K7" s="111" t="s">
        <v>386</v>
      </c>
      <c r="L7" s="111" t="s">
        <v>387</v>
      </c>
      <c r="M7" s="111" t="s">
        <v>352</v>
      </c>
      <c r="N7" s="111" t="s">
        <v>388</v>
      </c>
      <c r="O7" s="111" t="s">
        <v>279</v>
      </c>
      <c r="P7" s="111" t="s">
        <v>280</v>
      </c>
      <c r="Q7" s="111" t="s">
        <v>281</v>
      </c>
      <c r="R7" s="111" t="s">
        <v>282</v>
      </c>
      <c r="S7" s="111" t="s">
        <v>389</v>
      </c>
      <c r="T7" s="111" t="s">
        <v>390</v>
      </c>
      <c r="U7" s="111" t="s">
        <v>391</v>
      </c>
      <c r="V7" s="111" t="s">
        <v>392</v>
      </c>
      <c r="W7" s="111" t="s">
        <v>393</v>
      </c>
      <c r="X7" s="111" t="s">
        <v>394</v>
      </c>
      <c r="Y7" s="111" t="s">
        <v>395</v>
      </c>
      <c r="Z7" s="268"/>
      <c r="AA7" s="269" t="s">
        <v>385</v>
      </c>
      <c r="AB7" s="270" t="s">
        <v>385</v>
      </c>
      <c r="AC7" s="271" t="s">
        <v>341</v>
      </c>
      <c r="AD7" s="271" t="s">
        <v>396</v>
      </c>
      <c r="AE7" s="271" t="s">
        <v>397</v>
      </c>
      <c r="AF7" s="271" t="s">
        <v>398</v>
      </c>
      <c r="AG7" s="272" t="s">
        <v>342</v>
      </c>
    </row>
    <row r="8" spans="1:34" x14ac:dyDescent="0.2">
      <c r="A8" s="198">
        <v>1</v>
      </c>
      <c r="B8" s="198">
        <v>7</v>
      </c>
      <c r="C8" s="311">
        <v>11213362869.317253</v>
      </c>
      <c r="D8" s="307">
        <v>1192250000</v>
      </c>
      <c r="E8" s="307">
        <v>23936339.560158946</v>
      </c>
      <c r="F8" s="307">
        <v>0</v>
      </c>
      <c r="G8" s="307">
        <v>571881.5063351799</v>
      </c>
      <c r="H8" s="307">
        <v>56560202.312836222</v>
      </c>
      <c r="I8" s="307">
        <v>30130306.02985546</v>
      </c>
      <c r="J8" s="308">
        <v>0</v>
      </c>
      <c r="K8" s="307">
        <v>0</v>
      </c>
      <c r="L8" s="307">
        <v>0</v>
      </c>
      <c r="M8" s="307">
        <v>29289303.814656667</v>
      </c>
      <c r="N8" s="307">
        <v>20498027.325111937</v>
      </c>
      <c r="O8" s="307">
        <v>0</v>
      </c>
      <c r="P8" s="307">
        <v>29928465.498207748</v>
      </c>
      <c r="Q8" s="307">
        <v>112212122.23325776</v>
      </c>
      <c r="R8" s="307">
        <v>56392001.869796462</v>
      </c>
      <c r="S8" s="307">
        <v>3577062.7553122039</v>
      </c>
      <c r="T8" s="307">
        <v>-9912612.7764764521</v>
      </c>
      <c r="U8" s="307">
        <v>-38977649.333746769</v>
      </c>
      <c r="V8" s="307">
        <v>0</v>
      </c>
      <c r="W8" s="307">
        <v>-75007709.25021334</v>
      </c>
      <c r="X8" s="275">
        <f>SUM(E8:W8)</f>
        <v>239197741.54509199</v>
      </c>
      <c r="Y8" s="275">
        <f>SUM(X8,D8)</f>
        <v>1431447741.5450921</v>
      </c>
      <c r="AA8" s="276">
        <v>0</v>
      </c>
      <c r="AB8" s="277">
        <v>6806511.261675573</v>
      </c>
      <c r="AC8" s="278">
        <f>SUM(AA8:AB8)</f>
        <v>6806511.261675573</v>
      </c>
      <c r="AD8" s="278">
        <f>SUM(Y8,AC8)</f>
        <v>1438254252.8067677</v>
      </c>
      <c r="AE8" s="279">
        <f>Y8/C8</f>
        <v>0.12765552655590182</v>
      </c>
      <c r="AF8" s="279">
        <f>AD8/C8</f>
        <v>0.12826252655590184</v>
      </c>
      <c r="AG8" s="280">
        <f>AC8/Y8</f>
        <v>4.7549841074384491E-3</v>
      </c>
      <c r="AH8" s="281"/>
    </row>
    <row r="9" spans="1:34" x14ac:dyDescent="0.2">
      <c r="A9" s="198">
        <f t="shared" ref="A9:A34" si="0">+A8+1</f>
        <v>2</v>
      </c>
      <c r="B9" s="198" t="s">
        <v>1</v>
      </c>
      <c r="C9" s="282">
        <f t="shared" ref="C9:Y9" si="1">SUM(C8:C8)</f>
        <v>11213362869.317253</v>
      </c>
      <c r="D9" s="283">
        <f t="shared" si="1"/>
        <v>1192250000</v>
      </c>
      <c r="E9" s="283">
        <f t="shared" si="1"/>
        <v>23936339.560158946</v>
      </c>
      <c r="F9" s="283">
        <f t="shared" si="1"/>
        <v>0</v>
      </c>
      <c r="G9" s="283">
        <f t="shared" si="1"/>
        <v>571881.5063351799</v>
      </c>
      <c r="H9" s="283">
        <f t="shared" si="1"/>
        <v>56560202.312836222</v>
      </c>
      <c r="I9" s="283">
        <f t="shared" si="1"/>
        <v>30130306.02985546</v>
      </c>
      <c r="J9" s="284">
        <f t="shared" ref="J9" si="2">SUM(J8:J8)</f>
        <v>0</v>
      </c>
      <c r="K9" s="283">
        <f t="shared" si="1"/>
        <v>0</v>
      </c>
      <c r="L9" s="283">
        <f t="shared" si="1"/>
        <v>0</v>
      </c>
      <c r="M9" s="283">
        <f t="shared" si="1"/>
        <v>29289303.814656667</v>
      </c>
      <c r="N9" s="283">
        <f t="shared" si="1"/>
        <v>20498027.325111937</v>
      </c>
      <c r="O9" s="283">
        <f t="shared" ref="O9" si="3">SUM(O8:O8)</f>
        <v>0</v>
      </c>
      <c r="P9" s="283">
        <f t="shared" si="1"/>
        <v>29928465.498207748</v>
      </c>
      <c r="Q9" s="283">
        <f t="shared" si="1"/>
        <v>112212122.23325776</v>
      </c>
      <c r="R9" s="283">
        <f t="shared" si="1"/>
        <v>56392001.869796462</v>
      </c>
      <c r="S9" s="283">
        <f t="shared" si="1"/>
        <v>3577062.7553122039</v>
      </c>
      <c r="T9" s="283">
        <f t="shared" si="1"/>
        <v>-9912612.7764764521</v>
      </c>
      <c r="U9" s="283">
        <f t="shared" si="1"/>
        <v>-38977649.333746769</v>
      </c>
      <c r="V9" s="283">
        <f t="shared" si="1"/>
        <v>0</v>
      </c>
      <c r="W9" s="283">
        <f t="shared" si="1"/>
        <v>-75007709.25021334</v>
      </c>
      <c r="X9" s="285">
        <f t="shared" si="1"/>
        <v>239197741.54509199</v>
      </c>
      <c r="Y9" s="285">
        <f t="shared" si="1"/>
        <v>1431447741.5450921</v>
      </c>
      <c r="AA9" s="286">
        <f t="shared" ref="AA9:AD9" si="4">SUM(AA8:AA8)</f>
        <v>0</v>
      </c>
      <c r="AB9" s="287">
        <f t="shared" si="4"/>
        <v>6806511.261675573</v>
      </c>
      <c r="AC9" s="288">
        <f t="shared" si="4"/>
        <v>6806511.261675573</v>
      </c>
      <c r="AD9" s="288">
        <f t="shared" si="4"/>
        <v>1438254252.8067677</v>
      </c>
      <c r="AE9" s="289">
        <f>Y9/C9</f>
        <v>0.12765552655590182</v>
      </c>
      <c r="AF9" s="289">
        <f>AD9/C9</f>
        <v>0.12826252655590184</v>
      </c>
      <c r="AG9" s="290">
        <f>AC9/Y9</f>
        <v>4.7549841074384491E-3</v>
      </c>
      <c r="AH9" s="281"/>
    </row>
    <row r="10" spans="1:34" x14ac:dyDescent="0.2">
      <c r="A10" s="198">
        <f t="shared" si="0"/>
        <v>3</v>
      </c>
      <c r="B10" s="198"/>
      <c r="C10" s="122"/>
      <c r="D10" s="273"/>
      <c r="E10" s="273"/>
      <c r="F10" s="273"/>
      <c r="G10" s="273"/>
      <c r="H10" s="273"/>
      <c r="I10" s="273"/>
      <c r="J10" s="274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5"/>
      <c r="Y10" s="275"/>
      <c r="AA10" s="276"/>
      <c r="AB10" s="277"/>
      <c r="AC10" s="278"/>
      <c r="AD10" s="278"/>
      <c r="AE10" s="279"/>
      <c r="AF10" s="279"/>
      <c r="AG10" s="280"/>
    </row>
    <row r="11" spans="1:34" x14ac:dyDescent="0.2">
      <c r="A11" s="198">
        <f t="shared" si="0"/>
        <v>4</v>
      </c>
      <c r="B11" s="118" t="s">
        <v>343</v>
      </c>
      <c r="C11" s="311">
        <v>2754555586.0203085</v>
      </c>
      <c r="D11" s="307">
        <v>275870000</v>
      </c>
      <c r="E11" s="307">
        <v>5935576.3327997765</v>
      </c>
      <c r="F11" s="307">
        <v>0</v>
      </c>
      <c r="G11" s="307">
        <v>140482.33488703571</v>
      </c>
      <c r="H11" s="307">
        <v>11778479.685822839</v>
      </c>
      <c r="I11" s="307">
        <v>7269272.1915075928</v>
      </c>
      <c r="J11" s="308">
        <v>0</v>
      </c>
      <c r="K11" s="307">
        <v>-153669.61779083172</v>
      </c>
      <c r="L11" s="307">
        <v>-177663.167065938</v>
      </c>
      <c r="M11" s="307">
        <v>5765284.8415405061</v>
      </c>
      <c r="N11" s="307">
        <v>4814963.1643634988</v>
      </c>
      <c r="O11" s="307">
        <v>0</v>
      </c>
      <c r="P11" s="307">
        <v>6462187.4048036439</v>
      </c>
      <c r="Q11" s="307">
        <v>21493797.23771647</v>
      </c>
      <c r="R11" s="307">
        <v>10803367.008371649</v>
      </c>
      <c r="S11" s="307">
        <v>763011.89732762543</v>
      </c>
      <c r="T11" s="307">
        <v>-1963998.1328324797</v>
      </c>
      <c r="U11" s="307">
        <v>-6101340.6230349829</v>
      </c>
      <c r="V11" s="307">
        <v>0</v>
      </c>
      <c r="W11" s="307">
        <v>-1720371.8013333355</v>
      </c>
      <c r="X11" s="275">
        <f>SUM(E11:W11)</f>
        <v>65109378.757083058</v>
      </c>
      <c r="Y11" s="275">
        <f>SUM(X11,D11)</f>
        <v>340979378.75708306</v>
      </c>
      <c r="AA11" s="276">
        <v>0</v>
      </c>
      <c r="AB11" s="277">
        <v>1539796.5725853525</v>
      </c>
      <c r="AC11" s="278">
        <f>SUM(AA11:AB11)</f>
        <v>1539796.5725853525</v>
      </c>
      <c r="AD11" s="278">
        <f>SUM(Y11,AC11)</f>
        <v>342519175.3296684</v>
      </c>
      <c r="AE11" s="279">
        <f>Y11/C11</f>
        <v>0.12378743797641742</v>
      </c>
      <c r="AF11" s="279">
        <f>AD11/C11</f>
        <v>0.12434643797641741</v>
      </c>
      <c r="AG11" s="280">
        <f>AC11/Y11</f>
        <v>4.515805554570847E-3</v>
      </c>
      <c r="AH11" s="281"/>
    </row>
    <row r="12" spans="1:34" x14ac:dyDescent="0.2">
      <c r="A12" s="198">
        <f t="shared" si="0"/>
        <v>5</v>
      </c>
      <c r="B12" s="118" t="s">
        <v>344</v>
      </c>
      <c r="C12" s="311">
        <v>2952911791.3048167</v>
      </c>
      <c r="D12" s="307">
        <v>270012000</v>
      </c>
      <c r="E12" s="307">
        <v>6565805.1756245922</v>
      </c>
      <c r="F12" s="307">
        <v>0</v>
      </c>
      <c r="G12" s="307">
        <v>153551.41314785046</v>
      </c>
      <c r="H12" s="307">
        <v>12839260.468593344</v>
      </c>
      <c r="I12" s="307">
        <v>7078129.563757645</v>
      </c>
      <c r="J12" s="308">
        <v>0</v>
      </c>
      <c r="K12" s="307">
        <v>743341.87149714772</v>
      </c>
      <c r="L12" s="307">
        <v>-273140.04027007206</v>
      </c>
      <c r="M12" s="307">
        <v>5846765.3467835365</v>
      </c>
      <c r="N12" s="307">
        <v>5143972.3404529914</v>
      </c>
      <c r="O12" s="307">
        <v>0</v>
      </c>
      <c r="P12" s="307">
        <v>6790099.0065393485</v>
      </c>
      <c r="Q12" s="307">
        <v>23844254.018211927</v>
      </c>
      <c r="R12" s="307">
        <v>11999302.082245104</v>
      </c>
      <c r="S12" s="307">
        <v>847485.68410448229</v>
      </c>
      <c r="T12" s="307">
        <v>-1975497.9883829223</v>
      </c>
      <c r="U12" s="307">
        <v>9334154.1723145247</v>
      </c>
      <c r="V12" s="307">
        <v>0</v>
      </c>
      <c r="W12" s="307">
        <v>-900758.63748450158</v>
      </c>
      <c r="X12" s="275">
        <f>SUM(E12:W12)</f>
        <v>88036724.477135018</v>
      </c>
      <c r="Y12" s="275">
        <f>SUM(X12,D12)</f>
        <v>358048724.477135</v>
      </c>
      <c r="AA12" s="276">
        <v>0</v>
      </c>
      <c r="AB12" s="277">
        <v>1535514.1314785045</v>
      </c>
      <c r="AC12" s="278">
        <f>SUM(AA12:AB12)</f>
        <v>1535514.1314785045</v>
      </c>
      <c r="AD12" s="278">
        <f>SUM(Y12,AC12)</f>
        <v>359584238.60861349</v>
      </c>
      <c r="AE12" s="279">
        <f>Y12/C12</f>
        <v>0.12125276668658036</v>
      </c>
      <c r="AF12" s="279">
        <f>AD12/C12</f>
        <v>0.12177276668658035</v>
      </c>
      <c r="AG12" s="280">
        <f>AC12/Y12</f>
        <v>4.2885619372638279E-3</v>
      </c>
      <c r="AH12" s="281"/>
    </row>
    <row r="13" spans="1:34" x14ac:dyDescent="0.2">
      <c r="A13" s="198">
        <f t="shared" si="0"/>
        <v>6</v>
      </c>
      <c r="B13" s="118" t="s">
        <v>345</v>
      </c>
      <c r="C13" s="311">
        <v>1951040617.7585633</v>
      </c>
      <c r="D13" s="307">
        <v>164338000</v>
      </c>
      <c r="E13" s="307">
        <v>4539582.6240294734</v>
      </c>
      <c r="F13" s="307">
        <v>0</v>
      </c>
      <c r="G13" s="307">
        <v>99503.071505686719</v>
      </c>
      <c r="H13" s="307">
        <v>7767092.6992968414</v>
      </c>
      <c r="I13" s="307">
        <v>4327408.090188493</v>
      </c>
      <c r="J13" s="308">
        <v>0</v>
      </c>
      <c r="K13" s="307">
        <v>1280556.035166746</v>
      </c>
      <c r="L13" s="307">
        <v>-455534.03108758503</v>
      </c>
      <c r="M13" s="307">
        <v>3346034.6594559359</v>
      </c>
      <c r="N13" s="307">
        <v>3355789.8625447289</v>
      </c>
      <c r="O13" s="307">
        <v>0</v>
      </c>
      <c r="P13" s="307">
        <v>4241171.9790914766</v>
      </c>
      <c r="Q13" s="307">
        <v>13919833.793163586</v>
      </c>
      <c r="R13" s="307">
        <v>6985280.4246126534</v>
      </c>
      <c r="S13" s="307">
        <v>474102.87011533091</v>
      </c>
      <c r="T13" s="307">
        <v>-1125750.4364466909</v>
      </c>
      <c r="U13" s="307">
        <v>3577438.9305265821</v>
      </c>
      <c r="V13" s="307">
        <v>0</v>
      </c>
      <c r="W13" s="307">
        <v>-113686.10984841669</v>
      </c>
      <c r="X13" s="275">
        <f>SUM(E13:W13)</f>
        <v>52218824.462314852</v>
      </c>
      <c r="Y13" s="275">
        <f>SUM(X13,D13)</f>
        <v>216556824.46231484</v>
      </c>
      <c r="AA13" s="276">
        <v>0</v>
      </c>
      <c r="AB13" s="277">
        <v>932597.41528859327</v>
      </c>
      <c r="AC13" s="278">
        <f>SUM(AA13:AB13)</f>
        <v>932597.41528859327</v>
      </c>
      <c r="AD13" s="278">
        <f>SUM(Y13,AC13)</f>
        <v>217489421.87760344</v>
      </c>
      <c r="AE13" s="279">
        <f>Y13/C13</f>
        <v>0.11099554898611201</v>
      </c>
      <c r="AF13" s="279">
        <f>AD13/C13</f>
        <v>0.111473548986112</v>
      </c>
      <c r="AG13" s="280">
        <f>AC13/Y13</f>
        <v>4.3064789927730199E-3</v>
      </c>
      <c r="AH13" s="281"/>
    </row>
    <row r="14" spans="1:34" x14ac:dyDescent="0.2">
      <c r="A14" s="198">
        <f t="shared" si="0"/>
        <v>7</v>
      </c>
      <c r="B14" s="198">
        <v>29</v>
      </c>
      <c r="C14" s="311">
        <v>15033126.247213177</v>
      </c>
      <c r="D14" s="307">
        <v>1284000</v>
      </c>
      <c r="E14" s="307">
        <v>27848.667886217201</v>
      </c>
      <c r="F14" s="307">
        <v>0</v>
      </c>
      <c r="G14" s="307">
        <v>646.42442863016663</v>
      </c>
      <c r="H14" s="307">
        <v>68100.061899875698</v>
      </c>
      <c r="I14" s="307">
        <v>31674.797002878164</v>
      </c>
      <c r="J14" s="308">
        <v>0</v>
      </c>
      <c r="K14" s="307">
        <v>0</v>
      </c>
      <c r="L14" s="307">
        <v>0</v>
      </c>
      <c r="M14" s="307">
        <v>29765.589969482091</v>
      </c>
      <c r="N14" s="307">
        <v>26187.705922645357</v>
      </c>
      <c r="O14" s="307">
        <v>0</v>
      </c>
      <c r="P14" s="307">
        <v>37172.349977403966</v>
      </c>
      <c r="Q14" s="307">
        <v>121741.24787446539</v>
      </c>
      <c r="R14" s="307">
        <v>61178.803025300578</v>
      </c>
      <c r="S14" s="307">
        <v>5562.2567114688754</v>
      </c>
      <c r="T14" s="307">
        <v>-10057.161459385616</v>
      </c>
      <c r="U14" s="307">
        <v>47519.712067440851</v>
      </c>
      <c r="V14" s="307">
        <v>0</v>
      </c>
      <c r="W14" s="307">
        <v>-100558.62597277857</v>
      </c>
      <c r="X14" s="275">
        <f>SUM(E14:W14)</f>
        <v>346781.82933364413</v>
      </c>
      <c r="Y14" s="275">
        <f>SUM(X14,D14)</f>
        <v>1630781.8293336441</v>
      </c>
      <c r="AA14" s="276">
        <v>0</v>
      </c>
      <c r="AB14" s="277">
        <v>7381.2649873816699</v>
      </c>
      <c r="AC14" s="278">
        <f>SUM(AA14:AB14)</f>
        <v>7381.2649873816699</v>
      </c>
      <c r="AD14" s="278">
        <f>SUM(Y14,AC14)</f>
        <v>1638163.0943210258</v>
      </c>
      <c r="AE14" s="279">
        <f>Y14/C14</f>
        <v>0.10847922132204248</v>
      </c>
      <c r="AF14" s="279">
        <f>AD14/C14</f>
        <v>0.10897022132204248</v>
      </c>
      <c r="AG14" s="280">
        <f>AC14/Y14</f>
        <v>4.5262124305111605E-3</v>
      </c>
      <c r="AH14" s="281"/>
    </row>
    <row r="15" spans="1:34" x14ac:dyDescent="0.2">
      <c r="A15" s="198">
        <f t="shared" si="0"/>
        <v>8</v>
      </c>
      <c r="B15" s="118" t="s">
        <v>346</v>
      </c>
      <c r="C15" s="282">
        <f t="shared" ref="C15:Y15" si="5">SUM(C11:C14)</f>
        <v>7673541121.3309011</v>
      </c>
      <c r="D15" s="283">
        <f t="shared" si="5"/>
        <v>711504000</v>
      </c>
      <c r="E15" s="283">
        <f t="shared" si="5"/>
        <v>17068812.800340056</v>
      </c>
      <c r="F15" s="283">
        <f t="shared" si="5"/>
        <v>0</v>
      </c>
      <c r="G15" s="283">
        <f t="shared" si="5"/>
        <v>394183.24396920309</v>
      </c>
      <c r="H15" s="283">
        <f t="shared" si="5"/>
        <v>32452932.915612895</v>
      </c>
      <c r="I15" s="283">
        <f t="shared" si="5"/>
        <v>18706484.64245661</v>
      </c>
      <c r="J15" s="284">
        <f t="shared" ref="J15" si="6">SUM(J11:J14)</f>
        <v>0</v>
      </c>
      <c r="K15" s="283">
        <f t="shared" si="5"/>
        <v>1870228.288873062</v>
      </c>
      <c r="L15" s="283">
        <f t="shared" si="5"/>
        <v>-906337.23842359509</v>
      </c>
      <c r="M15" s="283">
        <f t="shared" si="5"/>
        <v>14987850.43774946</v>
      </c>
      <c r="N15" s="283">
        <f t="shared" si="5"/>
        <v>13340913.073283864</v>
      </c>
      <c r="O15" s="283">
        <f t="shared" ref="O15" si="7">SUM(O11:O14)</f>
        <v>0</v>
      </c>
      <c r="P15" s="283">
        <f t="shared" si="5"/>
        <v>17530630.740411874</v>
      </c>
      <c r="Q15" s="283">
        <f t="shared" si="5"/>
        <v>59379626.296966448</v>
      </c>
      <c r="R15" s="283">
        <f t="shared" si="5"/>
        <v>29849128.318254709</v>
      </c>
      <c r="S15" s="283">
        <f t="shared" si="5"/>
        <v>2090162.7082589075</v>
      </c>
      <c r="T15" s="283">
        <f t="shared" si="5"/>
        <v>-5075303.7191214785</v>
      </c>
      <c r="U15" s="283">
        <f t="shared" si="5"/>
        <v>6857772.1918735644</v>
      </c>
      <c r="V15" s="283">
        <f t="shared" si="5"/>
        <v>0</v>
      </c>
      <c r="W15" s="283">
        <f t="shared" si="5"/>
        <v>-2835375.1746390327</v>
      </c>
      <c r="X15" s="285">
        <f t="shared" si="5"/>
        <v>205711709.52586654</v>
      </c>
      <c r="Y15" s="285">
        <f t="shared" si="5"/>
        <v>917215709.52586663</v>
      </c>
      <c r="AA15" s="286">
        <f t="shared" ref="AA15:AD15" si="8">SUM(AA11:AA14)</f>
        <v>0</v>
      </c>
      <c r="AB15" s="287">
        <f t="shared" si="8"/>
        <v>4015289.3843398318</v>
      </c>
      <c r="AC15" s="288">
        <f t="shared" si="8"/>
        <v>4015289.3843398318</v>
      </c>
      <c r="AD15" s="288">
        <f t="shared" si="8"/>
        <v>921230998.91020632</v>
      </c>
      <c r="AE15" s="289">
        <f>Y15/C15</f>
        <v>0.11952965326219357</v>
      </c>
      <c r="AF15" s="289">
        <f>AD15/C15</f>
        <v>0.12005291746588409</v>
      </c>
      <c r="AG15" s="290">
        <f>AC15/Y15</f>
        <v>4.3776936468035883E-3</v>
      </c>
      <c r="AH15" s="281"/>
    </row>
    <row r="16" spans="1:34" x14ac:dyDescent="0.2">
      <c r="A16" s="198">
        <f t="shared" si="0"/>
        <v>9</v>
      </c>
      <c r="B16" s="198"/>
      <c r="C16" s="122"/>
      <c r="D16" s="273"/>
      <c r="E16" s="273"/>
      <c r="F16" s="273"/>
      <c r="G16" s="273"/>
      <c r="H16" s="273"/>
      <c r="I16" s="273"/>
      <c r="J16" s="274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5"/>
      <c r="Y16" s="275"/>
      <c r="AA16" s="276"/>
      <c r="AB16" s="277"/>
      <c r="AC16" s="278"/>
      <c r="AD16" s="278"/>
      <c r="AE16" s="279"/>
      <c r="AF16" s="279"/>
      <c r="AG16" s="280"/>
    </row>
    <row r="17" spans="1:34" x14ac:dyDescent="0.2">
      <c r="A17" s="198">
        <f t="shared" si="0"/>
        <v>10</v>
      </c>
      <c r="B17" s="198" t="s">
        <v>347</v>
      </c>
      <c r="C17" s="311">
        <v>1414567504.5081706</v>
      </c>
      <c r="D17" s="307">
        <v>117534000</v>
      </c>
      <c r="E17" s="307">
        <v>3012050.4542033309</v>
      </c>
      <c r="F17" s="307">
        <v>0</v>
      </c>
      <c r="G17" s="307">
        <v>69313.807720900353</v>
      </c>
      <c r="H17" s="307">
        <v>5429110.082302358</v>
      </c>
      <c r="I17" s="307">
        <v>3099317.402377401</v>
      </c>
      <c r="J17" s="308">
        <v>0</v>
      </c>
      <c r="K17" s="307">
        <v>557156.35249099927</v>
      </c>
      <c r="L17" s="307">
        <v>-201374.64947077501</v>
      </c>
      <c r="M17" s="307">
        <v>2441543.5127811022</v>
      </c>
      <c r="N17" s="307">
        <v>2351011.1924925796</v>
      </c>
      <c r="O17" s="307">
        <v>0</v>
      </c>
      <c r="P17" s="307">
        <v>2843418.2732613366</v>
      </c>
      <c r="Q17" s="307">
        <v>9623920.6585360579</v>
      </c>
      <c r="R17" s="307">
        <v>4845805.4114221567</v>
      </c>
      <c r="S17" s="307">
        <v>356471.01113605895</v>
      </c>
      <c r="T17" s="307">
        <v>-834594.82765982067</v>
      </c>
      <c r="U17" s="307">
        <v>486428.66464206751</v>
      </c>
      <c r="V17" s="307">
        <v>0</v>
      </c>
      <c r="W17" s="307">
        <v>-159191.58567414118</v>
      </c>
      <c r="X17" s="275">
        <f>SUM(E17:W17)</f>
        <v>33920385.760561608</v>
      </c>
      <c r="Y17" s="275">
        <f>SUM(X17,D17)</f>
        <v>151454385.76056162</v>
      </c>
      <c r="AA17" s="276">
        <v>0</v>
      </c>
      <c r="AB17" s="277">
        <v>662017.59210982383</v>
      </c>
      <c r="AC17" s="278">
        <f>SUM(AA17:AB17)</f>
        <v>662017.59210982383</v>
      </c>
      <c r="AD17" s="278">
        <f>SUM(Y17,AC17)</f>
        <v>152116403.35267144</v>
      </c>
      <c r="AE17" s="279">
        <f>Y17/C17</f>
        <v>0.10706762687385543</v>
      </c>
      <c r="AF17" s="279">
        <f>AD17/C17</f>
        <v>0.10753562687385543</v>
      </c>
      <c r="AG17" s="280">
        <f>AC17/Y17</f>
        <v>4.3710691426026155E-3</v>
      </c>
      <c r="AH17" s="281"/>
    </row>
    <row r="18" spans="1:34" x14ac:dyDescent="0.2">
      <c r="A18" s="198">
        <f t="shared" si="0"/>
        <v>11</v>
      </c>
      <c r="B18" s="198">
        <v>35</v>
      </c>
      <c r="C18" s="311">
        <v>4436241.4261872498</v>
      </c>
      <c r="D18" s="307">
        <v>279000</v>
      </c>
      <c r="E18" s="307">
        <v>7048.5055324757896</v>
      </c>
      <c r="F18" s="307">
        <v>0</v>
      </c>
      <c r="G18" s="307">
        <v>155.26844991655372</v>
      </c>
      <c r="H18" s="307">
        <v>11640.697502315345</v>
      </c>
      <c r="I18" s="307">
        <v>7359.724526044648</v>
      </c>
      <c r="J18" s="308">
        <v>0</v>
      </c>
      <c r="K18" s="307">
        <v>0</v>
      </c>
      <c r="L18" s="307">
        <v>0</v>
      </c>
      <c r="M18" s="307">
        <v>7656.9527015991935</v>
      </c>
      <c r="N18" s="307">
        <v>7053.623867637727</v>
      </c>
      <c r="O18" s="307">
        <v>0</v>
      </c>
      <c r="P18" s="307">
        <v>6371.0763236109915</v>
      </c>
      <c r="Q18" s="307">
        <v>43057.913850948476</v>
      </c>
      <c r="R18" s="307">
        <v>21626.554236850356</v>
      </c>
      <c r="S18" s="307">
        <v>2626.2549243028516</v>
      </c>
      <c r="T18" s="307">
        <v>-4338.6441148111298</v>
      </c>
      <c r="U18" s="307">
        <v>14022.959148177895</v>
      </c>
      <c r="V18" s="307">
        <v>0</v>
      </c>
      <c r="W18" s="307">
        <v>-29674.622228600474</v>
      </c>
      <c r="X18" s="275">
        <f>SUM(E18:W18)</f>
        <v>94606.2647204682</v>
      </c>
      <c r="Y18" s="275">
        <f>SUM(X18,D18)</f>
        <v>373606.2647204682</v>
      </c>
      <c r="AA18" s="276">
        <v>0</v>
      </c>
      <c r="AB18" s="277">
        <v>1721.2616733606528</v>
      </c>
      <c r="AC18" s="278">
        <f>SUM(AA18:AB18)</f>
        <v>1721.2616733606528</v>
      </c>
      <c r="AD18" s="278">
        <f>SUM(Y18,AC18)</f>
        <v>375327.52639382886</v>
      </c>
      <c r="AE18" s="279">
        <f>Y18/C18</f>
        <v>8.421684683684269E-2</v>
      </c>
      <c r="AF18" s="279">
        <f>AD18/C18</f>
        <v>8.460484683684269E-2</v>
      </c>
      <c r="AG18" s="280">
        <f>AC18/Y18</f>
        <v>4.6071542045701477E-3</v>
      </c>
      <c r="AH18" s="281"/>
    </row>
    <row r="19" spans="1:34" x14ac:dyDescent="0.2">
      <c r="A19" s="198">
        <f t="shared" si="0"/>
        <v>12</v>
      </c>
      <c r="B19" s="198">
        <v>43</v>
      </c>
      <c r="C19" s="311">
        <v>123047958.74213007</v>
      </c>
      <c r="D19" s="307">
        <v>10917000</v>
      </c>
      <c r="E19" s="307">
        <v>209218.23528926491</v>
      </c>
      <c r="F19" s="307">
        <v>0</v>
      </c>
      <c r="G19" s="307">
        <v>4675.8224322009428</v>
      </c>
      <c r="H19" s="307">
        <v>100284.086374836</v>
      </c>
      <c r="I19" s="307">
        <v>284486.88061180472</v>
      </c>
      <c r="J19" s="308">
        <v>0</v>
      </c>
      <c r="K19" s="307">
        <v>43677.179999999993</v>
      </c>
      <c r="L19" s="307">
        <v>-14924.789999999999</v>
      </c>
      <c r="M19" s="307">
        <v>188140.32891671688</v>
      </c>
      <c r="N19" s="307">
        <v>196753.68602866598</v>
      </c>
      <c r="O19" s="307">
        <v>0</v>
      </c>
      <c r="P19" s="307">
        <v>51624.500369307454</v>
      </c>
      <c r="Q19" s="307">
        <v>752048.31809606485</v>
      </c>
      <c r="R19" s="307">
        <v>377377.6865941959</v>
      </c>
      <c r="S19" s="307">
        <v>52910.622259115931</v>
      </c>
      <c r="T19" s="307">
        <v>-100037.99045735176</v>
      </c>
      <c r="U19" s="307">
        <v>388954.59758387314</v>
      </c>
      <c r="V19" s="307">
        <v>0</v>
      </c>
      <c r="W19" s="307">
        <v>0</v>
      </c>
      <c r="X19" s="275">
        <f>SUM(E19:W19)</f>
        <v>2535189.1640986945</v>
      </c>
      <c r="Y19" s="275">
        <f>SUM(X19,D19)</f>
        <v>13452189.164098695</v>
      </c>
      <c r="AA19" s="276">
        <v>0</v>
      </c>
      <c r="AB19" s="277">
        <v>58939.972237480302</v>
      </c>
      <c r="AC19" s="278">
        <f>SUM(AA19:AB19)</f>
        <v>58939.972237480302</v>
      </c>
      <c r="AD19" s="278">
        <f>SUM(Y19,AC19)</f>
        <v>13511129.136336176</v>
      </c>
      <c r="AE19" s="279">
        <f>Y19/C19</f>
        <v>0.10932476492592831</v>
      </c>
      <c r="AF19" s="279">
        <f>AD19/C19</f>
        <v>0.1098037649259283</v>
      </c>
      <c r="AG19" s="280">
        <f>AC19/Y19</f>
        <v>4.3814409326609644E-3</v>
      </c>
      <c r="AH19" s="281"/>
    </row>
    <row r="20" spans="1:34" x14ac:dyDescent="0.2">
      <c r="A20" s="198">
        <f t="shared" si="0"/>
        <v>13</v>
      </c>
      <c r="B20" s="118" t="s">
        <v>348</v>
      </c>
      <c r="C20" s="282">
        <f t="shared" ref="C20:Y20" si="9">SUM(C17:C19)</f>
        <v>1542051704.6764879</v>
      </c>
      <c r="D20" s="283">
        <f t="shared" si="9"/>
        <v>128730000</v>
      </c>
      <c r="E20" s="283">
        <f t="shared" si="9"/>
        <v>3228317.1950250715</v>
      </c>
      <c r="F20" s="283">
        <f t="shared" si="9"/>
        <v>0</v>
      </c>
      <c r="G20" s="283">
        <f t="shared" si="9"/>
        <v>74144.898603017849</v>
      </c>
      <c r="H20" s="283">
        <f t="shared" si="9"/>
        <v>5541034.8661795091</v>
      </c>
      <c r="I20" s="283">
        <f t="shared" si="9"/>
        <v>3391164.0075152502</v>
      </c>
      <c r="J20" s="284">
        <f t="shared" ref="J20" si="10">SUM(J17:J19)</f>
        <v>0</v>
      </c>
      <c r="K20" s="283">
        <f t="shared" si="9"/>
        <v>600833.53249099921</v>
      </c>
      <c r="L20" s="283">
        <f t="shared" si="9"/>
        <v>-216299.43947077502</v>
      </c>
      <c r="M20" s="283">
        <f t="shared" si="9"/>
        <v>2637340.7943994184</v>
      </c>
      <c r="N20" s="283">
        <f t="shared" si="9"/>
        <v>2554818.5023888834</v>
      </c>
      <c r="O20" s="283">
        <f t="shared" ref="O20" si="11">SUM(O17:O19)</f>
        <v>0</v>
      </c>
      <c r="P20" s="283">
        <f t="shared" si="9"/>
        <v>2901413.8499542554</v>
      </c>
      <c r="Q20" s="283">
        <f t="shared" si="9"/>
        <v>10419026.89048307</v>
      </c>
      <c r="R20" s="283">
        <f t="shared" si="9"/>
        <v>5244809.6522532031</v>
      </c>
      <c r="S20" s="283">
        <f t="shared" si="9"/>
        <v>412007.88831947773</v>
      </c>
      <c r="T20" s="283">
        <f t="shared" si="9"/>
        <v>-938971.46223198355</v>
      </c>
      <c r="U20" s="283">
        <f t="shared" si="9"/>
        <v>889406.22137411847</v>
      </c>
      <c r="V20" s="283">
        <f t="shared" si="9"/>
        <v>0</v>
      </c>
      <c r="W20" s="283">
        <f t="shared" si="9"/>
        <v>-188866.20790274165</v>
      </c>
      <c r="X20" s="285">
        <f t="shared" si="9"/>
        <v>36550181.189380772</v>
      </c>
      <c r="Y20" s="285">
        <f t="shared" si="9"/>
        <v>165280181.18938076</v>
      </c>
      <c r="AA20" s="286">
        <f t="shared" ref="AA20:AD20" si="12">SUM(AA17:AA19)</f>
        <v>0</v>
      </c>
      <c r="AB20" s="287">
        <f t="shared" si="12"/>
        <v>722678.82602066477</v>
      </c>
      <c r="AC20" s="288">
        <f t="shared" si="12"/>
        <v>722678.82602066477</v>
      </c>
      <c r="AD20" s="288">
        <f t="shared" si="12"/>
        <v>166002860.01540145</v>
      </c>
      <c r="AE20" s="289">
        <f>Y20/C20</f>
        <v>0.10718199700317795</v>
      </c>
      <c r="AF20" s="289">
        <f>AD20/C20</f>
        <v>0.10765064460029097</v>
      </c>
      <c r="AG20" s="290">
        <f>AC20/Y20</f>
        <v>4.3724469613970682E-3</v>
      </c>
      <c r="AH20" s="281"/>
    </row>
    <row r="21" spans="1:34" x14ac:dyDescent="0.2">
      <c r="A21" s="198">
        <f t="shared" si="0"/>
        <v>14</v>
      </c>
      <c r="B21" s="198"/>
      <c r="C21" s="122"/>
      <c r="D21" s="273"/>
      <c r="E21" s="273"/>
      <c r="F21" s="273"/>
      <c r="G21" s="273"/>
      <c r="H21" s="273"/>
      <c r="I21" s="273"/>
      <c r="J21" s="274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5"/>
      <c r="Y21" s="275"/>
      <c r="AA21" s="276"/>
      <c r="AB21" s="277"/>
      <c r="AC21" s="278"/>
      <c r="AD21" s="278"/>
      <c r="AE21" s="279"/>
      <c r="AF21" s="279"/>
      <c r="AG21" s="280"/>
    </row>
    <row r="22" spans="1:34" x14ac:dyDescent="0.2">
      <c r="A22" s="198">
        <f t="shared" si="0"/>
        <v>15</v>
      </c>
      <c r="B22" s="198">
        <v>46</v>
      </c>
      <c r="C22" s="311">
        <v>97208997.868969813</v>
      </c>
      <c r="D22" s="307">
        <v>6219000</v>
      </c>
      <c r="E22" s="307">
        <v>176680.77602739629</v>
      </c>
      <c r="F22" s="307">
        <v>0</v>
      </c>
      <c r="G22" s="307">
        <v>3013.4789339380645</v>
      </c>
      <c r="H22" s="307">
        <v>94584.354926507629</v>
      </c>
      <c r="I22" s="307">
        <v>166227.38635593836</v>
      </c>
      <c r="J22" s="308">
        <v>0</v>
      </c>
      <c r="K22" s="307">
        <v>66112.663426560059</v>
      </c>
      <c r="L22" s="307">
        <v>-26126.360827200006</v>
      </c>
      <c r="M22" s="307">
        <v>92348.547975521316</v>
      </c>
      <c r="N22" s="307">
        <v>168560.40230479365</v>
      </c>
      <c r="O22" s="307">
        <v>0</v>
      </c>
      <c r="P22" s="307">
        <v>55576.174635708419</v>
      </c>
      <c r="Q22" s="307">
        <v>372261.19197653822</v>
      </c>
      <c r="R22" s="307">
        <v>186908.26797122089</v>
      </c>
      <c r="S22" s="307">
        <v>30912.461322332398</v>
      </c>
      <c r="T22" s="307">
        <v>-43744.049041036415</v>
      </c>
      <c r="U22" s="307">
        <v>0</v>
      </c>
      <c r="V22" s="307">
        <v>0</v>
      </c>
      <c r="W22" s="307">
        <v>0</v>
      </c>
      <c r="X22" s="275">
        <f>SUM(E22:W22)</f>
        <v>1343315.2959882191</v>
      </c>
      <c r="Y22" s="275">
        <f>SUM(X22,D22)</f>
        <v>7562315.2959882189</v>
      </c>
      <c r="AA22" s="276">
        <v>0</v>
      </c>
      <c r="AB22" s="277">
        <v>33537.104264794587</v>
      </c>
      <c r="AC22" s="278">
        <f>SUM(AA22:AB22)</f>
        <v>33537.104264794587</v>
      </c>
      <c r="AD22" s="278">
        <f>SUM(Y22,AC22)</f>
        <v>7595852.4002530137</v>
      </c>
      <c r="AE22" s="279">
        <f>Y22/C22</f>
        <v>7.7794396216095477E-2</v>
      </c>
      <c r="AF22" s="279">
        <f>AD22/C22</f>
        <v>7.8139396216095489E-2</v>
      </c>
      <c r="AG22" s="280">
        <f>AC22/Y22</f>
        <v>4.4347667284628956E-3</v>
      </c>
      <c r="AH22" s="281"/>
    </row>
    <row r="23" spans="1:34" x14ac:dyDescent="0.2">
      <c r="A23" s="198">
        <f t="shared" si="0"/>
        <v>16</v>
      </c>
      <c r="B23" s="198">
        <v>49</v>
      </c>
      <c r="C23" s="311">
        <v>536314720.56256545</v>
      </c>
      <c r="D23" s="307">
        <v>34806000</v>
      </c>
      <c r="E23" s="307">
        <v>1054911.7240343804</v>
      </c>
      <c r="F23" s="307">
        <v>0</v>
      </c>
      <c r="G23" s="307">
        <v>25743.106587003142</v>
      </c>
      <c r="H23" s="307">
        <v>1914107.2376877961</v>
      </c>
      <c r="I23" s="307">
        <v>902081.35998623504</v>
      </c>
      <c r="J23" s="308">
        <v>0</v>
      </c>
      <c r="K23" s="307">
        <v>726532.59202114865</v>
      </c>
      <c r="L23" s="307">
        <v>-268768.30364225997</v>
      </c>
      <c r="M23" s="307">
        <v>509498.98453443719</v>
      </c>
      <c r="N23" s="307">
        <v>929969.72545548854</v>
      </c>
      <c r="O23" s="307">
        <v>0</v>
      </c>
      <c r="P23" s="307">
        <v>1030118.4418890236</v>
      </c>
      <c r="Q23" s="307">
        <v>2007929.9117752432</v>
      </c>
      <c r="R23" s="307">
        <v>1001608.9124489529</v>
      </c>
      <c r="S23" s="307">
        <v>117989.2385237644</v>
      </c>
      <c r="T23" s="307">
        <v>-241341.62425315444</v>
      </c>
      <c r="U23" s="307">
        <v>0</v>
      </c>
      <c r="V23" s="307">
        <v>0</v>
      </c>
      <c r="W23" s="307">
        <v>0</v>
      </c>
      <c r="X23" s="275">
        <f>SUM(E23:W23)</f>
        <v>9710381.3070480581</v>
      </c>
      <c r="Y23" s="275">
        <f>SUM(X23,D23)</f>
        <v>44516381.30704806</v>
      </c>
      <c r="AA23" s="276">
        <v>0</v>
      </c>
      <c r="AB23" s="277">
        <v>190928.04052027329</v>
      </c>
      <c r="AC23" s="278">
        <f>SUM(AA23:AB23)</f>
        <v>190928.04052027329</v>
      </c>
      <c r="AD23" s="278">
        <f>SUM(Y23,AC23)</f>
        <v>44707309.347568333</v>
      </c>
      <c r="AE23" s="279">
        <f>Y23/C23</f>
        <v>8.3004213012003017E-2</v>
      </c>
      <c r="AF23" s="279">
        <f>AD23/C23</f>
        <v>8.3360213012003026E-2</v>
      </c>
      <c r="AG23" s="280">
        <f>AC23/Y23</f>
        <v>4.2889389234799418E-3</v>
      </c>
      <c r="AH23" s="281"/>
    </row>
    <row r="24" spans="1:34" x14ac:dyDescent="0.2">
      <c r="A24" s="198">
        <f t="shared" si="0"/>
        <v>17</v>
      </c>
      <c r="B24" s="198" t="s">
        <v>84</v>
      </c>
      <c r="C24" s="282">
        <f t="shared" ref="C24:Y24" si="13">SUM(C22:C23)</f>
        <v>633523718.43153524</v>
      </c>
      <c r="D24" s="283">
        <f t="shared" si="13"/>
        <v>41025000</v>
      </c>
      <c r="E24" s="283">
        <f t="shared" si="13"/>
        <v>1231592.5000617767</v>
      </c>
      <c r="F24" s="283">
        <f t="shared" si="13"/>
        <v>0</v>
      </c>
      <c r="G24" s="283">
        <f t="shared" si="13"/>
        <v>28756.585520941208</v>
      </c>
      <c r="H24" s="283">
        <f t="shared" si="13"/>
        <v>2008691.5926143038</v>
      </c>
      <c r="I24" s="283">
        <f t="shared" si="13"/>
        <v>1068308.7463421733</v>
      </c>
      <c r="J24" s="284">
        <f t="shared" ref="J24" si="14">SUM(J22:J23)</f>
        <v>0</v>
      </c>
      <c r="K24" s="283">
        <f t="shared" si="13"/>
        <v>792645.25544770877</v>
      </c>
      <c r="L24" s="283">
        <f t="shared" si="13"/>
        <v>-294894.66446945997</v>
      </c>
      <c r="M24" s="283">
        <f t="shared" si="13"/>
        <v>601847.53250995849</v>
      </c>
      <c r="N24" s="283">
        <f t="shared" si="13"/>
        <v>1098530.1277602823</v>
      </c>
      <c r="O24" s="283">
        <f t="shared" ref="O24" si="15">SUM(O22:O23)</f>
        <v>0</v>
      </c>
      <c r="P24" s="283">
        <f t="shared" si="13"/>
        <v>1085694.616524732</v>
      </c>
      <c r="Q24" s="283">
        <f t="shared" si="13"/>
        <v>2380191.1037517814</v>
      </c>
      <c r="R24" s="283">
        <f t="shared" si="13"/>
        <v>1188517.1804201738</v>
      </c>
      <c r="S24" s="283">
        <f t="shared" si="13"/>
        <v>148901.6998460968</v>
      </c>
      <c r="T24" s="283">
        <f t="shared" si="13"/>
        <v>-285085.67329419084</v>
      </c>
      <c r="U24" s="283">
        <f t="shared" si="13"/>
        <v>0</v>
      </c>
      <c r="V24" s="283">
        <f t="shared" si="13"/>
        <v>0</v>
      </c>
      <c r="W24" s="283">
        <f t="shared" si="13"/>
        <v>0</v>
      </c>
      <c r="X24" s="285">
        <f t="shared" si="13"/>
        <v>11053696.603036277</v>
      </c>
      <c r="Y24" s="285">
        <f t="shared" si="13"/>
        <v>52078696.603036277</v>
      </c>
      <c r="AA24" s="286">
        <f t="shared" ref="AA24:AD24" si="16">SUM(AA22:AA23)</f>
        <v>0</v>
      </c>
      <c r="AB24" s="287">
        <f t="shared" si="16"/>
        <v>224465.14478506788</v>
      </c>
      <c r="AC24" s="288">
        <f t="shared" si="16"/>
        <v>224465.14478506788</v>
      </c>
      <c r="AD24" s="288">
        <f t="shared" si="16"/>
        <v>52303161.747821346</v>
      </c>
      <c r="AE24" s="289">
        <f>Y24/C24</f>
        <v>8.2204809524687769E-2</v>
      </c>
      <c r="AF24" s="289">
        <f>AD24/C24</f>
        <v>8.2559121665266799E-2</v>
      </c>
      <c r="AG24" s="290">
        <f>AC24/Y24</f>
        <v>4.3101144887712339E-3</v>
      </c>
      <c r="AH24" s="281"/>
    </row>
    <row r="25" spans="1:34" x14ac:dyDescent="0.2">
      <c r="A25" s="198">
        <f t="shared" si="0"/>
        <v>18</v>
      </c>
      <c r="B25" s="198"/>
      <c r="C25" s="122"/>
      <c r="D25" s="273"/>
      <c r="E25" s="273"/>
      <c r="F25" s="273"/>
      <c r="G25" s="273"/>
      <c r="H25" s="273"/>
      <c r="I25" s="273"/>
      <c r="J25" s="274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5"/>
      <c r="Y25" s="275"/>
      <c r="AA25" s="276"/>
      <c r="AB25" s="277"/>
      <c r="AC25" s="278"/>
      <c r="AD25" s="278"/>
      <c r="AE25" s="279"/>
      <c r="AF25" s="279"/>
      <c r="AG25" s="280"/>
    </row>
    <row r="26" spans="1:34" x14ac:dyDescent="0.2">
      <c r="A26" s="198">
        <f t="shared" si="0"/>
        <v>19</v>
      </c>
      <c r="B26" s="198" t="s">
        <v>164</v>
      </c>
      <c r="C26" s="311">
        <v>67622676.457585469</v>
      </c>
      <c r="D26" s="307">
        <v>16875000</v>
      </c>
      <c r="E26" s="307">
        <v>144066.21404528283</v>
      </c>
      <c r="F26" s="307">
        <v>0</v>
      </c>
      <c r="G26" s="307">
        <v>3516.3791757944441</v>
      </c>
      <c r="H26" s="307">
        <v>157087.47741097104</v>
      </c>
      <c r="I26" s="307">
        <v>399988.13124661805</v>
      </c>
      <c r="J26" s="308">
        <v>0</v>
      </c>
      <c r="K26" s="307">
        <v>0</v>
      </c>
      <c r="L26" s="307">
        <v>0</v>
      </c>
      <c r="M26" s="307">
        <v>580675.92274128646</v>
      </c>
      <c r="N26" s="307">
        <v>133892.89938601921</v>
      </c>
      <c r="O26" s="307">
        <v>0</v>
      </c>
      <c r="P26" s="307">
        <v>82702.533307627018</v>
      </c>
      <c r="Q26" s="307">
        <v>2378898.1351013994</v>
      </c>
      <c r="R26" s="307">
        <v>1195636.5424465686</v>
      </c>
      <c r="S26" s="307">
        <v>0</v>
      </c>
      <c r="T26" s="307">
        <v>-169259.55917333643</v>
      </c>
      <c r="U26" s="307">
        <v>0</v>
      </c>
      <c r="V26" s="307">
        <v>0</v>
      </c>
      <c r="W26" s="307">
        <v>-11827.077880488234</v>
      </c>
      <c r="X26" s="275">
        <f>SUM(E26:W26)</f>
        <v>4895377.5978077436</v>
      </c>
      <c r="Y26" s="275">
        <f>SUM(X26,D26)</f>
        <v>21770377.597807743</v>
      </c>
      <c r="AA26" s="276">
        <v>0</v>
      </c>
      <c r="AB26" s="277">
        <v>99878.693127853738</v>
      </c>
      <c r="AC26" s="278">
        <f>SUM(AA26:AB26)</f>
        <v>99878.693127853738</v>
      </c>
      <c r="AD26" s="278">
        <f>SUM(Y26,AC26)</f>
        <v>21870256.290935595</v>
      </c>
      <c r="AE26" s="279">
        <f>Y26/C26</f>
        <v>0.32193901126440383</v>
      </c>
      <c r="AF26" s="279">
        <f>AD26/C26</f>
        <v>0.32341601126440378</v>
      </c>
      <c r="AG26" s="280">
        <f>AC26/Y26</f>
        <v>4.5878254834638898E-3</v>
      </c>
      <c r="AH26" s="281"/>
    </row>
    <row r="27" spans="1:34" x14ac:dyDescent="0.2">
      <c r="A27" s="198">
        <f t="shared" si="0"/>
        <v>20</v>
      </c>
      <c r="B27" s="198" t="s">
        <v>349</v>
      </c>
      <c r="C27" s="311">
        <v>1979340018.3287396</v>
      </c>
      <c r="D27" s="307">
        <v>9577000</v>
      </c>
      <c r="E27" s="307">
        <v>0</v>
      </c>
      <c r="F27" s="307">
        <v>0</v>
      </c>
      <c r="G27" s="307">
        <v>0</v>
      </c>
      <c r="H27" s="307">
        <v>2674088.3647621274</v>
      </c>
      <c r="I27" s="307">
        <v>233562.12216279126</v>
      </c>
      <c r="J27" s="308">
        <v>0</v>
      </c>
      <c r="K27" s="307">
        <v>0</v>
      </c>
      <c r="L27" s="307">
        <v>0</v>
      </c>
      <c r="M27" s="307">
        <v>33648.780311588576</v>
      </c>
      <c r="N27" s="307">
        <v>0</v>
      </c>
      <c r="O27" s="307">
        <v>0</v>
      </c>
      <c r="P27" s="307">
        <v>0</v>
      </c>
      <c r="Q27" s="307">
        <v>116160</v>
      </c>
      <c r="R27" s="307">
        <v>58320</v>
      </c>
      <c r="S27" s="307">
        <v>0</v>
      </c>
      <c r="T27" s="307">
        <v>0</v>
      </c>
      <c r="U27" s="307">
        <v>0</v>
      </c>
      <c r="V27" s="307">
        <v>0</v>
      </c>
      <c r="W27" s="307">
        <v>0</v>
      </c>
      <c r="X27" s="275">
        <f>SUM(E27:W27)</f>
        <v>3115779.2672365075</v>
      </c>
      <c r="Y27" s="275">
        <f>SUM(X27,D27)</f>
        <v>12692779.267236508</v>
      </c>
      <c r="AA27" s="276">
        <v>0</v>
      </c>
      <c r="AB27" s="277">
        <v>45524.820421561009</v>
      </c>
      <c r="AC27" s="278">
        <f>SUM(AA27:AB27)</f>
        <v>45524.820421561009</v>
      </c>
      <c r="AD27" s="278">
        <f>SUM(Y27,AC27)</f>
        <v>12738304.08765807</v>
      </c>
      <c r="AE27" s="279">
        <f>Y27/C27</f>
        <v>6.4126320640723903E-3</v>
      </c>
      <c r="AF27" s="279">
        <f>AD27/C27</f>
        <v>6.4356320640723908E-3</v>
      </c>
      <c r="AG27" s="280">
        <f>AC27/Y27</f>
        <v>3.5866707726551952E-3</v>
      </c>
      <c r="AH27" s="275"/>
    </row>
    <row r="28" spans="1:34" x14ac:dyDescent="0.2">
      <c r="A28" s="198">
        <f t="shared" si="0"/>
        <v>21</v>
      </c>
      <c r="B28" s="118" t="s">
        <v>168</v>
      </c>
      <c r="C28" s="311">
        <v>304641655.46199995</v>
      </c>
      <c r="D28" s="307">
        <v>3303000</v>
      </c>
      <c r="E28" s="307">
        <v>0</v>
      </c>
      <c r="F28" s="307">
        <v>0</v>
      </c>
      <c r="G28" s="307">
        <v>0</v>
      </c>
      <c r="H28" s="307">
        <v>1288938.8442597219</v>
      </c>
      <c r="I28" s="307">
        <v>187049.97645366797</v>
      </c>
      <c r="J28" s="308">
        <v>0</v>
      </c>
      <c r="K28" s="307">
        <v>0</v>
      </c>
      <c r="L28" s="307">
        <v>0</v>
      </c>
      <c r="M28" s="307">
        <v>156890.45256293</v>
      </c>
      <c r="N28" s="307">
        <v>0</v>
      </c>
      <c r="O28" s="307">
        <v>0</v>
      </c>
      <c r="P28" s="307">
        <v>0</v>
      </c>
      <c r="Q28" s="307">
        <v>549268.90479798592</v>
      </c>
      <c r="R28" s="307">
        <v>276005.33984857198</v>
      </c>
      <c r="S28" s="307">
        <v>0</v>
      </c>
      <c r="T28" s="307">
        <v>-85604.305184821991</v>
      </c>
      <c r="U28" s="307">
        <v>367397.83648717194</v>
      </c>
      <c r="V28" s="307">
        <v>0</v>
      </c>
      <c r="W28" s="307">
        <v>0</v>
      </c>
      <c r="X28" s="275">
        <f>SUM(E28:W28)</f>
        <v>2739947.0492252279</v>
      </c>
      <c r="Y28" s="275">
        <f>SUM(X28,D28)</f>
        <v>6042947.0492252279</v>
      </c>
      <c r="AA28" s="276">
        <v>0</v>
      </c>
      <c r="AB28" s="277">
        <v>19801.707605029995</v>
      </c>
      <c r="AC28" s="278">
        <f>SUM(AA28:AB28)</f>
        <v>19801.707605029995</v>
      </c>
      <c r="AD28" s="278">
        <f>SUM(Y28,AC28)</f>
        <v>6062748.7568302583</v>
      </c>
      <c r="AE28" s="279">
        <f>Y28/C28</f>
        <v>1.9836246753783173E-2</v>
      </c>
      <c r="AF28" s="279">
        <f>AD28/C28</f>
        <v>1.9901246753783172E-2</v>
      </c>
      <c r="AG28" s="280">
        <f>AC28/Y28</f>
        <v>3.2768295740021073E-3</v>
      </c>
      <c r="AH28" s="275"/>
    </row>
    <row r="29" spans="1:34" x14ac:dyDescent="0.2">
      <c r="A29" s="198">
        <f t="shared" si="0"/>
        <v>22</v>
      </c>
      <c r="B29" s="198"/>
      <c r="C29" s="122"/>
      <c r="D29" s="291"/>
      <c r="E29" s="291"/>
      <c r="F29" s="291"/>
      <c r="G29" s="291"/>
      <c r="H29" s="291"/>
      <c r="I29" s="291"/>
      <c r="J29" s="292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75"/>
      <c r="Y29" s="275"/>
      <c r="AA29" s="276"/>
      <c r="AB29" s="277"/>
      <c r="AC29" s="278"/>
      <c r="AD29" s="278"/>
      <c r="AE29" s="279"/>
      <c r="AF29" s="279"/>
      <c r="AG29" s="280"/>
      <c r="AH29" s="275"/>
    </row>
    <row r="30" spans="1:34" ht="12" thickBot="1" x14ac:dyDescent="0.25">
      <c r="A30" s="198">
        <f t="shared" si="0"/>
        <v>23</v>
      </c>
      <c r="B30" s="198" t="s">
        <v>350</v>
      </c>
      <c r="C30" s="126">
        <f t="shared" ref="C30:Y30" si="17">SUM(C9,C15,C20,C24,C26:C28)</f>
        <v>23414083764.004501</v>
      </c>
      <c r="D30" s="293">
        <f t="shared" si="17"/>
        <v>2103264000</v>
      </c>
      <c r="E30" s="293">
        <f t="shared" si="17"/>
        <v>45609128.26963114</v>
      </c>
      <c r="F30" s="293">
        <f t="shared" si="17"/>
        <v>0</v>
      </c>
      <c r="G30" s="293">
        <f t="shared" si="17"/>
        <v>1072482.6136041367</v>
      </c>
      <c r="H30" s="293">
        <f t="shared" si="17"/>
        <v>100682976.37367576</v>
      </c>
      <c r="I30" s="293">
        <f t="shared" si="17"/>
        <v>54116863.65603257</v>
      </c>
      <c r="J30" s="294">
        <f t="shared" si="17"/>
        <v>0</v>
      </c>
      <c r="K30" s="293">
        <f t="shared" si="17"/>
        <v>3263707.07681177</v>
      </c>
      <c r="L30" s="293">
        <f t="shared" si="17"/>
        <v>-1417531.3423638302</v>
      </c>
      <c r="M30" s="293">
        <f t="shared" si="17"/>
        <v>48287557.734931313</v>
      </c>
      <c r="N30" s="293">
        <f t="shared" si="17"/>
        <v>37626181.927930988</v>
      </c>
      <c r="O30" s="293">
        <f t="shared" si="17"/>
        <v>0</v>
      </c>
      <c r="P30" s="293">
        <f t="shared" si="17"/>
        <v>51528907.238406241</v>
      </c>
      <c r="Q30" s="293">
        <f t="shared" si="17"/>
        <v>187435293.56435844</v>
      </c>
      <c r="R30" s="293">
        <f t="shared" si="17"/>
        <v>94204418.903019696</v>
      </c>
      <c r="S30" s="293">
        <f t="shared" si="17"/>
        <v>6228135.0517366864</v>
      </c>
      <c r="T30" s="293">
        <f t="shared" si="17"/>
        <v>-16466837.495482264</v>
      </c>
      <c r="U30" s="293">
        <f t="shared" si="17"/>
        <v>-30863073.084011916</v>
      </c>
      <c r="V30" s="293">
        <f t="shared" si="17"/>
        <v>0</v>
      </c>
      <c r="W30" s="293">
        <f t="shared" si="17"/>
        <v>-78043777.710635602</v>
      </c>
      <c r="X30" s="293">
        <f t="shared" si="17"/>
        <v>503264432.77764505</v>
      </c>
      <c r="Y30" s="293">
        <f t="shared" si="17"/>
        <v>2606528432.7776456</v>
      </c>
      <c r="AA30" s="295">
        <f t="shared" ref="AA30:AD30" si="18">SUM(AA9,AA15,AA20,AA24,AA26:AA28)</f>
        <v>0</v>
      </c>
      <c r="AB30" s="296">
        <f t="shared" si="18"/>
        <v>11934149.837975584</v>
      </c>
      <c r="AC30" s="297">
        <f t="shared" si="18"/>
        <v>11934149.837975584</v>
      </c>
      <c r="AD30" s="297">
        <f t="shared" si="18"/>
        <v>2618462582.6156206</v>
      </c>
      <c r="AE30" s="298">
        <f>Y30/C30</f>
        <v>0.11132310190094973</v>
      </c>
      <c r="AF30" s="298">
        <f>AD30/C30</f>
        <v>0.11183280153123472</v>
      </c>
      <c r="AG30" s="299">
        <f>AC30/Y30</f>
        <v>4.5785611574004443E-3</v>
      </c>
      <c r="AH30" s="275"/>
    </row>
    <row r="31" spans="1:34" ht="12" thickTop="1" x14ac:dyDescent="0.2">
      <c r="A31" s="198">
        <f t="shared" si="0"/>
        <v>24</v>
      </c>
      <c r="B31" s="198"/>
      <c r="C31" s="122"/>
      <c r="D31" s="291"/>
      <c r="E31" s="291"/>
      <c r="F31" s="291"/>
      <c r="G31" s="291"/>
      <c r="H31" s="291"/>
      <c r="I31" s="291"/>
      <c r="J31" s="292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75"/>
      <c r="Y31" s="275"/>
      <c r="AA31" s="276"/>
      <c r="AB31" s="277"/>
      <c r="AC31" s="278"/>
      <c r="AD31" s="278"/>
      <c r="AE31" s="279"/>
      <c r="AF31" s="279"/>
      <c r="AG31" s="280"/>
      <c r="AH31" s="275"/>
    </row>
    <row r="32" spans="1:34" x14ac:dyDescent="0.2">
      <c r="A32" s="198">
        <f t="shared" si="0"/>
        <v>25</v>
      </c>
      <c r="B32" s="198">
        <v>5</v>
      </c>
      <c r="C32" s="314">
        <v>6791642.9865201386</v>
      </c>
      <c r="D32" s="315">
        <v>529000</v>
      </c>
      <c r="E32" s="315">
        <v>13838.198910913627</v>
      </c>
      <c r="F32" s="315">
        <v>0</v>
      </c>
      <c r="G32" s="315">
        <v>346.37379231252709</v>
      </c>
      <c r="H32" s="315">
        <v>0</v>
      </c>
      <c r="I32" s="315">
        <v>0</v>
      </c>
      <c r="J32" s="316">
        <v>0</v>
      </c>
      <c r="K32" s="315">
        <v>0</v>
      </c>
      <c r="L32" s="315">
        <v>0</v>
      </c>
      <c r="M32" s="315">
        <v>0</v>
      </c>
      <c r="N32" s="315">
        <v>11111.127925946947</v>
      </c>
      <c r="O32" s="315">
        <v>0</v>
      </c>
      <c r="P32" s="315">
        <v>12917.704960361303</v>
      </c>
      <c r="Q32" s="315">
        <v>43655.039355220768</v>
      </c>
      <c r="R32" s="315">
        <v>21915.811036435145</v>
      </c>
      <c r="S32" s="315">
        <v>0</v>
      </c>
      <c r="T32" s="315">
        <v>-5140.6445275043743</v>
      </c>
      <c r="U32" s="315">
        <v>0</v>
      </c>
      <c r="V32" s="315">
        <v>0</v>
      </c>
      <c r="W32" s="315">
        <v>0</v>
      </c>
      <c r="X32" s="283">
        <v>98643.611453685939</v>
      </c>
      <c r="Y32" s="283">
        <v>627643.61145368591</v>
      </c>
      <c r="AA32" s="300">
        <v>0</v>
      </c>
      <c r="AB32" s="301">
        <v>0</v>
      </c>
      <c r="AC32" s="288">
        <f>SUM(AA32:AB32)</f>
        <v>0</v>
      </c>
      <c r="AD32" s="288">
        <f>SUM(Y32,AC32)</f>
        <v>627643.61145368591</v>
      </c>
      <c r="AE32" s="289">
        <f>Y32/C32</f>
        <v>9.2414105496919557E-2</v>
      </c>
      <c r="AF32" s="289">
        <f>AD32/C32</f>
        <v>9.2414105496919557E-2</v>
      </c>
      <c r="AG32" s="290">
        <f>AC32/Y32</f>
        <v>0</v>
      </c>
      <c r="AH32" s="275"/>
    </row>
    <row r="33" spans="1:34" ht="12" thickBot="1" x14ac:dyDescent="0.25">
      <c r="A33" s="198">
        <f t="shared" si="0"/>
        <v>26</v>
      </c>
      <c r="B33" s="198"/>
      <c r="C33" s="122"/>
      <c r="D33" s="291"/>
      <c r="E33" s="291"/>
      <c r="F33" s="291"/>
      <c r="G33" s="291"/>
      <c r="H33" s="291"/>
      <c r="I33" s="291"/>
      <c r="J33" s="292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75"/>
      <c r="Y33" s="275"/>
      <c r="AA33" s="276"/>
      <c r="AB33" s="277"/>
      <c r="AC33" s="302"/>
      <c r="AD33" s="302"/>
      <c r="AE33" s="303"/>
      <c r="AF33" s="303"/>
      <c r="AG33" s="304"/>
      <c r="AH33" s="275"/>
    </row>
    <row r="34" spans="1:34" ht="12" thickBot="1" x14ac:dyDescent="0.25">
      <c r="A34" s="198">
        <f t="shared" si="0"/>
        <v>27</v>
      </c>
      <c r="B34" s="198" t="s">
        <v>55</v>
      </c>
      <c r="C34" s="126">
        <f t="shared" ref="C34:Y34" si="19">SUM(C30,C32)</f>
        <v>23420875406.99102</v>
      </c>
      <c r="D34" s="293">
        <f t="shared" si="19"/>
        <v>2103793000</v>
      </c>
      <c r="E34" s="293">
        <f t="shared" si="19"/>
        <v>45622966.468542054</v>
      </c>
      <c r="F34" s="293">
        <f t="shared" si="19"/>
        <v>0</v>
      </c>
      <c r="G34" s="293">
        <f t="shared" si="19"/>
        <v>1072828.9873964493</v>
      </c>
      <c r="H34" s="293">
        <f t="shared" si="19"/>
        <v>100682976.37367576</v>
      </c>
      <c r="I34" s="293">
        <f t="shared" si="19"/>
        <v>54116863.65603257</v>
      </c>
      <c r="J34" s="294">
        <f t="shared" si="19"/>
        <v>0</v>
      </c>
      <c r="K34" s="293">
        <f t="shared" si="19"/>
        <v>3263707.07681177</v>
      </c>
      <c r="L34" s="293">
        <f t="shared" si="19"/>
        <v>-1417531.3423638302</v>
      </c>
      <c r="M34" s="293">
        <f t="shared" si="19"/>
        <v>48287557.734931313</v>
      </c>
      <c r="N34" s="293">
        <f t="shared" si="19"/>
        <v>37637293.055856936</v>
      </c>
      <c r="O34" s="293">
        <f t="shared" si="19"/>
        <v>0</v>
      </c>
      <c r="P34" s="293">
        <f t="shared" si="19"/>
        <v>51541824.943366602</v>
      </c>
      <c r="Q34" s="293">
        <f t="shared" si="19"/>
        <v>187478948.60371366</v>
      </c>
      <c r="R34" s="293">
        <f t="shared" si="19"/>
        <v>94226334.714056134</v>
      </c>
      <c r="S34" s="293">
        <f t="shared" si="19"/>
        <v>6228135.0517366864</v>
      </c>
      <c r="T34" s="293">
        <f t="shared" si="19"/>
        <v>-16471978.140009768</v>
      </c>
      <c r="U34" s="293">
        <f t="shared" si="19"/>
        <v>-30863073.084011916</v>
      </c>
      <c r="V34" s="293">
        <f t="shared" si="19"/>
        <v>0</v>
      </c>
      <c r="W34" s="293">
        <f t="shared" si="19"/>
        <v>-78043777.710635602</v>
      </c>
      <c r="X34" s="293">
        <f t="shared" si="19"/>
        <v>503363076.38909876</v>
      </c>
      <c r="Y34" s="293">
        <f t="shared" si="19"/>
        <v>2607156076.3890991</v>
      </c>
      <c r="AA34" s="295">
        <f t="shared" ref="AA34:AD34" si="20">SUM(AA30,AA32)</f>
        <v>0</v>
      </c>
      <c r="AB34" s="296">
        <f t="shared" si="20"/>
        <v>11934149.837975584</v>
      </c>
      <c r="AC34" s="305">
        <f t="shared" si="20"/>
        <v>11934149.837975584</v>
      </c>
      <c r="AD34" s="305">
        <f t="shared" si="20"/>
        <v>2619090226.2270741</v>
      </c>
      <c r="AE34" s="303">
        <f>Y34/C34</f>
        <v>0.11131761862372042</v>
      </c>
      <c r="AF34" s="303">
        <f>AD34/C34</f>
        <v>0.11182717045005448</v>
      </c>
      <c r="AG34" s="306">
        <f>AC34/Y34</f>
        <v>4.5774589201059007E-3</v>
      </c>
      <c r="AH34" s="275"/>
    </row>
    <row r="35" spans="1:34" ht="12" thickTop="1" x14ac:dyDescent="0.2">
      <c r="AC35" s="309" t="s">
        <v>278</v>
      </c>
    </row>
    <row r="36" spans="1:34" x14ac:dyDescent="0.2">
      <c r="B36" s="110" t="s">
        <v>351</v>
      </c>
      <c r="AB36" s="309"/>
      <c r="AC36" s="310">
        <f>SUM(AA34:AB34)-AC34</f>
        <v>0</v>
      </c>
    </row>
    <row r="37" spans="1:34" x14ac:dyDescent="0.2"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</sheetData>
  <printOptions horizontalCentered="1"/>
  <pageMargins left="0.25" right="0.25" top="0.75" bottom="0.75" header="0.3" footer="0.3"/>
  <pageSetup scale="60" fitToWidth="0" orientation="landscape" r:id="rId1"/>
  <headerFooter>
    <oddFooter>&amp;L&amp;"Times New Roman,Regular"&amp;F
&amp;A&amp;R&amp;"Times New Roman,Regular"Page &amp;P of &amp;N</oddFooter>
  </headerFooter>
  <colBreaks count="1" manualBreakCount="1">
    <brk id="25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79998168889431442"/>
    <pageSetUpPr fitToPage="1"/>
  </sheetPr>
  <dimension ref="A1:I41"/>
  <sheetViews>
    <sheetView zoomScaleNormal="100" workbookViewId="0">
      <pane xSplit="3" ySplit="5" topLeftCell="D12" activePane="bottomRight" state="frozen"/>
      <selection pane="topRight" activeCell="D1" sqref="D1"/>
      <selection pane="bottomLeft" activeCell="A6" sqref="A6"/>
      <selection pane="bottomRight" activeCell="A41" sqref="A41:I41"/>
    </sheetView>
  </sheetViews>
  <sheetFormatPr defaultColWidth="9.140625" defaultRowHeight="11.25" x14ac:dyDescent="0.2"/>
  <cols>
    <col min="1" max="1" width="4.42578125" style="2" bestFit="1" customWidth="1"/>
    <col min="2" max="2" width="78" style="2" bestFit="1" customWidth="1"/>
    <col min="3" max="3" width="9.5703125" style="18" bestFit="1" customWidth="1"/>
    <col min="4" max="4" width="13.85546875" style="4" bestFit="1" customWidth="1"/>
    <col min="5" max="5" width="16.42578125" style="4" bestFit="1" customWidth="1"/>
    <col min="6" max="6" width="15.140625" style="2" bestFit="1" customWidth="1"/>
    <col min="7" max="7" width="12.5703125" style="4" bestFit="1" customWidth="1"/>
    <col min="8" max="8" width="12.5703125" style="2" bestFit="1" customWidth="1"/>
    <col min="9" max="9" width="10.42578125" style="2" bestFit="1" customWidth="1"/>
    <col min="10" max="16384" width="9.140625" style="2"/>
  </cols>
  <sheetData>
    <row r="1" spans="1:9" s="244" customFormat="1" x14ac:dyDescent="0.2">
      <c r="A1" s="240" t="str">
        <f>+'2023 Proposed Impacts'!A1</f>
        <v>2023 Bill Discount Rider Rate</v>
      </c>
      <c r="B1" s="241"/>
      <c r="C1" s="241"/>
      <c r="D1" s="242"/>
      <c r="E1" s="242"/>
      <c r="F1" s="241"/>
      <c r="G1" s="242"/>
      <c r="H1" s="241"/>
      <c r="I1" s="243"/>
    </row>
    <row r="2" spans="1:9" s="244" customFormat="1" x14ac:dyDescent="0.2">
      <c r="A2" s="245" t="str">
        <f>+'2023 Proposed Impacts'!A3</f>
        <v>For the Twelve Months Ended September 30, 2024</v>
      </c>
      <c r="B2" s="246"/>
      <c r="C2" s="246"/>
      <c r="D2" s="247"/>
      <c r="E2" s="247"/>
      <c r="F2" s="246"/>
      <c r="G2" s="247"/>
      <c r="H2" s="246"/>
      <c r="I2" s="248"/>
    </row>
    <row r="3" spans="1:9" s="40" customFormat="1" x14ac:dyDescent="0.2">
      <c r="A3" s="167"/>
      <c r="C3" s="14"/>
      <c r="D3" s="168"/>
      <c r="E3" s="168"/>
      <c r="G3" s="168"/>
      <c r="I3" s="169"/>
    </row>
    <row r="4" spans="1:9" s="42" customFormat="1" ht="68.25" thickBot="1" x14ac:dyDescent="0.25">
      <c r="A4" s="68" t="s">
        <v>3</v>
      </c>
      <c r="B4" s="43" t="s">
        <v>57</v>
      </c>
      <c r="C4" s="43" t="s">
        <v>0</v>
      </c>
      <c r="D4" s="170" t="str">
        <f>+'2023 Proposed Impacts'!D5</f>
        <v>F2023 Forecast Delivered kWh 10/01/23 through 09/30/24</v>
      </c>
      <c r="E4" s="69" t="str">
        <f>"Forecast Delivered Applicable Base Revenue "&amp;TEXT(Controls!B7,"mmmm d, yyyy")&amp;" through "&amp;TEXT(Controls!B8,"mmmm d, yyyy")&amp;" (Note 1)"</f>
        <v>Forecast Delivered Applicable Base Revenue October 1, 2023 through September 30, 2024 (Note 1)</v>
      </c>
      <c r="F4" s="44" t="str">
        <f>"Proposed Equal % "&amp;TEXT(Controls!B1,"YYYY")&amp;" Bill Discount Rider (Ex. Special Contract)"</f>
        <v>Proposed Equal % 2023 Bill Discount Rider (Ex. Special Contract)</v>
      </c>
      <c r="G4" s="69" t="str">
        <f>"$ Including Proposed "&amp;TEXT(Controls!B1,"YYYY")&amp;" Bill Discount"</f>
        <v>$ Including Proposed 2023 Bill Discount</v>
      </c>
      <c r="H4" s="44" t="str">
        <f>"Proposed "&amp;TEXT(Controls!B1,"YYYY")&amp;" Bill Discount $"</f>
        <v>Proposed 2023 Bill Discount $</v>
      </c>
      <c r="I4" s="171" t="s">
        <v>89</v>
      </c>
    </row>
    <row r="5" spans="1:9" s="12" customFormat="1" ht="23.25" thickBot="1" x14ac:dyDescent="0.25">
      <c r="A5" s="48"/>
      <c r="B5" s="49"/>
      <c r="C5" s="49"/>
      <c r="D5" s="53" t="s">
        <v>8</v>
      </c>
      <c r="E5" s="53" t="s">
        <v>9</v>
      </c>
      <c r="F5" s="51" t="s">
        <v>108</v>
      </c>
      <c r="G5" s="49" t="s">
        <v>60</v>
      </c>
      <c r="H5" s="53" t="s">
        <v>61</v>
      </c>
      <c r="I5" s="172" t="s">
        <v>62</v>
      </c>
    </row>
    <row r="6" spans="1:9" x14ac:dyDescent="0.2">
      <c r="A6" s="173"/>
      <c r="I6" s="55"/>
    </row>
    <row r="7" spans="1:9" x14ac:dyDescent="0.2">
      <c r="A7" s="54">
        <v>1</v>
      </c>
      <c r="B7" s="9" t="s">
        <v>1</v>
      </c>
      <c r="C7" s="18">
        <v>7</v>
      </c>
      <c r="D7" s="237">
        <f>+'Base Revenue'!D9</f>
        <v>11213362869.317253</v>
      </c>
      <c r="E7" s="239">
        <f>'Base Revenue'!S9</f>
        <v>1437672682.9549134</v>
      </c>
      <c r="F7" s="45">
        <f>(IF(D7&gt;0,E7*$E$38/D7,0))</f>
        <v>6.0730447322874766E-4</v>
      </c>
      <c r="G7" s="26">
        <f>+H7+E7</f>
        <v>1444482608.3853869</v>
      </c>
      <c r="H7" s="26">
        <f>+F7*D7</f>
        <v>6809925.430473513</v>
      </c>
      <c r="I7" s="174">
        <f>IF(E7&gt;0,+H7/E7,0)</f>
        <v>4.7367704145819664E-3</v>
      </c>
    </row>
    <row r="8" spans="1:9" x14ac:dyDescent="0.2">
      <c r="A8" s="54">
        <f t="shared" ref="A8:A38" si="0">+A7+1</f>
        <v>2</v>
      </c>
      <c r="B8" s="9"/>
      <c r="D8" s="237"/>
      <c r="E8" s="239"/>
      <c r="F8" s="57"/>
      <c r="G8" s="26"/>
      <c r="H8" s="26"/>
      <c r="I8" s="174"/>
    </row>
    <row r="9" spans="1:9" x14ac:dyDescent="0.2">
      <c r="A9" s="54">
        <f t="shared" si="0"/>
        <v>3</v>
      </c>
      <c r="B9" s="27" t="s">
        <v>40</v>
      </c>
      <c r="C9" s="46" t="s">
        <v>97</v>
      </c>
      <c r="D9" s="237">
        <f>+'Base Revenue'!D13</f>
        <v>2754555586.0203085</v>
      </c>
      <c r="E9" s="239">
        <f>'Base Revenue'!S13</f>
        <v>325129226.58972716</v>
      </c>
      <c r="F9" s="45">
        <f>(IF(D9&gt;0,E9*$E$38/D9,0))</f>
        <v>5.5909654146829829E-4</v>
      </c>
      <c r="G9" s="26">
        <f>+H9+E9</f>
        <v>326669289.09115332</v>
      </c>
      <c r="H9" s="26">
        <f>+F9*D9</f>
        <v>1540062.5014261361</v>
      </c>
      <c r="I9" s="174">
        <f>IF(E9&gt;0,+H9/E9,0)</f>
        <v>4.7367704145819664E-3</v>
      </c>
    </row>
    <row r="10" spans="1:9" x14ac:dyDescent="0.2">
      <c r="A10" s="54">
        <f t="shared" si="0"/>
        <v>4</v>
      </c>
      <c r="B10" s="27" t="s">
        <v>41</v>
      </c>
      <c r="C10" s="3" t="s">
        <v>98</v>
      </c>
      <c r="D10" s="237">
        <f>+'Base Revenue'!D14</f>
        <v>2952911791.3048167</v>
      </c>
      <c r="E10" s="239">
        <f>'Base Revenue'!S14</f>
        <v>323930213.32512605</v>
      </c>
      <c r="F10" s="45">
        <f>(IF(D10&gt;0,E10*$E$38/D10,0))</f>
        <v>5.1961696092170677E-4</v>
      </c>
      <c r="G10" s="26">
        <f>+H10+E10</f>
        <v>325464596.37599373</v>
      </c>
      <c r="H10" s="26">
        <f>+F10*D10</f>
        <v>1534383.0508676821</v>
      </c>
      <c r="I10" s="174">
        <f>IF(E10&gt;0,+H10/E10,0)</f>
        <v>4.7367704145819664E-3</v>
      </c>
    </row>
    <row r="11" spans="1:9" x14ac:dyDescent="0.2">
      <c r="A11" s="54">
        <f t="shared" si="0"/>
        <v>5</v>
      </c>
      <c r="B11" s="27" t="s">
        <v>42</v>
      </c>
      <c r="C11" s="3" t="s">
        <v>99</v>
      </c>
      <c r="D11" s="237">
        <f>+'Base Revenue'!D15</f>
        <v>1951040617.7585633</v>
      </c>
      <c r="E11" s="239">
        <f>'Base Revenue'!S15</f>
        <v>196718255.91402176</v>
      </c>
      <c r="F11" s="45">
        <f>(IF(D11&gt;0,E11*$E$38/D11,0))</f>
        <v>4.77596010119053E-4</v>
      </c>
      <c r="G11" s="26">
        <f>+H11+E11</f>
        <v>197650065.12864345</v>
      </c>
      <c r="H11" s="26">
        <f>+F11*D11</f>
        <v>931809.21462170221</v>
      </c>
      <c r="I11" s="174">
        <f>IF(E11&gt;0,+H11/E11,0)</f>
        <v>4.7367704145819664E-3</v>
      </c>
    </row>
    <row r="12" spans="1:9" x14ac:dyDescent="0.2">
      <c r="A12" s="54">
        <f t="shared" si="0"/>
        <v>6</v>
      </c>
      <c r="B12" s="17" t="s">
        <v>43</v>
      </c>
      <c r="C12" s="18">
        <v>29</v>
      </c>
      <c r="D12" s="237">
        <f>+'Base Revenue'!D16</f>
        <v>15033126.247213177</v>
      </c>
      <c r="E12" s="239">
        <f>'Base Revenue'!S16</f>
        <v>1557211.7539849523</v>
      </c>
      <c r="F12" s="45">
        <f>(IF(D12&gt;0,E12*$E$38/D12,0))</f>
        <v>4.9066005594695223E-4</v>
      </c>
      <c r="G12" s="26">
        <f>+H12+E12</f>
        <v>1564587.9085504676</v>
      </c>
      <c r="H12" s="26">
        <f>+F12*D12</f>
        <v>7376.154565515214</v>
      </c>
      <c r="I12" s="174">
        <f>IF(E12&gt;0,+H12/E12,0)</f>
        <v>4.7367704145819664E-3</v>
      </c>
    </row>
    <row r="13" spans="1:9" x14ac:dyDescent="0.2">
      <c r="A13" s="54">
        <f t="shared" si="0"/>
        <v>7</v>
      </c>
      <c r="B13" s="9" t="s">
        <v>44</v>
      </c>
      <c r="D13" s="175">
        <f>SUM(D9:D12)</f>
        <v>7673541121.3309011</v>
      </c>
      <c r="E13" s="34">
        <f>SUM(E9:E12)</f>
        <v>847334907.58285987</v>
      </c>
      <c r="F13" s="176">
        <f>+H13/D13</f>
        <v>5.2304807624265523E-4</v>
      </c>
      <c r="G13" s="34">
        <f>SUM(G9:G12)</f>
        <v>851348538.50434113</v>
      </c>
      <c r="H13" s="34">
        <f>SUM(H9:H12)</f>
        <v>4013630.9214810356</v>
      </c>
      <c r="I13" s="177">
        <f>IF(E13&gt;0,+H13/E13,0)</f>
        <v>4.7367704145819664E-3</v>
      </c>
    </row>
    <row r="14" spans="1:9" x14ac:dyDescent="0.2">
      <c r="A14" s="54">
        <f t="shared" si="0"/>
        <v>8</v>
      </c>
      <c r="B14" s="9"/>
      <c r="E14" s="26"/>
      <c r="F14" s="57"/>
      <c r="G14" s="26"/>
      <c r="H14" s="26"/>
      <c r="I14" s="174"/>
    </row>
    <row r="15" spans="1:9" x14ac:dyDescent="0.2">
      <c r="A15" s="54">
        <f t="shared" si="0"/>
        <v>9</v>
      </c>
      <c r="B15" s="27" t="s">
        <v>45</v>
      </c>
      <c r="C15" s="3" t="s">
        <v>101</v>
      </c>
      <c r="D15" s="237">
        <f>+'Base Revenue'!D20</f>
        <v>1414567504.5081706</v>
      </c>
      <c r="E15" s="239">
        <f>'Base Revenue'!S20</f>
        <v>139822614.49368024</v>
      </c>
      <c r="F15" s="45">
        <f>(IF(D15&gt;0,E15*$E$38/D15,0))</f>
        <v>4.6820503193549697E-4</v>
      </c>
      <c r="G15" s="26">
        <f>+H15+E15</f>
        <v>140484922.1173034</v>
      </c>
      <c r="H15" s="26">
        <f>+F15*D15</f>
        <v>662307.62362316425</v>
      </c>
      <c r="I15" s="174">
        <f>IF(E15&gt;0,+H15/E15,0)</f>
        <v>4.7367704145819664E-3</v>
      </c>
    </row>
    <row r="16" spans="1:9" x14ac:dyDescent="0.2">
      <c r="A16" s="54">
        <f t="shared" si="0"/>
        <v>10</v>
      </c>
      <c r="B16" s="17" t="s">
        <v>46</v>
      </c>
      <c r="C16" s="18">
        <v>35</v>
      </c>
      <c r="D16" s="237">
        <f>+'Base Revenue'!D21</f>
        <v>4436241.4261872498</v>
      </c>
      <c r="E16" s="239">
        <f>'Base Revenue'!S21</f>
        <v>363048.61345497653</v>
      </c>
      <c r="F16" s="45">
        <f>(IF(D16&gt;0,E16*$E$38/D16,0))</f>
        <v>3.876429991202086E-4</v>
      </c>
      <c r="G16" s="26">
        <f>+H16+E16</f>
        <v>364768.29138624505</v>
      </c>
      <c r="H16" s="26">
        <f>+F16*D16</f>
        <v>1719.6779312685371</v>
      </c>
      <c r="I16" s="174">
        <f>IF(E16&gt;0,+H16/E16,0)</f>
        <v>4.7367704145819664E-3</v>
      </c>
    </row>
    <row r="17" spans="1:9" x14ac:dyDescent="0.2">
      <c r="A17" s="54">
        <f t="shared" si="0"/>
        <v>11</v>
      </c>
      <c r="B17" s="17" t="s">
        <v>47</v>
      </c>
      <c r="C17" s="18">
        <v>43</v>
      </c>
      <c r="D17" s="237">
        <f>+'Base Revenue'!D22</f>
        <v>123047958.74213007</v>
      </c>
      <c r="E17" s="239">
        <f>'Base Revenue'!S22</f>
        <v>12448281.701067314</v>
      </c>
      <c r="F17" s="45">
        <f>(IF(D17&gt;0,E17*$E$38/D17,0))</f>
        <v>4.7920057412385967E-4</v>
      </c>
      <c r="G17" s="26">
        <f>+H17+E17</f>
        <v>12507246.353541311</v>
      </c>
      <c r="H17" s="26">
        <f>+F17*D17</f>
        <v>58964.652473997725</v>
      </c>
      <c r="I17" s="174">
        <f>IF(E17&gt;0,+H17/E17,0)</f>
        <v>4.7367704145819664E-3</v>
      </c>
    </row>
    <row r="18" spans="1:9" x14ac:dyDescent="0.2">
      <c r="A18" s="54">
        <f t="shared" si="0"/>
        <v>12</v>
      </c>
      <c r="B18" s="7" t="s">
        <v>48</v>
      </c>
      <c r="D18" s="175">
        <f>SUM(D15:D17)</f>
        <v>1542051704.6764879</v>
      </c>
      <c r="E18" s="34">
        <f>SUM(E15:E17)</f>
        <v>152633944.80820251</v>
      </c>
      <c r="F18" s="176">
        <f>+H18/D18</f>
        <v>4.6885065645714476E-4</v>
      </c>
      <c r="G18" s="34">
        <f>SUM(G15:G17)</f>
        <v>153356936.76223096</v>
      </c>
      <c r="H18" s="34">
        <f>SUM(H15:H17)</f>
        <v>722991.95402843051</v>
      </c>
      <c r="I18" s="177">
        <f>IF(E18&gt;0,+H18/E18,0)</f>
        <v>4.7367704145819672E-3</v>
      </c>
    </row>
    <row r="19" spans="1:9" x14ac:dyDescent="0.2">
      <c r="A19" s="54">
        <f t="shared" si="0"/>
        <v>13</v>
      </c>
      <c r="B19" s="7"/>
      <c r="E19" s="26"/>
      <c r="F19" s="57"/>
      <c r="G19" s="26"/>
      <c r="H19" s="26"/>
      <c r="I19" s="174"/>
    </row>
    <row r="20" spans="1:9" x14ac:dyDescent="0.2">
      <c r="A20" s="54">
        <f t="shared" si="0"/>
        <v>14</v>
      </c>
      <c r="B20" s="17" t="s">
        <v>49</v>
      </c>
      <c r="C20" s="18">
        <v>46</v>
      </c>
      <c r="D20" s="237">
        <f>+'Base Revenue'!D26</f>
        <v>97208997.868969813</v>
      </c>
      <c r="E20" s="239">
        <f>'Base Revenue'!S26</f>
        <v>7089943.3708676808</v>
      </c>
      <c r="F20" s="45">
        <f>(IF(D20&gt;0,E20*$E$38/D20,0))</f>
        <v>3.4547659924912948E-4</v>
      </c>
      <c r="G20" s="26">
        <f>+H20+E20</f>
        <v>7123526.8048678683</v>
      </c>
      <c r="H20" s="26">
        <f>+F20*D20</f>
        <v>33583.434000187568</v>
      </c>
      <c r="I20" s="174">
        <f>IF(E20&gt;0,+H20/E20,0)</f>
        <v>4.7367704145819664E-3</v>
      </c>
    </row>
    <row r="21" spans="1:9" x14ac:dyDescent="0.2">
      <c r="A21" s="54">
        <f t="shared" si="0"/>
        <v>15</v>
      </c>
      <c r="B21" s="27" t="s">
        <v>50</v>
      </c>
      <c r="C21" s="18">
        <v>49</v>
      </c>
      <c r="D21" s="237">
        <f>+'Base Revenue'!D27</f>
        <v>536314720.56256545</v>
      </c>
      <c r="E21" s="239">
        <f>'Base Revenue'!S27</f>
        <v>40286715.588952646</v>
      </c>
      <c r="F21" s="45">
        <f>(IF(D21&gt;0,E21*$E$38/D21,0))</f>
        <v>3.5581518684077825E-4</v>
      </c>
      <c r="G21" s="26">
        <f>+H21+E21</f>
        <v>40477544.511455074</v>
      </c>
      <c r="H21" s="26">
        <f>+F21*D21</f>
        <v>190828.92250242899</v>
      </c>
      <c r="I21" s="174">
        <f>IF(E21&gt;0,+H21/E21,0)</f>
        <v>4.7367704145819664E-3</v>
      </c>
    </row>
    <row r="22" spans="1:9" x14ac:dyDescent="0.2">
      <c r="A22" s="54">
        <f t="shared" si="0"/>
        <v>16</v>
      </c>
      <c r="B22" s="9" t="s">
        <v>51</v>
      </c>
      <c r="D22" s="175">
        <f>SUM(D20:D21)</f>
        <v>633523718.43153524</v>
      </c>
      <c r="E22" s="34">
        <f>SUM(E20:E21)</f>
        <v>47376658.95982033</v>
      </c>
      <c r="F22" s="176">
        <f>+H22/D22</f>
        <v>3.5422881570750333E-4</v>
      </c>
      <c r="G22" s="175">
        <f>SUM(G20:G21)</f>
        <v>47601071.316322945</v>
      </c>
      <c r="H22" s="34">
        <f>SUM(H20:H21)</f>
        <v>224412.35650261655</v>
      </c>
      <c r="I22" s="177">
        <f>IF(E22&gt;0,+H22/E22,0)</f>
        <v>4.7367704145819655E-3</v>
      </c>
    </row>
    <row r="23" spans="1:9" x14ac:dyDescent="0.2">
      <c r="A23" s="54">
        <f t="shared" si="0"/>
        <v>17</v>
      </c>
      <c r="B23" s="9"/>
      <c r="E23" s="26"/>
      <c r="F23" s="57"/>
      <c r="G23" s="26"/>
      <c r="H23" s="26"/>
      <c r="I23" s="174"/>
    </row>
    <row r="24" spans="1:9" x14ac:dyDescent="0.2">
      <c r="A24" s="54">
        <f t="shared" si="0"/>
        <v>18</v>
      </c>
      <c r="B24" s="9" t="s">
        <v>52</v>
      </c>
      <c r="C24" s="3" t="s">
        <v>163</v>
      </c>
      <c r="D24" s="237">
        <f>+'Base Revenue'!D30</f>
        <v>67622676.457585469</v>
      </c>
      <c r="E24" s="239">
        <f>'Base Revenue'!S30</f>
        <v>21087719.78846883</v>
      </c>
      <c r="F24" s="45">
        <f>(IF(D24&gt;0,E24*$E$38/D24,0))</f>
        <v>1.47713300386248E-3</v>
      </c>
      <c r="G24" s="26">
        <f>+H24+E24</f>
        <v>21187607.475673843</v>
      </c>
      <c r="H24" s="26">
        <f>+F24*D24</f>
        <v>99887.687205013834</v>
      </c>
      <c r="I24" s="174">
        <f>IF(E24&gt;0,+H24/E24,0)</f>
        <v>4.7367704145819664E-3</v>
      </c>
    </row>
    <row r="25" spans="1:9" x14ac:dyDescent="0.2">
      <c r="A25" s="54">
        <f t="shared" si="0"/>
        <v>19</v>
      </c>
      <c r="B25" s="9"/>
      <c r="C25" s="3"/>
      <c r="D25" s="237"/>
      <c r="E25" s="239"/>
      <c r="F25" s="57"/>
      <c r="G25" s="26"/>
      <c r="H25" s="26"/>
      <c r="I25" s="174"/>
    </row>
    <row r="26" spans="1:9" x14ac:dyDescent="0.2">
      <c r="A26" s="54">
        <f t="shared" si="0"/>
        <v>20</v>
      </c>
      <c r="B26" s="9" t="s">
        <v>86</v>
      </c>
      <c r="C26" s="3" t="s">
        <v>102</v>
      </c>
      <c r="D26" s="237">
        <f>+'Base Revenue'!D32</f>
        <v>1979340018.3287396</v>
      </c>
      <c r="E26" s="239">
        <f>'Base Revenue'!S32</f>
        <v>9785128.7803115882</v>
      </c>
      <c r="F26" s="45">
        <f>(IF(D26&gt;0,E26*$E$38/D26,0))</f>
        <v>2.3416850101676872E-5</v>
      </c>
      <c r="G26" s="26">
        <f>+H26+E26</f>
        <v>9831478.688821042</v>
      </c>
      <c r="H26" s="26">
        <f>+F26*D26</f>
        <v>46349.90850945445</v>
      </c>
      <c r="I26" s="174">
        <f>IF(E26&gt;0,+H26/E26,0)</f>
        <v>4.7367704145819664E-3</v>
      </c>
    </row>
    <row r="27" spans="1:9" x14ac:dyDescent="0.2">
      <c r="A27" s="54">
        <f t="shared" si="0"/>
        <v>21</v>
      </c>
      <c r="B27" s="9"/>
      <c r="E27" s="26"/>
      <c r="G27" s="26"/>
      <c r="H27" s="26"/>
      <c r="I27" s="55"/>
    </row>
    <row r="28" spans="1:9" x14ac:dyDescent="0.2">
      <c r="A28" s="54">
        <f t="shared" si="0"/>
        <v>22</v>
      </c>
      <c r="B28" s="7" t="s">
        <v>168</v>
      </c>
      <c r="C28" s="3" t="s">
        <v>169</v>
      </c>
      <c r="D28" s="237">
        <f>+'Base Revenue'!D34</f>
        <v>304641655.46199995</v>
      </c>
      <c r="E28" s="239">
        <f>'Base Revenue'!S34</f>
        <v>4199560.3920246661</v>
      </c>
      <c r="F28" s="45">
        <f>(IF(D28&gt;0,E28*$E$38/D28,0))</f>
        <v>6.5297548981032205E-5</v>
      </c>
      <c r="G28" s="26">
        <f>+H28+E28</f>
        <v>4219452.7454438591</v>
      </c>
      <c r="H28" s="26">
        <f>+F28*D28</f>
        <v>19892.353419192677</v>
      </c>
      <c r="I28" s="178">
        <f>IF(E28&gt;0,+H28/E28,0)</f>
        <v>4.7367704145819655E-3</v>
      </c>
    </row>
    <row r="29" spans="1:9" ht="12" thickBot="1" x14ac:dyDescent="0.25">
      <c r="A29" s="54">
        <f t="shared" si="0"/>
        <v>23</v>
      </c>
      <c r="B29" s="7" t="s">
        <v>172</v>
      </c>
      <c r="D29" s="321">
        <f>SUM(D7,D13,D18,D22,D24,D26,D28)</f>
        <v>23414083764.004501</v>
      </c>
      <c r="E29" s="320">
        <f>SUM(E7,E13,E18,E22,E24,E26,E28)</f>
        <v>2520090603.2666011</v>
      </c>
      <c r="F29" s="179">
        <f>+H29/D29</f>
        <v>5.098252287783591E-4</v>
      </c>
      <c r="G29" s="320">
        <f>SUM(G7,G13,G18,G22,G24,G26,G28)</f>
        <v>2532027693.8782201</v>
      </c>
      <c r="H29" s="320">
        <f>SUM(H7,H13,H18,H22,H24,H26,H28)</f>
        <v>11937090.611619258</v>
      </c>
      <c r="I29" s="180">
        <f>IF(E29&gt;0,+H29/E29,0)</f>
        <v>4.7367704145819672E-3</v>
      </c>
    </row>
    <row r="30" spans="1:9" ht="12.75" thickTop="1" thickBot="1" x14ac:dyDescent="0.25">
      <c r="A30" s="58">
        <f t="shared" si="0"/>
        <v>24</v>
      </c>
      <c r="B30" s="62"/>
      <c r="C30" s="60"/>
      <c r="D30" s="61"/>
      <c r="E30" s="61"/>
      <c r="F30" s="62"/>
      <c r="G30" s="61"/>
      <c r="H30" s="63"/>
      <c r="I30" s="181"/>
    </row>
    <row r="31" spans="1:9" x14ac:dyDescent="0.2">
      <c r="A31" s="18">
        <f t="shared" si="0"/>
        <v>25</v>
      </c>
      <c r="H31" s="37" t="s">
        <v>328</v>
      </c>
    </row>
    <row r="32" spans="1:9" x14ac:dyDescent="0.2">
      <c r="A32" s="18">
        <f t="shared" si="0"/>
        <v>26</v>
      </c>
      <c r="B32" s="2" t="s">
        <v>54</v>
      </c>
      <c r="D32" s="237">
        <f>+'Base Revenue'!D38</f>
        <v>6791642.9865201386</v>
      </c>
      <c r="E32" s="239">
        <f>'Base Revenue'!S38</f>
        <v>616186.10973542649</v>
      </c>
      <c r="H32" s="39">
        <f>E35-H29</f>
        <v>0</v>
      </c>
    </row>
    <row r="33" spans="1:9" ht="12" thickBot="1" x14ac:dyDescent="0.25">
      <c r="A33" s="18">
        <f t="shared" si="0"/>
        <v>27</v>
      </c>
      <c r="B33" s="2" t="s">
        <v>55</v>
      </c>
      <c r="D33" s="10">
        <f>+D32+D29</f>
        <v>23420875406.99102</v>
      </c>
      <c r="E33" s="32">
        <f>+E32+E29</f>
        <v>2520706789.3763366</v>
      </c>
    </row>
    <row r="34" spans="1:9" ht="12" thickTop="1" x14ac:dyDescent="0.2">
      <c r="A34" s="18">
        <f t="shared" si="0"/>
        <v>28</v>
      </c>
      <c r="E34" s="319"/>
    </row>
    <row r="35" spans="1:9" x14ac:dyDescent="0.2">
      <c r="A35" s="18">
        <f t="shared" si="0"/>
        <v>29</v>
      </c>
      <c r="B35" s="7" t="s">
        <v>325</v>
      </c>
      <c r="E35" s="238">
        <f>'Revenue Req'!V24</f>
        <v>11937090.611619256</v>
      </c>
      <c r="F35" s="182"/>
    </row>
    <row r="36" spans="1:9" x14ac:dyDescent="0.2">
      <c r="A36" s="18">
        <f t="shared" si="0"/>
        <v>30</v>
      </c>
      <c r="B36" s="2" t="s">
        <v>327</v>
      </c>
      <c r="E36" s="319">
        <f>E29</f>
        <v>2520090603.2666011</v>
      </c>
      <c r="F36" s="182"/>
    </row>
    <row r="37" spans="1:9" ht="12" thickBot="1" x14ac:dyDescent="0.25">
      <c r="A37" s="18">
        <f t="shared" si="0"/>
        <v>31</v>
      </c>
    </row>
    <row r="38" spans="1:9" ht="12" thickBot="1" x14ac:dyDescent="0.25">
      <c r="A38" s="260">
        <f t="shared" si="0"/>
        <v>32</v>
      </c>
      <c r="B38" s="183" t="s">
        <v>326</v>
      </c>
      <c r="C38" s="261"/>
      <c r="D38" s="184"/>
      <c r="E38" s="318">
        <f>E35/E36</f>
        <v>4.7367704145819664E-3</v>
      </c>
      <c r="F38" s="185" t="s">
        <v>63</v>
      </c>
      <c r="G38" s="186"/>
      <c r="H38" s="187"/>
      <c r="I38" s="188"/>
    </row>
    <row r="41" spans="1:9" s="91" customFormat="1" ht="33" customHeight="1" x14ac:dyDescent="0.2">
      <c r="A41" s="349" t="s">
        <v>375</v>
      </c>
      <c r="B41" s="349"/>
      <c r="C41" s="349"/>
      <c r="D41" s="349"/>
      <c r="E41" s="349"/>
      <c r="F41" s="349"/>
      <c r="G41" s="349"/>
      <c r="H41" s="349"/>
      <c r="I41" s="349"/>
    </row>
  </sheetData>
  <mergeCells count="1">
    <mergeCell ref="A41:I41"/>
  </mergeCells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79998168889431442"/>
    <pageSetUpPr fitToPage="1"/>
  </sheetPr>
  <dimension ref="A1:W46"/>
  <sheetViews>
    <sheetView zoomScaleNormal="100" workbookViewId="0">
      <pane xSplit="3" ySplit="6" topLeftCell="D28" activePane="bottomRight" state="frozen"/>
      <selection activeCell="J7" sqref="J7"/>
      <selection pane="topRight" activeCell="J7" sqref="J7"/>
      <selection pane="bottomLeft" activeCell="J7" sqref="J7"/>
      <selection pane="bottomRight" activeCell="B46" sqref="B46"/>
    </sheetView>
  </sheetViews>
  <sheetFormatPr defaultColWidth="9.140625" defaultRowHeight="11.25" x14ac:dyDescent="0.2"/>
  <cols>
    <col min="1" max="1" width="4.5703125" style="2" customWidth="1"/>
    <col min="2" max="2" width="30.28515625" style="2" customWidth="1"/>
    <col min="3" max="3" width="9.28515625" style="2" bestFit="1" customWidth="1"/>
    <col min="4" max="4" width="13.28515625" style="2" bestFit="1" customWidth="1"/>
    <col min="5" max="5" width="13.5703125" style="2" customWidth="1"/>
    <col min="6" max="6" width="11.5703125" style="2" bestFit="1" customWidth="1"/>
    <col min="7" max="7" width="8.85546875" style="2" customWidth="1"/>
    <col min="8" max="8" width="11.28515625" style="2" bestFit="1" customWidth="1"/>
    <col min="9" max="9" width="13.85546875" style="2" customWidth="1"/>
    <col min="10" max="10" width="14.7109375" style="2" customWidth="1"/>
    <col min="11" max="11" width="12.28515625" style="2" bestFit="1" customWidth="1"/>
    <col min="12" max="12" width="13.85546875" style="2" bestFit="1" customWidth="1"/>
    <col min="13" max="13" width="14.28515625" style="2" bestFit="1" customWidth="1"/>
    <col min="14" max="14" width="9.7109375" style="2" customWidth="1"/>
    <col min="15" max="15" width="12.28515625" style="2" bestFit="1" customWidth="1"/>
    <col min="16" max="16" width="11.28515625" style="2" hidden="1" customWidth="1"/>
    <col min="17" max="17" width="10.28515625" style="2" hidden="1" customWidth="1"/>
    <col min="18" max="18" width="12.42578125" style="2" bestFit="1" customWidth="1"/>
    <col min="19" max="19" width="12.85546875" style="2" bestFit="1" customWidth="1"/>
    <col min="20" max="20" width="1.42578125" style="2" customWidth="1"/>
    <col min="21" max="21" width="14.85546875" style="2" customWidth="1"/>
    <col min="22" max="22" width="13.28515625" style="2" bestFit="1" customWidth="1"/>
    <col min="23" max="23" width="13.5703125" style="2" bestFit="1" customWidth="1"/>
    <col min="24" max="25" width="9.140625" style="2"/>
    <col min="26" max="26" width="11.140625" style="2" bestFit="1" customWidth="1"/>
    <col min="27" max="16384" width="9.140625" style="2"/>
  </cols>
  <sheetData>
    <row r="1" spans="1:23" s="40" customFormat="1" x14ac:dyDescent="0.2">
      <c r="A1" s="1" t="s">
        <v>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s="40" customFormat="1" x14ac:dyDescent="0.2">
      <c r="A2" s="1" t="s">
        <v>96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s="40" customFormat="1" x14ac:dyDescent="0.2">
      <c r="A3" s="1" t="str">
        <f>TEXT(Controls!B7,"mmmm d, yyyy")&amp;" through "&amp;TEXT(Controls!B8,"mmmm d, yyyy")</f>
        <v>October 1, 2023 through September 30, 2024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s="40" customFormat="1" ht="12" thickBot="1" x14ac:dyDescent="0.25">
      <c r="A4" s="41"/>
      <c r="B4" s="14"/>
      <c r="C4" s="14"/>
    </row>
    <row r="5" spans="1:23" s="40" customFormat="1" ht="13.9" customHeight="1" thickBot="1" x14ac:dyDescent="0.25">
      <c r="A5" s="41"/>
      <c r="B5" s="14"/>
      <c r="C5" s="14"/>
      <c r="E5" s="354" t="s">
        <v>277</v>
      </c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6"/>
      <c r="U5" s="354" t="s">
        <v>171</v>
      </c>
      <c r="V5" s="355"/>
      <c r="W5" s="356"/>
    </row>
    <row r="6" spans="1:23" s="42" customFormat="1" ht="78.75" x14ac:dyDescent="0.2">
      <c r="A6" s="35" t="s">
        <v>3</v>
      </c>
      <c r="B6" s="35" t="s">
        <v>66</v>
      </c>
      <c r="C6" s="35" t="s">
        <v>0</v>
      </c>
      <c r="D6" s="36" t="s">
        <v>329</v>
      </c>
      <c r="E6" s="36" t="s">
        <v>330</v>
      </c>
      <c r="F6" s="36" t="s">
        <v>331</v>
      </c>
      <c r="G6" s="36" t="s">
        <v>332</v>
      </c>
      <c r="H6" s="322" t="s">
        <v>352</v>
      </c>
      <c r="I6" s="111" t="s">
        <v>279</v>
      </c>
      <c r="J6" s="111" t="s">
        <v>280</v>
      </c>
      <c r="K6" s="111" t="s">
        <v>281</v>
      </c>
      <c r="L6" s="111" t="s">
        <v>282</v>
      </c>
      <c r="M6" s="111" t="s">
        <v>283</v>
      </c>
      <c r="N6" s="36" t="s">
        <v>333</v>
      </c>
      <c r="O6" s="36" t="s">
        <v>334</v>
      </c>
      <c r="P6" s="36" t="s">
        <v>335</v>
      </c>
      <c r="Q6" s="36" t="s">
        <v>336</v>
      </c>
      <c r="R6" s="36" t="s">
        <v>284</v>
      </c>
      <c r="S6" s="36" t="s">
        <v>337</v>
      </c>
      <c r="U6" s="36" t="s">
        <v>298</v>
      </c>
      <c r="V6" s="36" t="str">
        <f>"Less Sch 129D (Rates Effective "&amp;TEXT(Controls!B4,"MM/DD/YYYY")&amp;")"</f>
        <v>Less Sch 129D (Rates Effective 10/01/2022)</v>
      </c>
      <c r="W6" s="36" t="str">
        <f>"Total Estimated Revenue less Schedule 129D
("&amp;TEXT(Controls!B7,"mmmm d, yyyy")&amp;" through "&amp;TEXT(Controls!B8,"mmmm d, yyyy")&amp;")"</f>
        <v>Total Estimated Revenue less Schedule 129D
(October 1, 2023 through September 30, 2024)</v>
      </c>
    </row>
    <row r="7" spans="1:23" s="12" customFormat="1" x14ac:dyDescent="0.2"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U7" s="15"/>
      <c r="V7" s="15"/>
      <c r="W7" s="15"/>
    </row>
    <row r="8" spans="1:23" s="12" customFormat="1" x14ac:dyDescent="0.2">
      <c r="A8" s="12">
        <v>1</v>
      </c>
      <c r="B8" s="16" t="s">
        <v>1</v>
      </c>
    </row>
    <row r="9" spans="1:23" x14ac:dyDescent="0.2">
      <c r="A9" s="12">
        <v>2</v>
      </c>
      <c r="B9" s="17" t="s">
        <v>1</v>
      </c>
      <c r="C9" s="18">
        <v>7</v>
      </c>
      <c r="D9" s="19">
        <v>11213362869.317253</v>
      </c>
      <c r="E9" s="21">
        <v>1192250000</v>
      </c>
      <c r="F9" s="21">
        <v>23936339.560158946</v>
      </c>
      <c r="G9" s="21">
        <v>0</v>
      </c>
      <c r="H9" s="21">
        <v>29289303.814656667</v>
      </c>
      <c r="I9" s="21">
        <v>0</v>
      </c>
      <c r="J9" s="21">
        <v>29928465.498207748</v>
      </c>
      <c r="K9" s="21">
        <v>112212122.23325776</v>
      </c>
      <c r="L9" s="21">
        <v>56392001.869796462</v>
      </c>
      <c r="M9" s="21">
        <v>3577062.7553122039</v>
      </c>
      <c r="N9" s="112">
        <v>0</v>
      </c>
      <c r="O9" s="21">
        <v>-9912612.7764764521</v>
      </c>
      <c r="P9" s="21">
        <v>-38977649.333746769</v>
      </c>
      <c r="Q9" s="21">
        <v>0</v>
      </c>
      <c r="R9" s="20">
        <f>SUM(F9:O9)</f>
        <v>245422682.95491332</v>
      </c>
      <c r="S9" s="20">
        <f>SUM(E9,R9)</f>
        <v>1437672682.9549134</v>
      </c>
      <c r="T9" s="22"/>
      <c r="U9" s="21">
        <v>1431447741.5450921</v>
      </c>
      <c r="V9" s="21">
        <v>0</v>
      </c>
      <c r="W9" s="20">
        <f>SUM(U9:V9)</f>
        <v>1431447741.5450921</v>
      </c>
    </row>
    <row r="10" spans="1:23" x14ac:dyDescent="0.2">
      <c r="A10" s="12">
        <v>3</v>
      </c>
      <c r="B10" s="9" t="s">
        <v>71</v>
      </c>
      <c r="C10" s="18"/>
      <c r="D10" s="23">
        <f t="shared" ref="D10:E10" si="0">SUM(D9:D9)</f>
        <v>11213362869.317253</v>
      </c>
      <c r="E10" s="24">
        <f t="shared" si="0"/>
        <v>1192250000</v>
      </c>
      <c r="F10" s="24">
        <f t="shared" ref="F10:H10" si="1">SUM(F9:F9)</f>
        <v>23936339.560158946</v>
      </c>
      <c r="G10" s="24">
        <f t="shared" si="1"/>
        <v>0</v>
      </c>
      <c r="H10" s="24">
        <f t="shared" si="1"/>
        <v>29289303.814656667</v>
      </c>
      <c r="I10" s="24">
        <f t="shared" ref="I10:M10" si="2">SUM(I9:I9)</f>
        <v>0</v>
      </c>
      <c r="J10" s="24">
        <f t="shared" si="2"/>
        <v>29928465.498207748</v>
      </c>
      <c r="K10" s="24">
        <f t="shared" si="2"/>
        <v>112212122.23325776</v>
      </c>
      <c r="L10" s="24">
        <f t="shared" si="2"/>
        <v>56392001.869796462</v>
      </c>
      <c r="M10" s="24">
        <f t="shared" si="2"/>
        <v>3577062.7553122039</v>
      </c>
      <c r="N10" s="24">
        <f t="shared" ref="N10:O10" si="3">SUM(N9:N9)</f>
        <v>0</v>
      </c>
      <c r="O10" s="24">
        <f t="shared" si="3"/>
        <v>-9912612.7764764521</v>
      </c>
      <c r="P10" s="24">
        <f t="shared" ref="P10:Q10" si="4">SUM(P9:P9)</f>
        <v>-38977649.333746769</v>
      </c>
      <c r="Q10" s="24">
        <f t="shared" si="4"/>
        <v>0</v>
      </c>
      <c r="R10" s="24">
        <f t="shared" ref="R10" si="5">SUM(R9:R9)</f>
        <v>245422682.95491332</v>
      </c>
      <c r="S10" s="24">
        <f>SUM(S9:S9)</f>
        <v>1437672682.9549134</v>
      </c>
      <c r="U10" s="24">
        <f t="shared" ref="U10:V10" si="6">SUM(U9:U9)</f>
        <v>1431447741.5450921</v>
      </c>
      <c r="V10" s="24">
        <f t="shared" si="6"/>
        <v>0</v>
      </c>
      <c r="W10" s="24">
        <f>SUM(W9:W9)</f>
        <v>1431447741.5450921</v>
      </c>
    </row>
    <row r="11" spans="1:23" x14ac:dyDescent="0.2">
      <c r="A11" s="12">
        <v>4</v>
      </c>
      <c r="C11" s="18"/>
      <c r="D11" s="25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U11" s="26"/>
      <c r="V11" s="26"/>
      <c r="W11" s="26"/>
    </row>
    <row r="12" spans="1:23" x14ac:dyDescent="0.2">
      <c r="A12" s="12">
        <v>5</v>
      </c>
      <c r="B12" s="2" t="s">
        <v>72</v>
      </c>
      <c r="C12" s="18"/>
      <c r="D12" s="25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U12" s="26"/>
      <c r="V12" s="26"/>
      <c r="W12" s="26"/>
    </row>
    <row r="13" spans="1:23" x14ac:dyDescent="0.2">
      <c r="A13" s="12">
        <v>6</v>
      </c>
      <c r="B13" s="27" t="s">
        <v>73</v>
      </c>
      <c r="C13" s="18" t="s">
        <v>103</v>
      </c>
      <c r="D13" s="19">
        <v>2754555586.0203085</v>
      </c>
      <c r="E13" s="21">
        <v>275870000</v>
      </c>
      <c r="F13" s="21">
        <v>5935576.3327997765</v>
      </c>
      <c r="G13" s="21">
        <v>0</v>
      </c>
      <c r="H13" s="21">
        <v>5765284.8415405061</v>
      </c>
      <c r="I13" s="21">
        <v>0</v>
      </c>
      <c r="J13" s="21">
        <v>6462187.4048036439</v>
      </c>
      <c r="K13" s="21">
        <v>21493797.23771647</v>
      </c>
      <c r="L13" s="21">
        <v>10803367.008371649</v>
      </c>
      <c r="M13" s="21">
        <v>763011.89732762543</v>
      </c>
      <c r="N13" s="112">
        <v>0</v>
      </c>
      <c r="O13" s="21">
        <v>-1963998.1328324797</v>
      </c>
      <c r="P13" s="21">
        <v>-6101340.6230349829</v>
      </c>
      <c r="Q13" s="21">
        <v>0</v>
      </c>
      <c r="R13" s="20">
        <f t="shared" ref="R13:R16" si="7">SUM(F13:O13)</f>
        <v>49259226.589727186</v>
      </c>
      <c r="S13" s="20">
        <f>SUM(E13,R13)</f>
        <v>325129226.58972716</v>
      </c>
      <c r="T13" s="22"/>
      <c r="U13" s="21">
        <v>340979378.75708306</v>
      </c>
      <c r="V13" s="21">
        <v>0</v>
      </c>
      <c r="W13" s="20">
        <f t="shared" ref="W13:W16" si="8">SUM(U13:V13)</f>
        <v>340979378.75708306</v>
      </c>
    </row>
    <row r="14" spans="1:23" x14ac:dyDescent="0.2">
      <c r="A14" s="12">
        <v>7</v>
      </c>
      <c r="B14" s="27" t="s">
        <v>74</v>
      </c>
      <c r="C14" s="3" t="s">
        <v>105</v>
      </c>
      <c r="D14" s="19">
        <v>2952911791.3048167</v>
      </c>
      <c r="E14" s="21">
        <v>270012000</v>
      </c>
      <c r="F14" s="21">
        <v>6565805.1756245922</v>
      </c>
      <c r="G14" s="21">
        <v>0</v>
      </c>
      <c r="H14" s="21">
        <v>5846765.3467835365</v>
      </c>
      <c r="I14" s="21">
        <v>0</v>
      </c>
      <c r="J14" s="21">
        <v>6790099.0065393485</v>
      </c>
      <c r="K14" s="21">
        <v>23844254.018211927</v>
      </c>
      <c r="L14" s="21">
        <v>11999302.082245104</v>
      </c>
      <c r="M14" s="21">
        <v>847485.68410448229</v>
      </c>
      <c r="N14" s="112">
        <v>0</v>
      </c>
      <c r="O14" s="21">
        <v>-1975497.9883829223</v>
      </c>
      <c r="P14" s="21">
        <v>9334154.1723145247</v>
      </c>
      <c r="Q14" s="21">
        <v>0</v>
      </c>
      <c r="R14" s="20">
        <f t="shared" si="7"/>
        <v>53918213.325126067</v>
      </c>
      <c r="S14" s="20">
        <f>SUM(E14,R14)</f>
        <v>323930213.32512605</v>
      </c>
      <c r="T14" s="22"/>
      <c r="U14" s="21">
        <v>358048724.477135</v>
      </c>
      <c r="V14" s="21">
        <v>0</v>
      </c>
      <c r="W14" s="20">
        <f t="shared" si="8"/>
        <v>358048724.477135</v>
      </c>
    </row>
    <row r="15" spans="1:23" x14ac:dyDescent="0.2">
      <c r="A15" s="12">
        <v>8</v>
      </c>
      <c r="B15" s="27" t="s">
        <v>75</v>
      </c>
      <c r="C15" s="3" t="s">
        <v>106</v>
      </c>
      <c r="D15" s="19">
        <v>1951040617.7585633</v>
      </c>
      <c r="E15" s="21">
        <v>164338000</v>
      </c>
      <c r="F15" s="21">
        <v>4539582.6240294734</v>
      </c>
      <c r="G15" s="21">
        <v>0</v>
      </c>
      <c r="H15" s="21">
        <v>3346034.6594559359</v>
      </c>
      <c r="I15" s="21">
        <v>0</v>
      </c>
      <c r="J15" s="21">
        <v>4241171.9790914766</v>
      </c>
      <c r="K15" s="21">
        <v>13919833.793163586</v>
      </c>
      <c r="L15" s="21">
        <v>6985280.4246126534</v>
      </c>
      <c r="M15" s="21">
        <v>474102.87011533091</v>
      </c>
      <c r="N15" s="112">
        <v>0</v>
      </c>
      <c r="O15" s="21">
        <v>-1125750.4364466909</v>
      </c>
      <c r="P15" s="21">
        <v>3577438.9305265821</v>
      </c>
      <c r="Q15" s="21">
        <v>0</v>
      </c>
      <c r="R15" s="20">
        <f t="shared" si="7"/>
        <v>32380255.914021768</v>
      </c>
      <c r="S15" s="20">
        <f>SUM(E15,R15)</f>
        <v>196718255.91402176</v>
      </c>
      <c r="T15" s="22"/>
      <c r="U15" s="21">
        <v>216556824.46231484</v>
      </c>
      <c r="V15" s="21">
        <v>0</v>
      </c>
      <c r="W15" s="20">
        <f t="shared" si="8"/>
        <v>216556824.46231484</v>
      </c>
    </row>
    <row r="16" spans="1:23" x14ac:dyDescent="0.2">
      <c r="A16" s="12">
        <v>10</v>
      </c>
      <c r="B16" s="27" t="s">
        <v>76</v>
      </c>
      <c r="C16" s="18">
        <v>29</v>
      </c>
      <c r="D16" s="19">
        <v>15033126.247213177</v>
      </c>
      <c r="E16" s="21">
        <v>1284000</v>
      </c>
      <c r="F16" s="21">
        <v>27848.667886217201</v>
      </c>
      <c r="G16" s="21">
        <v>0</v>
      </c>
      <c r="H16" s="21">
        <v>29765.589969482091</v>
      </c>
      <c r="I16" s="21">
        <v>0</v>
      </c>
      <c r="J16" s="21">
        <v>37172.349977403966</v>
      </c>
      <c r="K16" s="21">
        <v>121741.24787446539</v>
      </c>
      <c r="L16" s="21">
        <v>61178.803025300578</v>
      </c>
      <c r="M16" s="21">
        <v>5562.2567114688754</v>
      </c>
      <c r="N16" s="112">
        <v>0</v>
      </c>
      <c r="O16" s="21">
        <v>-10057.161459385616</v>
      </c>
      <c r="P16" s="21">
        <v>47519.712067440851</v>
      </c>
      <c r="Q16" s="21">
        <v>0</v>
      </c>
      <c r="R16" s="20">
        <f t="shared" si="7"/>
        <v>273211.75398495246</v>
      </c>
      <c r="S16" s="20">
        <f>SUM(E16,R16)</f>
        <v>1557211.7539849523</v>
      </c>
      <c r="T16" s="22"/>
      <c r="U16" s="21">
        <v>1630781.8293336441</v>
      </c>
      <c r="V16" s="21">
        <v>0</v>
      </c>
      <c r="W16" s="20">
        <f t="shared" si="8"/>
        <v>1630781.8293336441</v>
      </c>
    </row>
    <row r="17" spans="1:23" x14ac:dyDescent="0.2">
      <c r="A17" s="12">
        <v>11</v>
      </c>
      <c r="B17" s="2" t="s">
        <v>77</v>
      </c>
      <c r="C17" s="18"/>
      <c r="D17" s="23">
        <f t="shared" ref="D17:I17" si="9">SUM(D13:D16)</f>
        <v>7673541121.3309011</v>
      </c>
      <c r="E17" s="24">
        <f t="shared" si="9"/>
        <v>711504000</v>
      </c>
      <c r="F17" s="24">
        <f t="shared" si="9"/>
        <v>17068812.800340056</v>
      </c>
      <c r="G17" s="24">
        <f t="shared" si="9"/>
        <v>0</v>
      </c>
      <c r="H17" s="24">
        <f t="shared" si="9"/>
        <v>14987850.43774946</v>
      </c>
      <c r="I17" s="24">
        <f t="shared" si="9"/>
        <v>0</v>
      </c>
      <c r="J17" s="24">
        <f t="shared" ref="J17:O17" si="10">SUM(J13:J16)</f>
        <v>17530630.740411874</v>
      </c>
      <c r="K17" s="24">
        <f t="shared" si="10"/>
        <v>59379626.296966448</v>
      </c>
      <c r="L17" s="24">
        <f t="shared" si="10"/>
        <v>29849128.318254709</v>
      </c>
      <c r="M17" s="24">
        <f t="shared" si="10"/>
        <v>2090162.7082589075</v>
      </c>
      <c r="N17" s="24">
        <f t="shared" ref="N17" si="11">SUM(N13:N16)</f>
        <v>0</v>
      </c>
      <c r="O17" s="24">
        <f t="shared" si="10"/>
        <v>-5075303.7191214785</v>
      </c>
      <c r="P17" s="24">
        <f t="shared" ref="P17" si="12">SUM(P13:P16)</f>
        <v>6857772.1918735644</v>
      </c>
      <c r="Q17" s="24">
        <f t="shared" ref="Q17" si="13">SUM(Q13:Q16)</f>
        <v>0</v>
      </c>
      <c r="R17" s="24">
        <f t="shared" ref="R17" si="14">SUM(R13:R16)</f>
        <v>135830907.58285996</v>
      </c>
      <c r="S17" s="24">
        <f>SUM(S13:S16)</f>
        <v>847334907.58285987</v>
      </c>
      <c r="U17" s="24">
        <f>SUM(U13:U16)</f>
        <v>917215709.52586663</v>
      </c>
      <c r="V17" s="24">
        <f>SUM(V13:V16)</f>
        <v>0</v>
      </c>
      <c r="W17" s="24">
        <f>SUM(W13:W16)</f>
        <v>917215709.52586663</v>
      </c>
    </row>
    <row r="18" spans="1:23" x14ac:dyDescent="0.2">
      <c r="A18" s="12">
        <v>12</v>
      </c>
      <c r="C18" s="18"/>
      <c r="D18" s="25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U18" s="26"/>
      <c r="V18" s="26"/>
      <c r="W18" s="26"/>
    </row>
    <row r="19" spans="1:23" x14ac:dyDescent="0.2">
      <c r="A19" s="12">
        <v>13</v>
      </c>
      <c r="B19" s="7" t="s">
        <v>78</v>
      </c>
      <c r="C19" s="18"/>
      <c r="D19" s="19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U19" s="26"/>
      <c r="V19" s="26"/>
      <c r="W19" s="26"/>
    </row>
    <row r="20" spans="1:23" x14ac:dyDescent="0.2">
      <c r="A20" s="12">
        <v>14</v>
      </c>
      <c r="B20" s="17" t="s">
        <v>79</v>
      </c>
      <c r="C20" s="18" t="s">
        <v>104</v>
      </c>
      <c r="D20" s="19">
        <v>1414567504.5081706</v>
      </c>
      <c r="E20" s="21">
        <v>117534000</v>
      </c>
      <c r="F20" s="21">
        <v>3012050.4542033309</v>
      </c>
      <c r="G20" s="21">
        <v>0</v>
      </c>
      <c r="H20" s="21">
        <v>2441543.5127811022</v>
      </c>
      <c r="I20" s="21">
        <v>0</v>
      </c>
      <c r="J20" s="21">
        <v>2843418.2732613366</v>
      </c>
      <c r="K20" s="21">
        <v>9623920.6585360579</v>
      </c>
      <c r="L20" s="21">
        <v>4845805.4114221567</v>
      </c>
      <c r="M20" s="21">
        <v>356471.01113605895</v>
      </c>
      <c r="N20" s="112">
        <v>0</v>
      </c>
      <c r="O20" s="21">
        <v>-834594.82765982067</v>
      </c>
      <c r="P20" s="21">
        <v>486428.66464206751</v>
      </c>
      <c r="Q20" s="21">
        <v>0</v>
      </c>
      <c r="R20" s="20">
        <f t="shared" ref="R20:R22" si="15">SUM(F20:O20)</f>
        <v>22288614.493680224</v>
      </c>
      <c r="S20" s="20">
        <f>SUM(E20,R20)</f>
        <v>139822614.49368024</v>
      </c>
      <c r="T20" s="22"/>
      <c r="U20" s="21">
        <v>151454385.76056162</v>
      </c>
      <c r="V20" s="21">
        <v>0</v>
      </c>
      <c r="W20" s="20">
        <f t="shared" ref="W20:W22" si="16">SUM(U20:V20)</f>
        <v>151454385.76056162</v>
      </c>
    </row>
    <row r="21" spans="1:23" x14ac:dyDescent="0.2">
      <c r="A21" s="12">
        <v>15</v>
      </c>
      <c r="B21" s="17" t="s">
        <v>76</v>
      </c>
      <c r="C21" s="18">
        <v>35</v>
      </c>
      <c r="D21" s="19">
        <v>4436241.4261872498</v>
      </c>
      <c r="E21" s="21">
        <v>279000</v>
      </c>
      <c r="F21" s="21">
        <v>7048.5055324757896</v>
      </c>
      <c r="G21" s="21">
        <v>0</v>
      </c>
      <c r="H21" s="21">
        <v>7656.9527015991935</v>
      </c>
      <c r="I21" s="21">
        <v>0</v>
      </c>
      <c r="J21" s="21">
        <v>6371.0763236109915</v>
      </c>
      <c r="K21" s="21">
        <v>43057.913850948476</v>
      </c>
      <c r="L21" s="21">
        <v>21626.554236850356</v>
      </c>
      <c r="M21" s="21">
        <v>2626.2549243028516</v>
      </c>
      <c r="N21" s="112">
        <v>0</v>
      </c>
      <c r="O21" s="21">
        <v>-4338.6441148111298</v>
      </c>
      <c r="P21" s="21">
        <v>14022.959148177895</v>
      </c>
      <c r="Q21" s="21">
        <v>0</v>
      </c>
      <c r="R21" s="20">
        <f t="shared" si="15"/>
        <v>84048.613454976527</v>
      </c>
      <c r="S21" s="20">
        <f>SUM(E21,R21)</f>
        <v>363048.61345497653</v>
      </c>
      <c r="T21" s="22"/>
      <c r="U21" s="21">
        <v>373606.2647204682</v>
      </c>
      <c r="V21" s="21">
        <v>0</v>
      </c>
      <c r="W21" s="20">
        <f t="shared" si="16"/>
        <v>373606.2647204682</v>
      </c>
    </row>
    <row r="22" spans="1:23" x14ac:dyDescent="0.2">
      <c r="A22" s="12">
        <v>16</v>
      </c>
      <c r="B22" s="17" t="s">
        <v>80</v>
      </c>
      <c r="C22" s="18">
        <v>43</v>
      </c>
      <c r="D22" s="19">
        <v>123047958.74213007</v>
      </c>
      <c r="E22" s="21">
        <v>10917000</v>
      </c>
      <c r="F22" s="21">
        <v>209218.23528926491</v>
      </c>
      <c r="G22" s="21">
        <v>0</v>
      </c>
      <c r="H22" s="21">
        <v>188140.32891671688</v>
      </c>
      <c r="I22" s="21">
        <v>0</v>
      </c>
      <c r="J22" s="21">
        <v>51624.500369307454</v>
      </c>
      <c r="K22" s="21">
        <v>752048.31809606485</v>
      </c>
      <c r="L22" s="21">
        <v>377377.6865941959</v>
      </c>
      <c r="M22" s="21">
        <v>52910.622259115931</v>
      </c>
      <c r="N22" s="112">
        <v>0</v>
      </c>
      <c r="O22" s="21">
        <v>-100037.99045735176</v>
      </c>
      <c r="P22" s="21">
        <v>388954.59758387314</v>
      </c>
      <c r="Q22" s="21">
        <v>0</v>
      </c>
      <c r="R22" s="20">
        <f t="shared" si="15"/>
        <v>1531281.7010673143</v>
      </c>
      <c r="S22" s="20">
        <f>SUM(E22,R22)</f>
        <v>12448281.701067314</v>
      </c>
      <c r="T22" s="22"/>
      <c r="U22" s="21">
        <v>13452189.164098695</v>
      </c>
      <c r="V22" s="21">
        <v>0</v>
      </c>
      <c r="W22" s="20">
        <f t="shared" si="16"/>
        <v>13452189.164098695</v>
      </c>
    </row>
    <row r="23" spans="1:23" x14ac:dyDescent="0.2">
      <c r="A23" s="12">
        <v>17</v>
      </c>
      <c r="B23" s="2" t="s">
        <v>81</v>
      </c>
      <c r="C23" s="18"/>
      <c r="D23" s="23">
        <f t="shared" ref="D23:E23" si="17">SUM(D20:D22)</f>
        <v>1542051704.6764879</v>
      </c>
      <c r="E23" s="24">
        <f t="shared" si="17"/>
        <v>128730000</v>
      </c>
      <c r="F23" s="24">
        <f t="shared" ref="F23:H23" si="18">SUM(F20:F22)</f>
        <v>3228317.1950250715</v>
      </c>
      <c r="G23" s="24">
        <f t="shared" si="18"/>
        <v>0</v>
      </c>
      <c r="H23" s="24">
        <f t="shared" si="18"/>
        <v>2637340.7943994184</v>
      </c>
      <c r="I23" s="24">
        <f t="shared" ref="I23:M23" si="19">SUM(I20:I22)</f>
        <v>0</v>
      </c>
      <c r="J23" s="24">
        <f t="shared" si="19"/>
        <v>2901413.8499542554</v>
      </c>
      <c r="K23" s="24">
        <f t="shared" si="19"/>
        <v>10419026.89048307</v>
      </c>
      <c r="L23" s="24">
        <f t="shared" si="19"/>
        <v>5244809.6522532031</v>
      </c>
      <c r="M23" s="24">
        <f t="shared" si="19"/>
        <v>412007.88831947773</v>
      </c>
      <c r="N23" s="24">
        <f t="shared" ref="N23" si="20">SUM(N20:N22)</f>
        <v>0</v>
      </c>
      <c r="O23" s="24">
        <f t="shared" ref="O23:Q23" si="21">SUM(O20:O22)</f>
        <v>-938971.46223198355</v>
      </c>
      <c r="P23" s="24">
        <f t="shared" si="21"/>
        <v>889406.22137411847</v>
      </c>
      <c r="Q23" s="24">
        <f t="shared" si="21"/>
        <v>0</v>
      </c>
      <c r="R23" s="24">
        <f t="shared" ref="R23" si="22">SUM(R20:R22)</f>
        <v>23903944.808202513</v>
      </c>
      <c r="S23" s="24">
        <f>SUM(S20:S22)</f>
        <v>152633944.80820251</v>
      </c>
      <c r="U23" s="24">
        <f t="shared" ref="U23:V23" si="23">SUM(U20:U22)</f>
        <v>165280181.18938076</v>
      </c>
      <c r="V23" s="24">
        <f t="shared" si="23"/>
        <v>0</v>
      </c>
      <c r="W23" s="24">
        <f>SUM(W20:W22)</f>
        <v>165280181.18938076</v>
      </c>
    </row>
    <row r="24" spans="1:23" x14ac:dyDescent="0.2">
      <c r="A24" s="12">
        <v>18</v>
      </c>
      <c r="C24" s="18"/>
      <c r="D24" s="28"/>
    </row>
    <row r="25" spans="1:23" x14ac:dyDescent="0.2">
      <c r="A25" s="12">
        <v>21</v>
      </c>
      <c r="B25" s="7" t="s">
        <v>82</v>
      </c>
      <c r="C25" s="18"/>
      <c r="D25" s="25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U25" s="26"/>
      <c r="V25" s="26"/>
      <c r="W25" s="26"/>
    </row>
    <row r="26" spans="1:23" x14ac:dyDescent="0.2">
      <c r="A26" s="12">
        <v>22</v>
      </c>
      <c r="B26" s="27" t="s">
        <v>83</v>
      </c>
      <c r="C26" s="18">
        <v>46</v>
      </c>
      <c r="D26" s="19">
        <v>97208997.868969813</v>
      </c>
      <c r="E26" s="21">
        <v>6219000</v>
      </c>
      <c r="F26" s="21">
        <v>176680.77602739629</v>
      </c>
      <c r="G26" s="21">
        <v>0</v>
      </c>
      <c r="H26" s="21">
        <v>92348.547975521316</v>
      </c>
      <c r="I26" s="21">
        <v>0</v>
      </c>
      <c r="J26" s="21">
        <v>55576.174635708419</v>
      </c>
      <c r="K26" s="21">
        <v>372261.19197653822</v>
      </c>
      <c r="L26" s="21">
        <v>186908.26797122089</v>
      </c>
      <c r="M26" s="21">
        <v>30912.461322332398</v>
      </c>
      <c r="N26" s="112">
        <v>0</v>
      </c>
      <c r="O26" s="21">
        <v>-43744.049041036415</v>
      </c>
      <c r="P26" s="21">
        <v>0</v>
      </c>
      <c r="Q26" s="21">
        <v>0</v>
      </c>
      <c r="R26" s="20">
        <f t="shared" ref="R26:R27" si="24">SUM(F26:O26)</f>
        <v>870943.37086768122</v>
      </c>
      <c r="S26" s="26">
        <f>SUM(E26,R26)</f>
        <v>7089943.3708676808</v>
      </c>
      <c r="T26" s="22"/>
      <c r="U26" s="21">
        <v>7562315.2959882189</v>
      </c>
      <c r="V26" s="21">
        <v>0</v>
      </c>
      <c r="W26" s="20">
        <f t="shared" ref="W26:W27" si="25">SUM(U26:V26)</f>
        <v>7562315.2959882189</v>
      </c>
    </row>
    <row r="27" spans="1:23" x14ac:dyDescent="0.2">
      <c r="A27" s="12">
        <v>23</v>
      </c>
      <c r="B27" s="27" t="s">
        <v>79</v>
      </c>
      <c r="C27" s="18">
        <v>49</v>
      </c>
      <c r="D27" s="19">
        <v>536314720.56256545</v>
      </c>
      <c r="E27" s="21">
        <v>34806000</v>
      </c>
      <c r="F27" s="21">
        <v>1054911.7240343804</v>
      </c>
      <c r="G27" s="21">
        <v>0</v>
      </c>
      <c r="H27" s="21">
        <v>509498.98453443719</v>
      </c>
      <c r="I27" s="21">
        <v>0</v>
      </c>
      <c r="J27" s="21">
        <v>1030118.4418890236</v>
      </c>
      <c r="K27" s="21">
        <v>2007929.9117752432</v>
      </c>
      <c r="L27" s="21">
        <v>1001608.9124489529</v>
      </c>
      <c r="M27" s="21">
        <v>117989.2385237644</v>
      </c>
      <c r="N27" s="112">
        <v>0</v>
      </c>
      <c r="O27" s="21">
        <v>-241341.62425315444</v>
      </c>
      <c r="P27" s="21">
        <v>0</v>
      </c>
      <c r="Q27" s="21">
        <v>0</v>
      </c>
      <c r="R27" s="20">
        <f t="shared" si="24"/>
        <v>5480715.5889526475</v>
      </c>
      <c r="S27" s="26">
        <f>SUM(E27,R27)</f>
        <v>40286715.588952646</v>
      </c>
      <c r="T27" s="22"/>
      <c r="U27" s="21">
        <v>44516381.30704806</v>
      </c>
      <c r="V27" s="21">
        <v>0</v>
      </c>
      <c r="W27" s="20">
        <f t="shared" si="25"/>
        <v>44516381.30704806</v>
      </c>
    </row>
    <row r="28" spans="1:23" x14ac:dyDescent="0.2">
      <c r="A28" s="12">
        <v>24</v>
      </c>
      <c r="B28" s="2" t="s">
        <v>84</v>
      </c>
      <c r="C28" s="18"/>
      <c r="D28" s="23">
        <f t="shared" ref="D28:E28" si="26">SUM(D26:D27)</f>
        <v>633523718.43153524</v>
      </c>
      <c r="E28" s="24">
        <f t="shared" si="26"/>
        <v>41025000</v>
      </c>
      <c r="F28" s="24">
        <f t="shared" ref="F28:H28" si="27">SUM(F26:F27)</f>
        <v>1231592.5000617767</v>
      </c>
      <c r="G28" s="24">
        <f t="shared" si="27"/>
        <v>0</v>
      </c>
      <c r="H28" s="24">
        <f t="shared" si="27"/>
        <v>601847.53250995849</v>
      </c>
      <c r="I28" s="24">
        <f t="shared" ref="I28:M28" si="28">SUM(I26:I27)</f>
        <v>0</v>
      </c>
      <c r="J28" s="24">
        <f t="shared" si="28"/>
        <v>1085694.616524732</v>
      </c>
      <c r="K28" s="24">
        <f t="shared" si="28"/>
        <v>2380191.1037517814</v>
      </c>
      <c r="L28" s="24">
        <f t="shared" si="28"/>
        <v>1188517.1804201738</v>
      </c>
      <c r="M28" s="24">
        <f t="shared" si="28"/>
        <v>148901.6998460968</v>
      </c>
      <c r="N28" s="24">
        <f t="shared" ref="N28" si="29">SUM(N26:N27)</f>
        <v>0</v>
      </c>
      <c r="O28" s="24">
        <f t="shared" ref="O28:Q28" si="30">SUM(O26:O27)</f>
        <v>-285085.67329419084</v>
      </c>
      <c r="P28" s="24">
        <f t="shared" si="30"/>
        <v>0</v>
      </c>
      <c r="Q28" s="24">
        <f t="shared" si="30"/>
        <v>0</v>
      </c>
      <c r="R28" s="24">
        <f t="shared" ref="R28" si="31">SUM(R26:R27)</f>
        <v>6351658.9598203283</v>
      </c>
      <c r="S28" s="24">
        <f>SUM(S26:S27)</f>
        <v>47376658.95982033</v>
      </c>
      <c r="U28" s="24">
        <f t="shared" ref="U28:V28" si="32">SUM(U26:U27)</f>
        <v>52078696.603036277</v>
      </c>
      <c r="V28" s="24">
        <f t="shared" si="32"/>
        <v>0</v>
      </c>
      <c r="W28" s="24">
        <f>SUM(W26:W27)</f>
        <v>52078696.603036277</v>
      </c>
    </row>
    <row r="29" spans="1:23" x14ac:dyDescent="0.2">
      <c r="A29" s="12">
        <v>25</v>
      </c>
      <c r="C29" s="18"/>
      <c r="D29" s="28"/>
    </row>
    <row r="30" spans="1:23" x14ac:dyDescent="0.2">
      <c r="A30" s="12">
        <v>26</v>
      </c>
      <c r="B30" s="2" t="s">
        <v>85</v>
      </c>
      <c r="C30" s="3" t="s">
        <v>164</v>
      </c>
      <c r="D30" s="29">
        <v>67622676.457585469</v>
      </c>
      <c r="E30" s="30">
        <v>16875000</v>
      </c>
      <c r="F30" s="30">
        <v>144066.21404528283</v>
      </c>
      <c r="G30" s="30">
        <v>0</v>
      </c>
      <c r="H30" s="30">
        <v>580675.92274128646</v>
      </c>
      <c r="I30" s="30">
        <v>0</v>
      </c>
      <c r="J30" s="30">
        <v>82702.533307627018</v>
      </c>
      <c r="K30" s="30">
        <v>2378898.1351013994</v>
      </c>
      <c r="L30" s="30">
        <v>1195636.5424465686</v>
      </c>
      <c r="M30" s="30">
        <v>0</v>
      </c>
      <c r="N30" s="113">
        <v>0</v>
      </c>
      <c r="O30" s="30">
        <v>-169259.55917333643</v>
      </c>
      <c r="P30" s="30">
        <v>0</v>
      </c>
      <c r="Q30" s="30">
        <v>0</v>
      </c>
      <c r="R30" s="327">
        <f>SUM(F30:O30)</f>
        <v>4212719.7884688284</v>
      </c>
      <c r="S30" s="24">
        <f>SUM(E30,R30)</f>
        <v>21087719.78846883</v>
      </c>
      <c r="T30" s="22"/>
      <c r="U30" s="30">
        <v>21770377.597807743</v>
      </c>
      <c r="V30" s="30">
        <v>0</v>
      </c>
      <c r="W30" s="24">
        <f>SUM(U30:V30)</f>
        <v>21770377.597807743</v>
      </c>
    </row>
    <row r="31" spans="1:23" x14ac:dyDescent="0.2">
      <c r="A31" s="12">
        <v>27</v>
      </c>
      <c r="B31" s="17"/>
      <c r="C31" s="18"/>
      <c r="D31" s="28"/>
    </row>
    <row r="32" spans="1:23" x14ac:dyDescent="0.2">
      <c r="A32" s="12">
        <v>30</v>
      </c>
      <c r="B32" s="7" t="s">
        <v>86</v>
      </c>
      <c r="C32" s="3" t="s">
        <v>107</v>
      </c>
      <c r="D32" s="29">
        <v>1979340018.3287396</v>
      </c>
      <c r="E32" s="30">
        <v>9577000</v>
      </c>
      <c r="F32" s="30">
        <v>0</v>
      </c>
      <c r="G32" s="30">
        <v>0</v>
      </c>
      <c r="H32" s="30">
        <v>33648.780311588576</v>
      </c>
      <c r="I32" s="30">
        <v>0</v>
      </c>
      <c r="J32" s="30">
        <v>0</v>
      </c>
      <c r="K32" s="30">
        <v>116160</v>
      </c>
      <c r="L32" s="30">
        <v>58320</v>
      </c>
      <c r="M32" s="30">
        <v>0</v>
      </c>
      <c r="N32" s="113">
        <v>0</v>
      </c>
      <c r="O32" s="30">
        <v>0</v>
      </c>
      <c r="P32" s="30">
        <v>0</v>
      </c>
      <c r="Q32" s="30">
        <v>0</v>
      </c>
      <c r="R32" s="327">
        <f>SUM(F32:O32)</f>
        <v>208128.78031158858</v>
      </c>
      <c r="S32" s="24">
        <f>SUM(E32,R32)</f>
        <v>9785128.7803115882</v>
      </c>
      <c r="T32" s="22"/>
      <c r="U32" s="30">
        <v>12692779.267236508</v>
      </c>
      <c r="V32" s="30">
        <v>0</v>
      </c>
      <c r="W32" s="24">
        <f>SUM(U32:V32)</f>
        <v>12692779.267236508</v>
      </c>
    </row>
    <row r="33" spans="1:23" x14ac:dyDescent="0.2">
      <c r="A33" s="12">
        <v>31</v>
      </c>
      <c r="B33" s="7"/>
      <c r="C33" s="18"/>
      <c r="D33" s="28"/>
    </row>
    <row r="34" spans="1:23" x14ac:dyDescent="0.2">
      <c r="A34" s="12">
        <v>30</v>
      </c>
      <c r="B34" s="7" t="s">
        <v>168</v>
      </c>
      <c r="C34" s="3" t="s">
        <v>169</v>
      </c>
      <c r="D34" s="29">
        <v>304641655.46199995</v>
      </c>
      <c r="E34" s="30">
        <v>3303000</v>
      </c>
      <c r="F34" s="30">
        <v>0</v>
      </c>
      <c r="G34" s="30">
        <v>0</v>
      </c>
      <c r="H34" s="30">
        <v>156890.45256293</v>
      </c>
      <c r="I34" s="30">
        <v>0</v>
      </c>
      <c r="J34" s="30">
        <v>0</v>
      </c>
      <c r="K34" s="30">
        <v>549268.90479798592</v>
      </c>
      <c r="L34" s="30">
        <v>276005.33984857198</v>
      </c>
      <c r="M34" s="30">
        <v>0</v>
      </c>
      <c r="N34" s="113">
        <v>0</v>
      </c>
      <c r="O34" s="30">
        <v>-85604.305184821991</v>
      </c>
      <c r="P34" s="30">
        <v>367397.83648717194</v>
      </c>
      <c r="Q34" s="30">
        <v>0</v>
      </c>
      <c r="R34" s="327">
        <f>SUM(F34:O34)</f>
        <v>896560.39202466595</v>
      </c>
      <c r="S34" s="24">
        <f>SUM(E34,R34)</f>
        <v>4199560.3920246661</v>
      </c>
      <c r="T34" s="22"/>
      <c r="U34" s="30">
        <v>6042947.0492252279</v>
      </c>
      <c r="V34" s="30">
        <v>0</v>
      </c>
      <c r="W34" s="24">
        <f>SUM(U34:V34)</f>
        <v>6042947.0492252279</v>
      </c>
    </row>
    <row r="35" spans="1:23" x14ac:dyDescent="0.2">
      <c r="A35" s="12">
        <v>31</v>
      </c>
      <c r="B35" s="7"/>
      <c r="C35" s="18"/>
      <c r="D35" s="28"/>
    </row>
    <row r="36" spans="1:23" ht="12" thickBot="1" x14ac:dyDescent="0.25">
      <c r="A36" s="12">
        <v>32</v>
      </c>
      <c r="B36" s="2" t="s">
        <v>87</v>
      </c>
      <c r="C36" s="18"/>
      <c r="D36" s="31">
        <f t="shared" ref="D36:I36" si="33">SUM(D10,D17,D23,D28,D30,D32,D34)</f>
        <v>23414083764.004501</v>
      </c>
      <c r="E36" s="32">
        <f t="shared" si="33"/>
        <v>2103264000</v>
      </c>
      <c r="F36" s="32">
        <f t="shared" si="33"/>
        <v>45609128.26963114</v>
      </c>
      <c r="G36" s="32">
        <f t="shared" si="33"/>
        <v>0</v>
      </c>
      <c r="H36" s="32">
        <f t="shared" si="33"/>
        <v>48287557.734931313</v>
      </c>
      <c r="I36" s="32">
        <f t="shared" si="33"/>
        <v>0</v>
      </c>
      <c r="J36" s="32">
        <f t="shared" ref="J36:M36" si="34">SUM(J10,J17,J23,J28,J30,J32,J34)</f>
        <v>51528907.238406241</v>
      </c>
      <c r="K36" s="32">
        <f t="shared" si="34"/>
        <v>187435293.56435844</v>
      </c>
      <c r="L36" s="32">
        <f t="shared" si="34"/>
        <v>94204418.903019696</v>
      </c>
      <c r="M36" s="32">
        <f t="shared" si="34"/>
        <v>6228135.0517366864</v>
      </c>
      <c r="N36" s="32">
        <f t="shared" ref="N36:O36" si="35">SUM(N10,N17,N23,N28,N30,N32,N34)</f>
        <v>0</v>
      </c>
      <c r="O36" s="32">
        <f t="shared" si="35"/>
        <v>-16466837.495482264</v>
      </c>
      <c r="P36" s="32">
        <f t="shared" ref="P36:Q36" si="36">SUM(P10,P17,P23,P28,P30,P32,P34)</f>
        <v>-30863073.084011916</v>
      </c>
      <c r="Q36" s="32">
        <f t="shared" si="36"/>
        <v>0</v>
      </c>
      <c r="R36" s="32">
        <f>SUM(R10,R17,R23,R28,R30,R32,R34)</f>
        <v>416826603.26660115</v>
      </c>
      <c r="S36" s="32">
        <f>SUM(E36,R36)</f>
        <v>2520090603.2666011</v>
      </c>
      <c r="U36" s="32">
        <f>SUM(U10,U17,U23,U28,U30,U32,U34)</f>
        <v>2606528432.7776456</v>
      </c>
      <c r="V36" s="32">
        <f>SUM(V10,V17,V23,V28,V30,V32,V34)</f>
        <v>0</v>
      </c>
      <c r="W36" s="32">
        <f t="shared" ref="W36" si="37">SUM(W10,W17,W23,W28,W30,W32,W34)</f>
        <v>2606528432.7776456</v>
      </c>
    </row>
    <row r="37" spans="1:23" ht="12" thickTop="1" x14ac:dyDescent="0.2">
      <c r="A37" s="12">
        <v>33</v>
      </c>
      <c r="B37" s="7"/>
      <c r="C37" s="18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U37" s="34"/>
      <c r="V37" s="34"/>
      <c r="W37" s="34"/>
    </row>
    <row r="38" spans="1:23" x14ac:dyDescent="0.2">
      <c r="A38" s="12">
        <v>34</v>
      </c>
      <c r="B38" s="7" t="s">
        <v>170</v>
      </c>
      <c r="C38" s="18">
        <v>5</v>
      </c>
      <c r="D38" s="29">
        <v>6791642.9865201386</v>
      </c>
      <c r="E38" s="30">
        <v>529000</v>
      </c>
      <c r="F38" s="30">
        <v>13838.198910913627</v>
      </c>
      <c r="G38" s="30">
        <v>0</v>
      </c>
      <c r="H38" s="30">
        <v>0</v>
      </c>
      <c r="I38" s="30">
        <v>0</v>
      </c>
      <c r="J38" s="30">
        <v>12917.704960361303</v>
      </c>
      <c r="K38" s="30">
        <v>43655.039355220768</v>
      </c>
      <c r="L38" s="30">
        <v>21915.811036435145</v>
      </c>
      <c r="M38" s="30">
        <v>0</v>
      </c>
      <c r="N38" s="113">
        <v>0</v>
      </c>
      <c r="O38" s="30">
        <v>-5140.6445275043743</v>
      </c>
      <c r="P38" s="30">
        <v>0</v>
      </c>
      <c r="Q38" s="30">
        <v>0</v>
      </c>
      <c r="R38" s="327">
        <f>SUM(F38:O38)</f>
        <v>87186.109735426464</v>
      </c>
      <c r="S38" s="24">
        <f>SUM(E38,R38)</f>
        <v>616186.10973542649</v>
      </c>
      <c r="T38" s="22"/>
      <c r="U38" s="30">
        <v>627643.61145368591</v>
      </c>
      <c r="V38" s="30">
        <v>0</v>
      </c>
      <c r="W38" s="24">
        <f>SUM(U38:V38)</f>
        <v>627643.61145368591</v>
      </c>
    </row>
    <row r="39" spans="1:23" x14ac:dyDescent="0.2">
      <c r="A39" s="12">
        <v>35</v>
      </c>
      <c r="B39" s="7"/>
      <c r="C39" s="18"/>
      <c r="D39" s="28"/>
    </row>
    <row r="40" spans="1:23" ht="12" thickBot="1" x14ac:dyDescent="0.25">
      <c r="A40" s="12">
        <v>36</v>
      </c>
      <c r="B40" s="2" t="s">
        <v>88</v>
      </c>
      <c r="D40" s="31">
        <f t="shared" ref="D40:E40" si="38">SUM(D36,D38)</f>
        <v>23420875406.99102</v>
      </c>
      <c r="E40" s="32">
        <f t="shared" si="38"/>
        <v>2103793000</v>
      </c>
      <c r="F40" s="32">
        <f t="shared" ref="F40:H40" si="39">SUM(F36,F38)</f>
        <v>45622966.468542054</v>
      </c>
      <c r="G40" s="32">
        <f t="shared" si="39"/>
        <v>0</v>
      </c>
      <c r="H40" s="32">
        <f t="shared" si="39"/>
        <v>48287557.734931313</v>
      </c>
      <c r="I40" s="32">
        <f t="shared" ref="I40:M40" si="40">SUM(I36,I38)</f>
        <v>0</v>
      </c>
      <c r="J40" s="32">
        <f t="shared" si="40"/>
        <v>51541824.943366602</v>
      </c>
      <c r="K40" s="32">
        <f t="shared" si="40"/>
        <v>187478948.60371366</v>
      </c>
      <c r="L40" s="32">
        <f t="shared" si="40"/>
        <v>94226334.714056134</v>
      </c>
      <c r="M40" s="32">
        <f t="shared" si="40"/>
        <v>6228135.0517366864</v>
      </c>
      <c r="N40" s="32">
        <f t="shared" ref="N40:R40" si="41">SUM(N36,N38)</f>
        <v>0</v>
      </c>
      <c r="O40" s="32">
        <f t="shared" si="41"/>
        <v>-16471978.140009768</v>
      </c>
      <c r="P40" s="32">
        <f t="shared" ref="P40:Q40" si="42">SUM(P36,P38)</f>
        <v>-30863073.084011916</v>
      </c>
      <c r="Q40" s="32">
        <f t="shared" si="42"/>
        <v>0</v>
      </c>
      <c r="R40" s="32">
        <f t="shared" si="41"/>
        <v>416913789.37633657</v>
      </c>
      <c r="S40" s="32">
        <f>SUM(E40,R40)</f>
        <v>2520706789.3763366</v>
      </c>
      <c r="U40" s="32">
        <f t="shared" ref="U40:V40" si="43">SUM(U36,U38)</f>
        <v>2607156076.3890991</v>
      </c>
      <c r="V40" s="32">
        <f t="shared" si="43"/>
        <v>0</v>
      </c>
      <c r="W40" s="32">
        <f>SUM(W36,W38)</f>
        <v>2607156076.3890991</v>
      </c>
    </row>
    <row r="41" spans="1:23" ht="12" thickTop="1" x14ac:dyDescent="0.2">
      <c r="A41" s="12"/>
      <c r="D41" s="28"/>
    </row>
    <row r="42" spans="1:23" s="37" customFormat="1" x14ac:dyDescent="0.2">
      <c r="C42" s="37" t="s">
        <v>278</v>
      </c>
      <c r="D42" s="38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/>
      <c r="O42" s="39">
        <v>0</v>
      </c>
      <c r="P42" s="39">
        <v>0</v>
      </c>
      <c r="Q42" s="39">
        <v>0</v>
      </c>
      <c r="R42" s="26"/>
      <c r="S42" s="39"/>
      <c r="U42" s="39">
        <v>0</v>
      </c>
      <c r="V42" s="39">
        <v>0</v>
      </c>
      <c r="W42" s="39"/>
    </row>
    <row r="45" spans="1:23" x14ac:dyDescent="0.2">
      <c r="B45" s="110" t="s">
        <v>276</v>
      </c>
    </row>
    <row r="46" spans="1:23" x14ac:dyDescent="0.2">
      <c r="B46" s="2" t="s">
        <v>353</v>
      </c>
    </row>
  </sheetData>
  <mergeCells count="2">
    <mergeCell ref="E5:S5"/>
    <mergeCell ref="U5:W5"/>
  </mergeCells>
  <phoneticPr fontId="0" type="noConversion"/>
  <printOptions horizontalCentered="1"/>
  <pageMargins left="0.7" right="0.7" top="0.75" bottom="0.75" header="0.3" footer="0.3"/>
  <pageSetup scale="5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  <pageSetUpPr fitToPage="1"/>
  </sheetPr>
  <dimension ref="A1:O91"/>
  <sheetViews>
    <sheetView zoomScaleNormal="100" workbookViewId="0">
      <selection activeCell="F32" sqref="F32"/>
    </sheetView>
  </sheetViews>
  <sheetFormatPr defaultColWidth="8.7109375" defaultRowHeight="11.25" x14ac:dyDescent="0.2"/>
  <cols>
    <col min="1" max="1" width="21.5703125" style="110" customWidth="1"/>
    <col min="2" max="2" width="7.7109375" style="110" bestFit="1" customWidth="1"/>
    <col min="3" max="3" width="12.7109375" style="110" bestFit="1" customWidth="1"/>
    <col min="4" max="4" width="9.7109375" style="110" bestFit="1" customWidth="1"/>
    <col min="5" max="5" width="10.28515625" style="110" bestFit="1" customWidth="1"/>
    <col min="6" max="6" width="10" style="110" bestFit="1" customWidth="1"/>
    <col min="7" max="7" width="2" style="110" customWidth="1"/>
    <col min="8" max="8" width="7.7109375" style="110" bestFit="1" customWidth="1"/>
    <col min="9" max="9" width="9.140625" style="110" bestFit="1" customWidth="1"/>
    <col min="10" max="10" width="7.7109375" style="110" bestFit="1" customWidth="1"/>
    <col min="11" max="11" width="9" style="110" bestFit="1" customWidth="1"/>
    <col min="12" max="13" width="9" style="110" customWidth="1"/>
    <col min="14" max="14" width="4" style="110" customWidth="1"/>
    <col min="15" max="16384" width="8.7109375" style="110"/>
  </cols>
  <sheetData>
    <row r="1" spans="1:15" s="116" customFormat="1" x14ac:dyDescent="0.2">
      <c r="A1" s="114" t="s">
        <v>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0"/>
    </row>
    <row r="2" spans="1:15" s="116" customFormat="1" x14ac:dyDescent="0.2">
      <c r="A2" s="114" t="s">
        <v>11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5" x14ac:dyDescent="0.2">
      <c r="A3" s="114" t="s">
        <v>377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</row>
    <row r="5" spans="1:15" x14ac:dyDescent="0.2">
      <c r="C5" s="360" t="s">
        <v>181</v>
      </c>
      <c r="D5" s="360"/>
      <c r="E5" s="360"/>
      <c r="F5" s="360"/>
      <c r="H5" s="360" t="s">
        <v>182</v>
      </c>
      <c r="I5" s="360"/>
      <c r="J5" s="360"/>
      <c r="K5" s="360"/>
      <c r="L5" s="118"/>
      <c r="M5" s="118"/>
    </row>
    <row r="6" spans="1:15" ht="22.5" x14ac:dyDescent="0.2">
      <c r="A6" s="119" t="s">
        <v>12</v>
      </c>
      <c r="B6" s="119" t="s">
        <v>13</v>
      </c>
      <c r="C6" s="119" t="s">
        <v>183</v>
      </c>
      <c r="D6" s="119" t="s">
        <v>184</v>
      </c>
      <c r="E6" s="119" t="s">
        <v>185</v>
      </c>
      <c r="F6" s="119" t="s">
        <v>186</v>
      </c>
      <c r="H6" s="119" t="s">
        <v>183</v>
      </c>
      <c r="I6" s="119" t="s">
        <v>184</v>
      </c>
      <c r="J6" s="119" t="s">
        <v>185</v>
      </c>
      <c r="K6" s="119" t="s">
        <v>186</v>
      </c>
      <c r="L6" s="120" t="s">
        <v>14</v>
      </c>
      <c r="M6" s="119" t="s">
        <v>15</v>
      </c>
    </row>
    <row r="7" spans="1:15" x14ac:dyDescent="0.2">
      <c r="A7" s="121" t="s">
        <v>25</v>
      </c>
      <c r="B7" s="122">
        <f t="shared" ref="B7:B18" si="0">ROUND(+E75,0)</f>
        <v>803</v>
      </c>
      <c r="C7" s="5">
        <f t="shared" ref="C7:C18" si="1">ROUND(+$E$27,2)</f>
        <v>7.49</v>
      </c>
      <c r="D7" s="5">
        <f t="shared" ref="D7:D18" si="2">ROUND(IF($B7&gt;600,600*$E$69,$B7*$E$43),2)</f>
        <v>66.459999999999994</v>
      </c>
      <c r="E7" s="5">
        <f t="shared" ref="E7:E18" si="3">ROUND(IF($B7&gt;600,($B7-600)*$E$70,0),2)</f>
        <v>26.43</v>
      </c>
      <c r="F7" s="123">
        <f t="shared" ref="F7:F18" si="4">SUM(C7:E7)</f>
        <v>100.38</v>
      </c>
      <c r="H7" s="5">
        <f t="shared" ref="H7:H18" si="5">ROUND(+$F$27,2)</f>
        <v>7.49</v>
      </c>
      <c r="I7" s="5">
        <f t="shared" ref="I7:I18" si="6">ROUND(IF($B7&gt;600,600*$F$69,$B7*$F$43),2)</f>
        <v>66.83</v>
      </c>
      <c r="J7" s="5">
        <f t="shared" ref="J7:J18" si="7">ROUND(IF($B7&gt;600,($B7-600)*$F$70,0),2)</f>
        <v>26.55</v>
      </c>
      <c r="K7" s="123">
        <f t="shared" ref="K7:K18" si="8">SUM(H7:J7)</f>
        <v>100.86999999999999</v>
      </c>
      <c r="L7" s="123">
        <f t="shared" ref="L7:L18" si="9">+K7-F7</f>
        <v>0.48999999999999488</v>
      </c>
      <c r="M7" s="124">
        <f t="shared" ref="M7:M18" si="10">+L7/F7</f>
        <v>4.8814504881449982E-3</v>
      </c>
    </row>
    <row r="8" spans="1:15" x14ac:dyDescent="0.2">
      <c r="A8" s="121" t="s">
        <v>26</v>
      </c>
      <c r="B8" s="122">
        <f t="shared" si="0"/>
        <v>963</v>
      </c>
      <c r="C8" s="5">
        <f t="shared" si="1"/>
        <v>7.49</v>
      </c>
      <c r="D8" s="5">
        <f t="shared" si="2"/>
        <v>66.459999999999994</v>
      </c>
      <c r="E8" s="5">
        <f t="shared" si="3"/>
        <v>47.26</v>
      </c>
      <c r="F8" s="123">
        <f t="shared" si="4"/>
        <v>121.20999999999998</v>
      </c>
      <c r="H8" s="5">
        <f t="shared" si="5"/>
        <v>7.49</v>
      </c>
      <c r="I8" s="5">
        <f t="shared" si="6"/>
        <v>66.83</v>
      </c>
      <c r="J8" s="5">
        <f t="shared" si="7"/>
        <v>47.48</v>
      </c>
      <c r="K8" s="123">
        <f t="shared" si="8"/>
        <v>121.79999999999998</v>
      </c>
      <c r="L8" s="123">
        <f t="shared" si="9"/>
        <v>0.59000000000000341</v>
      </c>
      <c r="M8" s="124">
        <f t="shared" si="10"/>
        <v>4.8675851827407269E-3</v>
      </c>
    </row>
    <row r="9" spans="1:15" x14ac:dyDescent="0.2">
      <c r="A9" s="121" t="s">
        <v>27</v>
      </c>
      <c r="B9" s="122">
        <f t="shared" si="0"/>
        <v>1168</v>
      </c>
      <c r="C9" s="5">
        <f t="shared" si="1"/>
        <v>7.49</v>
      </c>
      <c r="D9" s="5">
        <f t="shared" si="2"/>
        <v>66.459999999999994</v>
      </c>
      <c r="E9" s="5">
        <f t="shared" si="3"/>
        <v>73.95</v>
      </c>
      <c r="F9" s="123">
        <f t="shared" si="4"/>
        <v>147.89999999999998</v>
      </c>
      <c r="H9" s="5">
        <f t="shared" si="5"/>
        <v>7.49</v>
      </c>
      <c r="I9" s="5">
        <f t="shared" si="6"/>
        <v>66.83</v>
      </c>
      <c r="J9" s="5">
        <f t="shared" si="7"/>
        <v>74.290000000000006</v>
      </c>
      <c r="K9" s="123">
        <f t="shared" si="8"/>
        <v>148.61000000000001</v>
      </c>
      <c r="L9" s="123">
        <f t="shared" si="9"/>
        <v>0.71000000000003638</v>
      </c>
      <c r="M9" s="124">
        <f t="shared" si="10"/>
        <v>4.8005409060178266E-3</v>
      </c>
    </row>
    <row r="10" spans="1:15" x14ac:dyDescent="0.2">
      <c r="A10" s="121" t="s">
        <v>16</v>
      </c>
      <c r="B10" s="122">
        <f t="shared" si="0"/>
        <v>1100</v>
      </c>
      <c r="C10" s="5">
        <f t="shared" si="1"/>
        <v>7.49</v>
      </c>
      <c r="D10" s="5">
        <f t="shared" si="2"/>
        <v>66.459999999999994</v>
      </c>
      <c r="E10" s="5">
        <f t="shared" si="3"/>
        <v>65.09</v>
      </c>
      <c r="F10" s="123">
        <f t="shared" si="4"/>
        <v>139.04</v>
      </c>
      <c r="H10" s="5">
        <f t="shared" si="5"/>
        <v>7.49</v>
      </c>
      <c r="I10" s="5">
        <f t="shared" si="6"/>
        <v>66.83</v>
      </c>
      <c r="J10" s="5">
        <f t="shared" si="7"/>
        <v>65.400000000000006</v>
      </c>
      <c r="K10" s="123">
        <f t="shared" si="8"/>
        <v>139.72</v>
      </c>
      <c r="L10" s="123">
        <f t="shared" si="9"/>
        <v>0.68000000000000682</v>
      </c>
      <c r="M10" s="124">
        <f t="shared" si="10"/>
        <v>4.8906789413119024E-3</v>
      </c>
    </row>
    <row r="11" spans="1:15" x14ac:dyDescent="0.2">
      <c r="A11" s="121" t="s">
        <v>17</v>
      </c>
      <c r="B11" s="122">
        <f t="shared" si="0"/>
        <v>992</v>
      </c>
      <c r="C11" s="5">
        <f t="shared" si="1"/>
        <v>7.49</v>
      </c>
      <c r="D11" s="5">
        <f t="shared" si="2"/>
        <v>66.459999999999994</v>
      </c>
      <c r="E11" s="5">
        <f t="shared" si="3"/>
        <v>51.03</v>
      </c>
      <c r="F11" s="123">
        <f t="shared" si="4"/>
        <v>124.97999999999999</v>
      </c>
      <c r="H11" s="5">
        <f t="shared" si="5"/>
        <v>7.49</v>
      </c>
      <c r="I11" s="5">
        <f t="shared" si="6"/>
        <v>66.83</v>
      </c>
      <c r="J11" s="5">
        <f t="shared" si="7"/>
        <v>51.27</v>
      </c>
      <c r="K11" s="123">
        <f t="shared" si="8"/>
        <v>125.59</v>
      </c>
      <c r="L11" s="123">
        <f t="shared" si="9"/>
        <v>0.61000000000001364</v>
      </c>
      <c r="M11" s="124">
        <f t="shared" si="10"/>
        <v>4.8807809249481011E-3</v>
      </c>
    </row>
    <row r="12" spans="1:15" x14ac:dyDescent="0.2">
      <c r="A12" s="121" t="s">
        <v>18</v>
      </c>
      <c r="B12" s="122">
        <f t="shared" si="0"/>
        <v>959</v>
      </c>
      <c r="C12" s="5">
        <f t="shared" si="1"/>
        <v>7.49</v>
      </c>
      <c r="D12" s="5">
        <f t="shared" si="2"/>
        <v>66.459999999999994</v>
      </c>
      <c r="E12" s="5">
        <f t="shared" si="3"/>
        <v>46.74</v>
      </c>
      <c r="F12" s="123">
        <f t="shared" si="4"/>
        <v>120.69</v>
      </c>
      <c r="H12" s="5">
        <f t="shared" si="5"/>
        <v>7.49</v>
      </c>
      <c r="I12" s="5">
        <f t="shared" si="6"/>
        <v>66.83</v>
      </c>
      <c r="J12" s="5">
        <f t="shared" si="7"/>
        <v>46.95</v>
      </c>
      <c r="K12" s="123">
        <f t="shared" si="8"/>
        <v>121.27</v>
      </c>
      <c r="L12" s="123">
        <f t="shared" si="9"/>
        <v>0.57999999999999829</v>
      </c>
      <c r="M12" s="124">
        <f t="shared" si="10"/>
        <v>4.8057005551412572E-3</v>
      </c>
    </row>
    <row r="13" spans="1:15" x14ac:dyDescent="0.2">
      <c r="A13" s="121" t="s">
        <v>19</v>
      </c>
      <c r="B13" s="122">
        <f t="shared" si="0"/>
        <v>803</v>
      </c>
      <c r="C13" s="5">
        <f t="shared" si="1"/>
        <v>7.49</v>
      </c>
      <c r="D13" s="5">
        <f t="shared" si="2"/>
        <v>66.459999999999994</v>
      </c>
      <c r="E13" s="5">
        <f t="shared" si="3"/>
        <v>26.43</v>
      </c>
      <c r="F13" s="123">
        <f t="shared" si="4"/>
        <v>100.38</v>
      </c>
      <c r="H13" s="5">
        <f t="shared" si="5"/>
        <v>7.49</v>
      </c>
      <c r="I13" s="5">
        <f t="shared" si="6"/>
        <v>66.83</v>
      </c>
      <c r="J13" s="5">
        <f t="shared" si="7"/>
        <v>26.55</v>
      </c>
      <c r="K13" s="123">
        <f t="shared" si="8"/>
        <v>100.86999999999999</v>
      </c>
      <c r="L13" s="123">
        <f t="shared" si="9"/>
        <v>0.48999999999999488</v>
      </c>
      <c r="M13" s="124">
        <f t="shared" si="10"/>
        <v>4.8814504881449982E-3</v>
      </c>
    </row>
    <row r="14" spans="1:15" x14ac:dyDescent="0.2">
      <c r="A14" s="121" t="s">
        <v>20</v>
      </c>
      <c r="B14" s="122">
        <f t="shared" si="0"/>
        <v>700</v>
      </c>
      <c r="C14" s="5">
        <f t="shared" si="1"/>
        <v>7.49</v>
      </c>
      <c r="D14" s="5">
        <f t="shared" si="2"/>
        <v>66.459999999999994</v>
      </c>
      <c r="E14" s="5">
        <f t="shared" si="3"/>
        <v>13.02</v>
      </c>
      <c r="F14" s="123">
        <f t="shared" si="4"/>
        <v>86.969999999999985</v>
      </c>
      <c r="H14" s="5">
        <f t="shared" si="5"/>
        <v>7.49</v>
      </c>
      <c r="I14" s="5">
        <f t="shared" si="6"/>
        <v>66.83</v>
      </c>
      <c r="J14" s="5">
        <f t="shared" si="7"/>
        <v>13.08</v>
      </c>
      <c r="K14" s="123">
        <f t="shared" si="8"/>
        <v>87.399999999999991</v>
      </c>
      <c r="L14" s="123">
        <f t="shared" si="9"/>
        <v>0.43000000000000682</v>
      </c>
      <c r="M14" s="124">
        <f t="shared" si="10"/>
        <v>4.9442336437852926E-3</v>
      </c>
    </row>
    <row r="15" spans="1:15" x14ac:dyDescent="0.2">
      <c r="A15" s="121" t="s">
        <v>21</v>
      </c>
      <c r="B15" s="122">
        <f t="shared" si="0"/>
        <v>669</v>
      </c>
      <c r="C15" s="5">
        <f t="shared" si="1"/>
        <v>7.49</v>
      </c>
      <c r="D15" s="5">
        <f t="shared" si="2"/>
        <v>66.459999999999994</v>
      </c>
      <c r="E15" s="5">
        <f t="shared" si="3"/>
        <v>8.98</v>
      </c>
      <c r="F15" s="123">
        <f t="shared" si="4"/>
        <v>82.929999999999993</v>
      </c>
      <c r="H15" s="5">
        <f t="shared" si="5"/>
        <v>7.49</v>
      </c>
      <c r="I15" s="5">
        <f t="shared" si="6"/>
        <v>66.83</v>
      </c>
      <c r="J15" s="5">
        <f t="shared" si="7"/>
        <v>9.02</v>
      </c>
      <c r="K15" s="123">
        <f t="shared" si="8"/>
        <v>83.339999999999989</v>
      </c>
      <c r="L15" s="123">
        <f t="shared" si="9"/>
        <v>0.40999999999999659</v>
      </c>
      <c r="M15" s="124">
        <f t="shared" si="10"/>
        <v>4.9439286144941112E-3</v>
      </c>
    </row>
    <row r="16" spans="1:15" x14ac:dyDescent="0.2">
      <c r="A16" s="121" t="s">
        <v>22</v>
      </c>
      <c r="B16" s="122">
        <f t="shared" si="0"/>
        <v>745</v>
      </c>
      <c r="C16" s="5">
        <f t="shared" si="1"/>
        <v>7.49</v>
      </c>
      <c r="D16" s="5">
        <f t="shared" si="2"/>
        <v>66.459999999999994</v>
      </c>
      <c r="E16" s="5">
        <f t="shared" si="3"/>
        <v>18.88</v>
      </c>
      <c r="F16" s="123">
        <f t="shared" si="4"/>
        <v>92.829999999999984</v>
      </c>
      <c r="H16" s="5">
        <f t="shared" si="5"/>
        <v>7.49</v>
      </c>
      <c r="I16" s="5">
        <f t="shared" si="6"/>
        <v>66.83</v>
      </c>
      <c r="J16" s="5">
        <f t="shared" si="7"/>
        <v>18.96</v>
      </c>
      <c r="K16" s="123">
        <f t="shared" si="8"/>
        <v>93.28</v>
      </c>
      <c r="L16" s="123">
        <f t="shared" si="9"/>
        <v>0.45000000000001705</v>
      </c>
      <c r="M16" s="124">
        <f t="shared" si="10"/>
        <v>4.847570828396177E-3</v>
      </c>
    </row>
    <row r="17" spans="1:13" x14ac:dyDescent="0.2">
      <c r="A17" s="121" t="s">
        <v>23</v>
      </c>
      <c r="B17" s="122">
        <f t="shared" si="0"/>
        <v>750</v>
      </c>
      <c r="C17" s="5">
        <f t="shared" si="1"/>
        <v>7.49</v>
      </c>
      <c r="D17" s="5">
        <f t="shared" si="2"/>
        <v>66.459999999999994</v>
      </c>
      <c r="E17" s="5">
        <f t="shared" si="3"/>
        <v>19.53</v>
      </c>
      <c r="F17" s="123">
        <f t="shared" si="4"/>
        <v>93.47999999999999</v>
      </c>
      <c r="H17" s="5">
        <f t="shared" si="5"/>
        <v>7.49</v>
      </c>
      <c r="I17" s="5">
        <f t="shared" si="6"/>
        <v>66.83</v>
      </c>
      <c r="J17" s="5">
        <f t="shared" si="7"/>
        <v>19.62</v>
      </c>
      <c r="K17" s="123">
        <f t="shared" si="8"/>
        <v>93.94</v>
      </c>
      <c r="L17" s="123">
        <f t="shared" si="9"/>
        <v>0.46000000000000796</v>
      </c>
      <c r="M17" s="124">
        <f t="shared" si="10"/>
        <v>4.9208386820711169E-3</v>
      </c>
    </row>
    <row r="18" spans="1:13" x14ac:dyDescent="0.2">
      <c r="A18" s="121" t="s">
        <v>24</v>
      </c>
      <c r="B18" s="122">
        <f t="shared" si="0"/>
        <v>685</v>
      </c>
      <c r="C18" s="5">
        <f t="shared" si="1"/>
        <v>7.49</v>
      </c>
      <c r="D18" s="5">
        <f t="shared" si="2"/>
        <v>66.459999999999994</v>
      </c>
      <c r="E18" s="5">
        <f t="shared" si="3"/>
        <v>11.07</v>
      </c>
      <c r="F18" s="123">
        <f t="shared" si="4"/>
        <v>85.019999999999982</v>
      </c>
      <c r="H18" s="5">
        <f t="shared" si="5"/>
        <v>7.49</v>
      </c>
      <c r="I18" s="5">
        <f t="shared" si="6"/>
        <v>66.83</v>
      </c>
      <c r="J18" s="5">
        <f t="shared" si="7"/>
        <v>11.12</v>
      </c>
      <c r="K18" s="123">
        <f t="shared" si="8"/>
        <v>85.44</v>
      </c>
      <c r="L18" s="123">
        <f t="shared" si="9"/>
        <v>0.42000000000001592</v>
      </c>
      <c r="M18" s="124">
        <f t="shared" si="10"/>
        <v>4.9400141143262294E-3</v>
      </c>
    </row>
    <row r="19" spans="1:13" x14ac:dyDescent="0.2">
      <c r="C19" s="5"/>
      <c r="H19" s="5"/>
      <c r="M19" s="124"/>
    </row>
    <row r="20" spans="1:13" ht="12" thickBot="1" x14ac:dyDescent="0.25">
      <c r="A20" s="125" t="s">
        <v>28</v>
      </c>
      <c r="B20" s="126">
        <f>SUM(B7:B19)</f>
        <v>10337</v>
      </c>
      <c r="C20" s="8">
        <f>SUM(C7:C19)</f>
        <v>89.88</v>
      </c>
      <c r="D20" s="8">
        <f>SUM(D7:D19)</f>
        <v>797.5200000000001</v>
      </c>
      <c r="E20" s="8">
        <f>SUM(E7:E19)</f>
        <v>408.41</v>
      </c>
      <c r="F20" s="8">
        <f>SUM(F7:F19)</f>
        <v>1295.81</v>
      </c>
      <c r="H20" s="8">
        <f>SUM(H7:H19)</f>
        <v>89.88</v>
      </c>
      <c r="I20" s="8">
        <f>SUM(I7:I19)</f>
        <v>801.96000000000015</v>
      </c>
      <c r="J20" s="8">
        <f>SUM(J7:J19)</f>
        <v>410.28999999999996</v>
      </c>
      <c r="K20" s="8">
        <f>SUM(K7:K19)</f>
        <v>1302.1300000000001</v>
      </c>
      <c r="L20" s="8">
        <f>+K20-F20</f>
        <v>6.3200000000001637</v>
      </c>
      <c r="M20" s="127">
        <f>+L20/F20</f>
        <v>4.8772582400198822E-3</v>
      </c>
    </row>
    <row r="21" spans="1:13" ht="12" thickTop="1" x14ac:dyDescent="0.2">
      <c r="M21" s="124"/>
    </row>
    <row r="22" spans="1:13" ht="12" thickBot="1" x14ac:dyDescent="0.25">
      <c r="A22" s="128" t="s">
        <v>109</v>
      </c>
      <c r="B22" s="126">
        <f>ROUND(AVERAGE(B7:B18),-2)</f>
        <v>900</v>
      </c>
      <c r="C22" s="129">
        <f>ROUND(+$E$27,2)</f>
        <v>7.49</v>
      </c>
      <c r="D22" s="129">
        <f>ROUND(IF($B22&gt;600,600*$E$69,$B22*$E$43),2)</f>
        <v>66.459999999999994</v>
      </c>
      <c r="E22" s="129">
        <f>ROUND(IF($B22&gt;600,($B22-600)*$E$70,0),2)</f>
        <v>39.06</v>
      </c>
      <c r="F22" s="129">
        <f>SUM(C22:E22)</f>
        <v>113.00999999999999</v>
      </c>
      <c r="H22" s="129">
        <f>ROUND(+$F$27,2)</f>
        <v>7.49</v>
      </c>
      <c r="I22" s="129">
        <f>ROUND(IF($B22&gt;600,600*$F$69,$B22*$F$43),2)</f>
        <v>66.83</v>
      </c>
      <c r="J22" s="129">
        <f>ROUND(IF($B22&gt;600,($B22-600)*$F$70,0),2)</f>
        <v>39.24</v>
      </c>
      <c r="K22" s="129">
        <f>SUM(H22:J22)</f>
        <v>113.56</v>
      </c>
      <c r="L22" s="129">
        <f>+K22-F22</f>
        <v>0.55000000000001137</v>
      </c>
      <c r="M22" s="127">
        <f>+L22/F22</f>
        <v>4.866825944606773E-3</v>
      </c>
    </row>
    <row r="23" spans="1:13" ht="12.75" thickTop="1" thickBot="1" x14ac:dyDescent="0.25">
      <c r="A23" s="128" t="s">
        <v>109</v>
      </c>
      <c r="B23" s="130">
        <v>800</v>
      </c>
      <c r="C23" s="129">
        <f>ROUND(+$E$27,2)</f>
        <v>7.49</v>
      </c>
      <c r="D23" s="129">
        <f>ROUND(IF($B23&gt;600,600*$E$69,$B23*$E$43),2)</f>
        <v>66.459999999999994</v>
      </c>
      <c r="E23" s="129">
        <f>ROUND(IF($B23&gt;600,($B23-600)*$E$70,0),2)</f>
        <v>26.04</v>
      </c>
      <c r="F23" s="129">
        <f>SUM(C23:E23)</f>
        <v>99.989999999999981</v>
      </c>
      <c r="H23" s="129">
        <f>ROUND(+$F$27,2)</f>
        <v>7.49</v>
      </c>
      <c r="I23" s="129">
        <f>ROUND(IF($B23&gt;600,600*$F$69,$B23*$F$43),2)</f>
        <v>66.83</v>
      </c>
      <c r="J23" s="129">
        <f>ROUND(IF($B23&gt;600,($B23-600)*$F$70,0),2)</f>
        <v>26.16</v>
      </c>
      <c r="K23" s="129">
        <f>SUM(H23:J23)</f>
        <v>100.47999999999999</v>
      </c>
      <c r="L23" s="129">
        <f>+K23-F23</f>
        <v>0.49000000000000909</v>
      </c>
      <c r="M23" s="131">
        <f>+L23/F23</f>
        <v>4.9004900490049923E-3</v>
      </c>
    </row>
    <row r="24" spans="1:13" ht="12" thickTop="1" x14ac:dyDescent="0.2"/>
    <row r="25" spans="1:13" ht="45" x14ac:dyDescent="0.2">
      <c r="A25" s="132" t="s">
        <v>110</v>
      </c>
      <c r="B25" s="133"/>
      <c r="C25" s="133"/>
      <c r="D25" s="133"/>
      <c r="E25" s="134" t="s">
        <v>399</v>
      </c>
      <c r="F25" s="135" t="s">
        <v>400</v>
      </c>
    </row>
    <row r="26" spans="1:13" x14ac:dyDescent="0.2">
      <c r="A26" s="358" t="s">
        <v>29</v>
      </c>
      <c r="B26" s="358"/>
      <c r="C26" s="358"/>
      <c r="D26" s="358"/>
      <c r="E26" s="136"/>
      <c r="F26" s="136"/>
    </row>
    <row r="27" spans="1:13" x14ac:dyDescent="0.2">
      <c r="A27" s="359" t="s">
        <v>111</v>
      </c>
      <c r="B27" s="359"/>
      <c r="C27" s="359"/>
      <c r="D27" s="359"/>
      <c r="E27" s="137">
        <v>7.49</v>
      </c>
      <c r="F27" s="138">
        <f>E27</f>
        <v>7.49</v>
      </c>
      <c r="G27" s="110" t="s">
        <v>30</v>
      </c>
    </row>
    <row r="28" spans="1:13" ht="12" thickBot="1" x14ac:dyDescent="0.25">
      <c r="A28" s="357" t="s">
        <v>93</v>
      </c>
      <c r="B28" s="357"/>
      <c r="C28" s="357"/>
      <c r="D28" s="357"/>
      <c r="E28" s="139">
        <f>SUM(E27)</f>
        <v>7.49</v>
      </c>
      <c r="F28" s="139">
        <f>SUM(F27:F27)</f>
        <v>7.49</v>
      </c>
    </row>
    <row r="29" spans="1:13" ht="12" thickTop="1" x14ac:dyDescent="0.2">
      <c r="A29" s="358" t="s">
        <v>31</v>
      </c>
      <c r="B29" s="358"/>
      <c r="C29" s="358"/>
      <c r="D29" s="358"/>
      <c r="E29" s="140"/>
      <c r="F29" s="140"/>
    </row>
    <row r="30" spans="1:13" x14ac:dyDescent="0.2">
      <c r="A30" s="359" t="s">
        <v>32</v>
      </c>
      <c r="B30" s="359"/>
      <c r="C30" s="359"/>
      <c r="D30" s="359"/>
      <c r="E30" s="141">
        <v>8.9437000000000003E-2</v>
      </c>
      <c r="F30" s="142">
        <f>E30</f>
        <v>8.9437000000000003E-2</v>
      </c>
      <c r="G30" s="110" t="s">
        <v>5</v>
      </c>
    </row>
    <row r="31" spans="1:13" x14ac:dyDescent="0.2">
      <c r="A31" s="359" t="s">
        <v>37</v>
      </c>
      <c r="B31" s="359"/>
      <c r="C31" s="359"/>
      <c r="D31" s="359"/>
      <c r="E31" s="147">
        <v>2.6870000000000002E-3</v>
      </c>
      <c r="F31" s="142">
        <f>E31</f>
        <v>2.6870000000000002E-3</v>
      </c>
      <c r="G31" s="110" t="s">
        <v>5</v>
      </c>
    </row>
    <row r="32" spans="1:13" x14ac:dyDescent="0.2">
      <c r="A32" s="361" t="s">
        <v>285</v>
      </c>
      <c r="B32" s="361"/>
      <c r="C32" s="361"/>
      <c r="D32" s="361"/>
      <c r="E32" s="143">
        <f>'2023 Proposed Impacts'!F8</f>
        <v>0</v>
      </c>
      <c r="F32" s="143">
        <f>'2023 Proposed Impacts'!G8</f>
        <v>6.0700000000000001E-4</v>
      </c>
      <c r="G32" s="144" t="s">
        <v>5</v>
      </c>
      <c r="H32" s="144"/>
    </row>
    <row r="33" spans="1:8" x14ac:dyDescent="0.2">
      <c r="A33" s="359" t="s">
        <v>91</v>
      </c>
      <c r="B33" s="359"/>
      <c r="C33" s="359"/>
      <c r="D33" s="359"/>
      <c r="E33" s="147">
        <v>2.6120000000000002E-3</v>
      </c>
      <c r="F33" s="142">
        <f t="shared" ref="F33:F41" si="11">E33</f>
        <v>2.6120000000000002E-3</v>
      </c>
      <c r="G33" s="110" t="s">
        <v>5</v>
      </c>
    </row>
    <row r="34" spans="1:8" x14ac:dyDescent="0.2">
      <c r="A34" s="359" t="s">
        <v>286</v>
      </c>
      <c r="B34" s="359"/>
      <c r="C34" s="359"/>
      <c r="D34" s="359"/>
      <c r="E34" s="147">
        <v>1.828E-3</v>
      </c>
      <c r="F34" s="142">
        <f t="shared" si="11"/>
        <v>1.828E-3</v>
      </c>
      <c r="G34" s="110" t="s">
        <v>5</v>
      </c>
    </row>
    <row r="35" spans="1:8" x14ac:dyDescent="0.2">
      <c r="A35" s="145" t="s">
        <v>287</v>
      </c>
      <c r="B35" s="145"/>
      <c r="C35" s="145"/>
      <c r="D35" s="145"/>
      <c r="E35" s="147">
        <v>0</v>
      </c>
      <c r="F35" s="142">
        <f t="shared" si="11"/>
        <v>0</v>
      </c>
      <c r="G35" s="110" t="s">
        <v>5</v>
      </c>
    </row>
    <row r="36" spans="1:8" x14ac:dyDescent="0.2">
      <c r="A36" s="359" t="s">
        <v>288</v>
      </c>
      <c r="B36" s="359"/>
      <c r="C36" s="359"/>
      <c r="D36" s="359"/>
      <c r="E36" s="147">
        <v>2.6689999999999999E-3</v>
      </c>
      <c r="F36" s="142">
        <f t="shared" si="11"/>
        <v>2.6689999999999999E-3</v>
      </c>
      <c r="G36" s="110" t="s">
        <v>5</v>
      </c>
    </row>
    <row r="37" spans="1:8" x14ac:dyDescent="0.2">
      <c r="A37" s="359" t="s">
        <v>289</v>
      </c>
      <c r="B37" s="359"/>
      <c r="C37" s="359"/>
      <c r="D37" s="359"/>
      <c r="E37" s="147">
        <v>1.0007E-2</v>
      </c>
      <c r="F37" s="142">
        <f t="shared" si="11"/>
        <v>1.0007E-2</v>
      </c>
      <c r="G37" s="110" t="s">
        <v>5</v>
      </c>
    </row>
    <row r="38" spans="1:8" x14ac:dyDescent="0.2">
      <c r="A38" s="359" t="s">
        <v>290</v>
      </c>
      <c r="B38" s="359"/>
      <c r="C38" s="359"/>
      <c r="D38" s="359"/>
      <c r="E38" s="147">
        <v>5.0289999999999996E-3</v>
      </c>
      <c r="F38" s="142">
        <f t="shared" si="11"/>
        <v>5.0289999999999996E-3</v>
      </c>
      <c r="G38" s="110" t="s">
        <v>5</v>
      </c>
    </row>
    <row r="39" spans="1:8" x14ac:dyDescent="0.2">
      <c r="A39" s="359" t="s">
        <v>291</v>
      </c>
      <c r="B39" s="359"/>
      <c r="C39" s="359"/>
      <c r="D39" s="359"/>
      <c r="E39" s="147">
        <v>3.19E-4</v>
      </c>
      <c r="F39" s="142">
        <f t="shared" si="11"/>
        <v>3.19E-4</v>
      </c>
      <c r="G39" s="110" t="s">
        <v>5</v>
      </c>
    </row>
    <row r="40" spans="1:8" x14ac:dyDescent="0.2">
      <c r="A40" s="359" t="s">
        <v>187</v>
      </c>
      <c r="B40" s="359"/>
      <c r="C40" s="359"/>
      <c r="D40" s="359"/>
      <c r="E40" s="147">
        <v>-8.8400000000000002E-4</v>
      </c>
      <c r="F40" s="142">
        <f t="shared" si="11"/>
        <v>-8.8400000000000002E-4</v>
      </c>
      <c r="G40" s="110" t="s">
        <v>5</v>
      </c>
    </row>
    <row r="41" spans="1:8" x14ac:dyDescent="0.2">
      <c r="A41" s="359" t="s">
        <v>92</v>
      </c>
      <c r="B41" s="359"/>
      <c r="C41" s="359"/>
      <c r="D41" s="359"/>
      <c r="E41" s="147">
        <v>-3.4759999999999999E-3</v>
      </c>
      <c r="F41" s="142">
        <f t="shared" si="11"/>
        <v>-3.4759999999999999E-3</v>
      </c>
      <c r="G41" s="110" t="s">
        <v>5</v>
      </c>
    </row>
    <row r="42" spans="1:8" x14ac:dyDescent="0.2">
      <c r="A42" s="359" t="s">
        <v>188</v>
      </c>
      <c r="B42" s="359"/>
      <c r="C42" s="359"/>
      <c r="D42" s="359"/>
      <c r="E42" s="147">
        <v>0</v>
      </c>
      <c r="F42" s="142">
        <f>E42</f>
        <v>0</v>
      </c>
      <c r="G42" s="110" t="s">
        <v>5</v>
      </c>
    </row>
    <row r="43" spans="1:8" ht="12" thickBot="1" x14ac:dyDescent="0.25">
      <c r="A43" s="357" t="s">
        <v>94</v>
      </c>
      <c r="B43" s="357"/>
      <c r="C43" s="357"/>
      <c r="D43" s="357"/>
      <c r="E43" s="146">
        <f>SUM(E30:E42)</f>
        <v>0.11022800000000002</v>
      </c>
      <c r="F43" s="146">
        <f>SUM(F30:F42)</f>
        <v>0.11083500000000002</v>
      </c>
      <c r="G43" s="110" t="s">
        <v>5</v>
      </c>
    </row>
    <row r="44" spans="1:8" ht="12" thickTop="1" x14ac:dyDescent="0.2">
      <c r="A44" s="358"/>
      <c r="B44" s="358"/>
      <c r="C44" s="358"/>
      <c r="D44" s="358"/>
      <c r="E44" s="142"/>
      <c r="F44" s="142"/>
    </row>
    <row r="45" spans="1:8" x14ac:dyDescent="0.2">
      <c r="A45" s="358" t="s">
        <v>33</v>
      </c>
      <c r="B45" s="358"/>
      <c r="C45" s="358"/>
      <c r="D45" s="358"/>
      <c r="E45" s="147">
        <v>0.10885400000000001</v>
      </c>
      <c r="F45" s="142">
        <f>E45</f>
        <v>0.10885400000000001</v>
      </c>
      <c r="G45" s="110" t="s">
        <v>5</v>
      </c>
    </row>
    <row r="46" spans="1:8" x14ac:dyDescent="0.2">
      <c r="A46" s="359" t="s">
        <v>37</v>
      </c>
      <c r="B46" s="359"/>
      <c r="C46" s="359"/>
      <c r="D46" s="359"/>
      <c r="E46" s="142">
        <f t="shared" ref="E46:E57" si="12">+E31</f>
        <v>2.6870000000000002E-3</v>
      </c>
      <c r="F46" s="142">
        <f t="shared" ref="F46:F57" si="13">F31</f>
        <v>2.6870000000000002E-3</v>
      </c>
      <c r="G46" s="110" t="s">
        <v>5</v>
      </c>
    </row>
    <row r="47" spans="1:8" x14ac:dyDescent="0.2">
      <c r="A47" s="361" t="s">
        <v>285</v>
      </c>
      <c r="B47" s="361"/>
      <c r="C47" s="361"/>
      <c r="D47" s="361"/>
      <c r="E47" s="148">
        <f t="shared" si="12"/>
        <v>0</v>
      </c>
      <c r="F47" s="148">
        <f t="shared" si="13"/>
        <v>6.0700000000000001E-4</v>
      </c>
      <c r="G47" s="144" t="s">
        <v>5</v>
      </c>
      <c r="H47" s="144"/>
    </row>
    <row r="48" spans="1:8" x14ac:dyDescent="0.2">
      <c r="A48" s="359" t="s">
        <v>91</v>
      </c>
      <c r="B48" s="359"/>
      <c r="C48" s="359"/>
      <c r="D48" s="359"/>
      <c r="E48" s="142">
        <f t="shared" si="12"/>
        <v>2.6120000000000002E-3</v>
      </c>
      <c r="F48" s="142">
        <f t="shared" si="13"/>
        <v>2.6120000000000002E-3</v>
      </c>
      <c r="G48" s="110" t="s">
        <v>5</v>
      </c>
    </row>
    <row r="49" spans="1:7" x14ac:dyDescent="0.2">
      <c r="A49" s="359" t="s">
        <v>286</v>
      </c>
      <c r="B49" s="359"/>
      <c r="C49" s="359"/>
      <c r="D49" s="359"/>
      <c r="E49" s="142">
        <f t="shared" si="12"/>
        <v>1.828E-3</v>
      </c>
      <c r="F49" s="142">
        <f t="shared" si="13"/>
        <v>1.828E-3</v>
      </c>
      <c r="G49" s="110" t="s">
        <v>5</v>
      </c>
    </row>
    <row r="50" spans="1:7" x14ac:dyDescent="0.2">
      <c r="A50" s="145" t="s">
        <v>279</v>
      </c>
      <c r="B50" s="145"/>
      <c r="C50" s="145"/>
      <c r="D50" s="145"/>
      <c r="E50" s="142">
        <f t="shared" si="12"/>
        <v>0</v>
      </c>
      <c r="F50" s="142">
        <f t="shared" si="13"/>
        <v>0</v>
      </c>
      <c r="G50" s="110" t="s">
        <v>5</v>
      </c>
    </row>
    <row r="51" spans="1:7" x14ac:dyDescent="0.2">
      <c r="A51" s="359" t="s">
        <v>288</v>
      </c>
      <c r="B51" s="359"/>
      <c r="C51" s="359"/>
      <c r="D51" s="359"/>
      <c r="E51" s="142">
        <f t="shared" si="12"/>
        <v>2.6689999999999999E-3</v>
      </c>
      <c r="F51" s="142">
        <f t="shared" si="13"/>
        <v>2.6689999999999999E-3</v>
      </c>
      <c r="G51" s="110" t="s">
        <v>5</v>
      </c>
    </row>
    <row r="52" spans="1:7" x14ac:dyDescent="0.2">
      <c r="A52" s="359" t="s">
        <v>289</v>
      </c>
      <c r="B52" s="359"/>
      <c r="C52" s="359"/>
      <c r="D52" s="359"/>
      <c r="E52" s="142">
        <f t="shared" si="12"/>
        <v>1.0007E-2</v>
      </c>
      <c r="F52" s="142">
        <f t="shared" si="13"/>
        <v>1.0007E-2</v>
      </c>
      <c r="G52" s="110" t="s">
        <v>5</v>
      </c>
    </row>
    <row r="53" spans="1:7" x14ac:dyDescent="0.2">
      <c r="A53" s="359" t="s">
        <v>290</v>
      </c>
      <c r="B53" s="359"/>
      <c r="C53" s="359"/>
      <c r="D53" s="359"/>
      <c r="E53" s="142">
        <f t="shared" si="12"/>
        <v>5.0289999999999996E-3</v>
      </c>
      <c r="F53" s="142">
        <f t="shared" si="13"/>
        <v>5.0289999999999996E-3</v>
      </c>
      <c r="G53" s="110" t="s">
        <v>5</v>
      </c>
    </row>
    <row r="54" spans="1:7" x14ac:dyDescent="0.2">
      <c r="A54" s="359" t="s">
        <v>291</v>
      </c>
      <c r="B54" s="359"/>
      <c r="C54" s="359"/>
      <c r="D54" s="359"/>
      <c r="E54" s="142">
        <f t="shared" si="12"/>
        <v>3.19E-4</v>
      </c>
      <c r="F54" s="142">
        <f t="shared" si="13"/>
        <v>3.19E-4</v>
      </c>
      <c r="G54" s="110" t="s">
        <v>5</v>
      </c>
    </row>
    <row r="55" spans="1:7" x14ac:dyDescent="0.2">
      <c r="A55" s="359" t="s">
        <v>187</v>
      </c>
      <c r="B55" s="359"/>
      <c r="C55" s="359"/>
      <c r="D55" s="359"/>
      <c r="E55" s="142">
        <f t="shared" si="12"/>
        <v>-8.8400000000000002E-4</v>
      </c>
      <c r="F55" s="142">
        <f t="shared" si="13"/>
        <v>-8.8400000000000002E-4</v>
      </c>
      <c r="G55" s="110" t="s">
        <v>5</v>
      </c>
    </row>
    <row r="56" spans="1:7" x14ac:dyDescent="0.2">
      <c r="A56" s="359" t="s">
        <v>92</v>
      </c>
      <c r="B56" s="359"/>
      <c r="C56" s="359"/>
      <c r="D56" s="359"/>
      <c r="E56" s="142">
        <f t="shared" si="12"/>
        <v>-3.4759999999999999E-3</v>
      </c>
      <c r="F56" s="142">
        <f t="shared" si="13"/>
        <v>-3.4759999999999999E-3</v>
      </c>
      <c r="G56" s="110" t="s">
        <v>5</v>
      </c>
    </row>
    <row r="57" spans="1:7" x14ac:dyDescent="0.2">
      <c r="A57" s="359" t="s">
        <v>188</v>
      </c>
      <c r="B57" s="359"/>
      <c r="C57" s="359"/>
      <c r="D57" s="359"/>
      <c r="E57" s="142">
        <f t="shared" si="12"/>
        <v>0</v>
      </c>
      <c r="F57" s="142">
        <f t="shared" si="13"/>
        <v>0</v>
      </c>
      <c r="G57" s="110" t="s">
        <v>5</v>
      </c>
    </row>
    <row r="58" spans="1:7" ht="12" thickBot="1" x14ac:dyDescent="0.25">
      <c r="A58" s="357" t="s">
        <v>95</v>
      </c>
      <c r="B58" s="357"/>
      <c r="C58" s="357"/>
      <c r="D58" s="357"/>
      <c r="E58" s="146">
        <f>SUM(E45:E57)</f>
        <v>0.12964500000000001</v>
      </c>
      <c r="F58" s="146">
        <f>SUM(F45:F57)</f>
        <v>0.13025200000000001</v>
      </c>
      <c r="G58" s="110" t="s">
        <v>5</v>
      </c>
    </row>
    <row r="59" spans="1:7" ht="12" thickTop="1" x14ac:dyDescent="0.2">
      <c r="A59" s="358"/>
      <c r="B59" s="358"/>
      <c r="C59" s="358"/>
      <c r="D59" s="358"/>
      <c r="E59" s="142"/>
      <c r="F59" s="142"/>
    </row>
    <row r="60" spans="1:7" x14ac:dyDescent="0.2">
      <c r="A60" s="357" t="s">
        <v>38</v>
      </c>
      <c r="B60" s="357"/>
      <c r="C60" s="357"/>
      <c r="D60" s="357"/>
      <c r="E60" s="147">
        <v>-6.6889999999999996E-3</v>
      </c>
      <c r="F60" s="142">
        <f>E60</f>
        <v>-6.6889999999999996E-3</v>
      </c>
      <c r="G60" s="110" t="s">
        <v>5</v>
      </c>
    </row>
    <row r="61" spans="1:7" x14ac:dyDescent="0.2">
      <c r="A61" s="358"/>
      <c r="B61" s="358"/>
      <c r="C61" s="358"/>
      <c r="D61" s="358"/>
      <c r="E61" s="147"/>
      <c r="F61" s="142"/>
    </row>
    <row r="62" spans="1:7" x14ac:dyDescent="0.2">
      <c r="A62" s="358" t="s">
        <v>112</v>
      </c>
      <c r="B62" s="358"/>
      <c r="C62" s="358"/>
      <c r="D62" s="358"/>
      <c r="E62" s="147"/>
      <c r="F62" s="142"/>
      <c r="G62" s="110" t="s">
        <v>5</v>
      </c>
    </row>
    <row r="63" spans="1:7" x14ac:dyDescent="0.2">
      <c r="A63" s="359" t="s">
        <v>34</v>
      </c>
      <c r="B63" s="359"/>
      <c r="C63" s="359"/>
      <c r="D63" s="359"/>
      <c r="E63" s="147">
        <v>0</v>
      </c>
      <c r="F63" s="142">
        <f>E63</f>
        <v>0</v>
      </c>
      <c r="G63" s="110" t="s">
        <v>5</v>
      </c>
    </row>
    <row r="64" spans="1:7" x14ac:dyDescent="0.2">
      <c r="A64" s="359" t="s">
        <v>189</v>
      </c>
      <c r="B64" s="359"/>
      <c r="C64" s="359"/>
      <c r="D64" s="359"/>
      <c r="E64" s="147">
        <v>2.1350000000000002E-3</v>
      </c>
      <c r="F64" s="142">
        <f>E64</f>
        <v>2.1350000000000002E-3</v>
      </c>
      <c r="G64" s="110" t="s">
        <v>5</v>
      </c>
    </row>
    <row r="65" spans="1:14" x14ac:dyDescent="0.2">
      <c r="A65" s="359" t="s">
        <v>35</v>
      </c>
      <c r="B65" s="359"/>
      <c r="C65" s="359"/>
      <c r="D65" s="359"/>
      <c r="E65" s="147">
        <v>5.1E-5</v>
      </c>
      <c r="F65" s="142">
        <f>E65</f>
        <v>5.1E-5</v>
      </c>
      <c r="G65" s="110" t="s">
        <v>5</v>
      </c>
    </row>
    <row r="66" spans="1:14" x14ac:dyDescent="0.2">
      <c r="A66" s="359" t="s">
        <v>36</v>
      </c>
      <c r="B66" s="359"/>
      <c r="C66" s="359"/>
      <c r="D66" s="359"/>
      <c r="E66" s="147">
        <v>5.0439999999999999E-3</v>
      </c>
      <c r="F66" s="142">
        <f>E66</f>
        <v>5.0439999999999999E-3</v>
      </c>
      <c r="G66" s="110" t="s">
        <v>5</v>
      </c>
    </row>
    <row r="67" spans="1:14" ht="12" thickBot="1" x14ac:dyDescent="0.25">
      <c r="A67" s="357" t="s">
        <v>113</v>
      </c>
      <c r="B67" s="357"/>
      <c r="C67" s="357"/>
      <c r="D67" s="357"/>
      <c r="E67" s="146">
        <f>SUM(E63:E66)</f>
        <v>7.2300000000000003E-3</v>
      </c>
      <c r="F67" s="146">
        <f>SUM(F63:F66)</f>
        <v>7.2300000000000003E-3</v>
      </c>
      <c r="G67" s="110" t="s">
        <v>5</v>
      </c>
    </row>
    <row r="68" spans="1:14" ht="12" thickTop="1" x14ac:dyDescent="0.2">
      <c r="A68" s="358"/>
      <c r="B68" s="358"/>
      <c r="C68" s="358"/>
      <c r="D68" s="358"/>
      <c r="E68" s="149"/>
      <c r="F68" s="149"/>
    </row>
    <row r="69" spans="1:14" x14ac:dyDescent="0.2">
      <c r="A69" s="357" t="s">
        <v>114</v>
      </c>
      <c r="B69" s="357"/>
      <c r="C69" s="357"/>
      <c r="D69" s="357"/>
      <c r="E69" s="149">
        <f>SUM(E43,E60:E60,E67)</f>
        <v>0.11076900000000002</v>
      </c>
      <c r="F69" s="149">
        <f>SUM(F43,F60:F60,F67)</f>
        <v>0.11137600000000002</v>
      </c>
      <c r="G69" s="110" t="s">
        <v>5</v>
      </c>
      <c r="I69" s="150"/>
    </row>
    <row r="70" spans="1:14" x14ac:dyDescent="0.2">
      <c r="A70" s="357" t="s">
        <v>115</v>
      </c>
      <c r="B70" s="357"/>
      <c r="C70" s="357"/>
      <c r="D70" s="357"/>
      <c r="E70" s="151">
        <f>SUM(E58,E60:E60,E67)</f>
        <v>0.13018600000000002</v>
      </c>
      <c r="F70" s="151">
        <f>SUM(F58,F60:F60,F67)</f>
        <v>0.13079299999999999</v>
      </c>
      <c r="G70" s="110" t="s">
        <v>5</v>
      </c>
      <c r="I70" s="150"/>
    </row>
    <row r="72" spans="1:14" ht="12" thickBot="1" x14ac:dyDescent="0.25"/>
    <row r="73" spans="1:14" ht="12" thickBot="1" x14ac:dyDescent="0.25">
      <c r="A73" s="152" t="s">
        <v>401</v>
      </c>
      <c r="B73" s="153"/>
      <c r="C73" s="153"/>
      <c r="D73" s="153"/>
      <c r="E73" s="154"/>
    </row>
    <row r="74" spans="1:14" ht="34.5" thickBot="1" x14ac:dyDescent="0.25">
      <c r="A74" s="155" t="s">
        <v>292</v>
      </c>
      <c r="B74" s="155" t="s">
        <v>293</v>
      </c>
      <c r="C74" s="155" t="s">
        <v>294</v>
      </c>
      <c r="D74" s="155" t="s">
        <v>295</v>
      </c>
      <c r="E74" s="156" t="s">
        <v>296</v>
      </c>
      <c r="F74" s="157"/>
      <c r="G74" s="157"/>
      <c r="H74" s="157"/>
      <c r="I74" s="157"/>
      <c r="J74" s="157"/>
      <c r="K74" s="157"/>
      <c r="L74" s="157"/>
      <c r="M74" s="157"/>
      <c r="N74" s="157"/>
    </row>
    <row r="75" spans="1:14" x14ac:dyDescent="0.2">
      <c r="A75" s="158">
        <v>2023</v>
      </c>
      <c r="B75" s="158">
        <v>10</v>
      </c>
      <c r="C75" s="159">
        <v>867518030.40715706</v>
      </c>
      <c r="D75" s="159">
        <v>1080277</v>
      </c>
      <c r="E75" s="160">
        <f t="shared" ref="E75:E86" si="14">ROUND(+C75/D75,0)</f>
        <v>803</v>
      </c>
    </row>
    <row r="76" spans="1:14" x14ac:dyDescent="0.2">
      <c r="A76" s="158">
        <v>2023</v>
      </c>
      <c r="B76" s="158">
        <v>11</v>
      </c>
      <c r="C76" s="159">
        <v>1041166324.80314</v>
      </c>
      <c r="D76" s="159">
        <v>1081722</v>
      </c>
      <c r="E76" s="160">
        <f t="shared" si="14"/>
        <v>963</v>
      </c>
    </row>
    <row r="77" spans="1:14" x14ac:dyDescent="0.2">
      <c r="A77" s="158">
        <v>2023</v>
      </c>
      <c r="B77" s="158">
        <v>12</v>
      </c>
      <c r="C77" s="159">
        <v>1264875204.4405499</v>
      </c>
      <c r="D77" s="159">
        <v>1082935</v>
      </c>
      <c r="E77" s="160">
        <f t="shared" si="14"/>
        <v>1168</v>
      </c>
    </row>
    <row r="78" spans="1:14" x14ac:dyDescent="0.2">
      <c r="A78" s="158">
        <v>2024</v>
      </c>
      <c r="B78" s="158">
        <v>1</v>
      </c>
      <c r="C78" s="159">
        <v>1192691743.2576599</v>
      </c>
      <c r="D78" s="159">
        <v>1083811</v>
      </c>
      <c r="E78" s="160">
        <f t="shared" si="14"/>
        <v>1100</v>
      </c>
    </row>
    <row r="79" spans="1:14" x14ac:dyDescent="0.2">
      <c r="A79" s="158">
        <v>2024</v>
      </c>
      <c r="B79" s="158">
        <v>2</v>
      </c>
      <c r="C79" s="159">
        <v>1075657420.9360201</v>
      </c>
      <c r="D79" s="159">
        <v>1084492</v>
      </c>
      <c r="E79" s="160">
        <f t="shared" si="14"/>
        <v>992</v>
      </c>
    </row>
    <row r="80" spans="1:14" x14ac:dyDescent="0.2">
      <c r="A80" s="158">
        <v>2024</v>
      </c>
      <c r="B80" s="158">
        <v>3</v>
      </c>
      <c r="C80" s="159">
        <v>1040534573.62798</v>
      </c>
      <c r="D80" s="159">
        <v>1085188</v>
      </c>
      <c r="E80" s="160">
        <f t="shared" si="14"/>
        <v>959</v>
      </c>
    </row>
    <row r="81" spans="1:5" x14ac:dyDescent="0.2">
      <c r="A81" s="158">
        <v>2024</v>
      </c>
      <c r="B81" s="158">
        <v>4</v>
      </c>
      <c r="C81" s="159">
        <v>871564901.43307793</v>
      </c>
      <c r="D81" s="159">
        <v>1085582</v>
      </c>
      <c r="E81" s="160">
        <f t="shared" si="14"/>
        <v>803</v>
      </c>
    </row>
    <row r="82" spans="1:5" x14ac:dyDescent="0.2">
      <c r="A82" s="158">
        <v>2024</v>
      </c>
      <c r="B82" s="158">
        <v>5</v>
      </c>
      <c r="C82" s="159">
        <v>760468027.59418297</v>
      </c>
      <c r="D82" s="159">
        <v>1086150</v>
      </c>
      <c r="E82" s="160">
        <f t="shared" si="14"/>
        <v>700</v>
      </c>
    </row>
    <row r="83" spans="1:5" x14ac:dyDescent="0.2">
      <c r="A83" s="158">
        <v>2024</v>
      </c>
      <c r="B83" s="158">
        <v>6</v>
      </c>
      <c r="C83" s="159">
        <v>726612130.99855494</v>
      </c>
      <c r="D83" s="159">
        <v>1086798</v>
      </c>
      <c r="E83" s="160">
        <f t="shared" si="14"/>
        <v>669</v>
      </c>
    </row>
    <row r="84" spans="1:5" x14ac:dyDescent="0.2">
      <c r="A84" s="158">
        <v>2024</v>
      </c>
      <c r="B84" s="158">
        <v>7</v>
      </c>
      <c r="C84" s="159">
        <v>810211528.78052795</v>
      </c>
      <c r="D84" s="159">
        <v>1087219</v>
      </c>
      <c r="E84" s="160">
        <f t="shared" si="14"/>
        <v>745</v>
      </c>
    </row>
    <row r="85" spans="1:5" x14ac:dyDescent="0.2">
      <c r="A85" s="158">
        <v>2024</v>
      </c>
      <c r="B85" s="158">
        <v>8</v>
      </c>
      <c r="C85" s="159">
        <v>816258861.42774105</v>
      </c>
      <c r="D85" s="159">
        <v>1088254</v>
      </c>
      <c r="E85" s="160">
        <f t="shared" si="14"/>
        <v>750</v>
      </c>
    </row>
    <row r="86" spans="1:5" x14ac:dyDescent="0.2">
      <c r="A86" s="158">
        <v>2024</v>
      </c>
      <c r="B86" s="158">
        <v>9</v>
      </c>
      <c r="C86" s="159">
        <v>745804121.61066496</v>
      </c>
      <c r="D86" s="159">
        <v>1089539</v>
      </c>
      <c r="E86" s="160">
        <f t="shared" si="14"/>
        <v>685</v>
      </c>
    </row>
    <row r="87" spans="1:5" x14ac:dyDescent="0.2">
      <c r="A87" s="161"/>
      <c r="B87" s="161" t="s">
        <v>53</v>
      </c>
      <c r="C87" s="162">
        <f>SUM(C75:C86)</f>
        <v>11213362869.317253</v>
      </c>
      <c r="D87" s="162">
        <f>SUM(D75:D86)</f>
        <v>13021967</v>
      </c>
      <c r="E87" s="163">
        <f>SUM(E75:E86)</f>
        <v>10337</v>
      </c>
    </row>
    <row r="88" spans="1:5" x14ac:dyDescent="0.2">
      <c r="A88" s="161"/>
      <c r="B88" s="161"/>
      <c r="C88" s="161"/>
      <c r="D88" s="161"/>
      <c r="E88" s="160"/>
    </row>
    <row r="89" spans="1:5" ht="12" thickBot="1" x14ac:dyDescent="0.25">
      <c r="A89" s="164"/>
      <c r="B89" s="164" t="s">
        <v>297</v>
      </c>
      <c r="C89" s="165"/>
      <c r="D89" s="165"/>
      <c r="E89" s="166">
        <f>ROUND(AVERAGE(E75:E86),0)</f>
        <v>861</v>
      </c>
    </row>
    <row r="91" spans="1:5" x14ac:dyDescent="0.2">
      <c r="A91" s="110" t="s">
        <v>276</v>
      </c>
    </row>
  </sheetData>
  <mergeCells count="45">
    <mergeCell ref="A58:D58"/>
    <mergeCell ref="A59:D59"/>
    <mergeCell ref="A51:D51"/>
    <mergeCell ref="A53:D53"/>
    <mergeCell ref="A54:D54"/>
    <mergeCell ref="A55:D55"/>
    <mergeCell ref="A56:D56"/>
    <mergeCell ref="A57:D57"/>
    <mergeCell ref="A52:D52"/>
    <mergeCell ref="A49:D49"/>
    <mergeCell ref="A41:D41"/>
    <mergeCell ref="A42:D42"/>
    <mergeCell ref="A45:D45"/>
    <mergeCell ref="A34:D34"/>
    <mergeCell ref="A36:D36"/>
    <mergeCell ref="A37:D37"/>
    <mergeCell ref="A38:D38"/>
    <mergeCell ref="A39:D39"/>
    <mergeCell ref="A43:D43"/>
    <mergeCell ref="A44:D44"/>
    <mergeCell ref="A60:D60"/>
    <mergeCell ref="A61:D61"/>
    <mergeCell ref="A33:D33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40:D40"/>
    <mergeCell ref="A46:D46"/>
    <mergeCell ref="A47:D47"/>
    <mergeCell ref="A48:D48"/>
    <mergeCell ref="A67:D67"/>
    <mergeCell ref="A68:D68"/>
    <mergeCell ref="A69:D69"/>
    <mergeCell ref="A70:D70"/>
    <mergeCell ref="A62:D62"/>
    <mergeCell ref="A63:D63"/>
    <mergeCell ref="A64:D64"/>
    <mergeCell ref="A65:D65"/>
    <mergeCell ref="A66:D66"/>
  </mergeCells>
  <printOptions horizontalCentered="1"/>
  <pageMargins left="0.25" right="0.25" top="0.75" bottom="0.75" header="0.3" footer="0.3"/>
  <pageSetup scale="41" orientation="landscape" r:id="rId1"/>
  <headerFooter>
    <oddHeader>&amp;C2021 Low Income Program Workpapers</oddHead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"/>
  <sheetViews>
    <sheetView workbookViewId="0">
      <selection activeCell="I41" sqref="I41"/>
    </sheetView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B1:V1778"/>
  <sheetViews>
    <sheetView zoomScaleNormal="100" workbookViewId="0">
      <pane xSplit="1" ySplit="1" topLeftCell="B2" activePane="bottomRight" state="frozen"/>
      <selection activeCell="U10" sqref="U10"/>
      <selection pane="topRight" activeCell="U10" sqref="U10"/>
      <selection pane="bottomLeft" activeCell="U10" sqref="U10"/>
      <selection pane="bottomRight" activeCell="K17" sqref="K17"/>
    </sheetView>
  </sheetViews>
  <sheetFormatPr defaultColWidth="10.28515625" defaultRowHeight="11.25" x14ac:dyDescent="0.2"/>
  <cols>
    <col min="1" max="1" width="2.42578125" style="2" customWidth="1"/>
    <col min="2" max="2" width="6" style="74" bestFit="1" customWidth="1"/>
    <col min="3" max="3" width="27.7109375" style="75" customWidth="1"/>
    <col min="4" max="4" width="7" style="75" bestFit="1" customWidth="1"/>
    <col min="5" max="5" width="22.85546875" style="2" customWidth="1"/>
    <col min="6" max="6" width="8" style="2" bestFit="1" customWidth="1"/>
    <col min="7" max="7" width="1" style="2" customWidth="1"/>
    <col min="8" max="8" width="9.140625" style="2" bestFit="1" customWidth="1"/>
    <col min="9" max="9" width="11.5703125" style="2" bestFit="1" customWidth="1"/>
    <col min="10" max="10" width="11.28515625" style="2" bestFit="1" customWidth="1"/>
    <col min="11" max="11" width="7.85546875" style="2" bestFit="1" customWidth="1"/>
    <col min="12" max="12" width="1" style="2" customWidth="1"/>
    <col min="13" max="13" width="6.7109375" style="2" bestFit="1" customWidth="1"/>
    <col min="14" max="14" width="10.42578125" style="2" bestFit="1" customWidth="1"/>
    <col min="15" max="15" width="11" style="2" bestFit="1" customWidth="1"/>
    <col min="16" max="16" width="1" style="2" customWidth="1"/>
    <col min="17" max="17" width="15" style="2" bestFit="1" customWidth="1"/>
    <col min="18" max="18" width="11.42578125" style="2" bestFit="1" customWidth="1"/>
    <col min="19" max="19" width="11.5703125" style="2" bestFit="1" customWidth="1"/>
    <col min="20" max="20" width="15" style="2" bestFit="1" customWidth="1"/>
    <col min="21" max="21" width="10" style="2" bestFit="1" customWidth="1"/>
    <col min="22" max="22" width="14.42578125" style="2" bestFit="1" customWidth="1"/>
    <col min="23" max="23" width="3.5703125" style="2" customWidth="1"/>
    <col min="24" max="16384" width="10.28515625" style="2"/>
  </cols>
  <sheetData>
    <row r="1" spans="2:22" x14ac:dyDescent="0.2">
      <c r="B1" s="71" t="s">
        <v>2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</row>
    <row r="2" spans="2:22" x14ac:dyDescent="0.2">
      <c r="B2" s="1" t="s">
        <v>194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</row>
    <row r="3" spans="2:22" x14ac:dyDescent="0.2">
      <c r="B3" s="1" t="s">
        <v>195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1"/>
      <c r="N3" s="1"/>
      <c r="O3" s="1"/>
      <c r="P3" s="1"/>
      <c r="Q3" s="1"/>
      <c r="R3" s="1"/>
      <c r="S3" s="1"/>
      <c r="T3" s="1"/>
      <c r="U3" s="1"/>
      <c r="V3" s="1"/>
    </row>
    <row r="4" spans="2:22" x14ac:dyDescent="0.2">
      <c r="E4" s="76"/>
      <c r="F4" s="76"/>
      <c r="G4" s="76"/>
      <c r="V4" s="77"/>
    </row>
    <row r="5" spans="2:22" x14ac:dyDescent="0.2">
      <c r="E5" s="76"/>
      <c r="F5" s="76"/>
      <c r="G5" s="76"/>
      <c r="S5" s="18"/>
      <c r="U5" s="77"/>
      <c r="V5" s="18" t="s">
        <v>196</v>
      </c>
    </row>
    <row r="6" spans="2:22" x14ac:dyDescent="0.2">
      <c r="E6" s="78"/>
      <c r="F6" s="78"/>
      <c r="G6" s="78"/>
      <c r="H6" s="362" t="s">
        <v>358</v>
      </c>
      <c r="I6" s="362"/>
      <c r="J6" s="362"/>
      <c r="K6" s="362"/>
      <c r="L6" s="76"/>
      <c r="M6" s="363" t="s">
        <v>197</v>
      </c>
      <c r="N6" s="363"/>
      <c r="O6" s="363"/>
      <c r="P6" s="18"/>
      <c r="Q6" s="18"/>
      <c r="R6" s="18" t="s">
        <v>198</v>
      </c>
      <c r="T6" s="77"/>
      <c r="U6" s="18" t="s">
        <v>199</v>
      </c>
      <c r="V6" s="18" t="s">
        <v>186</v>
      </c>
    </row>
    <row r="7" spans="2:22" x14ac:dyDescent="0.2">
      <c r="G7" s="79"/>
      <c r="I7" s="76" t="s">
        <v>200</v>
      </c>
      <c r="J7" s="76" t="s">
        <v>201</v>
      </c>
      <c r="K7" s="329">
        <v>0.1</v>
      </c>
      <c r="M7" s="18"/>
      <c r="N7" s="18" t="s">
        <v>202</v>
      </c>
      <c r="O7" s="18" t="s">
        <v>202</v>
      </c>
      <c r="P7" s="76"/>
      <c r="Q7" s="18"/>
      <c r="R7" s="18" t="s">
        <v>53</v>
      </c>
      <c r="S7" s="77"/>
      <c r="T7" s="18" t="s">
        <v>186</v>
      </c>
      <c r="U7" s="18" t="s">
        <v>203</v>
      </c>
      <c r="V7" s="18" t="s">
        <v>204</v>
      </c>
    </row>
    <row r="8" spans="2:22" x14ac:dyDescent="0.2">
      <c r="B8" s="80"/>
      <c r="C8" s="81"/>
      <c r="E8" s="78"/>
      <c r="F8" s="79" t="s">
        <v>198</v>
      </c>
      <c r="G8" s="82"/>
      <c r="I8" s="76" t="s">
        <v>205</v>
      </c>
      <c r="J8" s="76" t="s">
        <v>205</v>
      </c>
      <c r="K8" s="76" t="s">
        <v>213</v>
      </c>
      <c r="L8" s="76"/>
      <c r="M8" s="18"/>
      <c r="N8" s="18" t="s">
        <v>206</v>
      </c>
      <c r="O8" s="18" t="s">
        <v>206</v>
      </c>
      <c r="P8" s="76"/>
      <c r="Q8" s="18"/>
      <c r="R8" s="18" t="s">
        <v>186</v>
      </c>
      <c r="S8" s="18" t="s">
        <v>198</v>
      </c>
      <c r="T8" s="18" t="s">
        <v>204</v>
      </c>
      <c r="U8" s="76" t="s">
        <v>207</v>
      </c>
      <c r="V8" s="76" t="s">
        <v>208</v>
      </c>
    </row>
    <row r="9" spans="2:22" x14ac:dyDescent="0.2">
      <c r="B9" s="80"/>
      <c r="C9" s="81"/>
      <c r="D9" s="78" t="s">
        <v>209</v>
      </c>
      <c r="E9" s="76" t="s">
        <v>221</v>
      </c>
      <c r="F9" s="82" t="s">
        <v>186</v>
      </c>
      <c r="G9" s="82"/>
      <c r="H9" s="76" t="s">
        <v>210</v>
      </c>
      <c r="I9" s="76" t="s">
        <v>211</v>
      </c>
      <c r="J9" s="76" t="s">
        <v>212</v>
      </c>
      <c r="K9" s="330" t="s">
        <v>359</v>
      </c>
      <c r="L9" s="76"/>
      <c r="M9" s="76" t="s">
        <v>214</v>
      </c>
      <c r="N9" s="76" t="s">
        <v>215</v>
      </c>
      <c r="O9" s="76" t="s">
        <v>215</v>
      </c>
      <c r="P9" s="76"/>
      <c r="Q9" s="76" t="s">
        <v>216</v>
      </c>
      <c r="R9" s="76" t="s">
        <v>204</v>
      </c>
      <c r="S9" s="18" t="s">
        <v>203</v>
      </c>
      <c r="T9" s="76" t="s">
        <v>208</v>
      </c>
      <c r="U9" s="18" t="s">
        <v>217</v>
      </c>
      <c r="V9" s="76" t="s">
        <v>218</v>
      </c>
    </row>
    <row r="10" spans="2:22" x14ac:dyDescent="0.2">
      <c r="B10" s="76" t="s">
        <v>219</v>
      </c>
      <c r="C10" s="83" t="s">
        <v>220</v>
      </c>
      <c r="D10" s="78" t="s">
        <v>208</v>
      </c>
      <c r="E10" s="76" t="s">
        <v>360</v>
      </c>
      <c r="F10" s="82" t="s">
        <v>204</v>
      </c>
      <c r="G10" s="82"/>
      <c r="H10" s="76" t="s">
        <v>222</v>
      </c>
      <c r="I10" s="76" t="s">
        <v>53</v>
      </c>
      <c r="J10" s="76" t="s">
        <v>53</v>
      </c>
      <c r="K10" s="76" t="s">
        <v>223</v>
      </c>
      <c r="L10" s="76"/>
      <c r="M10" s="76" t="s">
        <v>215</v>
      </c>
      <c r="N10" s="76" t="s">
        <v>224</v>
      </c>
      <c r="O10" s="76" t="s">
        <v>225</v>
      </c>
      <c r="P10" s="76"/>
      <c r="Q10" s="76" t="s">
        <v>226</v>
      </c>
      <c r="R10" s="76" t="s">
        <v>227</v>
      </c>
      <c r="S10" s="76" t="s">
        <v>228</v>
      </c>
      <c r="T10" s="76" t="s">
        <v>226</v>
      </c>
      <c r="U10" s="76" t="s">
        <v>229</v>
      </c>
      <c r="V10" s="76" t="s">
        <v>226</v>
      </c>
    </row>
    <row r="11" spans="2:22" x14ac:dyDescent="0.2">
      <c r="B11" s="328" t="s">
        <v>230</v>
      </c>
      <c r="C11" s="84" t="s">
        <v>57</v>
      </c>
      <c r="D11" s="85" t="s">
        <v>0</v>
      </c>
      <c r="E11" s="85" t="s">
        <v>361</v>
      </c>
      <c r="F11" s="86" t="s">
        <v>208</v>
      </c>
      <c r="G11" s="82"/>
      <c r="H11" s="328" t="s">
        <v>231</v>
      </c>
      <c r="I11" s="328" t="s">
        <v>13</v>
      </c>
      <c r="J11" s="328" t="s">
        <v>13</v>
      </c>
      <c r="K11" s="328" t="s">
        <v>208</v>
      </c>
      <c r="L11" s="76"/>
      <c r="M11" s="328" t="s">
        <v>232</v>
      </c>
      <c r="N11" s="328" t="s">
        <v>233</v>
      </c>
      <c r="O11" s="328" t="s">
        <v>233</v>
      </c>
      <c r="P11" s="76"/>
      <c r="Q11" s="328" t="s">
        <v>234</v>
      </c>
      <c r="R11" s="328" t="s">
        <v>235</v>
      </c>
      <c r="S11" s="328" t="s">
        <v>236</v>
      </c>
      <c r="T11" s="328" t="s">
        <v>237</v>
      </c>
      <c r="U11" s="328" t="s">
        <v>238</v>
      </c>
      <c r="V11" s="328" t="s">
        <v>237</v>
      </c>
    </row>
    <row r="12" spans="2:22" s="91" customFormat="1" x14ac:dyDescent="0.2">
      <c r="B12" s="87"/>
      <c r="C12" s="88" t="s">
        <v>8</v>
      </c>
      <c r="D12" s="89" t="s">
        <v>9</v>
      </c>
      <c r="E12" s="87" t="s">
        <v>10</v>
      </c>
      <c r="F12" s="90" t="s">
        <v>39</v>
      </c>
      <c r="G12" s="87"/>
      <c r="H12" s="87" t="s">
        <v>239</v>
      </c>
      <c r="I12" s="87" t="s">
        <v>240</v>
      </c>
      <c r="J12" s="87" t="s">
        <v>241</v>
      </c>
      <c r="K12" s="87" t="s">
        <v>242</v>
      </c>
      <c r="L12" s="87"/>
      <c r="M12" s="87" t="s">
        <v>243</v>
      </c>
      <c r="N12" s="87" t="s">
        <v>244</v>
      </c>
      <c r="O12" s="87" t="s">
        <v>245</v>
      </c>
      <c r="P12" s="87"/>
      <c r="Q12" s="87" t="s">
        <v>246</v>
      </c>
      <c r="R12" s="87" t="s">
        <v>247</v>
      </c>
      <c r="S12" s="87" t="s">
        <v>248</v>
      </c>
      <c r="T12" s="87" t="s">
        <v>249</v>
      </c>
      <c r="U12" s="87" t="s">
        <v>250</v>
      </c>
      <c r="V12" s="87" t="s">
        <v>251</v>
      </c>
    </row>
    <row r="13" spans="2:22" x14ac:dyDescent="0.2">
      <c r="B13" s="18">
        <v>1</v>
      </c>
      <c r="C13" s="75" t="s">
        <v>252</v>
      </c>
      <c r="D13" s="78" t="s">
        <v>253</v>
      </c>
      <c r="E13" s="92" t="s">
        <v>254</v>
      </c>
      <c r="F13" s="106">
        <v>-0.45</v>
      </c>
      <c r="G13" s="93"/>
      <c r="H13" s="94">
        <v>80946.419961104533</v>
      </c>
      <c r="I13" s="94">
        <v>27514452.534882426</v>
      </c>
      <c r="J13" s="94">
        <v>74362397.825975448</v>
      </c>
      <c r="K13" s="342">
        <v>0</v>
      </c>
      <c r="L13" s="331"/>
      <c r="M13" s="107">
        <v>7.49</v>
      </c>
      <c r="N13" s="108">
        <v>0.11076900000000001</v>
      </c>
      <c r="O13" s="108">
        <v>0.130186</v>
      </c>
      <c r="P13" s="332"/>
      <c r="Q13" s="95">
        <f>(M13*H13+I13*N13+J13*O13)</f>
        <v>13334980.201717503</v>
      </c>
      <c r="R13" s="95">
        <f>Q13*F13</f>
        <v>-6000741.0907728765</v>
      </c>
      <c r="S13" s="96"/>
      <c r="T13" s="96"/>
      <c r="U13" s="96"/>
      <c r="V13" s="96"/>
    </row>
    <row r="14" spans="2:22" x14ac:dyDescent="0.2">
      <c r="B14" s="18">
        <v>2</v>
      </c>
      <c r="C14" s="75" t="s">
        <v>255</v>
      </c>
      <c r="D14" s="78" t="s">
        <v>253</v>
      </c>
      <c r="E14" s="92" t="s">
        <v>256</v>
      </c>
      <c r="F14" s="106">
        <v>-0.4</v>
      </c>
      <c r="G14" s="93"/>
      <c r="H14" s="94">
        <v>104821.98245716344</v>
      </c>
      <c r="I14" s="94">
        <v>54681936.628555708</v>
      </c>
      <c r="J14" s="94">
        <v>44844399.535549469</v>
      </c>
      <c r="K14" s="342">
        <v>0</v>
      </c>
      <c r="L14" s="97"/>
      <c r="M14" s="6">
        <f>M13</f>
        <v>7.49</v>
      </c>
      <c r="N14" s="45">
        <f t="shared" ref="N14:O14" si="0">N13</f>
        <v>0.11076900000000001</v>
      </c>
      <c r="O14" s="45">
        <f t="shared" si="0"/>
        <v>0.130186</v>
      </c>
      <c r="P14" s="98"/>
      <c r="Q14" s="95">
        <f>(M14*H14+I14*N14+J14*O14)</f>
        <v>12680293.084947683</v>
      </c>
      <c r="R14" s="95">
        <f>Q14*F14</f>
        <v>-5072117.2339790734</v>
      </c>
      <c r="S14" s="96"/>
      <c r="T14" s="96"/>
      <c r="U14" s="96"/>
      <c r="V14" s="96"/>
    </row>
    <row r="15" spans="2:22" x14ac:dyDescent="0.2">
      <c r="B15" s="18">
        <v>3</v>
      </c>
      <c r="C15" s="75" t="s">
        <v>257</v>
      </c>
      <c r="D15" s="78" t="s">
        <v>253</v>
      </c>
      <c r="E15" s="92" t="s">
        <v>258</v>
      </c>
      <c r="F15" s="106">
        <v>-0.2</v>
      </c>
      <c r="G15" s="93"/>
      <c r="H15" s="94">
        <v>188921.96362313849</v>
      </c>
      <c r="I15" s="94">
        <v>107380103.92660625</v>
      </c>
      <c r="J15" s="94">
        <v>73735808.49286139</v>
      </c>
      <c r="K15" s="342">
        <v>0</v>
      </c>
      <c r="L15" s="97"/>
      <c r="M15" s="6">
        <f t="shared" ref="M15:O18" si="1">M14</f>
        <v>7.49</v>
      </c>
      <c r="N15" s="45">
        <f t="shared" si="1"/>
        <v>0.11076900000000001</v>
      </c>
      <c r="O15" s="45">
        <f t="shared" si="1"/>
        <v>0.130186</v>
      </c>
      <c r="P15" s="98"/>
      <c r="Q15" s="95">
        <f t="shared" ref="Q15:Q18" si="2">(M15*H15+I15*N15+J15*O15)</f>
        <v>22908782.203835208</v>
      </c>
      <c r="R15" s="95">
        <f t="shared" ref="R15:R18" si="3">Q15*F15</f>
        <v>-4581756.4407670414</v>
      </c>
      <c r="S15" s="99"/>
      <c r="T15" s="99"/>
      <c r="U15" s="99"/>
      <c r="V15" s="99"/>
    </row>
    <row r="16" spans="2:22" x14ac:dyDescent="0.2">
      <c r="B16" s="18">
        <v>4</v>
      </c>
      <c r="C16" s="75" t="s">
        <v>259</v>
      </c>
      <c r="D16" s="78" t="s">
        <v>253</v>
      </c>
      <c r="E16" s="92" t="s">
        <v>260</v>
      </c>
      <c r="F16" s="106">
        <v>-0.15</v>
      </c>
      <c r="G16" s="93"/>
      <c r="H16" s="94">
        <v>147982.14628504164</v>
      </c>
      <c r="I16" s="94">
        <v>88975136.330827847</v>
      </c>
      <c r="J16" s="94">
        <v>60566383.581306137</v>
      </c>
      <c r="K16" s="342">
        <v>0</v>
      </c>
      <c r="L16" s="97"/>
      <c r="M16" s="6">
        <f t="shared" si="1"/>
        <v>7.49</v>
      </c>
      <c r="N16" s="45">
        <f t="shared" si="1"/>
        <v>0.11076900000000001</v>
      </c>
      <c r="O16" s="45">
        <f t="shared" si="1"/>
        <v>0.130186</v>
      </c>
      <c r="P16" s="98"/>
      <c r="Q16" s="95">
        <f t="shared" si="2"/>
        <v>18848968.364820354</v>
      </c>
      <c r="R16" s="95">
        <f t="shared" si="3"/>
        <v>-2827345.254723053</v>
      </c>
      <c r="S16" s="99"/>
      <c r="T16" s="99"/>
      <c r="U16" s="99"/>
      <c r="V16" s="99"/>
    </row>
    <row r="17" spans="2:22" x14ac:dyDescent="0.2">
      <c r="B17" s="18">
        <v>5</v>
      </c>
      <c r="C17" s="75" t="s">
        <v>261</v>
      </c>
      <c r="D17" s="78" t="s">
        <v>253</v>
      </c>
      <c r="E17" s="92" t="s">
        <v>262</v>
      </c>
      <c r="F17" s="106">
        <v>-0.1</v>
      </c>
      <c r="G17" s="93"/>
      <c r="H17" s="94">
        <v>21449.395152181951</v>
      </c>
      <c r="I17" s="94">
        <v>13914007.42191297</v>
      </c>
      <c r="J17" s="94">
        <v>12915935.840437703</v>
      </c>
      <c r="K17" s="342">
        <v>0</v>
      </c>
      <c r="L17" s="97"/>
      <c r="M17" s="6">
        <f t="shared" si="1"/>
        <v>7.49</v>
      </c>
      <c r="N17" s="45">
        <f t="shared" si="1"/>
        <v>0.11076900000000001</v>
      </c>
      <c r="O17" s="45">
        <f t="shared" si="1"/>
        <v>0.130186</v>
      </c>
      <c r="P17" s="98"/>
      <c r="Q17" s="95">
        <f t="shared" si="2"/>
        <v>3383370.6811309434</v>
      </c>
      <c r="R17" s="95">
        <f t="shared" si="3"/>
        <v>-338337.06811309437</v>
      </c>
      <c r="S17" s="99"/>
      <c r="T17" s="99"/>
      <c r="U17" s="99"/>
      <c r="V17" s="99"/>
    </row>
    <row r="18" spans="2:22" x14ac:dyDescent="0.2">
      <c r="B18" s="18">
        <v>6</v>
      </c>
      <c r="C18" s="75" t="s">
        <v>263</v>
      </c>
      <c r="D18" s="78" t="s">
        <v>253</v>
      </c>
      <c r="E18" s="92" t="s">
        <v>264</v>
      </c>
      <c r="F18" s="106">
        <v>-0.05</v>
      </c>
      <c r="G18" s="93"/>
      <c r="H18" s="94">
        <v>31291.191288725146</v>
      </c>
      <c r="I18" s="94">
        <v>20817286.076398555</v>
      </c>
      <c r="J18" s="94">
        <v>18413314.931027547</v>
      </c>
      <c r="K18" s="342">
        <v>0</v>
      </c>
      <c r="L18" s="97"/>
      <c r="M18" s="6">
        <f t="shared" si="1"/>
        <v>7.49</v>
      </c>
      <c r="N18" s="45">
        <f t="shared" si="1"/>
        <v>0.11076900000000001</v>
      </c>
      <c r="O18" s="45">
        <f t="shared" si="1"/>
        <v>0.130186</v>
      </c>
      <c r="P18" s="98"/>
      <c r="Q18" s="95">
        <f t="shared" si="2"/>
        <v>4937436.8017598949</v>
      </c>
      <c r="R18" s="95">
        <f t="shared" si="3"/>
        <v>-246871.84008799476</v>
      </c>
      <c r="S18" s="99"/>
      <c r="T18" s="99"/>
      <c r="U18" s="99"/>
      <c r="V18" s="99"/>
    </row>
    <row r="19" spans="2:22" x14ac:dyDescent="0.2">
      <c r="B19" s="18"/>
      <c r="H19" s="333"/>
    </row>
    <row r="20" spans="2:22" x14ac:dyDescent="0.2">
      <c r="B20" s="18">
        <v>7</v>
      </c>
      <c r="C20" s="75" t="s">
        <v>265</v>
      </c>
      <c r="H20" s="4"/>
      <c r="I20" s="4"/>
      <c r="J20" s="4"/>
      <c r="K20" s="4"/>
      <c r="L20" s="4"/>
      <c r="Q20" s="95">
        <f>SUM(Q13:Q18)</f>
        <v>76093831.338211596</v>
      </c>
      <c r="R20" s="95">
        <f>SUM(R13:R18)</f>
        <v>-19067168.928443138</v>
      </c>
      <c r="S20" s="108">
        <v>0</v>
      </c>
      <c r="T20" s="109">
        <v>20063354.611619256</v>
      </c>
      <c r="U20" s="96"/>
      <c r="V20" s="96"/>
    </row>
    <row r="21" spans="2:22" x14ac:dyDescent="0.2">
      <c r="B21" s="18"/>
      <c r="H21" s="4"/>
    </row>
    <row r="22" spans="2:22" x14ac:dyDescent="0.2">
      <c r="B22" s="18">
        <v>8</v>
      </c>
      <c r="C22" s="75" t="s">
        <v>266</v>
      </c>
      <c r="H22" s="333"/>
      <c r="J22" s="97"/>
      <c r="U22" s="109">
        <v>8126264</v>
      </c>
    </row>
    <row r="23" spans="2:22" x14ac:dyDescent="0.2">
      <c r="B23" s="18"/>
      <c r="C23" s="100"/>
      <c r="D23" s="101"/>
      <c r="E23" s="11"/>
      <c r="F23" s="11"/>
      <c r="H23" s="11"/>
      <c r="I23" s="11"/>
      <c r="J23" s="11"/>
      <c r="K23" s="11"/>
      <c r="M23" s="11"/>
      <c r="N23" s="11"/>
      <c r="O23" s="11"/>
      <c r="Q23" s="11"/>
      <c r="R23" s="102"/>
      <c r="S23" s="102"/>
      <c r="T23" s="102"/>
      <c r="U23" s="102"/>
      <c r="V23" s="102"/>
    </row>
    <row r="24" spans="2:22" x14ac:dyDescent="0.2">
      <c r="B24" s="18">
        <v>9</v>
      </c>
      <c r="C24" s="103" t="s">
        <v>267</v>
      </c>
      <c r="U24" s="104"/>
      <c r="V24" s="104">
        <f>T20-U22</f>
        <v>11937090.611619256</v>
      </c>
    </row>
    <row r="25" spans="2:22" x14ac:dyDescent="0.2">
      <c r="B25" s="18"/>
      <c r="C25" s="103"/>
      <c r="U25" s="104"/>
      <c r="V25" s="104"/>
    </row>
    <row r="26" spans="2:22" x14ac:dyDescent="0.2">
      <c r="B26" s="18"/>
      <c r="C26" s="103"/>
      <c r="U26" s="104"/>
      <c r="V26" s="18"/>
    </row>
    <row r="27" spans="2:22" x14ac:dyDescent="0.2">
      <c r="B27" s="18"/>
      <c r="C27" s="103"/>
      <c r="S27" s="18"/>
      <c r="U27" s="18"/>
      <c r="V27" s="18" t="s">
        <v>196</v>
      </c>
    </row>
    <row r="28" spans="2:22" x14ac:dyDescent="0.2">
      <c r="B28" s="18"/>
      <c r="E28" s="78"/>
      <c r="F28" s="78"/>
      <c r="G28" s="78"/>
      <c r="H28" s="362" t="s">
        <v>358</v>
      </c>
      <c r="I28" s="362"/>
      <c r="J28" s="362"/>
      <c r="K28" s="362"/>
      <c r="L28" s="76"/>
      <c r="M28" s="363" t="s">
        <v>197</v>
      </c>
      <c r="N28" s="363"/>
      <c r="O28" s="363"/>
      <c r="P28" s="18"/>
      <c r="Q28" s="18"/>
      <c r="R28" s="18" t="s">
        <v>198</v>
      </c>
      <c r="T28" s="18"/>
      <c r="U28" s="18" t="s">
        <v>199</v>
      </c>
      <c r="V28" s="18" t="s">
        <v>186</v>
      </c>
    </row>
    <row r="29" spans="2:22" x14ac:dyDescent="0.2">
      <c r="B29" s="18"/>
      <c r="E29" s="78"/>
      <c r="F29" s="78"/>
      <c r="G29" s="78"/>
      <c r="H29" s="76"/>
      <c r="I29" s="76"/>
      <c r="J29" s="76"/>
      <c r="K29" s="329">
        <v>0.1</v>
      </c>
      <c r="L29" s="76"/>
      <c r="M29" s="18"/>
      <c r="N29" s="18"/>
      <c r="O29" s="18"/>
      <c r="P29" s="18"/>
      <c r="Q29" s="18"/>
      <c r="R29" s="18" t="s">
        <v>53</v>
      </c>
      <c r="S29" s="18"/>
      <c r="T29" s="18" t="s">
        <v>186</v>
      </c>
      <c r="U29" s="18" t="s">
        <v>203</v>
      </c>
      <c r="V29" s="18" t="s">
        <v>204</v>
      </c>
    </row>
    <row r="30" spans="2:22" x14ac:dyDescent="0.2">
      <c r="B30" s="18"/>
      <c r="D30" s="78"/>
      <c r="E30" s="78"/>
      <c r="F30" s="79" t="s">
        <v>198</v>
      </c>
      <c r="G30" s="79"/>
      <c r="I30" s="76"/>
      <c r="J30" s="76"/>
      <c r="K30" s="76" t="s">
        <v>213</v>
      </c>
      <c r="M30" s="18"/>
      <c r="N30" s="18"/>
      <c r="O30" s="18" t="s">
        <v>202</v>
      </c>
      <c r="P30" s="76"/>
      <c r="Q30" s="18"/>
      <c r="R30" s="18" t="s">
        <v>186</v>
      </c>
      <c r="S30" s="18" t="s">
        <v>198</v>
      </c>
      <c r="T30" s="18" t="s">
        <v>204</v>
      </c>
      <c r="U30" s="76" t="s">
        <v>207</v>
      </c>
      <c r="V30" s="76" t="s">
        <v>208</v>
      </c>
    </row>
    <row r="31" spans="2:22" x14ac:dyDescent="0.2">
      <c r="B31" s="18"/>
      <c r="C31" s="81"/>
      <c r="D31" s="78" t="s">
        <v>209</v>
      </c>
      <c r="E31" s="76" t="s">
        <v>221</v>
      </c>
      <c r="F31" s="82" t="s">
        <v>186</v>
      </c>
      <c r="G31" s="82"/>
      <c r="H31" s="76" t="s">
        <v>210</v>
      </c>
      <c r="I31" s="76"/>
      <c r="J31" s="76"/>
      <c r="K31" s="330" t="s">
        <v>359</v>
      </c>
      <c r="L31" s="76"/>
      <c r="M31" s="76" t="s">
        <v>214</v>
      </c>
      <c r="N31" s="76"/>
      <c r="O31" s="76" t="s">
        <v>362</v>
      </c>
      <c r="P31" s="76"/>
      <c r="Q31" s="76" t="s">
        <v>216</v>
      </c>
      <c r="R31" s="76" t="s">
        <v>204</v>
      </c>
      <c r="S31" s="18" t="s">
        <v>203</v>
      </c>
      <c r="T31" s="76" t="s">
        <v>208</v>
      </c>
      <c r="U31" s="18" t="s">
        <v>217</v>
      </c>
      <c r="V31" s="76" t="s">
        <v>218</v>
      </c>
    </row>
    <row r="32" spans="2:22" x14ac:dyDescent="0.2">
      <c r="B32" s="18"/>
      <c r="C32" s="83" t="s">
        <v>363</v>
      </c>
      <c r="D32" s="78" t="s">
        <v>208</v>
      </c>
      <c r="E32" s="76" t="s">
        <v>360</v>
      </c>
      <c r="F32" s="82" t="s">
        <v>204</v>
      </c>
      <c r="G32" s="82"/>
      <c r="H32" s="76" t="s">
        <v>222</v>
      </c>
      <c r="I32" s="76"/>
      <c r="J32" s="76" t="s">
        <v>53</v>
      </c>
      <c r="K32" s="76" t="s">
        <v>223</v>
      </c>
      <c r="L32" s="76"/>
      <c r="M32" s="76" t="s">
        <v>215</v>
      </c>
      <c r="N32" s="76"/>
      <c r="O32" s="76" t="s">
        <v>215</v>
      </c>
      <c r="P32" s="76"/>
      <c r="Q32" s="76" t="s">
        <v>226</v>
      </c>
      <c r="R32" s="76" t="s">
        <v>227</v>
      </c>
      <c r="S32" s="76" t="s">
        <v>228</v>
      </c>
      <c r="T32" s="76" t="s">
        <v>226</v>
      </c>
      <c r="U32" s="76" t="s">
        <v>229</v>
      </c>
      <c r="V32" s="76" t="s">
        <v>226</v>
      </c>
    </row>
    <row r="33" spans="2:22" x14ac:dyDescent="0.2">
      <c r="B33" s="18"/>
      <c r="C33" s="84" t="s">
        <v>57</v>
      </c>
      <c r="D33" s="85" t="s">
        <v>0</v>
      </c>
      <c r="E33" s="85" t="s">
        <v>361</v>
      </c>
      <c r="F33" s="86" t="s">
        <v>208</v>
      </c>
      <c r="G33" s="82"/>
      <c r="H33" s="328" t="s">
        <v>231</v>
      </c>
      <c r="I33" s="328"/>
      <c r="J33" s="328" t="s">
        <v>364</v>
      </c>
      <c r="K33" s="328" t="s">
        <v>208</v>
      </c>
      <c r="L33" s="76"/>
      <c r="M33" s="328" t="s">
        <v>232</v>
      </c>
      <c r="N33" s="328"/>
      <c r="O33" s="328" t="s">
        <v>365</v>
      </c>
      <c r="P33" s="76"/>
      <c r="Q33" s="328" t="s">
        <v>234</v>
      </c>
      <c r="R33" s="328" t="s">
        <v>235</v>
      </c>
      <c r="S33" s="328" t="s">
        <v>236</v>
      </c>
      <c r="T33" s="328" t="s">
        <v>237</v>
      </c>
      <c r="U33" s="328" t="s">
        <v>238</v>
      </c>
      <c r="V33" s="328" t="s">
        <v>237</v>
      </c>
    </row>
    <row r="34" spans="2:22" s="91" customFormat="1" ht="21.6" customHeight="1" x14ac:dyDescent="0.2">
      <c r="B34" s="12"/>
      <c r="C34" s="88" t="s">
        <v>8</v>
      </c>
      <c r="D34" s="89" t="s">
        <v>9</v>
      </c>
      <c r="E34" s="87" t="s">
        <v>10</v>
      </c>
      <c r="F34" s="90" t="s">
        <v>39</v>
      </c>
      <c r="G34" s="87"/>
      <c r="H34" s="87" t="s">
        <v>239</v>
      </c>
      <c r="I34" s="87" t="s">
        <v>240</v>
      </c>
      <c r="J34" s="87" t="s">
        <v>241</v>
      </c>
      <c r="K34" s="87" t="s">
        <v>242</v>
      </c>
      <c r="L34" s="87"/>
      <c r="M34" s="87" t="s">
        <v>243</v>
      </c>
      <c r="N34" s="87" t="s">
        <v>244</v>
      </c>
      <c r="O34" s="87" t="s">
        <v>245</v>
      </c>
      <c r="P34" s="87"/>
      <c r="Q34" s="87" t="s">
        <v>246</v>
      </c>
      <c r="R34" s="87" t="s">
        <v>247</v>
      </c>
      <c r="S34" s="87" t="s">
        <v>248</v>
      </c>
      <c r="T34" s="87" t="s">
        <v>249</v>
      </c>
      <c r="U34" s="87" t="s">
        <v>250</v>
      </c>
      <c r="V34" s="87" t="s">
        <v>251</v>
      </c>
    </row>
    <row r="35" spans="2:22" x14ac:dyDescent="0.2">
      <c r="B35" s="18">
        <v>10</v>
      </c>
      <c r="C35" s="75" t="s">
        <v>252</v>
      </c>
      <c r="D35" s="78" t="s">
        <v>366</v>
      </c>
      <c r="E35" s="92" t="s">
        <v>254</v>
      </c>
      <c r="F35" s="106">
        <v>-0.45</v>
      </c>
      <c r="G35" s="93"/>
      <c r="H35" s="94">
        <v>32754.741850697592</v>
      </c>
      <c r="I35" s="94"/>
      <c r="J35" s="94">
        <v>2820600.1475018011</v>
      </c>
      <c r="K35" s="342">
        <v>0</v>
      </c>
      <c r="L35" s="331"/>
      <c r="M35" s="107">
        <v>12.5</v>
      </c>
      <c r="N35" s="108"/>
      <c r="O35" s="108">
        <v>1.2949200000000001</v>
      </c>
      <c r="P35" s="332"/>
      <c r="Q35" s="95">
        <f>(M35*H35+J35*O35)</f>
        <v>4061885.8161367523</v>
      </c>
      <c r="R35" s="95">
        <f>Q35*F35</f>
        <v>-1827848.6172615385</v>
      </c>
      <c r="S35" s="96"/>
      <c r="T35" s="96"/>
      <c r="U35" s="96"/>
      <c r="V35" s="96"/>
    </row>
    <row r="36" spans="2:22" x14ac:dyDescent="0.2">
      <c r="B36" s="18">
        <v>11</v>
      </c>
      <c r="C36" s="75" t="s">
        <v>255</v>
      </c>
      <c r="D36" s="78" t="s">
        <v>366</v>
      </c>
      <c r="E36" s="92" t="s">
        <v>256</v>
      </c>
      <c r="F36" s="106">
        <v>-0.4</v>
      </c>
      <c r="G36" s="93"/>
      <c r="H36" s="94">
        <v>107119.30280218876</v>
      </c>
      <c r="I36" s="94"/>
      <c r="J36" s="94">
        <v>5811508.8201668374</v>
      </c>
      <c r="K36" s="342">
        <v>0</v>
      </c>
      <c r="L36" s="97"/>
      <c r="M36" s="6">
        <f>M35</f>
        <v>12.5</v>
      </c>
      <c r="N36" s="334"/>
      <c r="O36" s="334">
        <f t="shared" ref="O36:O40" si="4">O35</f>
        <v>1.2949200000000001</v>
      </c>
      <c r="P36" s="98"/>
      <c r="Q36" s="95">
        <f>(M36*H36+J36*O36)</f>
        <v>8864430.2864378002</v>
      </c>
      <c r="R36" s="95">
        <f>Q36*F36</f>
        <v>-3545772.1145751202</v>
      </c>
      <c r="S36" s="96"/>
      <c r="T36" s="96"/>
      <c r="U36" s="96"/>
      <c r="V36" s="96"/>
    </row>
    <row r="37" spans="2:22" x14ac:dyDescent="0.2">
      <c r="B37" s="18">
        <v>12</v>
      </c>
      <c r="C37" s="75" t="s">
        <v>257</v>
      </c>
      <c r="D37" s="78" t="s">
        <v>366</v>
      </c>
      <c r="E37" s="92" t="s">
        <v>258</v>
      </c>
      <c r="F37" s="106">
        <v>-0.2</v>
      </c>
      <c r="G37" s="93"/>
      <c r="H37" s="94">
        <v>289356.16622488305</v>
      </c>
      <c r="I37" s="94"/>
      <c r="J37" s="94">
        <v>16287974.387721471</v>
      </c>
      <c r="K37" s="342">
        <v>0</v>
      </c>
      <c r="L37" s="97"/>
      <c r="M37" s="6">
        <f t="shared" ref="M37:M40" si="5">M36</f>
        <v>12.5</v>
      </c>
      <c r="N37" s="334"/>
      <c r="O37" s="334">
        <f t="shared" si="4"/>
        <v>1.2949200000000001</v>
      </c>
      <c r="P37" s="98"/>
      <c r="Q37" s="95">
        <f t="shared" ref="Q37:Q40" si="6">(M37*H37+J37*O37)</f>
        <v>24708575.871959329</v>
      </c>
      <c r="R37" s="95">
        <f t="shared" ref="R37:R40" si="7">Q37*F37</f>
        <v>-4941715.1743918657</v>
      </c>
      <c r="S37" s="99"/>
      <c r="T37" s="99"/>
      <c r="U37" s="99"/>
      <c r="V37" s="99"/>
    </row>
    <row r="38" spans="2:22" x14ac:dyDescent="0.2">
      <c r="B38" s="18">
        <v>13</v>
      </c>
      <c r="C38" s="75" t="s">
        <v>259</v>
      </c>
      <c r="D38" s="78" t="s">
        <v>366</v>
      </c>
      <c r="E38" s="92" t="s">
        <v>260</v>
      </c>
      <c r="F38" s="106">
        <v>-0.15</v>
      </c>
      <c r="G38" s="93"/>
      <c r="H38" s="94">
        <v>321711.65396678582</v>
      </c>
      <c r="I38" s="94"/>
      <c r="J38" s="94">
        <v>20076008.620903209</v>
      </c>
      <c r="K38" s="342">
        <v>0</v>
      </c>
      <c r="L38" s="97"/>
      <c r="M38" s="6">
        <f t="shared" si="5"/>
        <v>12.5</v>
      </c>
      <c r="N38" s="334"/>
      <c r="O38" s="334">
        <f t="shared" si="4"/>
        <v>1.2949200000000001</v>
      </c>
      <c r="P38" s="98"/>
      <c r="Q38" s="95">
        <f t="shared" si="6"/>
        <v>30018220.757964805</v>
      </c>
      <c r="R38" s="95">
        <f t="shared" si="7"/>
        <v>-4502733.1136947209</v>
      </c>
      <c r="S38" s="99"/>
      <c r="T38" s="99"/>
      <c r="U38" s="99"/>
      <c r="V38" s="99"/>
    </row>
    <row r="39" spans="2:22" x14ac:dyDescent="0.2">
      <c r="B39" s="18">
        <v>14</v>
      </c>
      <c r="C39" s="75" t="s">
        <v>261</v>
      </c>
      <c r="D39" s="78" t="s">
        <v>366</v>
      </c>
      <c r="E39" s="92" t="s">
        <v>262</v>
      </c>
      <c r="F39" s="106">
        <v>-0.1</v>
      </c>
      <c r="G39" s="93"/>
      <c r="H39" s="94">
        <v>6944.4949977830975</v>
      </c>
      <c r="I39" s="94"/>
      <c r="J39" s="94">
        <v>737699.97059642675</v>
      </c>
      <c r="K39" s="342">
        <v>0</v>
      </c>
      <c r="L39" s="97"/>
      <c r="M39" s="6">
        <f t="shared" si="5"/>
        <v>12.5</v>
      </c>
      <c r="N39" s="334"/>
      <c r="O39" s="334">
        <f t="shared" si="4"/>
        <v>1.2949200000000001</v>
      </c>
      <c r="P39" s="98"/>
      <c r="Q39" s="95">
        <f t="shared" si="6"/>
        <v>1042068.6333970138</v>
      </c>
      <c r="R39" s="95">
        <f t="shared" si="7"/>
        <v>-104206.86333970138</v>
      </c>
      <c r="S39" s="99"/>
      <c r="T39" s="99"/>
      <c r="U39" s="99"/>
      <c r="V39" s="99"/>
    </row>
    <row r="40" spans="2:22" x14ac:dyDescent="0.2">
      <c r="B40" s="18">
        <v>15</v>
      </c>
      <c r="C40" s="75" t="s">
        <v>263</v>
      </c>
      <c r="D40" s="78" t="s">
        <v>366</v>
      </c>
      <c r="E40" s="92" t="s">
        <v>264</v>
      </c>
      <c r="F40" s="106">
        <v>-0.05</v>
      </c>
      <c r="G40" s="93"/>
      <c r="H40" s="94">
        <v>15073.398029434042</v>
      </c>
      <c r="I40" s="94"/>
      <c r="J40" s="94">
        <v>1500076.1660762429</v>
      </c>
      <c r="K40" s="342">
        <v>0</v>
      </c>
      <c r="L40" s="97"/>
      <c r="M40" s="6">
        <f t="shared" si="5"/>
        <v>12.5</v>
      </c>
      <c r="N40" s="334"/>
      <c r="O40" s="334">
        <f t="shared" si="4"/>
        <v>1.2949200000000001</v>
      </c>
      <c r="P40" s="98"/>
      <c r="Q40" s="95">
        <f t="shared" si="6"/>
        <v>2130896.1043433743</v>
      </c>
      <c r="R40" s="95">
        <f t="shared" si="7"/>
        <v>-106544.80521716872</v>
      </c>
      <c r="S40" s="99"/>
      <c r="T40" s="99"/>
      <c r="U40" s="99"/>
      <c r="V40" s="99"/>
    </row>
    <row r="41" spans="2:22" x14ac:dyDescent="0.2">
      <c r="B41" s="18"/>
      <c r="D41" s="78"/>
      <c r="F41" s="93"/>
      <c r="G41" s="93"/>
      <c r="H41" s="94"/>
      <c r="I41" s="94"/>
      <c r="J41" s="94"/>
      <c r="K41" s="97"/>
      <c r="L41" s="97"/>
      <c r="M41" s="6"/>
      <c r="N41" s="334"/>
      <c r="O41" s="334"/>
      <c r="P41" s="98"/>
      <c r="Q41" s="95"/>
      <c r="R41" s="95"/>
      <c r="S41" s="99"/>
      <c r="T41" s="99"/>
      <c r="U41" s="99"/>
      <c r="V41" s="99"/>
    </row>
    <row r="42" spans="2:22" x14ac:dyDescent="0.2">
      <c r="B42" s="18">
        <v>16</v>
      </c>
      <c r="C42" s="75" t="s">
        <v>367</v>
      </c>
      <c r="H42" s="4"/>
      <c r="I42" s="4"/>
      <c r="J42" s="4"/>
      <c r="K42" s="4"/>
      <c r="L42" s="4"/>
      <c r="Q42" s="95">
        <f>SUM(Q35:Q40)</f>
        <v>70826077.470239073</v>
      </c>
      <c r="R42" s="95">
        <f>SUM(R35:R40)</f>
        <v>-15028820.688480115</v>
      </c>
      <c r="S42" s="109">
        <v>0</v>
      </c>
      <c r="T42" s="109">
        <v>15762667.433514832</v>
      </c>
      <c r="U42" s="96"/>
      <c r="V42" s="96"/>
    </row>
    <row r="43" spans="2:22" x14ac:dyDescent="0.2">
      <c r="B43" s="18"/>
      <c r="H43" s="4"/>
    </row>
    <row r="44" spans="2:22" x14ac:dyDescent="0.2">
      <c r="B44" s="18">
        <v>17</v>
      </c>
      <c r="C44" s="75" t="s">
        <v>368</v>
      </c>
      <c r="U44" s="109">
        <v>1758190</v>
      </c>
    </row>
    <row r="45" spans="2:22" x14ac:dyDescent="0.2">
      <c r="B45" s="18"/>
      <c r="C45" s="100"/>
      <c r="D45" s="101"/>
      <c r="E45" s="11"/>
      <c r="F45" s="11"/>
      <c r="H45" s="11"/>
      <c r="I45" s="11"/>
      <c r="J45" s="11"/>
      <c r="K45" s="11"/>
      <c r="M45" s="11"/>
      <c r="N45" s="11"/>
      <c r="O45" s="11"/>
      <c r="Q45" s="11"/>
      <c r="R45" s="102"/>
      <c r="S45" s="102"/>
      <c r="T45" s="102"/>
      <c r="U45" s="102"/>
      <c r="V45" s="102"/>
    </row>
    <row r="46" spans="2:22" x14ac:dyDescent="0.2">
      <c r="B46" s="18">
        <v>18</v>
      </c>
      <c r="C46" s="103" t="s">
        <v>369</v>
      </c>
      <c r="R46" s="104"/>
      <c r="S46" s="104"/>
      <c r="T46" s="104"/>
      <c r="U46" s="104"/>
      <c r="V46" s="104">
        <f>T42-U44</f>
        <v>14004477.433514832</v>
      </c>
    </row>
    <row r="47" spans="2:22" x14ac:dyDescent="0.2">
      <c r="B47" s="18"/>
      <c r="C47" s="103"/>
      <c r="R47" s="104"/>
      <c r="S47" s="104"/>
      <c r="T47" s="104"/>
      <c r="U47" s="104"/>
      <c r="V47" s="104"/>
    </row>
    <row r="48" spans="2:22" x14ac:dyDescent="0.2">
      <c r="B48" s="18">
        <v>19</v>
      </c>
      <c r="C48" s="75" t="s">
        <v>370</v>
      </c>
      <c r="Q48" s="26"/>
      <c r="R48" s="26"/>
      <c r="S48" s="26"/>
      <c r="T48" s="26">
        <f>SUM(T20,T42)</f>
        <v>35826022.04513409</v>
      </c>
      <c r="U48" s="26">
        <f>SUM(U22,U44)</f>
        <v>9884454</v>
      </c>
      <c r="V48" s="104"/>
    </row>
    <row r="49" spans="2:22" x14ac:dyDescent="0.2">
      <c r="B49" s="18"/>
    </row>
    <row r="50" spans="2:22" x14ac:dyDescent="0.2">
      <c r="B50" s="18">
        <v>20</v>
      </c>
      <c r="C50" s="335" t="s">
        <v>371</v>
      </c>
      <c r="D50" s="336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8"/>
      <c r="V50" s="339">
        <f>SUM(V24,V46)</f>
        <v>25941568.04513409</v>
      </c>
    </row>
    <row r="51" spans="2:22" x14ac:dyDescent="0.2">
      <c r="V51" s="340">
        <f>T48-U48-V50</f>
        <v>0</v>
      </c>
    </row>
    <row r="52" spans="2:22" x14ac:dyDescent="0.2">
      <c r="V52" s="341"/>
    </row>
    <row r="53" spans="2:22" x14ac:dyDescent="0.2">
      <c r="B53" s="74" t="s">
        <v>268</v>
      </c>
    </row>
    <row r="54" spans="2:22" x14ac:dyDescent="0.2">
      <c r="B54" s="105" t="s">
        <v>269</v>
      </c>
      <c r="C54" s="7" t="s">
        <v>270</v>
      </c>
    </row>
    <row r="55" spans="2:22" x14ac:dyDescent="0.2">
      <c r="B55" s="105" t="s">
        <v>271</v>
      </c>
      <c r="C55" s="7" t="s">
        <v>272</v>
      </c>
    </row>
    <row r="56" spans="2:22" x14ac:dyDescent="0.2">
      <c r="B56" s="105" t="s">
        <v>273</v>
      </c>
      <c r="C56" s="7" t="s">
        <v>274</v>
      </c>
    </row>
    <row r="57" spans="2:22" x14ac:dyDescent="0.2">
      <c r="B57" s="105" t="s">
        <v>275</v>
      </c>
      <c r="C57" s="7" t="s">
        <v>354</v>
      </c>
    </row>
    <row r="58" spans="2:22" x14ac:dyDescent="0.2">
      <c r="B58" s="105" t="s">
        <v>355</v>
      </c>
      <c r="C58" s="7" t="s">
        <v>356</v>
      </c>
    </row>
    <row r="59" spans="2:22" x14ac:dyDescent="0.2">
      <c r="B59" s="105" t="s">
        <v>357</v>
      </c>
      <c r="C59" s="7" t="s">
        <v>372</v>
      </c>
    </row>
    <row r="60" spans="2:22" x14ac:dyDescent="0.2">
      <c r="B60" s="105" t="s">
        <v>373</v>
      </c>
      <c r="C60" s="7" t="s">
        <v>374</v>
      </c>
      <c r="D60" s="2"/>
    </row>
    <row r="61" spans="2:22" x14ac:dyDescent="0.2">
      <c r="B61" s="2"/>
      <c r="C61" s="2"/>
      <c r="D61" s="2"/>
    </row>
    <row r="62" spans="2:22" x14ac:dyDescent="0.2">
      <c r="B62" s="2"/>
      <c r="C62" s="2"/>
      <c r="D62" s="2"/>
    </row>
    <row r="63" spans="2:22" x14ac:dyDescent="0.2">
      <c r="B63" s="2"/>
      <c r="C63" s="2"/>
      <c r="D63" s="2"/>
    </row>
    <row r="64" spans="2:22" x14ac:dyDescent="0.2">
      <c r="B64" s="2"/>
      <c r="C64" s="2"/>
      <c r="D64" s="2"/>
    </row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  <row r="940" s="2" customFormat="1" x14ac:dyDescent="0.2"/>
    <row r="941" s="2" customFormat="1" x14ac:dyDescent="0.2"/>
    <row r="942" s="2" customFormat="1" x14ac:dyDescent="0.2"/>
    <row r="943" s="2" customFormat="1" x14ac:dyDescent="0.2"/>
    <row r="944" s="2" customFormat="1" x14ac:dyDescent="0.2"/>
    <row r="945" s="2" customFormat="1" x14ac:dyDescent="0.2"/>
    <row r="946" s="2" customFormat="1" x14ac:dyDescent="0.2"/>
    <row r="947" s="2" customFormat="1" x14ac:dyDescent="0.2"/>
    <row r="948" s="2" customFormat="1" x14ac:dyDescent="0.2"/>
    <row r="949" s="2" customFormat="1" x14ac:dyDescent="0.2"/>
    <row r="950" s="2" customFormat="1" x14ac:dyDescent="0.2"/>
    <row r="951" s="2" customFormat="1" x14ac:dyDescent="0.2"/>
    <row r="952" s="2" customFormat="1" x14ac:dyDescent="0.2"/>
    <row r="953" s="2" customFormat="1" x14ac:dyDescent="0.2"/>
    <row r="954" s="2" customFormat="1" x14ac:dyDescent="0.2"/>
    <row r="955" s="2" customFormat="1" x14ac:dyDescent="0.2"/>
    <row r="956" s="2" customFormat="1" x14ac:dyDescent="0.2"/>
    <row r="957" s="2" customFormat="1" x14ac:dyDescent="0.2"/>
    <row r="958" s="2" customFormat="1" x14ac:dyDescent="0.2"/>
    <row r="959" s="2" customFormat="1" x14ac:dyDescent="0.2"/>
    <row r="960" s="2" customFormat="1" x14ac:dyDescent="0.2"/>
    <row r="961" s="2" customFormat="1" x14ac:dyDescent="0.2"/>
    <row r="962" s="2" customFormat="1" x14ac:dyDescent="0.2"/>
    <row r="963" s="2" customFormat="1" x14ac:dyDescent="0.2"/>
    <row r="964" s="2" customFormat="1" x14ac:dyDescent="0.2"/>
    <row r="965" s="2" customFormat="1" x14ac:dyDescent="0.2"/>
    <row r="966" s="2" customFormat="1" x14ac:dyDescent="0.2"/>
    <row r="967" s="2" customFormat="1" x14ac:dyDescent="0.2"/>
    <row r="968" s="2" customFormat="1" x14ac:dyDescent="0.2"/>
    <row r="969" s="2" customFormat="1" x14ac:dyDescent="0.2"/>
    <row r="970" s="2" customFormat="1" x14ac:dyDescent="0.2"/>
    <row r="971" s="2" customFormat="1" x14ac:dyDescent="0.2"/>
    <row r="972" s="2" customFormat="1" x14ac:dyDescent="0.2"/>
    <row r="973" s="2" customFormat="1" x14ac:dyDescent="0.2"/>
    <row r="974" s="2" customFormat="1" x14ac:dyDescent="0.2"/>
    <row r="975" s="2" customFormat="1" x14ac:dyDescent="0.2"/>
    <row r="976" s="2" customFormat="1" x14ac:dyDescent="0.2"/>
    <row r="977" s="2" customFormat="1" x14ac:dyDescent="0.2"/>
    <row r="978" s="2" customFormat="1" x14ac:dyDescent="0.2"/>
    <row r="979" s="2" customFormat="1" x14ac:dyDescent="0.2"/>
    <row r="980" s="2" customFormat="1" x14ac:dyDescent="0.2"/>
    <row r="981" s="2" customFormat="1" x14ac:dyDescent="0.2"/>
    <row r="982" s="2" customFormat="1" x14ac:dyDescent="0.2"/>
    <row r="983" s="2" customFormat="1" x14ac:dyDescent="0.2"/>
    <row r="984" s="2" customFormat="1" x14ac:dyDescent="0.2"/>
    <row r="985" s="2" customFormat="1" x14ac:dyDescent="0.2"/>
    <row r="986" s="2" customFormat="1" x14ac:dyDescent="0.2"/>
    <row r="987" s="2" customFormat="1" x14ac:dyDescent="0.2"/>
    <row r="988" s="2" customFormat="1" x14ac:dyDescent="0.2"/>
    <row r="989" s="2" customFormat="1" x14ac:dyDescent="0.2"/>
    <row r="990" s="2" customFormat="1" x14ac:dyDescent="0.2"/>
    <row r="991" s="2" customFormat="1" x14ac:dyDescent="0.2"/>
    <row r="992" s="2" customFormat="1" x14ac:dyDescent="0.2"/>
    <row r="993" s="2" customFormat="1" x14ac:dyDescent="0.2"/>
    <row r="994" s="2" customFormat="1" x14ac:dyDescent="0.2"/>
    <row r="995" s="2" customFormat="1" x14ac:dyDescent="0.2"/>
    <row r="996" s="2" customFormat="1" x14ac:dyDescent="0.2"/>
    <row r="997" s="2" customFormat="1" x14ac:dyDescent="0.2"/>
    <row r="998" s="2" customFormat="1" x14ac:dyDescent="0.2"/>
    <row r="999" s="2" customFormat="1" x14ac:dyDescent="0.2"/>
    <row r="1000" s="2" customFormat="1" x14ac:dyDescent="0.2"/>
    <row r="1001" s="2" customFormat="1" x14ac:dyDescent="0.2"/>
    <row r="1002" s="2" customFormat="1" x14ac:dyDescent="0.2"/>
    <row r="1003" s="2" customFormat="1" x14ac:dyDescent="0.2"/>
    <row r="1004" s="2" customFormat="1" x14ac:dyDescent="0.2"/>
    <row r="1005" s="2" customFormat="1" x14ac:dyDescent="0.2"/>
    <row r="1006" s="2" customFormat="1" x14ac:dyDescent="0.2"/>
    <row r="1007" s="2" customFormat="1" x14ac:dyDescent="0.2"/>
    <row r="1008" s="2" customFormat="1" x14ac:dyDescent="0.2"/>
    <row r="1009" s="2" customFormat="1" x14ac:dyDescent="0.2"/>
    <row r="1010" s="2" customFormat="1" x14ac:dyDescent="0.2"/>
    <row r="1011" s="2" customFormat="1" x14ac:dyDescent="0.2"/>
    <row r="1012" s="2" customFormat="1" x14ac:dyDescent="0.2"/>
    <row r="1013" s="2" customFormat="1" x14ac:dyDescent="0.2"/>
    <row r="1014" s="2" customFormat="1" x14ac:dyDescent="0.2"/>
    <row r="1015" s="2" customFormat="1" x14ac:dyDescent="0.2"/>
    <row r="1016" s="2" customFormat="1" x14ac:dyDescent="0.2"/>
    <row r="1017" s="2" customFormat="1" x14ac:dyDescent="0.2"/>
    <row r="1018" s="2" customFormat="1" x14ac:dyDescent="0.2"/>
    <row r="1019" s="2" customFormat="1" x14ac:dyDescent="0.2"/>
    <row r="1020" s="2" customFormat="1" x14ac:dyDescent="0.2"/>
    <row r="1021" s="2" customFormat="1" x14ac:dyDescent="0.2"/>
    <row r="1022" s="2" customFormat="1" x14ac:dyDescent="0.2"/>
    <row r="1023" s="2" customFormat="1" x14ac:dyDescent="0.2"/>
    <row r="1024" s="2" customFormat="1" x14ac:dyDescent="0.2"/>
    <row r="1025" s="2" customFormat="1" x14ac:dyDescent="0.2"/>
    <row r="1026" s="2" customFormat="1" x14ac:dyDescent="0.2"/>
    <row r="1027" s="2" customFormat="1" x14ac:dyDescent="0.2"/>
    <row r="1028" s="2" customFormat="1" x14ac:dyDescent="0.2"/>
    <row r="1029" s="2" customFormat="1" x14ac:dyDescent="0.2"/>
    <row r="1030" s="2" customFormat="1" x14ac:dyDescent="0.2"/>
    <row r="1031" s="2" customFormat="1" x14ac:dyDescent="0.2"/>
    <row r="1032" s="2" customFormat="1" x14ac:dyDescent="0.2"/>
    <row r="1033" s="2" customFormat="1" x14ac:dyDescent="0.2"/>
    <row r="1034" s="2" customFormat="1" x14ac:dyDescent="0.2"/>
    <row r="1035" s="2" customFormat="1" x14ac:dyDescent="0.2"/>
    <row r="1036" s="2" customFormat="1" x14ac:dyDescent="0.2"/>
    <row r="1037" s="2" customFormat="1" x14ac:dyDescent="0.2"/>
    <row r="1038" s="2" customFormat="1" x14ac:dyDescent="0.2"/>
    <row r="1039" s="2" customFormat="1" x14ac:dyDescent="0.2"/>
    <row r="1040" s="2" customFormat="1" x14ac:dyDescent="0.2"/>
    <row r="1041" s="2" customFormat="1" x14ac:dyDescent="0.2"/>
    <row r="1042" s="2" customFormat="1" x14ac:dyDescent="0.2"/>
    <row r="1043" s="2" customFormat="1" x14ac:dyDescent="0.2"/>
    <row r="1044" s="2" customFormat="1" x14ac:dyDescent="0.2"/>
    <row r="1045" s="2" customFormat="1" x14ac:dyDescent="0.2"/>
    <row r="1046" s="2" customFormat="1" x14ac:dyDescent="0.2"/>
    <row r="1047" s="2" customFormat="1" x14ac:dyDescent="0.2"/>
    <row r="1048" s="2" customFormat="1" x14ac:dyDescent="0.2"/>
    <row r="1049" s="2" customFormat="1" x14ac:dyDescent="0.2"/>
    <row r="1050" s="2" customFormat="1" x14ac:dyDescent="0.2"/>
    <row r="1051" s="2" customFormat="1" x14ac:dyDescent="0.2"/>
    <row r="1052" s="2" customFormat="1" x14ac:dyDescent="0.2"/>
    <row r="1053" s="2" customFormat="1" x14ac:dyDescent="0.2"/>
    <row r="1054" s="2" customFormat="1" x14ac:dyDescent="0.2"/>
    <row r="1055" s="2" customFormat="1" x14ac:dyDescent="0.2"/>
    <row r="1056" s="2" customFormat="1" x14ac:dyDescent="0.2"/>
    <row r="1057" s="2" customFormat="1" x14ac:dyDescent="0.2"/>
    <row r="1058" s="2" customFormat="1" x14ac:dyDescent="0.2"/>
    <row r="1059" s="2" customFormat="1" x14ac:dyDescent="0.2"/>
    <row r="1060" s="2" customFormat="1" x14ac:dyDescent="0.2"/>
    <row r="1061" s="2" customFormat="1" x14ac:dyDescent="0.2"/>
    <row r="1062" s="2" customFormat="1" x14ac:dyDescent="0.2"/>
    <row r="1063" s="2" customFormat="1" x14ac:dyDescent="0.2"/>
    <row r="1064" s="2" customFormat="1" x14ac:dyDescent="0.2"/>
    <row r="1065" s="2" customFormat="1" x14ac:dyDescent="0.2"/>
    <row r="1066" s="2" customFormat="1" x14ac:dyDescent="0.2"/>
    <row r="1067" s="2" customFormat="1" x14ac:dyDescent="0.2"/>
    <row r="1068" s="2" customFormat="1" x14ac:dyDescent="0.2"/>
    <row r="1069" s="2" customFormat="1" x14ac:dyDescent="0.2"/>
    <row r="1070" s="2" customFormat="1" x14ac:dyDescent="0.2"/>
    <row r="1071" s="2" customFormat="1" x14ac:dyDescent="0.2"/>
    <row r="1072" s="2" customFormat="1" x14ac:dyDescent="0.2"/>
    <row r="1073" s="2" customFormat="1" x14ac:dyDescent="0.2"/>
    <row r="1074" s="2" customFormat="1" x14ac:dyDescent="0.2"/>
    <row r="1075" s="2" customFormat="1" x14ac:dyDescent="0.2"/>
    <row r="1076" s="2" customFormat="1" x14ac:dyDescent="0.2"/>
    <row r="1077" s="2" customFormat="1" x14ac:dyDescent="0.2"/>
    <row r="1078" s="2" customFormat="1" x14ac:dyDescent="0.2"/>
    <row r="1079" s="2" customFormat="1" x14ac:dyDescent="0.2"/>
    <row r="1080" s="2" customFormat="1" x14ac:dyDescent="0.2"/>
    <row r="1081" s="2" customFormat="1" x14ac:dyDescent="0.2"/>
    <row r="1082" s="2" customFormat="1" x14ac:dyDescent="0.2"/>
    <row r="1083" s="2" customFormat="1" x14ac:dyDescent="0.2"/>
    <row r="1084" s="2" customFormat="1" x14ac:dyDescent="0.2"/>
    <row r="1085" s="2" customFormat="1" x14ac:dyDescent="0.2"/>
    <row r="1086" s="2" customFormat="1" x14ac:dyDescent="0.2"/>
    <row r="1087" s="2" customFormat="1" x14ac:dyDescent="0.2"/>
    <row r="1088" s="2" customFormat="1" x14ac:dyDescent="0.2"/>
    <row r="1089" s="2" customFormat="1" x14ac:dyDescent="0.2"/>
    <row r="1090" s="2" customFormat="1" x14ac:dyDescent="0.2"/>
    <row r="1091" s="2" customFormat="1" x14ac:dyDescent="0.2"/>
    <row r="1092" s="2" customFormat="1" x14ac:dyDescent="0.2"/>
    <row r="1093" s="2" customFormat="1" x14ac:dyDescent="0.2"/>
    <row r="1094" s="2" customFormat="1" x14ac:dyDescent="0.2"/>
    <row r="1095" s="2" customFormat="1" x14ac:dyDescent="0.2"/>
    <row r="1096" s="2" customFormat="1" x14ac:dyDescent="0.2"/>
    <row r="1097" s="2" customFormat="1" x14ac:dyDescent="0.2"/>
    <row r="1098" s="2" customFormat="1" x14ac:dyDescent="0.2"/>
    <row r="1099" s="2" customFormat="1" x14ac:dyDescent="0.2"/>
    <row r="1100" s="2" customFormat="1" x14ac:dyDescent="0.2"/>
    <row r="1101" s="2" customFormat="1" x14ac:dyDescent="0.2"/>
    <row r="1102" s="2" customFormat="1" x14ac:dyDescent="0.2"/>
    <row r="1103" s="2" customFormat="1" x14ac:dyDescent="0.2"/>
    <row r="1104" s="2" customFormat="1" x14ac:dyDescent="0.2"/>
    <row r="1105" s="2" customFormat="1" x14ac:dyDescent="0.2"/>
    <row r="1106" s="2" customFormat="1" x14ac:dyDescent="0.2"/>
    <row r="1107" s="2" customFormat="1" x14ac:dyDescent="0.2"/>
    <row r="1108" s="2" customFormat="1" x14ac:dyDescent="0.2"/>
    <row r="1109" s="2" customFormat="1" x14ac:dyDescent="0.2"/>
    <row r="1110" s="2" customFormat="1" x14ac:dyDescent="0.2"/>
    <row r="1111" s="2" customFormat="1" x14ac:dyDescent="0.2"/>
    <row r="1112" s="2" customFormat="1" x14ac:dyDescent="0.2"/>
    <row r="1113" s="2" customFormat="1" x14ac:dyDescent="0.2"/>
    <row r="1114" s="2" customFormat="1" x14ac:dyDescent="0.2"/>
    <row r="1115" s="2" customFormat="1" x14ac:dyDescent="0.2"/>
    <row r="1116" s="2" customFormat="1" x14ac:dyDescent="0.2"/>
    <row r="1117" s="2" customFormat="1" x14ac:dyDescent="0.2"/>
    <row r="1118" s="2" customFormat="1" x14ac:dyDescent="0.2"/>
    <row r="1119" s="2" customFormat="1" x14ac:dyDescent="0.2"/>
    <row r="1120" s="2" customFormat="1" x14ac:dyDescent="0.2"/>
    <row r="1121" s="2" customFormat="1" x14ac:dyDescent="0.2"/>
    <row r="1122" s="2" customFormat="1" x14ac:dyDescent="0.2"/>
    <row r="1123" s="2" customFormat="1" x14ac:dyDescent="0.2"/>
    <row r="1124" s="2" customFormat="1" x14ac:dyDescent="0.2"/>
    <row r="1125" s="2" customFormat="1" x14ac:dyDescent="0.2"/>
    <row r="1126" s="2" customFormat="1" x14ac:dyDescent="0.2"/>
    <row r="1127" s="2" customFormat="1" x14ac:dyDescent="0.2"/>
    <row r="1128" s="2" customFormat="1" x14ac:dyDescent="0.2"/>
    <row r="1129" s="2" customFormat="1" x14ac:dyDescent="0.2"/>
    <row r="1130" s="2" customFormat="1" x14ac:dyDescent="0.2"/>
    <row r="1131" s="2" customFormat="1" x14ac:dyDescent="0.2"/>
    <row r="1132" s="2" customFormat="1" x14ac:dyDescent="0.2"/>
    <row r="1133" s="2" customFormat="1" x14ac:dyDescent="0.2"/>
    <row r="1134" s="2" customFormat="1" x14ac:dyDescent="0.2"/>
    <row r="1135" s="2" customFormat="1" x14ac:dyDescent="0.2"/>
    <row r="1136" s="2" customFormat="1" x14ac:dyDescent="0.2"/>
    <row r="1137" s="2" customFormat="1" x14ac:dyDescent="0.2"/>
    <row r="1138" s="2" customFormat="1" x14ac:dyDescent="0.2"/>
    <row r="1139" s="2" customFormat="1" x14ac:dyDescent="0.2"/>
    <row r="1140" s="2" customFormat="1" x14ac:dyDescent="0.2"/>
    <row r="1141" s="2" customFormat="1" x14ac:dyDescent="0.2"/>
    <row r="1142" s="2" customFormat="1" x14ac:dyDescent="0.2"/>
    <row r="1143" s="2" customFormat="1" x14ac:dyDescent="0.2"/>
    <row r="1144" s="2" customFormat="1" x14ac:dyDescent="0.2"/>
    <row r="1145" s="2" customFormat="1" x14ac:dyDescent="0.2"/>
    <row r="1146" s="2" customFormat="1" x14ac:dyDescent="0.2"/>
    <row r="1147" s="2" customFormat="1" x14ac:dyDescent="0.2"/>
    <row r="1148" s="2" customFormat="1" x14ac:dyDescent="0.2"/>
    <row r="1149" s="2" customFormat="1" x14ac:dyDescent="0.2"/>
    <row r="1150" s="2" customFormat="1" x14ac:dyDescent="0.2"/>
    <row r="1151" s="2" customFormat="1" x14ac:dyDescent="0.2"/>
    <row r="1152" s="2" customFormat="1" x14ac:dyDescent="0.2"/>
    <row r="1153" s="2" customFormat="1" x14ac:dyDescent="0.2"/>
    <row r="1154" s="2" customFormat="1" x14ac:dyDescent="0.2"/>
    <row r="1155" s="2" customFormat="1" x14ac:dyDescent="0.2"/>
    <row r="1156" s="2" customFormat="1" x14ac:dyDescent="0.2"/>
    <row r="1157" s="2" customFormat="1" x14ac:dyDescent="0.2"/>
    <row r="1158" s="2" customFormat="1" x14ac:dyDescent="0.2"/>
    <row r="1159" s="2" customFormat="1" x14ac:dyDescent="0.2"/>
    <row r="1160" s="2" customFormat="1" x14ac:dyDescent="0.2"/>
    <row r="1161" s="2" customFormat="1" x14ac:dyDescent="0.2"/>
    <row r="1162" s="2" customFormat="1" x14ac:dyDescent="0.2"/>
    <row r="1163" s="2" customFormat="1" x14ac:dyDescent="0.2"/>
    <row r="1164" s="2" customFormat="1" x14ac:dyDescent="0.2"/>
    <row r="1165" s="2" customFormat="1" x14ac:dyDescent="0.2"/>
    <row r="1166" s="2" customFormat="1" x14ac:dyDescent="0.2"/>
    <row r="1167" s="2" customFormat="1" x14ac:dyDescent="0.2"/>
    <row r="1168" s="2" customFormat="1" x14ac:dyDescent="0.2"/>
    <row r="1169" s="2" customFormat="1" x14ac:dyDescent="0.2"/>
    <row r="1170" s="2" customFormat="1" x14ac:dyDescent="0.2"/>
    <row r="1171" s="2" customFormat="1" x14ac:dyDescent="0.2"/>
    <row r="1172" s="2" customFormat="1" x14ac:dyDescent="0.2"/>
    <row r="1173" s="2" customFormat="1" x14ac:dyDescent="0.2"/>
    <row r="1174" s="2" customFormat="1" x14ac:dyDescent="0.2"/>
    <row r="1175" s="2" customFormat="1" x14ac:dyDescent="0.2"/>
    <row r="1176" s="2" customFormat="1" x14ac:dyDescent="0.2"/>
    <row r="1177" s="2" customFormat="1" x14ac:dyDescent="0.2"/>
    <row r="1178" s="2" customFormat="1" x14ac:dyDescent="0.2"/>
    <row r="1179" s="2" customFormat="1" x14ac:dyDescent="0.2"/>
    <row r="1180" s="2" customFormat="1" x14ac:dyDescent="0.2"/>
    <row r="1181" s="2" customFormat="1" x14ac:dyDescent="0.2"/>
    <row r="1182" s="2" customFormat="1" x14ac:dyDescent="0.2"/>
    <row r="1183" s="2" customFormat="1" x14ac:dyDescent="0.2"/>
    <row r="1184" s="2" customFormat="1" x14ac:dyDescent="0.2"/>
    <row r="1185" s="2" customFormat="1" x14ac:dyDescent="0.2"/>
    <row r="1186" s="2" customFormat="1" x14ac:dyDescent="0.2"/>
    <row r="1187" s="2" customFormat="1" x14ac:dyDescent="0.2"/>
    <row r="1188" s="2" customFormat="1" x14ac:dyDescent="0.2"/>
    <row r="1189" s="2" customFormat="1" x14ac:dyDescent="0.2"/>
    <row r="1190" s="2" customFormat="1" x14ac:dyDescent="0.2"/>
    <row r="1191" s="2" customFormat="1" x14ac:dyDescent="0.2"/>
    <row r="1192" s="2" customFormat="1" x14ac:dyDescent="0.2"/>
    <row r="1193" s="2" customFormat="1" x14ac:dyDescent="0.2"/>
    <row r="1194" s="2" customFormat="1" x14ac:dyDescent="0.2"/>
    <row r="1195" s="2" customFormat="1" x14ac:dyDescent="0.2"/>
    <row r="1196" s="2" customFormat="1" x14ac:dyDescent="0.2"/>
    <row r="1197" s="2" customFormat="1" x14ac:dyDescent="0.2"/>
    <row r="1198" s="2" customFormat="1" x14ac:dyDescent="0.2"/>
    <row r="1199" s="2" customFormat="1" x14ac:dyDescent="0.2"/>
    <row r="1200" s="2" customFormat="1" x14ac:dyDescent="0.2"/>
    <row r="1201" s="2" customFormat="1" x14ac:dyDescent="0.2"/>
    <row r="1202" s="2" customFormat="1" x14ac:dyDescent="0.2"/>
    <row r="1203" s="2" customFormat="1" x14ac:dyDescent="0.2"/>
    <row r="1204" s="2" customFormat="1" x14ac:dyDescent="0.2"/>
    <row r="1205" s="2" customFormat="1" x14ac:dyDescent="0.2"/>
    <row r="1206" s="2" customFormat="1" x14ac:dyDescent="0.2"/>
    <row r="1207" s="2" customFormat="1" x14ac:dyDescent="0.2"/>
    <row r="1208" s="2" customFormat="1" x14ac:dyDescent="0.2"/>
    <row r="1209" s="2" customFormat="1" x14ac:dyDescent="0.2"/>
    <row r="1210" s="2" customFormat="1" x14ac:dyDescent="0.2"/>
    <row r="1211" s="2" customFormat="1" x14ac:dyDescent="0.2"/>
    <row r="1212" s="2" customFormat="1" x14ac:dyDescent="0.2"/>
    <row r="1213" s="2" customFormat="1" x14ac:dyDescent="0.2"/>
    <row r="1214" s="2" customFormat="1" x14ac:dyDescent="0.2"/>
    <row r="1215" s="2" customFormat="1" x14ac:dyDescent="0.2"/>
    <row r="1216" s="2" customFormat="1" x14ac:dyDescent="0.2"/>
    <row r="1217" s="2" customFormat="1" x14ac:dyDescent="0.2"/>
    <row r="1218" s="2" customFormat="1" x14ac:dyDescent="0.2"/>
    <row r="1219" s="2" customFormat="1" x14ac:dyDescent="0.2"/>
    <row r="1220" s="2" customFormat="1" x14ac:dyDescent="0.2"/>
    <row r="1221" s="2" customFormat="1" x14ac:dyDescent="0.2"/>
    <row r="1222" s="2" customFormat="1" x14ac:dyDescent="0.2"/>
    <row r="1223" s="2" customFormat="1" x14ac:dyDescent="0.2"/>
    <row r="1224" s="2" customFormat="1" x14ac:dyDescent="0.2"/>
    <row r="1225" s="2" customFormat="1" x14ac:dyDescent="0.2"/>
    <row r="1226" s="2" customFormat="1" x14ac:dyDescent="0.2"/>
    <row r="1227" s="2" customFormat="1" x14ac:dyDescent="0.2"/>
    <row r="1228" s="2" customFormat="1" x14ac:dyDescent="0.2"/>
    <row r="1229" s="2" customFormat="1" x14ac:dyDescent="0.2"/>
    <row r="1230" s="2" customFormat="1" x14ac:dyDescent="0.2"/>
    <row r="1231" s="2" customFormat="1" x14ac:dyDescent="0.2"/>
    <row r="1232" s="2" customFormat="1" x14ac:dyDescent="0.2"/>
    <row r="1233" s="2" customFormat="1" x14ac:dyDescent="0.2"/>
    <row r="1234" s="2" customFormat="1" x14ac:dyDescent="0.2"/>
    <row r="1235" s="2" customFormat="1" x14ac:dyDescent="0.2"/>
    <row r="1236" s="2" customFormat="1" x14ac:dyDescent="0.2"/>
    <row r="1237" s="2" customFormat="1" x14ac:dyDescent="0.2"/>
    <row r="1238" s="2" customFormat="1" x14ac:dyDescent="0.2"/>
    <row r="1239" s="2" customFormat="1" x14ac:dyDescent="0.2"/>
    <row r="1240" s="2" customFormat="1" x14ac:dyDescent="0.2"/>
    <row r="1241" s="2" customFormat="1" x14ac:dyDescent="0.2"/>
    <row r="1242" s="2" customFormat="1" x14ac:dyDescent="0.2"/>
    <row r="1243" s="2" customFormat="1" x14ac:dyDescent="0.2"/>
    <row r="1244" s="2" customFormat="1" x14ac:dyDescent="0.2"/>
    <row r="1245" s="2" customFormat="1" x14ac:dyDescent="0.2"/>
    <row r="1246" s="2" customFormat="1" x14ac:dyDescent="0.2"/>
    <row r="1247" s="2" customFormat="1" x14ac:dyDescent="0.2"/>
    <row r="1248" s="2" customFormat="1" x14ac:dyDescent="0.2"/>
    <row r="1249" s="2" customFormat="1" x14ac:dyDescent="0.2"/>
    <row r="1250" s="2" customFormat="1" x14ac:dyDescent="0.2"/>
    <row r="1251" s="2" customFormat="1" x14ac:dyDescent="0.2"/>
    <row r="1252" s="2" customFormat="1" x14ac:dyDescent="0.2"/>
    <row r="1253" s="2" customFormat="1" x14ac:dyDescent="0.2"/>
    <row r="1254" s="2" customFormat="1" x14ac:dyDescent="0.2"/>
    <row r="1255" s="2" customFormat="1" x14ac:dyDescent="0.2"/>
    <row r="1256" s="2" customFormat="1" x14ac:dyDescent="0.2"/>
    <row r="1257" s="2" customFormat="1" x14ac:dyDescent="0.2"/>
    <row r="1258" s="2" customFormat="1" x14ac:dyDescent="0.2"/>
    <row r="1259" s="2" customFormat="1" x14ac:dyDescent="0.2"/>
    <row r="1260" s="2" customFormat="1" x14ac:dyDescent="0.2"/>
    <row r="1261" s="2" customFormat="1" x14ac:dyDescent="0.2"/>
    <row r="1262" s="2" customFormat="1" x14ac:dyDescent="0.2"/>
    <row r="1263" s="2" customFormat="1" x14ac:dyDescent="0.2"/>
    <row r="1264" s="2" customFormat="1" x14ac:dyDescent="0.2"/>
    <row r="1265" s="2" customFormat="1" x14ac:dyDescent="0.2"/>
    <row r="1266" s="2" customFormat="1" x14ac:dyDescent="0.2"/>
    <row r="1267" s="2" customFormat="1" x14ac:dyDescent="0.2"/>
    <row r="1268" s="2" customFormat="1" x14ac:dyDescent="0.2"/>
    <row r="1269" s="2" customFormat="1" x14ac:dyDescent="0.2"/>
    <row r="1270" s="2" customFormat="1" x14ac:dyDescent="0.2"/>
    <row r="1271" s="2" customFormat="1" x14ac:dyDescent="0.2"/>
    <row r="1272" s="2" customFormat="1" x14ac:dyDescent="0.2"/>
    <row r="1273" s="2" customFormat="1" x14ac:dyDescent="0.2"/>
    <row r="1274" s="2" customFormat="1" x14ac:dyDescent="0.2"/>
    <row r="1275" s="2" customFormat="1" x14ac:dyDescent="0.2"/>
    <row r="1276" s="2" customFormat="1" x14ac:dyDescent="0.2"/>
    <row r="1277" s="2" customFormat="1" x14ac:dyDescent="0.2"/>
    <row r="1278" s="2" customFormat="1" x14ac:dyDescent="0.2"/>
    <row r="1279" s="2" customFormat="1" x14ac:dyDescent="0.2"/>
    <row r="1280" s="2" customFormat="1" x14ac:dyDescent="0.2"/>
    <row r="1281" s="2" customFormat="1" x14ac:dyDescent="0.2"/>
    <row r="1282" s="2" customFormat="1" x14ac:dyDescent="0.2"/>
    <row r="1283" s="2" customFormat="1" x14ac:dyDescent="0.2"/>
    <row r="1284" s="2" customFormat="1" x14ac:dyDescent="0.2"/>
    <row r="1285" s="2" customFormat="1" x14ac:dyDescent="0.2"/>
    <row r="1286" s="2" customFormat="1" x14ac:dyDescent="0.2"/>
    <row r="1287" s="2" customFormat="1" x14ac:dyDescent="0.2"/>
    <row r="1288" s="2" customFormat="1" x14ac:dyDescent="0.2"/>
    <row r="1289" s="2" customFormat="1" x14ac:dyDescent="0.2"/>
    <row r="1290" s="2" customFormat="1" x14ac:dyDescent="0.2"/>
    <row r="1291" s="2" customFormat="1" x14ac:dyDescent="0.2"/>
    <row r="1292" s="2" customFormat="1" x14ac:dyDescent="0.2"/>
    <row r="1293" s="2" customFormat="1" x14ac:dyDescent="0.2"/>
    <row r="1294" s="2" customFormat="1" x14ac:dyDescent="0.2"/>
    <row r="1295" s="2" customFormat="1" x14ac:dyDescent="0.2"/>
    <row r="1296" s="2" customFormat="1" x14ac:dyDescent="0.2"/>
    <row r="1297" s="2" customFormat="1" x14ac:dyDescent="0.2"/>
    <row r="1298" s="2" customFormat="1" x14ac:dyDescent="0.2"/>
    <row r="1299" s="2" customFormat="1" x14ac:dyDescent="0.2"/>
    <row r="1300" s="2" customFormat="1" x14ac:dyDescent="0.2"/>
    <row r="1301" s="2" customFormat="1" x14ac:dyDescent="0.2"/>
    <row r="1302" s="2" customFormat="1" x14ac:dyDescent="0.2"/>
    <row r="1303" s="2" customFormat="1" x14ac:dyDescent="0.2"/>
    <row r="1304" s="2" customFormat="1" x14ac:dyDescent="0.2"/>
    <row r="1305" s="2" customFormat="1" x14ac:dyDescent="0.2"/>
    <row r="1306" s="2" customFormat="1" x14ac:dyDescent="0.2"/>
    <row r="1307" s="2" customFormat="1" x14ac:dyDescent="0.2"/>
    <row r="1308" s="2" customFormat="1" x14ac:dyDescent="0.2"/>
    <row r="1309" s="2" customFormat="1" x14ac:dyDescent="0.2"/>
    <row r="1310" s="2" customFormat="1" x14ac:dyDescent="0.2"/>
    <row r="1311" s="2" customFormat="1" x14ac:dyDescent="0.2"/>
    <row r="1312" s="2" customFormat="1" x14ac:dyDescent="0.2"/>
    <row r="1313" s="2" customFormat="1" x14ac:dyDescent="0.2"/>
    <row r="1314" s="2" customFormat="1" x14ac:dyDescent="0.2"/>
    <row r="1315" s="2" customFormat="1" x14ac:dyDescent="0.2"/>
    <row r="1316" s="2" customFormat="1" x14ac:dyDescent="0.2"/>
    <row r="1317" s="2" customFormat="1" x14ac:dyDescent="0.2"/>
    <row r="1318" s="2" customFormat="1" x14ac:dyDescent="0.2"/>
    <row r="1319" s="2" customFormat="1" x14ac:dyDescent="0.2"/>
    <row r="1320" s="2" customFormat="1" x14ac:dyDescent="0.2"/>
    <row r="1321" s="2" customFormat="1" x14ac:dyDescent="0.2"/>
    <row r="1322" s="2" customFormat="1" x14ac:dyDescent="0.2"/>
    <row r="1323" s="2" customFormat="1" x14ac:dyDescent="0.2"/>
    <row r="1324" s="2" customFormat="1" x14ac:dyDescent="0.2"/>
    <row r="1325" s="2" customFormat="1" x14ac:dyDescent="0.2"/>
    <row r="1326" s="2" customFormat="1" x14ac:dyDescent="0.2"/>
    <row r="1327" s="2" customFormat="1" x14ac:dyDescent="0.2"/>
    <row r="1328" s="2" customFormat="1" x14ac:dyDescent="0.2"/>
    <row r="1329" s="2" customFormat="1" x14ac:dyDescent="0.2"/>
    <row r="1330" s="2" customFormat="1" x14ac:dyDescent="0.2"/>
    <row r="1331" s="2" customFormat="1" x14ac:dyDescent="0.2"/>
    <row r="1332" s="2" customFormat="1" x14ac:dyDescent="0.2"/>
    <row r="1333" s="2" customFormat="1" x14ac:dyDescent="0.2"/>
    <row r="1334" s="2" customFormat="1" x14ac:dyDescent="0.2"/>
    <row r="1335" s="2" customFormat="1" x14ac:dyDescent="0.2"/>
    <row r="1336" s="2" customFormat="1" x14ac:dyDescent="0.2"/>
    <row r="1337" s="2" customFormat="1" x14ac:dyDescent="0.2"/>
    <row r="1338" s="2" customFormat="1" x14ac:dyDescent="0.2"/>
    <row r="1339" s="2" customFormat="1" x14ac:dyDescent="0.2"/>
    <row r="1340" s="2" customFormat="1" x14ac:dyDescent="0.2"/>
    <row r="1341" s="2" customFormat="1" x14ac:dyDescent="0.2"/>
    <row r="1342" s="2" customFormat="1" x14ac:dyDescent="0.2"/>
    <row r="1343" s="2" customFormat="1" x14ac:dyDescent="0.2"/>
    <row r="1344" s="2" customFormat="1" x14ac:dyDescent="0.2"/>
    <row r="1345" s="2" customFormat="1" x14ac:dyDescent="0.2"/>
    <row r="1346" s="2" customFormat="1" x14ac:dyDescent="0.2"/>
    <row r="1347" s="2" customFormat="1" x14ac:dyDescent="0.2"/>
    <row r="1348" s="2" customFormat="1" x14ac:dyDescent="0.2"/>
    <row r="1349" s="2" customFormat="1" x14ac:dyDescent="0.2"/>
    <row r="1350" s="2" customFormat="1" x14ac:dyDescent="0.2"/>
    <row r="1351" s="2" customFormat="1" x14ac:dyDescent="0.2"/>
    <row r="1352" s="2" customFormat="1" x14ac:dyDescent="0.2"/>
    <row r="1353" s="2" customFormat="1" x14ac:dyDescent="0.2"/>
    <row r="1354" s="2" customFormat="1" x14ac:dyDescent="0.2"/>
    <row r="1355" s="2" customFormat="1" x14ac:dyDescent="0.2"/>
    <row r="1356" s="2" customFormat="1" x14ac:dyDescent="0.2"/>
    <row r="1357" s="2" customFormat="1" x14ac:dyDescent="0.2"/>
    <row r="1358" s="2" customFormat="1" x14ac:dyDescent="0.2"/>
    <row r="1359" s="2" customFormat="1" x14ac:dyDescent="0.2"/>
    <row r="1360" s="2" customFormat="1" x14ac:dyDescent="0.2"/>
    <row r="1361" s="2" customFormat="1" x14ac:dyDescent="0.2"/>
    <row r="1362" s="2" customFormat="1" x14ac:dyDescent="0.2"/>
    <row r="1363" s="2" customFormat="1" x14ac:dyDescent="0.2"/>
    <row r="1364" s="2" customFormat="1" x14ac:dyDescent="0.2"/>
    <row r="1365" s="2" customFormat="1" x14ac:dyDescent="0.2"/>
    <row r="1366" s="2" customFormat="1" x14ac:dyDescent="0.2"/>
    <row r="1367" s="2" customFormat="1" x14ac:dyDescent="0.2"/>
    <row r="1368" s="2" customFormat="1" x14ac:dyDescent="0.2"/>
    <row r="1369" s="2" customFormat="1" x14ac:dyDescent="0.2"/>
    <row r="1370" s="2" customFormat="1" x14ac:dyDescent="0.2"/>
    <row r="1371" s="2" customFormat="1" x14ac:dyDescent="0.2"/>
    <row r="1372" s="2" customFormat="1" x14ac:dyDescent="0.2"/>
    <row r="1373" s="2" customFormat="1" x14ac:dyDescent="0.2"/>
    <row r="1374" s="2" customFormat="1" x14ac:dyDescent="0.2"/>
    <row r="1375" s="2" customFormat="1" x14ac:dyDescent="0.2"/>
    <row r="1376" s="2" customFormat="1" x14ac:dyDescent="0.2"/>
    <row r="1377" s="2" customFormat="1" x14ac:dyDescent="0.2"/>
    <row r="1378" s="2" customFormat="1" x14ac:dyDescent="0.2"/>
    <row r="1379" s="2" customFormat="1" x14ac:dyDescent="0.2"/>
    <row r="1380" s="2" customFormat="1" x14ac:dyDescent="0.2"/>
    <row r="1381" s="2" customFormat="1" x14ac:dyDescent="0.2"/>
    <row r="1382" s="2" customFormat="1" x14ac:dyDescent="0.2"/>
    <row r="1383" s="2" customFormat="1" x14ac:dyDescent="0.2"/>
    <row r="1384" s="2" customFormat="1" x14ac:dyDescent="0.2"/>
    <row r="1385" s="2" customFormat="1" x14ac:dyDescent="0.2"/>
    <row r="1386" s="2" customFormat="1" x14ac:dyDescent="0.2"/>
    <row r="1387" s="2" customFormat="1" x14ac:dyDescent="0.2"/>
    <row r="1388" s="2" customFormat="1" x14ac:dyDescent="0.2"/>
    <row r="1389" s="2" customFormat="1" x14ac:dyDescent="0.2"/>
    <row r="1390" s="2" customFormat="1" x14ac:dyDescent="0.2"/>
    <row r="1391" s="2" customFormat="1" x14ac:dyDescent="0.2"/>
    <row r="1392" s="2" customFormat="1" x14ac:dyDescent="0.2"/>
    <row r="1393" s="2" customFormat="1" x14ac:dyDescent="0.2"/>
    <row r="1394" s="2" customFormat="1" x14ac:dyDescent="0.2"/>
    <row r="1395" s="2" customFormat="1" x14ac:dyDescent="0.2"/>
    <row r="1396" s="2" customFormat="1" x14ac:dyDescent="0.2"/>
    <row r="1397" s="2" customFormat="1" x14ac:dyDescent="0.2"/>
    <row r="1398" s="2" customFormat="1" x14ac:dyDescent="0.2"/>
    <row r="1399" s="2" customFormat="1" x14ac:dyDescent="0.2"/>
    <row r="1400" s="2" customFormat="1" x14ac:dyDescent="0.2"/>
    <row r="1401" s="2" customFormat="1" x14ac:dyDescent="0.2"/>
    <row r="1402" s="2" customFormat="1" x14ac:dyDescent="0.2"/>
    <row r="1403" s="2" customFormat="1" x14ac:dyDescent="0.2"/>
    <row r="1404" s="2" customFormat="1" x14ac:dyDescent="0.2"/>
    <row r="1405" s="2" customFormat="1" x14ac:dyDescent="0.2"/>
    <row r="1406" s="2" customFormat="1" x14ac:dyDescent="0.2"/>
    <row r="1407" s="2" customFormat="1" x14ac:dyDescent="0.2"/>
    <row r="1408" s="2" customFormat="1" x14ac:dyDescent="0.2"/>
    <row r="1409" s="2" customFormat="1" x14ac:dyDescent="0.2"/>
    <row r="1410" s="2" customFormat="1" x14ac:dyDescent="0.2"/>
    <row r="1411" s="2" customFormat="1" x14ac:dyDescent="0.2"/>
    <row r="1412" s="2" customFormat="1" x14ac:dyDescent="0.2"/>
    <row r="1413" s="2" customFormat="1" x14ac:dyDescent="0.2"/>
    <row r="1414" s="2" customFormat="1" x14ac:dyDescent="0.2"/>
    <row r="1415" s="2" customFormat="1" x14ac:dyDescent="0.2"/>
    <row r="1416" s="2" customFormat="1" x14ac:dyDescent="0.2"/>
    <row r="1417" s="2" customFormat="1" x14ac:dyDescent="0.2"/>
    <row r="1418" s="2" customFormat="1" x14ac:dyDescent="0.2"/>
    <row r="1419" s="2" customFormat="1" x14ac:dyDescent="0.2"/>
    <row r="1420" s="2" customFormat="1" x14ac:dyDescent="0.2"/>
    <row r="1421" s="2" customFormat="1" x14ac:dyDescent="0.2"/>
    <row r="1422" s="2" customFormat="1" x14ac:dyDescent="0.2"/>
    <row r="1423" s="2" customFormat="1" x14ac:dyDescent="0.2"/>
    <row r="1424" s="2" customFormat="1" x14ac:dyDescent="0.2"/>
    <row r="1425" s="2" customFormat="1" x14ac:dyDescent="0.2"/>
    <row r="1426" s="2" customFormat="1" x14ac:dyDescent="0.2"/>
    <row r="1427" s="2" customFormat="1" x14ac:dyDescent="0.2"/>
    <row r="1428" s="2" customFormat="1" x14ac:dyDescent="0.2"/>
    <row r="1429" s="2" customFormat="1" x14ac:dyDescent="0.2"/>
    <row r="1430" s="2" customFormat="1" x14ac:dyDescent="0.2"/>
    <row r="1431" s="2" customFormat="1" x14ac:dyDescent="0.2"/>
    <row r="1432" s="2" customFormat="1" x14ac:dyDescent="0.2"/>
    <row r="1433" s="2" customFormat="1" x14ac:dyDescent="0.2"/>
    <row r="1434" s="2" customFormat="1" x14ac:dyDescent="0.2"/>
    <row r="1435" s="2" customFormat="1" x14ac:dyDescent="0.2"/>
    <row r="1436" s="2" customFormat="1" x14ac:dyDescent="0.2"/>
    <row r="1437" s="2" customFormat="1" x14ac:dyDescent="0.2"/>
    <row r="1438" s="2" customFormat="1" x14ac:dyDescent="0.2"/>
    <row r="1439" s="2" customFormat="1" x14ac:dyDescent="0.2"/>
    <row r="1440" s="2" customFormat="1" x14ac:dyDescent="0.2"/>
    <row r="1441" s="2" customFormat="1" x14ac:dyDescent="0.2"/>
    <row r="1442" s="2" customFormat="1" x14ac:dyDescent="0.2"/>
    <row r="1443" s="2" customFormat="1" x14ac:dyDescent="0.2"/>
    <row r="1444" s="2" customFormat="1" x14ac:dyDescent="0.2"/>
    <row r="1445" s="2" customFormat="1" x14ac:dyDescent="0.2"/>
    <row r="1446" s="2" customFormat="1" x14ac:dyDescent="0.2"/>
    <row r="1447" s="2" customFormat="1" x14ac:dyDescent="0.2"/>
    <row r="1448" s="2" customFormat="1" x14ac:dyDescent="0.2"/>
    <row r="1449" s="2" customFormat="1" x14ac:dyDescent="0.2"/>
    <row r="1450" s="2" customFormat="1" x14ac:dyDescent="0.2"/>
    <row r="1451" s="2" customFormat="1" x14ac:dyDescent="0.2"/>
    <row r="1452" s="2" customFormat="1" x14ac:dyDescent="0.2"/>
    <row r="1453" s="2" customFormat="1" x14ac:dyDescent="0.2"/>
    <row r="1454" s="2" customFormat="1" x14ac:dyDescent="0.2"/>
    <row r="1455" s="2" customFormat="1" x14ac:dyDescent="0.2"/>
    <row r="1456" s="2" customFormat="1" x14ac:dyDescent="0.2"/>
    <row r="1457" s="2" customFormat="1" x14ac:dyDescent="0.2"/>
    <row r="1458" s="2" customFormat="1" x14ac:dyDescent="0.2"/>
    <row r="1459" s="2" customFormat="1" x14ac:dyDescent="0.2"/>
    <row r="1460" s="2" customFormat="1" x14ac:dyDescent="0.2"/>
    <row r="1461" s="2" customFormat="1" x14ac:dyDescent="0.2"/>
    <row r="1462" s="2" customFormat="1" x14ac:dyDescent="0.2"/>
    <row r="1463" s="2" customFormat="1" x14ac:dyDescent="0.2"/>
    <row r="1464" s="2" customFormat="1" x14ac:dyDescent="0.2"/>
    <row r="1465" s="2" customFormat="1" x14ac:dyDescent="0.2"/>
    <row r="1466" s="2" customFormat="1" x14ac:dyDescent="0.2"/>
    <row r="1467" s="2" customFormat="1" x14ac:dyDescent="0.2"/>
    <row r="1468" s="2" customFormat="1" x14ac:dyDescent="0.2"/>
    <row r="1469" s="2" customFormat="1" x14ac:dyDescent="0.2"/>
    <row r="1470" s="2" customFormat="1" x14ac:dyDescent="0.2"/>
    <row r="1471" s="2" customFormat="1" x14ac:dyDescent="0.2"/>
    <row r="1472" s="2" customFormat="1" x14ac:dyDescent="0.2"/>
    <row r="1473" s="2" customFormat="1" x14ac:dyDescent="0.2"/>
    <row r="1474" s="2" customFormat="1" x14ac:dyDescent="0.2"/>
    <row r="1475" s="2" customFormat="1" x14ac:dyDescent="0.2"/>
    <row r="1476" s="2" customFormat="1" x14ac:dyDescent="0.2"/>
    <row r="1477" s="2" customFormat="1" x14ac:dyDescent="0.2"/>
    <row r="1478" s="2" customFormat="1" x14ac:dyDescent="0.2"/>
    <row r="1479" s="2" customFormat="1" x14ac:dyDescent="0.2"/>
    <row r="1480" s="2" customFormat="1" x14ac:dyDescent="0.2"/>
    <row r="1481" s="2" customFormat="1" x14ac:dyDescent="0.2"/>
    <row r="1482" s="2" customFormat="1" x14ac:dyDescent="0.2"/>
    <row r="1483" s="2" customFormat="1" x14ac:dyDescent="0.2"/>
    <row r="1484" s="2" customFormat="1" x14ac:dyDescent="0.2"/>
    <row r="1485" s="2" customFormat="1" x14ac:dyDescent="0.2"/>
    <row r="1486" s="2" customFormat="1" x14ac:dyDescent="0.2"/>
    <row r="1487" s="2" customFormat="1" x14ac:dyDescent="0.2"/>
    <row r="1488" s="2" customFormat="1" x14ac:dyDescent="0.2"/>
    <row r="1489" s="2" customFormat="1" x14ac:dyDescent="0.2"/>
    <row r="1490" s="2" customFormat="1" x14ac:dyDescent="0.2"/>
    <row r="1491" s="2" customFormat="1" x14ac:dyDescent="0.2"/>
    <row r="1492" s="2" customFormat="1" x14ac:dyDescent="0.2"/>
    <row r="1493" s="2" customFormat="1" x14ac:dyDescent="0.2"/>
    <row r="1494" s="2" customFormat="1" x14ac:dyDescent="0.2"/>
    <row r="1495" s="2" customFormat="1" x14ac:dyDescent="0.2"/>
    <row r="1496" s="2" customFormat="1" x14ac:dyDescent="0.2"/>
    <row r="1497" s="2" customFormat="1" x14ac:dyDescent="0.2"/>
    <row r="1498" s="2" customFormat="1" x14ac:dyDescent="0.2"/>
    <row r="1499" s="2" customFormat="1" x14ac:dyDescent="0.2"/>
    <row r="1500" s="2" customFormat="1" x14ac:dyDescent="0.2"/>
    <row r="1501" s="2" customFormat="1" x14ac:dyDescent="0.2"/>
    <row r="1502" s="2" customFormat="1" x14ac:dyDescent="0.2"/>
    <row r="1503" s="2" customFormat="1" x14ac:dyDescent="0.2"/>
    <row r="1504" s="2" customFormat="1" x14ac:dyDescent="0.2"/>
    <row r="1505" s="2" customFormat="1" x14ac:dyDescent="0.2"/>
    <row r="1506" s="2" customFormat="1" x14ac:dyDescent="0.2"/>
    <row r="1507" s="2" customFormat="1" x14ac:dyDescent="0.2"/>
    <row r="1508" s="2" customFormat="1" x14ac:dyDescent="0.2"/>
    <row r="1509" s="2" customFormat="1" x14ac:dyDescent="0.2"/>
    <row r="1510" s="2" customFormat="1" x14ac:dyDescent="0.2"/>
    <row r="1511" s="2" customFormat="1" x14ac:dyDescent="0.2"/>
    <row r="1512" s="2" customFormat="1" x14ac:dyDescent="0.2"/>
    <row r="1513" s="2" customFormat="1" x14ac:dyDescent="0.2"/>
    <row r="1514" s="2" customFormat="1" x14ac:dyDescent="0.2"/>
    <row r="1515" s="2" customFormat="1" x14ac:dyDescent="0.2"/>
    <row r="1516" s="2" customFormat="1" x14ac:dyDescent="0.2"/>
    <row r="1517" s="2" customFormat="1" x14ac:dyDescent="0.2"/>
    <row r="1518" s="2" customFormat="1" x14ac:dyDescent="0.2"/>
    <row r="1519" s="2" customFormat="1" x14ac:dyDescent="0.2"/>
    <row r="1520" s="2" customFormat="1" x14ac:dyDescent="0.2"/>
    <row r="1521" s="2" customFormat="1" x14ac:dyDescent="0.2"/>
    <row r="1522" s="2" customFormat="1" x14ac:dyDescent="0.2"/>
    <row r="1523" s="2" customFormat="1" x14ac:dyDescent="0.2"/>
    <row r="1524" s="2" customFormat="1" x14ac:dyDescent="0.2"/>
    <row r="1525" s="2" customFormat="1" x14ac:dyDescent="0.2"/>
    <row r="1526" s="2" customFormat="1" x14ac:dyDescent="0.2"/>
    <row r="1527" s="2" customFormat="1" x14ac:dyDescent="0.2"/>
    <row r="1528" s="2" customFormat="1" x14ac:dyDescent="0.2"/>
    <row r="1529" s="2" customFormat="1" x14ac:dyDescent="0.2"/>
    <row r="1530" s="2" customFormat="1" x14ac:dyDescent="0.2"/>
    <row r="1531" s="2" customFormat="1" x14ac:dyDescent="0.2"/>
    <row r="1532" s="2" customFormat="1" x14ac:dyDescent="0.2"/>
    <row r="1533" s="2" customFormat="1" x14ac:dyDescent="0.2"/>
    <row r="1534" s="2" customFormat="1" x14ac:dyDescent="0.2"/>
    <row r="1535" s="2" customFormat="1" x14ac:dyDescent="0.2"/>
    <row r="1536" s="2" customFormat="1" x14ac:dyDescent="0.2"/>
    <row r="1537" s="2" customFormat="1" x14ac:dyDescent="0.2"/>
    <row r="1538" s="2" customFormat="1" x14ac:dyDescent="0.2"/>
    <row r="1539" s="2" customFormat="1" x14ac:dyDescent="0.2"/>
    <row r="1540" s="2" customFormat="1" x14ac:dyDescent="0.2"/>
    <row r="1541" s="2" customFormat="1" x14ac:dyDescent="0.2"/>
    <row r="1542" s="2" customFormat="1" x14ac:dyDescent="0.2"/>
    <row r="1543" s="2" customFormat="1" x14ac:dyDescent="0.2"/>
    <row r="1544" s="2" customFormat="1" x14ac:dyDescent="0.2"/>
    <row r="1545" s="2" customFormat="1" x14ac:dyDescent="0.2"/>
    <row r="1546" s="2" customFormat="1" x14ac:dyDescent="0.2"/>
    <row r="1547" s="2" customFormat="1" x14ac:dyDescent="0.2"/>
    <row r="1548" s="2" customFormat="1" x14ac:dyDescent="0.2"/>
    <row r="1549" s="2" customFormat="1" x14ac:dyDescent="0.2"/>
    <row r="1550" s="2" customFormat="1" x14ac:dyDescent="0.2"/>
    <row r="1551" s="2" customFormat="1" x14ac:dyDescent="0.2"/>
    <row r="1552" s="2" customFormat="1" x14ac:dyDescent="0.2"/>
    <row r="1553" s="2" customFormat="1" x14ac:dyDescent="0.2"/>
    <row r="1554" s="2" customFormat="1" x14ac:dyDescent="0.2"/>
    <row r="1555" s="2" customFormat="1" x14ac:dyDescent="0.2"/>
    <row r="1556" s="2" customFormat="1" x14ac:dyDescent="0.2"/>
    <row r="1557" s="2" customFormat="1" x14ac:dyDescent="0.2"/>
    <row r="1558" s="2" customFormat="1" x14ac:dyDescent="0.2"/>
    <row r="1559" s="2" customFormat="1" x14ac:dyDescent="0.2"/>
    <row r="1560" s="2" customFormat="1" x14ac:dyDescent="0.2"/>
    <row r="1561" s="2" customFormat="1" x14ac:dyDescent="0.2"/>
    <row r="1562" s="2" customFormat="1" x14ac:dyDescent="0.2"/>
    <row r="1563" s="2" customFormat="1" x14ac:dyDescent="0.2"/>
    <row r="1564" s="2" customFormat="1" x14ac:dyDescent="0.2"/>
    <row r="1565" s="2" customFormat="1" x14ac:dyDescent="0.2"/>
    <row r="1566" s="2" customFormat="1" x14ac:dyDescent="0.2"/>
    <row r="1567" s="2" customFormat="1" x14ac:dyDescent="0.2"/>
    <row r="1568" s="2" customFormat="1" x14ac:dyDescent="0.2"/>
    <row r="1569" s="2" customFormat="1" x14ac:dyDescent="0.2"/>
    <row r="1570" s="2" customFormat="1" x14ac:dyDescent="0.2"/>
    <row r="1571" s="2" customFormat="1" x14ac:dyDescent="0.2"/>
    <row r="1572" s="2" customFormat="1" x14ac:dyDescent="0.2"/>
    <row r="1573" s="2" customFormat="1" x14ac:dyDescent="0.2"/>
    <row r="1574" s="2" customFormat="1" x14ac:dyDescent="0.2"/>
    <row r="1575" s="2" customFormat="1" x14ac:dyDescent="0.2"/>
    <row r="1576" s="2" customFormat="1" x14ac:dyDescent="0.2"/>
    <row r="1577" s="2" customFormat="1" x14ac:dyDescent="0.2"/>
    <row r="1578" s="2" customFormat="1" x14ac:dyDescent="0.2"/>
    <row r="1579" s="2" customFormat="1" x14ac:dyDescent="0.2"/>
    <row r="1580" s="2" customFormat="1" x14ac:dyDescent="0.2"/>
    <row r="1581" s="2" customFormat="1" x14ac:dyDescent="0.2"/>
    <row r="1582" s="2" customFormat="1" x14ac:dyDescent="0.2"/>
    <row r="1583" s="2" customFormat="1" x14ac:dyDescent="0.2"/>
    <row r="1584" s="2" customFormat="1" x14ac:dyDescent="0.2"/>
    <row r="1585" s="2" customFormat="1" x14ac:dyDescent="0.2"/>
    <row r="1586" s="2" customFormat="1" x14ac:dyDescent="0.2"/>
    <row r="1587" s="2" customFormat="1" x14ac:dyDescent="0.2"/>
    <row r="1588" s="2" customFormat="1" x14ac:dyDescent="0.2"/>
    <row r="1589" s="2" customFormat="1" x14ac:dyDescent="0.2"/>
    <row r="1590" s="2" customFormat="1" x14ac:dyDescent="0.2"/>
    <row r="1591" s="2" customFormat="1" x14ac:dyDescent="0.2"/>
    <row r="1592" s="2" customFormat="1" x14ac:dyDescent="0.2"/>
    <row r="1593" s="2" customFormat="1" x14ac:dyDescent="0.2"/>
    <row r="1594" s="2" customFormat="1" x14ac:dyDescent="0.2"/>
    <row r="1595" s="2" customFormat="1" x14ac:dyDescent="0.2"/>
    <row r="1596" s="2" customFormat="1" x14ac:dyDescent="0.2"/>
    <row r="1597" s="2" customFormat="1" x14ac:dyDescent="0.2"/>
    <row r="1598" s="2" customFormat="1" x14ac:dyDescent="0.2"/>
    <row r="1599" s="2" customFormat="1" x14ac:dyDescent="0.2"/>
    <row r="1600" s="2" customFormat="1" x14ac:dyDescent="0.2"/>
    <row r="1601" s="2" customFormat="1" x14ac:dyDescent="0.2"/>
    <row r="1602" s="2" customFormat="1" x14ac:dyDescent="0.2"/>
    <row r="1603" s="2" customFormat="1" x14ac:dyDescent="0.2"/>
    <row r="1604" s="2" customFormat="1" x14ac:dyDescent="0.2"/>
    <row r="1605" s="2" customFormat="1" x14ac:dyDescent="0.2"/>
    <row r="1606" s="2" customFormat="1" x14ac:dyDescent="0.2"/>
    <row r="1607" s="2" customFormat="1" x14ac:dyDescent="0.2"/>
    <row r="1608" s="2" customFormat="1" x14ac:dyDescent="0.2"/>
    <row r="1609" s="2" customFormat="1" x14ac:dyDescent="0.2"/>
    <row r="1610" s="2" customFormat="1" x14ac:dyDescent="0.2"/>
    <row r="1611" s="2" customFormat="1" x14ac:dyDescent="0.2"/>
    <row r="1612" s="2" customFormat="1" x14ac:dyDescent="0.2"/>
    <row r="1613" s="2" customFormat="1" x14ac:dyDescent="0.2"/>
    <row r="1614" s="2" customFormat="1" x14ac:dyDescent="0.2"/>
    <row r="1615" s="2" customFormat="1" x14ac:dyDescent="0.2"/>
    <row r="1616" s="2" customFormat="1" x14ac:dyDescent="0.2"/>
    <row r="1617" s="2" customFormat="1" x14ac:dyDescent="0.2"/>
    <row r="1618" s="2" customFormat="1" x14ac:dyDescent="0.2"/>
    <row r="1619" s="2" customFormat="1" x14ac:dyDescent="0.2"/>
    <row r="1620" s="2" customFormat="1" x14ac:dyDescent="0.2"/>
    <row r="1621" s="2" customFormat="1" x14ac:dyDescent="0.2"/>
    <row r="1622" s="2" customFormat="1" x14ac:dyDescent="0.2"/>
    <row r="1623" s="2" customFormat="1" x14ac:dyDescent="0.2"/>
    <row r="1624" s="2" customFormat="1" x14ac:dyDescent="0.2"/>
    <row r="1625" s="2" customFormat="1" x14ac:dyDescent="0.2"/>
    <row r="1626" s="2" customFormat="1" x14ac:dyDescent="0.2"/>
    <row r="1627" s="2" customFormat="1" x14ac:dyDescent="0.2"/>
    <row r="1628" s="2" customFormat="1" x14ac:dyDescent="0.2"/>
    <row r="1629" s="2" customFormat="1" x14ac:dyDescent="0.2"/>
    <row r="1630" s="2" customFormat="1" x14ac:dyDescent="0.2"/>
    <row r="1631" s="2" customFormat="1" x14ac:dyDescent="0.2"/>
    <row r="1632" s="2" customFormat="1" x14ac:dyDescent="0.2"/>
    <row r="1633" s="2" customFormat="1" x14ac:dyDescent="0.2"/>
    <row r="1634" s="2" customFormat="1" x14ac:dyDescent="0.2"/>
    <row r="1635" s="2" customFormat="1" x14ac:dyDescent="0.2"/>
    <row r="1636" s="2" customFormat="1" x14ac:dyDescent="0.2"/>
    <row r="1637" s="2" customFormat="1" x14ac:dyDescent="0.2"/>
    <row r="1638" s="2" customFormat="1" x14ac:dyDescent="0.2"/>
    <row r="1639" s="2" customFormat="1" x14ac:dyDescent="0.2"/>
    <row r="1640" s="2" customFormat="1" x14ac:dyDescent="0.2"/>
    <row r="1641" s="2" customFormat="1" x14ac:dyDescent="0.2"/>
    <row r="1642" s="2" customFormat="1" x14ac:dyDescent="0.2"/>
    <row r="1643" s="2" customFormat="1" x14ac:dyDescent="0.2"/>
    <row r="1644" s="2" customFormat="1" x14ac:dyDescent="0.2"/>
    <row r="1645" s="2" customFormat="1" x14ac:dyDescent="0.2"/>
    <row r="1646" s="2" customFormat="1" x14ac:dyDescent="0.2"/>
    <row r="1647" s="2" customFormat="1" x14ac:dyDescent="0.2"/>
    <row r="1648" s="2" customFormat="1" x14ac:dyDescent="0.2"/>
    <row r="1649" s="2" customFormat="1" x14ac:dyDescent="0.2"/>
    <row r="1650" s="2" customFormat="1" x14ac:dyDescent="0.2"/>
    <row r="1651" s="2" customFormat="1" x14ac:dyDescent="0.2"/>
    <row r="1652" s="2" customFormat="1" x14ac:dyDescent="0.2"/>
    <row r="1653" s="2" customFormat="1" x14ac:dyDescent="0.2"/>
    <row r="1654" s="2" customFormat="1" x14ac:dyDescent="0.2"/>
    <row r="1655" s="2" customFormat="1" x14ac:dyDescent="0.2"/>
    <row r="1656" s="2" customFormat="1" x14ac:dyDescent="0.2"/>
    <row r="1657" s="2" customFormat="1" x14ac:dyDescent="0.2"/>
    <row r="1658" s="2" customFormat="1" x14ac:dyDescent="0.2"/>
    <row r="1659" s="2" customFormat="1" x14ac:dyDescent="0.2"/>
    <row r="1660" s="2" customFormat="1" x14ac:dyDescent="0.2"/>
    <row r="1661" s="2" customFormat="1" x14ac:dyDescent="0.2"/>
    <row r="1662" s="2" customFormat="1" x14ac:dyDescent="0.2"/>
    <row r="1663" s="2" customFormat="1" x14ac:dyDescent="0.2"/>
    <row r="1664" s="2" customFormat="1" x14ac:dyDescent="0.2"/>
    <row r="1665" s="2" customFormat="1" x14ac:dyDescent="0.2"/>
    <row r="1666" s="2" customFormat="1" x14ac:dyDescent="0.2"/>
    <row r="1667" s="2" customFormat="1" x14ac:dyDescent="0.2"/>
    <row r="1668" s="2" customFormat="1" x14ac:dyDescent="0.2"/>
    <row r="1669" s="2" customFormat="1" x14ac:dyDescent="0.2"/>
    <row r="1670" s="2" customFormat="1" x14ac:dyDescent="0.2"/>
    <row r="1671" s="2" customFormat="1" x14ac:dyDescent="0.2"/>
    <row r="1672" s="2" customFormat="1" x14ac:dyDescent="0.2"/>
    <row r="1673" s="2" customFormat="1" x14ac:dyDescent="0.2"/>
    <row r="1674" s="2" customFormat="1" x14ac:dyDescent="0.2"/>
    <row r="1675" s="2" customFormat="1" x14ac:dyDescent="0.2"/>
    <row r="1676" s="2" customFormat="1" x14ac:dyDescent="0.2"/>
    <row r="1677" s="2" customFormat="1" x14ac:dyDescent="0.2"/>
    <row r="1678" s="2" customFormat="1" x14ac:dyDescent="0.2"/>
    <row r="1679" s="2" customFormat="1" x14ac:dyDescent="0.2"/>
    <row r="1680" s="2" customFormat="1" x14ac:dyDescent="0.2"/>
    <row r="1681" s="2" customFormat="1" x14ac:dyDescent="0.2"/>
    <row r="1682" s="2" customFormat="1" x14ac:dyDescent="0.2"/>
    <row r="1683" s="2" customFormat="1" x14ac:dyDescent="0.2"/>
    <row r="1684" s="2" customFormat="1" x14ac:dyDescent="0.2"/>
    <row r="1685" s="2" customFormat="1" x14ac:dyDescent="0.2"/>
    <row r="1686" s="2" customFormat="1" x14ac:dyDescent="0.2"/>
    <row r="1687" s="2" customFormat="1" x14ac:dyDescent="0.2"/>
    <row r="1688" s="2" customFormat="1" x14ac:dyDescent="0.2"/>
    <row r="1689" s="2" customFormat="1" x14ac:dyDescent="0.2"/>
    <row r="1690" s="2" customFormat="1" x14ac:dyDescent="0.2"/>
    <row r="1691" s="2" customFormat="1" x14ac:dyDescent="0.2"/>
    <row r="1692" s="2" customFormat="1" x14ac:dyDescent="0.2"/>
    <row r="1693" s="2" customFormat="1" x14ac:dyDescent="0.2"/>
    <row r="1694" s="2" customFormat="1" x14ac:dyDescent="0.2"/>
    <row r="1695" s="2" customFormat="1" x14ac:dyDescent="0.2"/>
    <row r="1696" s="2" customFormat="1" x14ac:dyDescent="0.2"/>
    <row r="1697" s="2" customFormat="1" x14ac:dyDescent="0.2"/>
    <row r="1698" s="2" customFormat="1" x14ac:dyDescent="0.2"/>
    <row r="1699" s="2" customFormat="1" x14ac:dyDescent="0.2"/>
    <row r="1700" s="2" customFormat="1" x14ac:dyDescent="0.2"/>
    <row r="1701" s="2" customFormat="1" x14ac:dyDescent="0.2"/>
    <row r="1702" s="2" customFormat="1" x14ac:dyDescent="0.2"/>
    <row r="1703" s="2" customFormat="1" x14ac:dyDescent="0.2"/>
    <row r="1704" s="2" customFormat="1" x14ac:dyDescent="0.2"/>
    <row r="1705" s="2" customFormat="1" x14ac:dyDescent="0.2"/>
    <row r="1706" s="2" customFormat="1" x14ac:dyDescent="0.2"/>
    <row r="1707" s="2" customFormat="1" x14ac:dyDescent="0.2"/>
    <row r="1708" s="2" customFormat="1" x14ac:dyDescent="0.2"/>
    <row r="1709" s="2" customFormat="1" x14ac:dyDescent="0.2"/>
    <row r="1710" s="2" customFormat="1" x14ac:dyDescent="0.2"/>
    <row r="1711" s="2" customFormat="1" x14ac:dyDescent="0.2"/>
    <row r="1712" s="2" customFormat="1" x14ac:dyDescent="0.2"/>
    <row r="1713" s="2" customFormat="1" x14ac:dyDescent="0.2"/>
    <row r="1714" s="2" customFormat="1" x14ac:dyDescent="0.2"/>
    <row r="1715" s="2" customFormat="1" x14ac:dyDescent="0.2"/>
    <row r="1716" s="2" customFormat="1" x14ac:dyDescent="0.2"/>
    <row r="1717" s="2" customFormat="1" x14ac:dyDescent="0.2"/>
    <row r="1718" s="2" customFormat="1" x14ac:dyDescent="0.2"/>
    <row r="1719" s="2" customFormat="1" x14ac:dyDescent="0.2"/>
    <row r="1720" s="2" customFormat="1" x14ac:dyDescent="0.2"/>
    <row r="1721" s="2" customFormat="1" x14ac:dyDescent="0.2"/>
    <row r="1722" s="2" customFormat="1" x14ac:dyDescent="0.2"/>
    <row r="1723" s="2" customFormat="1" x14ac:dyDescent="0.2"/>
    <row r="1724" s="2" customFormat="1" x14ac:dyDescent="0.2"/>
    <row r="1725" s="2" customFormat="1" x14ac:dyDescent="0.2"/>
    <row r="1726" s="2" customFormat="1" x14ac:dyDescent="0.2"/>
    <row r="1727" s="2" customFormat="1" x14ac:dyDescent="0.2"/>
    <row r="1728" s="2" customFormat="1" x14ac:dyDescent="0.2"/>
    <row r="1729" s="2" customFormat="1" x14ac:dyDescent="0.2"/>
    <row r="1730" s="2" customFormat="1" x14ac:dyDescent="0.2"/>
    <row r="1731" s="2" customFormat="1" x14ac:dyDescent="0.2"/>
    <row r="1732" s="2" customFormat="1" x14ac:dyDescent="0.2"/>
    <row r="1733" s="2" customFormat="1" x14ac:dyDescent="0.2"/>
    <row r="1734" s="2" customFormat="1" x14ac:dyDescent="0.2"/>
    <row r="1735" s="2" customFormat="1" x14ac:dyDescent="0.2"/>
    <row r="1736" s="2" customFormat="1" x14ac:dyDescent="0.2"/>
    <row r="1737" s="2" customFormat="1" x14ac:dyDescent="0.2"/>
    <row r="1738" s="2" customFormat="1" x14ac:dyDescent="0.2"/>
    <row r="1739" s="2" customFormat="1" x14ac:dyDescent="0.2"/>
    <row r="1740" s="2" customFormat="1" x14ac:dyDescent="0.2"/>
    <row r="1741" s="2" customFormat="1" x14ac:dyDescent="0.2"/>
    <row r="1742" s="2" customFormat="1" x14ac:dyDescent="0.2"/>
    <row r="1743" s="2" customFormat="1" x14ac:dyDescent="0.2"/>
    <row r="1744" s="2" customFormat="1" x14ac:dyDescent="0.2"/>
    <row r="1745" s="2" customFormat="1" x14ac:dyDescent="0.2"/>
    <row r="1746" s="2" customFormat="1" x14ac:dyDescent="0.2"/>
    <row r="1747" s="2" customFormat="1" x14ac:dyDescent="0.2"/>
    <row r="1748" s="2" customFormat="1" x14ac:dyDescent="0.2"/>
    <row r="1749" s="2" customFormat="1" x14ac:dyDescent="0.2"/>
    <row r="1750" s="2" customFormat="1" x14ac:dyDescent="0.2"/>
    <row r="1751" s="2" customFormat="1" x14ac:dyDescent="0.2"/>
    <row r="1752" s="2" customFormat="1" x14ac:dyDescent="0.2"/>
    <row r="1753" s="2" customFormat="1" x14ac:dyDescent="0.2"/>
    <row r="1754" s="2" customFormat="1" x14ac:dyDescent="0.2"/>
    <row r="1755" s="2" customFormat="1" x14ac:dyDescent="0.2"/>
    <row r="1756" s="2" customFormat="1" x14ac:dyDescent="0.2"/>
    <row r="1757" s="2" customFormat="1" x14ac:dyDescent="0.2"/>
    <row r="1758" s="2" customFormat="1" x14ac:dyDescent="0.2"/>
    <row r="1759" s="2" customFormat="1" x14ac:dyDescent="0.2"/>
    <row r="1760" s="2" customFormat="1" x14ac:dyDescent="0.2"/>
    <row r="1761" s="2" customFormat="1" x14ac:dyDescent="0.2"/>
    <row r="1762" s="2" customFormat="1" x14ac:dyDescent="0.2"/>
    <row r="1763" s="2" customFormat="1" x14ac:dyDescent="0.2"/>
    <row r="1764" s="2" customFormat="1" x14ac:dyDescent="0.2"/>
    <row r="1765" s="2" customFormat="1" x14ac:dyDescent="0.2"/>
    <row r="1766" s="2" customFormat="1" x14ac:dyDescent="0.2"/>
    <row r="1767" s="2" customFormat="1" x14ac:dyDescent="0.2"/>
    <row r="1768" s="2" customFormat="1" x14ac:dyDescent="0.2"/>
    <row r="1769" s="2" customFormat="1" x14ac:dyDescent="0.2"/>
    <row r="1770" s="2" customFormat="1" x14ac:dyDescent="0.2"/>
    <row r="1771" s="2" customFormat="1" x14ac:dyDescent="0.2"/>
    <row r="1772" s="2" customFormat="1" x14ac:dyDescent="0.2"/>
    <row r="1773" s="2" customFormat="1" x14ac:dyDescent="0.2"/>
    <row r="1774" s="2" customFormat="1" x14ac:dyDescent="0.2"/>
    <row r="1775" s="2" customFormat="1" x14ac:dyDescent="0.2"/>
    <row r="1776" s="2" customFormat="1" x14ac:dyDescent="0.2"/>
    <row r="1777" s="2" customFormat="1" x14ac:dyDescent="0.2"/>
    <row r="1778" s="2" customFormat="1" x14ac:dyDescent="0.2"/>
  </sheetData>
  <mergeCells count="4">
    <mergeCell ref="H6:K6"/>
    <mergeCell ref="M6:O6"/>
    <mergeCell ref="H28:K28"/>
    <mergeCell ref="M28:O28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D14"/>
  <sheetViews>
    <sheetView workbookViewId="0">
      <selection activeCell="G30" sqref="G30"/>
    </sheetView>
  </sheetViews>
  <sheetFormatPr defaultColWidth="9.140625" defaultRowHeight="11.25" x14ac:dyDescent="0.2"/>
  <cols>
    <col min="1" max="1" width="34.7109375" style="2" bestFit="1" customWidth="1"/>
    <col min="2" max="2" width="10.140625" style="14" bestFit="1" customWidth="1"/>
    <col min="3" max="16384" width="9.140625" style="2"/>
  </cols>
  <sheetData>
    <row r="1" spans="1:4" x14ac:dyDescent="0.2">
      <c r="A1" s="7" t="s">
        <v>173</v>
      </c>
      <c r="B1" s="323" t="s">
        <v>192</v>
      </c>
    </row>
    <row r="2" spans="1:4" x14ac:dyDescent="0.2">
      <c r="A2" s="7" t="s">
        <v>174</v>
      </c>
      <c r="B2" s="324"/>
    </row>
    <row r="3" spans="1:4" x14ac:dyDescent="0.2">
      <c r="B3" s="325"/>
    </row>
    <row r="4" spans="1:4" x14ac:dyDescent="0.2">
      <c r="A4" s="7" t="s">
        <v>175</v>
      </c>
      <c r="B4" s="323">
        <v>44835</v>
      </c>
    </row>
    <row r="5" spans="1:4" x14ac:dyDescent="0.2">
      <c r="B5" s="325"/>
      <c r="D5" s="13"/>
    </row>
    <row r="6" spans="1:4" x14ac:dyDescent="0.2">
      <c r="A6" s="2" t="s">
        <v>176</v>
      </c>
      <c r="B6" s="325" t="s">
        <v>193</v>
      </c>
    </row>
    <row r="7" spans="1:4" x14ac:dyDescent="0.2">
      <c r="A7" s="2" t="s">
        <v>177</v>
      </c>
      <c r="B7" s="324">
        <v>45200</v>
      </c>
    </row>
    <row r="8" spans="1:4" x14ac:dyDescent="0.2">
      <c r="A8" s="2" t="s">
        <v>178</v>
      </c>
      <c r="B8" s="324">
        <v>45565</v>
      </c>
    </row>
    <row r="9" spans="1:4" x14ac:dyDescent="0.2">
      <c r="B9" s="325"/>
    </row>
    <row r="10" spans="1:4" x14ac:dyDescent="0.2">
      <c r="A10" s="7" t="s">
        <v>179</v>
      </c>
      <c r="B10" s="326">
        <v>44937</v>
      </c>
    </row>
    <row r="11" spans="1:4" x14ac:dyDescent="0.2">
      <c r="A11" s="2" t="s">
        <v>180</v>
      </c>
      <c r="B11" s="326">
        <v>44317</v>
      </c>
    </row>
    <row r="12" spans="1:4" x14ac:dyDescent="0.2">
      <c r="B12" s="325"/>
    </row>
    <row r="13" spans="1:4" x14ac:dyDescent="0.2">
      <c r="B13" s="325"/>
    </row>
    <row r="14" spans="1:4" x14ac:dyDescent="0.2">
      <c r="B14" s="325"/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903B662E0E46947934B606A8C64C810" ma:contentTypeVersion="24" ma:contentTypeDescription="" ma:contentTypeScope="" ma:versionID="94ce3ed5eef86aea5ff4f6e553630e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2023-08-30T07:00:00+00:00</OpenedDate>
    <SignificantOrder xmlns="dc463f71-b30c-4ab2-9473-d307f9d35888">false</SignificantOrder>
    <Date1 xmlns="dc463f71-b30c-4ab2-9473-d307f9d35888">2023-08-30T07:00:00+00:00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576BD0C-B889-4027-9097-4534DF4BE7BE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C1E32B72-EA6D-4CDC-809E-B1CEC0FB9EC4}"/>
</file>

<file path=customXml/itemProps3.xml><?xml version="1.0" encoding="utf-8"?>
<ds:datastoreItem xmlns:ds="http://schemas.openxmlformats.org/officeDocument/2006/customXml" ds:itemID="{E75B5D67-0038-4AD7-8FF0-47704260233B}"/>
</file>

<file path=customXml/itemProps4.xml><?xml version="1.0" encoding="utf-8"?>
<ds:datastoreItem xmlns:ds="http://schemas.openxmlformats.org/officeDocument/2006/customXml" ds:itemID="{BD130DEC-70DE-4733-836E-0E1BD1842D56}"/>
</file>

<file path=customXml/itemProps5.xml><?xml version="1.0" encoding="utf-8"?>
<ds:datastoreItem xmlns:ds="http://schemas.openxmlformats.org/officeDocument/2006/customXml" ds:itemID="{5EB8305E-7098-4309-9EAA-95BA691BC8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2023 Proposed Impacts</vt:lpstr>
      <vt:lpstr>Street &amp; Area Lighting</vt:lpstr>
      <vt:lpstr>Revenue Rate Impact-SCH 129D</vt:lpstr>
      <vt:lpstr>Equal % Allocation</vt:lpstr>
      <vt:lpstr>Base Revenue</vt:lpstr>
      <vt:lpstr>Typical Residential Notice</vt:lpstr>
      <vt:lpstr>Workpapers -&gt;</vt:lpstr>
      <vt:lpstr>Revenue Req</vt:lpstr>
      <vt:lpstr>Controls</vt:lpstr>
      <vt:lpstr>'2023 Proposed Impacts'!Print_Area</vt:lpstr>
      <vt:lpstr>'Base Revenue'!Print_Area</vt:lpstr>
      <vt:lpstr>'Equal % Allocation'!Print_Area</vt:lpstr>
      <vt:lpstr>'Revenue Rate Impact-SCH 129D'!Print_Area</vt:lpstr>
      <vt:lpstr>'Street &amp; Area Lighting'!Print_Area</vt:lpstr>
      <vt:lpstr>'Revenue Rate Impact-SCH 129D'!Print_Titles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Zakharova, Lena</cp:lastModifiedBy>
  <cp:lastPrinted>2019-09-03T21:49:43Z</cp:lastPrinted>
  <dcterms:created xsi:type="dcterms:W3CDTF">2006-08-15T18:29:06Z</dcterms:created>
  <dcterms:modified xsi:type="dcterms:W3CDTF">2023-08-16T00:21:56Z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0x0101006E56B4D1795A2E4DB2F0B01679ED314A008903B662E0E46947934B606A8C64C810</vt:lpwstr>
  </property>
  <property fmtid="{D5CDD505-2E9C-101B-9397-08002B2CF9AE}" pid="3" name="_docset_NoMedatataSyncRequired">
    <vt:lpwstr>False</vt:lpwstr>
  </property>
</Properties>
</file>