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ttps://mduresources-my.sharepoint.com/personal/christopher_mickelson_cngc_com/Documents/Low-Income/"/>
    </mc:Choice>
  </mc:AlternateContent>
  <xr:revisionPtr revIDLastSave="0" documentId="8_{38085C5C-6DC2-4006-965F-BE0B81C27921}" xr6:coauthVersionLast="47" xr6:coauthVersionMax="47" xr10:uidLastSave="{00000000-0000-0000-0000-000000000000}"/>
  <bookViews>
    <workbookView xWindow="-28920" yWindow="-120" windowWidth="29040" windowHeight="15840" tabRatio="795" xr2:uid="{00000000-000D-0000-FFFF-FFFF00000000}"/>
  </bookViews>
  <sheets>
    <sheet name="Dashboard" sheetId="66" r:id="rId1"/>
    <sheet name="Info" sheetId="70" r:id="rId2"/>
    <sheet name="Count" sheetId="69" r:id="rId3"/>
    <sheet name="Assistance" sheetId="67" r:id="rId4"/>
  </sheets>
  <definedNames>
    <definedName name="_xlnm._FilterDatabase" localSheetId="2" hidden="1">Count!#REF!</definedName>
    <definedName name="_xlnm._FilterDatabase" localSheetId="0" hidden="1">Dashboard!#REF!</definedName>
    <definedName name="_xlnm._FilterDatabase" localSheetId="1" hidden="1">Info!#REF!</definedName>
    <definedName name="solver_adj" localSheetId="0" hidden="1">Dashboard!$E$26:$E$30</definedName>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2147483647</definedName>
    <definedName name="solver_lhs1" localSheetId="0" hidden="1">Dashboard!$E$26:$E$30</definedName>
    <definedName name="solver_lhs2" localSheetId="0" hidden="1">Dashboard!$E$27</definedName>
    <definedName name="solver_lhs3" localSheetId="0" hidden="1">Dashboard!$E$28</definedName>
    <definedName name="solver_lhs4" localSheetId="0" hidden="1">Dashboard!$E$29</definedName>
    <definedName name="solver_lhs5" localSheetId="0" hidden="1">Dashboard!$E$30</definedName>
    <definedName name="solver_lhs6" localSheetId="0" hidden="1">Dashboard!$R$26:$R$30</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6</definedName>
    <definedName name="solver_nwt" localSheetId="0" hidden="1">1</definedName>
    <definedName name="solver_opt" localSheetId="0" hidden="1">Dashboard!$C$42</definedName>
    <definedName name="solver_pre" localSheetId="0" hidden="1">0.000001</definedName>
    <definedName name="solver_rbv" localSheetId="0" hidden="1">1</definedName>
    <definedName name="solver_rel1" localSheetId="0" hidden="1">3</definedName>
    <definedName name="solver_rel2" localSheetId="0" hidden="1">1</definedName>
    <definedName name="solver_rel3" localSheetId="0" hidden="1">1</definedName>
    <definedName name="solver_rel4" localSheetId="0" hidden="1">1</definedName>
    <definedName name="solver_rel5" localSheetId="0" hidden="1">1</definedName>
    <definedName name="solver_rel6" localSheetId="0" hidden="1">2</definedName>
    <definedName name="solver_rhs1" localSheetId="0" hidden="1">Dashboard!$Q$51:$Q$55</definedName>
    <definedName name="solver_rhs2" localSheetId="0" hidden="1">Dashboard!$E$26</definedName>
    <definedName name="solver_rhs3" localSheetId="0" hidden="1">Dashboard!$E$27</definedName>
    <definedName name="solver_rhs4" localSheetId="0" hidden="1">Dashboard!$E$28</definedName>
    <definedName name="solver_rhs5" localSheetId="0" hidden="1">Dashboard!$E$29</definedName>
    <definedName name="solver_rhs6" localSheetId="0" hidden="1">Dashboard!$P$51:$P$55</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2</definedName>
    <definedName name="solver_val" localSheetId="0" hidden="1">0</definedName>
    <definedName name="solver_ver" localSheetId="0"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3" i="66" l="1"/>
  <c r="E84" i="66"/>
  <c r="E88" i="66"/>
  <c r="E94" i="66"/>
  <c r="E92" i="66"/>
  <c r="E91" i="66"/>
  <c r="E90" i="66"/>
  <c r="E89" i="66"/>
  <c r="E87" i="66"/>
  <c r="E86" i="66"/>
  <c r="E85" i="66"/>
  <c r="E83" i="66"/>
  <c r="S82" i="66"/>
  <c r="C45" i="70"/>
  <c r="M83" i="66"/>
  <c r="N83" i="66" s="1"/>
  <c r="D27" i="66"/>
  <c r="C78" i="66"/>
  <c r="H83" i="66"/>
  <c r="I83" i="66"/>
  <c r="J83" i="66"/>
  <c r="H84" i="66"/>
  <c r="I84" i="66"/>
  <c r="K84" i="66" s="1"/>
  <c r="J84" i="66"/>
  <c r="H85" i="66"/>
  <c r="I85" i="66"/>
  <c r="M85" i="66" s="1"/>
  <c r="N85" i="66" s="1"/>
  <c r="J85" i="66"/>
  <c r="L85" i="66"/>
  <c r="H86" i="66"/>
  <c r="I86" i="66"/>
  <c r="M86" i="66" s="1"/>
  <c r="N86" i="66" s="1"/>
  <c r="J86" i="66"/>
  <c r="L86" i="66" s="1"/>
  <c r="H87" i="66"/>
  <c r="L87" i="66" s="1"/>
  <c r="I87" i="66"/>
  <c r="M87" i="66" s="1"/>
  <c r="J87" i="66"/>
  <c r="H88" i="66"/>
  <c r="I88" i="66"/>
  <c r="M88" i="66" s="1"/>
  <c r="N88" i="66" s="1"/>
  <c r="J88" i="66"/>
  <c r="L88" i="66" s="1"/>
  <c r="K88" i="66"/>
  <c r="H89" i="66"/>
  <c r="I89" i="66"/>
  <c r="K89" i="66" s="1"/>
  <c r="J89" i="66"/>
  <c r="L89" i="66"/>
  <c r="H90" i="66"/>
  <c r="I90" i="66"/>
  <c r="M90" i="66" s="1"/>
  <c r="N90" i="66" s="1"/>
  <c r="J90" i="66"/>
  <c r="L90" i="66"/>
  <c r="H91" i="66"/>
  <c r="K91" i="66" s="1"/>
  <c r="I91" i="66"/>
  <c r="M91" i="66" s="1"/>
  <c r="J91" i="66"/>
  <c r="L91" i="66" s="1"/>
  <c r="H92" i="66"/>
  <c r="I92" i="66"/>
  <c r="M92" i="66" s="1"/>
  <c r="N92" i="66" s="1"/>
  <c r="J92" i="66"/>
  <c r="L92" i="66" s="1"/>
  <c r="H93" i="66"/>
  <c r="K93" i="66" s="1"/>
  <c r="I93" i="66"/>
  <c r="M93" i="66" s="1"/>
  <c r="J93" i="66"/>
  <c r="L93" i="66" s="1"/>
  <c r="H94" i="66"/>
  <c r="I94" i="66"/>
  <c r="M94" i="66" s="1"/>
  <c r="N94" i="66" s="1"/>
  <c r="J94" i="66"/>
  <c r="L94" i="66" s="1"/>
  <c r="K94" i="66"/>
  <c r="H95" i="66"/>
  <c r="L95" i="66" s="1"/>
  <c r="I95" i="66"/>
  <c r="M95" i="66" s="1"/>
  <c r="J95" i="66"/>
  <c r="H96" i="66"/>
  <c r="I96" i="66"/>
  <c r="M96" i="66" s="1"/>
  <c r="N96" i="66" s="1"/>
  <c r="J96" i="66"/>
  <c r="K96" i="66"/>
  <c r="H97" i="66"/>
  <c r="I97" i="66"/>
  <c r="M97" i="66" s="1"/>
  <c r="N97" i="66" s="1"/>
  <c r="J97" i="66"/>
  <c r="L97" i="66"/>
  <c r="H98" i="66"/>
  <c r="I98" i="66"/>
  <c r="M98" i="66" s="1"/>
  <c r="N98" i="66" s="1"/>
  <c r="J98" i="66"/>
  <c r="L98" i="66"/>
  <c r="H69" i="66"/>
  <c r="Y2" i="67"/>
  <c r="E82" i="66" l="1"/>
  <c r="O90" i="66"/>
  <c r="H99" i="66"/>
  <c r="L96" i="66"/>
  <c r="O96" i="66" s="1"/>
  <c r="K92" i="66"/>
  <c r="K90" i="66"/>
  <c r="J99" i="66"/>
  <c r="I99" i="66"/>
  <c r="K97" i="66"/>
  <c r="O97" i="66" s="1"/>
  <c r="N95" i="66"/>
  <c r="M89" i="66"/>
  <c r="N89" i="66" s="1"/>
  <c r="K98" i="66"/>
  <c r="N91" i="66"/>
  <c r="K85" i="66"/>
  <c r="L83" i="66"/>
  <c r="L99" i="66" s="1"/>
  <c r="N93" i="66"/>
  <c r="N87" i="66"/>
  <c r="K83" i="66"/>
  <c r="O88" i="66"/>
  <c r="K86" i="66"/>
  <c r="O86" i="66" s="1"/>
  <c r="M84" i="66"/>
  <c r="N84" i="66" s="1"/>
  <c r="K95" i="66"/>
  <c r="O95" i="66" s="1"/>
  <c r="K87" i="66"/>
  <c r="O87" i="66" s="1"/>
  <c r="L84" i="66"/>
  <c r="O84" i="66"/>
  <c r="O93" i="66"/>
  <c r="O92" i="66"/>
  <c r="O85" i="66"/>
  <c r="O94" i="66"/>
  <c r="O98" i="66"/>
  <c r="O91" i="66"/>
  <c r="O89" i="66"/>
  <c r="Y3" i="67"/>
  <c r="Y18" i="67" s="1"/>
  <c r="W2" i="67"/>
  <c r="I69" i="66"/>
  <c r="J69" i="66"/>
  <c r="K69" i="66"/>
  <c r="L69" i="66"/>
  <c r="M69" i="66"/>
  <c r="Y4" i="67"/>
  <c r="Y5" i="67"/>
  <c r="Y6" i="67"/>
  <c r="Y7" i="67"/>
  <c r="Y8" i="67"/>
  <c r="Y9" i="67"/>
  <c r="Y10" i="67"/>
  <c r="Y11" i="67"/>
  <c r="Y12" i="67"/>
  <c r="Y13" i="67"/>
  <c r="Y14" i="67"/>
  <c r="Y15" i="67"/>
  <c r="Y16" i="67"/>
  <c r="Y17" i="67"/>
  <c r="X2" i="67"/>
  <c r="K99" i="66" l="1"/>
  <c r="O83" i="66"/>
  <c r="N99" i="66"/>
  <c r="M99" i="66"/>
  <c r="C79" i="66" s="1"/>
  <c r="C80" i="66" s="1"/>
  <c r="I13" i="70"/>
  <c r="AB13" i="70" s="1"/>
  <c r="AC13" i="70" s="1"/>
  <c r="Z7" i="70"/>
  <c r="K7" i="70"/>
  <c r="L7" i="70"/>
  <c r="M7" i="70"/>
  <c r="N7" i="70"/>
  <c r="O7" i="70"/>
  <c r="P7" i="70"/>
  <c r="Q7" i="70"/>
  <c r="R7" i="70"/>
  <c r="S7" i="70"/>
  <c r="T7" i="70"/>
  <c r="U7" i="70"/>
  <c r="V7" i="70"/>
  <c r="W7" i="70"/>
  <c r="X7" i="70"/>
  <c r="Y7" i="70"/>
  <c r="J7" i="70"/>
  <c r="AC21" i="70"/>
  <c r="AC20" i="70"/>
  <c r="AC19" i="70"/>
  <c r="AC18" i="70"/>
  <c r="AC14" i="70"/>
  <c r="AB20" i="70"/>
  <c r="AB19" i="70"/>
  <c r="AB18" i="70"/>
  <c r="AB17" i="70"/>
  <c r="AC17" i="70" s="1"/>
  <c r="P90" i="66" l="1"/>
  <c r="P98" i="66"/>
  <c r="P83" i="66"/>
  <c r="P91" i="66"/>
  <c r="P84" i="66"/>
  <c r="P92" i="66"/>
  <c r="P87" i="66"/>
  <c r="P95" i="66"/>
  <c r="P96" i="66"/>
  <c r="P97" i="66"/>
  <c r="P85" i="66"/>
  <c r="P93" i="66"/>
  <c r="P86" i="66"/>
  <c r="P94" i="66"/>
  <c r="P88" i="66"/>
  <c r="P89" i="66"/>
  <c r="D39" i="70"/>
  <c r="P99" i="66" l="1"/>
  <c r="I10" i="70"/>
  <c r="AB10" i="70" s="1"/>
  <c r="AC10" i="70" s="1"/>
  <c r="H30" i="69" l="1"/>
  <c r="H31" i="69"/>
  <c r="H32" i="69"/>
  <c r="H33" i="69"/>
  <c r="Z6" i="70"/>
  <c r="F33" i="69" s="1"/>
  <c r="I11" i="70"/>
  <c r="AB11" i="70" s="1"/>
  <c r="AC11" i="70" s="1"/>
  <c r="I12" i="70"/>
  <c r="AB12" i="70" s="1"/>
  <c r="AC12" i="70" s="1"/>
  <c r="P45" i="69"/>
  <c r="L45" i="69"/>
  <c r="H45" i="69"/>
  <c r="H44" i="69"/>
  <c r="N45" i="69"/>
  <c r="N44" i="69"/>
  <c r="N43" i="69"/>
  <c r="N42" i="69"/>
  <c r="N41" i="69"/>
  <c r="N40" i="69"/>
  <c r="N39" i="69"/>
  <c r="N38" i="69"/>
  <c r="N37" i="69"/>
  <c r="N36" i="69"/>
  <c r="N35" i="69"/>
  <c r="N34" i="69"/>
  <c r="N33" i="69"/>
  <c r="N32" i="69"/>
  <c r="N31" i="69"/>
  <c r="N30" i="69"/>
  <c r="N29" i="69"/>
  <c r="N28" i="69"/>
  <c r="N27" i="69"/>
  <c r="N26" i="69"/>
  <c r="N25" i="69"/>
  <c r="N24" i="69"/>
  <c r="N23" i="69"/>
  <c r="N22" i="69"/>
  <c r="N21" i="69"/>
  <c r="N20" i="69"/>
  <c r="N19" i="69"/>
  <c r="N18" i="69"/>
  <c r="N17" i="69"/>
  <c r="N16" i="69"/>
  <c r="N15" i="69"/>
  <c r="N14" i="69"/>
  <c r="N13" i="69"/>
  <c r="N12" i="69"/>
  <c r="N11" i="69"/>
  <c r="N10" i="69"/>
  <c r="N9" i="69"/>
  <c r="N8" i="69"/>
  <c r="N7" i="69"/>
  <c r="N6" i="69"/>
  <c r="B55" i="66"/>
  <c r="B51" i="66"/>
  <c r="D26" i="66" l="1"/>
  <c r="D29" i="66"/>
  <c r="D28" i="66"/>
  <c r="J45" i="69"/>
  <c r="H43" i="69"/>
  <c r="H42" i="69" s="1"/>
  <c r="H41" i="69" s="1"/>
  <c r="H40" i="69" s="1"/>
  <c r="H39" i="69" s="1"/>
  <c r="H38" i="69" s="1"/>
  <c r="H37" i="69" s="1"/>
  <c r="H36" i="69" s="1"/>
  <c r="H35" i="69" s="1"/>
  <c r="H34" i="69" s="1"/>
  <c r="C45" i="69"/>
  <c r="C44" i="69"/>
  <c r="C43" i="69"/>
  <c r="C42" i="69"/>
  <c r="C41" i="69"/>
  <c r="C40" i="69"/>
  <c r="C39" i="69"/>
  <c r="C38" i="69"/>
  <c r="C37" i="69"/>
  <c r="C36" i="69"/>
  <c r="C27" i="69"/>
  <c r="O27" i="69" s="1"/>
  <c r="C28" i="69"/>
  <c r="O28" i="69" s="1"/>
  <c r="C29" i="69"/>
  <c r="O29" i="69" s="1"/>
  <c r="C30" i="69"/>
  <c r="O30" i="69" s="1"/>
  <c r="C31" i="69"/>
  <c r="O31" i="69" s="1"/>
  <c r="C32" i="69"/>
  <c r="O32" i="69" s="1"/>
  <c r="C33" i="69"/>
  <c r="O33" i="69" s="1"/>
  <c r="C34" i="69"/>
  <c r="O34" i="69" s="1"/>
  <c r="C35" i="69"/>
  <c r="O35" i="69" s="1"/>
  <c r="C26" i="69"/>
  <c r="O26" i="69" s="1"/>
  <c r="C17" i="69"/>
  <c r="O17" i="69" s="1"/>
  <c r="C18" i="69"/>
  <c r="O18" i="69" s="1"/>
  <c r="C19" i="69"/>
  <c r="O19" i="69" s="1"/>
  <c r="C20" i="69"/>
  <c r="O20" i="69" s="1"/>
  <c r="C21" i="69"/>
  <c r="O21" i="69" s="1"/>
  <c r="C22" i="69"/>
  <c r="O22" i="69" s="1"/>
  <c r="C23" i="69"/>
  <c r="O23" i="69" s="1"/>
  <c r="C24" i="69"/>
  <c r="O24" i="69" s="1"/>
  <c r="C25" i="69"/>
  <c r="O25" i="69" s="1"/>
  <c r="C16" i="69"/>
  <c r="O16" i="69" s="1"/>
  <c r="C12" i="69"/>
  <c r="O12" i="69" s="1"/>
  <c r="C13" i="69"/>
  <c r="O13" i="69" s="1"/>
  <c r="C14" i="69"/>
  <c r="O14" i="69" s="1"/>
  <c r="C15" i="69"/>
  <c r="O15" i="69" s="1"/>
  <c r="C11" i="69"/>
  <c r="O11" i="69" s="1"/>
  <c r="C7" i="69"/>
  <c r="O7" i="69" s="1"/>
  <c r="C8" i="69"/>
  <c r="O8" i="69" s="1"/>
  <c r="C9" i="69"/>
  <c r="O9" i="69" s="1"/>
  <c r="C10" i="69"/>
  <c r="O10" i="69" s="1"/>
  <c r="C6" i="69"/>
  <c r="O6" i="69" s="1"/>
  <c r="D35" i="69"/>
  <c r="D45" i="69"/>
  <c r="D44" i="69" s="1"/>
  <c r="D10" i="69"/>
  <c r="D15" i="69"/>
  <c r="D25" i="69"/>
  <c r="F6" i="69"/>
  <c r="F13" i="69"/>
  <c r="F14" i="69"/>
  <c r="F15" i="69"/>
  <c r="F16" i="69"/>
  <c r="F17" i="69"/>
  <c r="H17" i="69" s="1"/>
  <c r="F18" i="69"/>
  <c r="F19" i="69"/>
  <c r="F20" i="69"/>
  <c r="F21" i="69"/>
  <c r="F22" i="69"/>
  <c r="F23" i="69"/>
  <c r="F24" i="69"/>
  <c r="F25" i="69"/>
  <c r="F26" i="69"/>
  <c r="F27" i="69"/>
  <c r="F28" i="69"/>
  <c r="F29" i="69"/>
  <c r="H29" i="69" s="1"/>
  <c r="F30" i="69"/>
  <c r="F31" i="69"/>
  <c r="F32" i="69"/>
  <c r="F34" i="69"/>
  <c r="F35" i="69"/>
  <c r="F36" i="69"/>
  <c r="F37" i="69"/>
  <c r="F38" i="69"/>
  <c r="F39" i="69"/>
  <c r="F40" i="69"/>
  <c r="F41" i="69"/>
  <c r="F42" i="69"/>
  <c r="F43" i="69"/>
  <c r="F44" i="69"/>
  <c r="F8" i="69"/>
  <c r="F7" i="69"/>
  <c r="F9" i="69"/>
  <c r="F10" i="69"/>
  <c r="F11" i="69"/>
  <c r="F12" i="69"/>
  <c r="Y10" i="70"/>
  <c r="J10" i="70"/>
  <c r="K17" i="70"/>
  <c r="L17" i="70"/>
  <c r="M17" i="70"/>
  <c r="N17" i="70"/>
  <c r="O17" i="70"/>
  <c r="P17" i="70"/>
  <c r="Q17" i="70"/>
  <c r="R17" i="70"/>
  <c r="S17" i="70"/>
  <c r="T17" i="70"/>
  <c r="U17" i="70"/>
  <c r="V17" i="70"/>
  <c r="W17" i="70"/>
  <c r="X17" i="70"/>
  <c r="Y17" i="70"/>
  <c r="K18" i="70"/>
  <c r="L18" i="70"/>
  <c r="M18" i="70"/>
  <c r="N18" i="70"/>
  <c r="O18" i="70"/>
  <c r="P18" i="70"/>
  <c r="Q18" i="70"/>
  <c r="R18" i="70"/>
  <c r="S18" i="70"/>
  <c r="T18" i="70"/>
  <c r="U18" i="70"/>
  <c r="V18" i="70"/>
  <c r="W18" i="70"/>
  <c r="X18" i="70"/>
  <c r="Y18" i="70"/>
  <c r="K19" i="70"/>
  <c r="L19" i="70"/>
  <c r="M19" i="70"/>
  <c r="N19" i="70"/>
  <c r="O19" i="70"/>
  <c r="P19" i="70"/>
  <c r="Q19" i="70"/>
  <c r="R19" i="70"/>
  <c r="S19" i="70"/>
  <c r="T19" i="70"/>
  <c r="U19" i="70"/>
  <c r="V19" i="70"/>
  <c r="W19" i="70"/>
  <c r="X19" i="70"/>
  <c r="Y19" i="70"/>
  <c r="K20" i="70"/>
  <c r="L20" i="70"/>
  <c r="M20" i="70"/>
  <c r="N20" i="70"/>
  <c r="O20" i="70"/>
  <c r="P20" i="70"/>
  <c r="Q20" i="70"/>
  <c r="R20" i="70"/>
  <c r="S20" i="70"/>
  <c r="T20" i="70"/>
  <c r="U20" i="70"/>
  <c r="V20" i="70"/>
  <c r="W20" i="70"/>
  <c r="X20" i="70"/>
  <c r="Y20" i="70"/>
  <c r="K21" i="70"/>
  <c r="L21" i="70"/>
  <c r="M21" i="70"/>
  <c r="N21" i="70"/>
  <c r="O21" i="70"/>
  <c r="P21" i="70"/>
  <c r="Q21" i="70"/>
  <c r="R21" i="70"/>
  <c r="S21" i="70"/>
  <c r="T21" i="70"/>
  <c r="U21" i="70"/>
  <c r="V21" i="70"/>
  <c r="W21" i="70"/>
  <c r="X21" i="70"/>
  <c r="Y21" i="70"/>
  <c r="J18" i="70"/>
  <c r="J19" i="70"/>
  <c r="J20" i="70"/>
  <c r="J21" i="70"/>
  <c r="J17" i="70"/>
  <c r="H28" i="69" l="1"/>
  <c r="H27" i="69" s="1"/>
  <c r="H26" i="69" s="1"/>
  <c r="H25" i="69" s="1"/>
  <c r="H24" i="69" s="1"/>
  <c r="H23" i="69" s="1"/>
  <c r="H22" i="69" s="1"/>
  <c r="H21" i="69" s="1"/>
  <c r="H20" i="69" s="1"/>
  <c r="H19" i="69" s="1"/>
  <c r="H18" i="69" s="1"/>
  <c r="D34" i="69"/>
  <c r="P35" i="69"/>
  <c r="D24" i="69"/>
  <c r="P25" i="69"/>
  <c r="D14" i="69"/>
  <c r="P15" i="69"/>
  <c r="D9" i="69"/>
  <c r="P10" i="69"/>
  <c r="D43" i="69"/>
  <c r="G29" i="69"/>
  <c r="K29" i="69" s="1"/>
  <c r="G21" i="69"/>
  <c r="K21" i="69" s="1"/>
  <c r="G28" i="69"/>
  <c r="K28" i="69" s="1"/>
  <c r="G22" i="69"/>
  <c r="K22" i="69" s="1"/>
  <c r="G43" i="69"/>
  <c r="G35" i="69"/>
  <c r="K35" i="69" s="1"/>
  <c r="G27" i="69"/>
  <c r="K27" i="69" s="1"/>
  <c r="G19" i="69"/>
  <c r="K19" i="69" s="1"/>
  <c r="G44" i="69"/>
  <c r="G37" i="69"/>
  <c r="G36" i="69"/>
  <c r="G25" i="69"/>
  <c r="K25" i="69" s="1"/>
  <c r="G15" i="69"/>
  <c r="K15" i="69" s="1"/>
  <c r="G7" i="69"/>
  <c r="K7" i="69" s="1"/>
  <c r="G14" i="69"/>
  <c r="K14" i="69" s="1"/>
  <c r="G13" i="69"/>
  <c r="K13" i="69" s="1"/>
  <c r="G30" i="69"/>
  <c r="K30" i="69" s="1"/>
  <c r="G32" i="69"/>
  <c r="K32" i="69" s="1"/>
  <c r="G24" i="69"/>
  <c r="K24" i="69" s="1"/>
  <c r="G41" i="69"/>
  <c r="G11" i="69"/>
  <c r="K11" i="69" s="1"/>
  <c r="G12" i="69"/>
  <c r="K12" i="69" s="1"/>
  <c r="G31" i="69"/>
  <c r="K31" i="69" s="1"/>
  <c r="G23" i="69"/>
  <c r="K23" i="69" s="1"/>
  <c r="G40" i="69"/>
  <c r="G6" i="69"/>
  <c r="K6" i="69" s="1"/>
  <c r="G18" i="69"/>
  <c r="K18" i="69" s="1"/>
  <c r="G10" i="69"/>
  <c r="K10" i="69" s="1"/>
  <c r="G38" i="69"/>
  <c r="G17" i="69"/>
  <c r="K17" i="69" s="1"/>
  <c r="G9" i="69"/>
  <c r="K9" i="69" s="1"/>
  <c r="G20" i="69"/>
  <c r="K20" i="69" s="1"/>
  <c r="G39" i="69"/>
  <c r="G16" i="69"/>
  <c r="K16" i="69" s="1"/>
  <c r="G8" i="69"/>
  <c r="K8" i="69" s="1"/>
  <c r="G33" i="69"/>
  <c r="K33" i="69" s="1"/>
  <c r="H16" i="69"/>
  <c r="H15" i="69" s="1"/>
  <c r="H14" i="69" s="1"/>
  <c r="H13" i="69" s="1"/>
  <c r="H12" i="69" s="1"/>
  <c r="H11" i="69" s="1"/>
  <c r="H10" i="69" s="1"/>
  <c r="H9" i="69" s="1"/>
  <c r="H8" i="69" s="1"/>
  <c r="H7" i="69" s="1"/>
  <c r="G26" i="69"/>
  <c r="K26" i="69" s="1"/>
  <c r="G42" i="69"/>
  <c r="G34" i="69"/>
  <c r="K34" i="69" s="1"/>
  <c r="J8" i="69" l="1"/>
  <c r="L8" i="69"/>
  <c r="K36" i="69"/>
  <c r="O36" i="69"/>
  <c r="P36" i="69" s="1"/>
  <c r="J21" i="69"/>
  <c r="L21" i="69"/>
  <c r="J31" i="69"/>
  <c r="L31" i="69"/>
  <c r="J26" i="69"/>
  <c r="L26" i="69"/>
  <c r="L12" i="69"/>
  <c r="J12" i="69"/>
  <c r="J7" i="69"/>
  <c r="L7" i="69"/>
  <c r="J35" i="69"/>
  <c r="L35" i="69"/>
  <c r="J24" i="69"/>
  <c r="L24" i="69"/>
  <c r="J6" i="69"/>
  <c r="L6" i="69"/>
  <c r="C51" i="66"/>
  <c r="G16" i="66" s="1"/>
  <c r="J9" i="69"/>
  <c r="L9" i="69"/>
  <c r="J14" i="69"/>
  <c r="L14" i="69"/>
  <c r="J17" i="69"/>
  <c r="L17" i="69"/>
  <c r="J11" i="69"/>
  <c r="L11" i="69"/>
  <c r="J15" i="69"/>
  <c r="L15" i="69"/>
  <c r="K43" i="69"/>
  <c r="O43" i="69"/>
  <c r="P43" i="69" s="1"/>
  <c r="L28" i="69"/>
  <c r="J28" i="69"/>
  <c r="J32" i="69"/>
  <c r="L32" i="69"/>
  <c r="K42" i="69"/>
  <c r="O42" i="69"/>
  <c r="P42" i="69" s="1"/>
  <c r="J27" i="69"/>
  <c r="L27" i="69"/>
  <c r="K38" i="69"/>
  <c r="O38" i="69"/>
  <c r="P38" i="69" s="1"/>
  <c r="J33" i="69"/>
  <c r="L33" i="69"/>
  <c r="J10" i="69"/>
  <c r="L10" i="69"/>
  <c r="K41" i="69"/>
  <c r="O41" i="69"/>
  <c r="P41" i="69" s="1"/>
  <c r="J25" i="69"/>
  <c r="L25" i="69"/>
  <c r="J22" i="69"/>
  <c r="L22" i="69"/>
  <c r="J18" i="69"/>
  <c r="L18" i="69"/>
  <c r="J16" i="69"/>
  <c r="L16" i="69"/>
  <c r="K37" i="69"/>
  <c r="O37" i="69"/>
  <c r="P37" i="69" s="1"/>
  <c r="K39" i="69"/>
  <c r="O39" i="69"/>
  <c r="P39" i="69" s="1"/>
  <c r="K40" i="69"/>
  <c r="O40" i="69"/>
  <c r="P40" i="69" s="1"/>
  <c r="J30" i="69"/>
  <c r="L30" i="69"/>
  <c r="K44" i="69"/>
  <c r="O44" i="69"/>
  <c r="P44" i="69" s="1"/>
  <c r="J29" i="69"/>
  <c r="L29" i="69"/>
  <c r="J34" i="69"/>
  <c r="L34" i="69"/>
  <c r="L20" i="69"/>
  <c r="J20" i="69"/>
  <c r="J23" i="69"/>
  <c r="L23" i="69"/>
  <c r="J13" i="69"/>
  <c r="L13" i="69"/>
  <c r="J19" i="69"/>
  <c r="L19" i="69"/>
  <c r="H6" i="69"/>
  <c r="H46" i="69" s="1"/>
  <c r="D8" i="69"/>
  <c r="P9" i="69"/>
  <c r="D13" i="69"/>
  <c r="P14" i="69"/>
  <c r="D23" i="69"/>
  <c r="P24" i="69"/>
  <c r="D42" i="69"/>
  <c r="D33" i="69"/>
  <c r="P34" i="69"/>
  <c r="C46" i="69"/>
  <c r="J40" i="69" l="1"/>
  <c r="L40" i="69"/>
  <c r="J42" i="69"/>
  <c r="L42" i="69"/>
  <c r="J39" i="69"/>
  <c r="L39" i="69"/>
  <c r="D51" i="66"/>
  <c r="L44" i="69"/>
  <c r="J44" i="69"/>
  <c r="J37" i="69"/>
  <c r="L37" i="69"/>
  <c r="J38" i="69"/>
  <c r="L38" i="69"/>
  <c r="K45" i="69"/>
  <c r="L36" i="69"/>
  <c r="J36" i="69"/>
  <c r="J41" i="69"/>
  <c r="L41" i="69"/>
  <c r="J43" i="69"/>
  <c r="L43" i="69"/>
  <c r="D7" i="69"/>
  <c r="P8" i="69"/>
  <c r="D22" i="69"/>
  <c r="P23" i="69"/>
  <c r="D41" i="69"/>
  <c r="D32" i="69"/>
  <c r="P33" i="69"/>
  <c r="D12" i="69"/>
  <c r="P13" i="69"/>
  <c r="K10" i="70"/>
  <c r="L10" i="70"/>
  <c r="M10" i="70"/>
  <c r="N10" i="70"/>
  <c r="O10" i="70"/>
  <c r="P10" i="70"/>
  <c r="Q10" i="70"/>
  <c r="R10" i="70"/>
  <c r="S10" i="70"/>
  <c r="T10" i="70"/>
  <c r="U10" i="70"/>
  <c r="V10" i="70"/>
  <c r="W10" i="70"/>
  <c r="X10" i="70"/>
  <c r="K11" i="70"/>
  <c r="L11" i="70"/>
  <c r="M11" i="70"/>
  <c r="N11" i="70"/>
  <c r="O11" i="70"/>
  <c r="P11" i="70"/>
  <c r="Q11" i="70"/>
  <c r="R11" i="70"/>
  <c r="S11" i="70"/>
  <c r="T11" i="70"/>
  <c r="U11" i="70"/>
  <c r="V11" i="70"/>
  <c r="W11" i="70"/>
  <c r="X11" i="70"/>
  <c r="Y11" i="70"/>
  <c r="K12" i="70"/>
  <c r="L12" i="70"/>
  <c r="M12" i="70"/>
  <c r="N12" i="70"/>
  <c r="O12" i="70"/>
  <c r="P12" i="70"/>
  <c r="Q12" i="70"/>
  <c r="R12" i="70"/>
  <c r="S12" i="70"/>
  <c r="T12" i="70"/>
  <c r="U12" i="70"/>
  <c r="V12" i="70"/>
  <c r="W12" i="70"/>
  <c r="X12" i="70"/>
  <c r="Y12" i="70"/>
  <c r="K13" i="70"/>
  <c r="L13" i="70"/>
  <c r="M13" i="70"/>
  <c r="N13" i="70"/>
  <c r="O13" i="70"/>
  <c r="P13" i="70"/>
  <c r="Q13" i="70"/>
  <c r="R13" i="70"/>
  <c r="S13" i="70"/>
  <c r="T13" i="70"/>
  <c r="U13" i="70"/>
  <c r="V13" i="70"/>
  <c r="W13" i="70"/>
  <c r="X13" i="70"/>
  <c r="Y13" i="70"/>
  <c r="K14" i="70"/>
  <c r="L14" i="70"/>
  <c r="M14" i="70"/>
  <c r="N14" i="70"/>
  <c r="O14" i="70"/>
  <c r="P14" i="70"/>
  <c r="Q14" i="70"/>
  <c r="R14" i="70"/>
  <c r="S14" i="70"/>
  <c r="T14" i="70"/>
  <c r="U14" i="70"/>
  <c r="V14" i="70"/>
  <c r="W14" i="70"/>
  <c r="X14" i="70"/>
  <c r="Y14" i="70"/>
  <c r="J11" i="70"/>
  <c r="J12" i="70"/>
  <c r="J13" i="70"/>
  <c r="J14" i="70"/>
  <c r="Z14" i="70" l="1"/>
  <c r="Z11" i="70"/>
  <c r="Z13" i="70"/>
  <c r="Z10" i="70"/>
  <c r="Z12" i="70"/>
  <c r="D6" i="69"/>
  <c r="P7" i="69"/>
  <c r="D40" i="69"/>
  <c r="D11" i="69"/>
  <c r="P12" i="69"/>
  <c r="D21" i="69"/>
  <c r="P22" i="69"/>
  <c r="D31" i="69"/>
  <c r="P32" i="69"/>
  <c r="D37" i="70"/>
  <c r="E37" i="70" s="1"/>
  <c r="D38" i="70"/>
  <c r="E38" i="70" s="1"/>
  <c r="D35" i="70"/>
  <c r="D36" i="70"/>
  <c r="M2" i="67"/>
  <c r="P2" i="67" s="1"/>
  <c r="E36" i="70" l="1"/>
  <c r="E35" i="70"/>
  <c r="E39" i="70"/>
  <c r="D20" i="69"/>
  <c r="P21" i="69"/>
  <c r="D30" i="69"/>
  <c r="P31" i="69"/>
  <c r="P6" i="69"/>
  <c r="P11" i="69"/>
  <c r="D39" i="69"/>
  <c r="M9" i="67"/>
  <c r="D29" i="69" l="1"/>
  <c r="P30" i="69"/>
  <c r="D38" i="69"/>
  <c r="D19" i="69"/>
  <c r="P20" i="69"/>
  <c r="D17" i="66"/>
  <c r="C18" i="66"/>
  <c r="C19" i="66"/>
  <c r="C20" i="66"/>
  <c r="C17" i="66"/>
  <c r="D20" i="66"/>
  <c r="N2" i="67"/>
  <c r="O2" i="67"/>
  <c r="R2" i="67"/>
  <c r="D18" i="69" l="1"/>
  <c r="P19" i="69"/>
  <c r="D37" i="69"/>
  <c r="D28" i="69"/>
  <c r="P29" i="69"/>
  <c r="M3" i="67"/>
  <c r="M4" i="67"/>
  <c r="M5" i="67"/>
  <c r="M6" i="67"/>
  <c r="M7" i="67"/>
  <c r="M8" i="67"/>
  <c r="M10" i="67"/>
  <c r="M11" i="67"/>
  <c r="M12" i="67"/>
  <c r="M13" i="67"/>
  <c r="M14" i="67"/>
  <c r="M15" i="67"/>
  <c r="M16" i="67"/>
  <c r="M17" i="67"/>
  <c r="O3" i="67"/>
  <c r="O4" i="67"/>
  <c r="O5" i="67"/>
  <c r="O6" i="67"/>
  <c r="O7" i="67"/>
  <c r="O8" i="67"/>
  <c r="O9" i="67"/>
  <c r="O10" i="67"/>
  <c r="O11" i="67"/>
  <c r="O12" i="67"/>
  <c r="O13" i="67"/>
  <c r="O14" i="67"/>
  <c r="O15" i="67"/>
  <c r="O16" i="67"/>
  <c r="O17" i="67"/>
  <c r="B50" i="66"/>
  <c r="D36" i="69" l="1"/>
  <c r="D27" i="69"/>
  <c r="P28" i="69"/>
  <c r="D17" i="69"/>
  <c r="P18" i="69"/>
  <c r="I37" i="66"/>
  <c r="D16" i="69" l="1"/>
  <c r="P17" i="69"/>
  <c r="D26" i="69"/>
  <c r="P27" i="69"/>
  <c r="L37" i="66"/>
  <c r="K37" i="66"/>
  <c r="J37" i="66"/>
  <c r="H37" i="66"/>
  <c r="P16" i="69" l="1"/>
  <c r="D46" i="69"/>
  <c r="P26" i="69"/>
  <c r="C16" i="70"/>
  <c r="D16" i="70" s="1"/>
  <c r="AB11" i="69"/>
  <c r="AA11" i="69"/>
  <c r="X11" i="69"/>
  <c r="W11" i="69"/>
  <c r="T11" i="69"/>
  <c r="S11" i="69"/>
  <c r="C47" i="69" s="1"/>
  <c r="N3" i="67"/>
  <c r="N4" i="67"/>
  <c r="N5" i="67"/>
  <c r="N6" i="67"/>
  <c r="N7" i="67"/>
  <c r="N8" i="67"/>
  <c r="N9" i="67"/>
  <c r="N10" i="67"/>
  <c r="N11" i="67"/>
  <c r="N12" i="67"/>
  <c r="Q12" i="67" s="1"/>
  <c r="N13" i="67"/>
  <c r="N14" i="67"/>
  <c r="N15" i="67"/>
  <c r="N16" i="67"/>
  <c r="N17" i="67"/>
  <c r="P4" i="67"/>
  <c r="P5" i="67"/>
  <c r="P6" i="67"/>
  <c r="P7" i="67"/>
  <c r="P8" i="67"/>
  <c r="Q10" i="67"/>
  <c r="P11" i="67"/>
  <c r="P12" i="67"/>
  <c r="P14" i="67"/>
  <c r="P15" i="67"/>
  <c r="P16" i="67"/>
  <c r="P17" i="67"/>
  <c r="P46" i="69" l="1"/>
  <c r="L46" i="69"/>
  <c r="G45" i="69"/>
  <c r="O45" i="69" s="1"/>
  <c r="R16" i="67"/>
  <c r="Q15" i="67"/>
  <c r="Q5" i="67"/>
  <c r="Q16" i="67"/>
  <c r="Q4" i="67"/>
  <c r="R8" i="67"/>
  <c r="Q11" i="67"/>
  <c r="Q14" i="67"/>
  <c r="Q2" i="67"/>
  <c r="T2" i="67" s="1"/>
  <c r="R12" i="67"/>
  <c r="R7" i="67"/>
  <c r="R17" i="67"/>
  <c r="R6" i="67"/>
  <c r="P10" i="67"/>
  <c r="Q3" i="67"/>
  <c r="Q8" i="67"/>
  <c r="R5" i="67"/>
  <c r="Q7" i="67"/>
  <c r="R15" i="67"/>
  <c r="R11" i="67"/>
  <c r="R4" i="67"/>
  <c r="Q13" i="67"/>
  <c r="R9" i="67"/>
  <c r="Q17" i="67"/>
  <c r="Q6" i="67"/>
  <c r="R14" i="67"/>
  <c r="R10" i="67"/>
  <c r="T10" i="67" s="1"/>
  <c r="R13" i="67"/>
  <c r="Q9" i="67"/>
  <c r="P13" i="67"/>
  <c r="P9" i="67"/>
  <c r="P3" i="67"/>
  <c r="R3" i="67"/>
  <c r="L18" i="67"/>
  <c r="N25" i="66"/>
  <c r="X3" i="67"/>
  <c r="X4" i="67"/>
  <c r="X5" i="67"/>
  <c r="X6" i="67"/>
  <c r="X7" i="67"/>
  <c r="X8" i="67"/>
  <c r="X9" i="67"/>
  <c r="X10" i="67"/>
  <c r="X11" i="67"/>
  <c r="X12" i="67"/>
  <c r="X13" i="67"/>
  <c r="X14" i="67"/>
  <c r="X15" i="67"/>
  <c r="X16" i="67"/>
  <c r="X17" i="67"/>
  <c r="V2" i="67"/>
  <c r="V3" i="67"/>
  <c r="V4" i="67"/>
  <c r="V5" i="67"/>
  <c r="V6" i="67"/>
  <c r="V7" i="67"/>
  <c r="V8" i="67"/>
  <c r="V9" i="67"/>
  <c r="V10" i="67"/>
  <c r="V11" i="67"/>
  <c r="V12" i="67"/>
  <c r="V13" i="67"/>
  <c r="V14" i="67"/>
  <c r="V15" i="67"/>
  <c r="V16" i="67"/>
  <c r="V17" i="67"/>
  <c r="U2" i="67"/>
  <c r="U3" i="67"/>
  <c r="U4" i="67"/>
  <c r="U5" i="67"/>
  <c r="U6" i="67"/>
  <c r="U7" i="67"/>
  <c r="U8" i="67"/>
  <c r="U9" i="67"/>
  <c r="U10" i="67"/>
  <c r="U11" i="67"/>
  <c r="U12" i="67"/>
  <c r="U13" i="67"/>
  <c r="U14" i="67"/>
  <c r="U15" i="67"/>
  <c r="U16" i="67"/>
  <c r="U17" i="67"/>
  <c r="W3" i="67" l="1"/>
  <c r="G46" i="69"/>
  <c r="G47" i="69" s="1"/>
  <c r="O46" i="69"/>
  <c r="K46" i="69"/>
  <c r="T4" i="67"/>
  <c r="S10" i="67"/>
  <c r="T15" i="67"/>
  <c r="R18" i="67"/>
  <c r="T5" i="67"/>
  <c r="T14" i="67"/>
  <c r="T8" i="67"/>
  <c r="T13" i="67"/>
  <c r="S7" i="67"/>
  <c r="S6" i="67"/>
  <c r="S12" i="67"/>
  <c r="T9" i="67"/>
  <c r="T16" i="67"/>
  <c r="T3" i="67"/>
  <c r="S14" i="67"/>
  <c r="S17" i="67"/>
  <c r="S15" i="67"/>
  <c r="S8" i="67"/>
  <c r="W7" i="67"/>
  <c r="S13" i="67"/>
  <c r="W5" i="67"/>
  <c r="S16" i="67"/>
  <c r="T11" i="67"/>
  <c r="S2" i="67"/>
  <c r="W16" i="67"/>
  <c r="S11" i="67"/>
  <c r="T17" i="67"/>
  <c r="T6" i="67"/>
  <c r="W13" i="67"/>
  <c r="W9" i="67"/>
  <c r="S9" i="67"/>
  <c r="T7" i="67"/>
  <c r="T12" i="67"/>
  <c r="S3" i="67"/>
  <c r="S5" i="67"/>
  <c r="S4" i="67"/>
  <c r="W8" i="67"/>
  <c r="W6" i="67"/>
  <c r="W17" i="67"/>
  <c r="W15" i="67"/>
  <c r="W11" i="67"/>
  <c r="W12" i="67"/>
  <c r="W14" i="67"/>
  <c r="W10" i="67"/>
  <c r="W4" i="67"/>
  <c r="X18" i="67"/>
  <c r="N26" i="66" l="1"/>
  <c r="W18" i="67"/>
  <c r="K18" i="67" l="1"/>
  <c r="J18" i="67"/>
  <c r="I18" i="67"/>
  <c r="H18" i="67"/>
  <c r="G18" i="67"/>
  <c r="F18" i="67"/>
  <c r="E18" i="67"/>
  <c r="D18" i="67"/>
  <c r="C18" i="67"/>
  <c r="G67" i="66"/>
  <c r="G66" i="66"/>
  <c r="G65" i="66"/>
  <c r="G64" i="66"/>
  <c r="G63" i="66"/>
  <c r="G62" i="66"/>
  <c r="G61" i="66"/>
  <c r="P18" i="67" l="1"/>
  <c r="Q18" i="67" l="1"/>
  <c r="T18" i="67" l="1"/>
  <c r="S18" i="67"/>
  <c r="D18" i="66" l="1"/>
  <c r="B53" i="66"/>
  <c r="B54" i="66" l="1"/>
  <c r="D19" i="66"/>
  <c r="D54" i="66" l="1"/>
  <c r="D55" i="66"/>
  <c r="C54" i="66"/>
  <c r="C55" i="66"/>
  <c r="H29" i="66" l="1"/>
  <c r="G19" i="66"/>
  <c r="H30" i="66"/>
  <c r="G20" i="66"/>
  <c r="G30" i="66" s="1"/>
  <c r="Q29" i="66" l="1"/>
  <c r="I29" i="66"/>
  <c r="J29" i="66" s="1"/>
  <c r="R29" i="66" s="1"/>
  <c r="G29" i="66"/>
  <c r="Q30" i="66"/>
  <c r="I30" i="66"/>
  <c r="K29" i="66" l="1"/>
  <c r="J30" i="66"/>
  <c r="K30" i="66"/>
  <c r="M29" i="66"/>
  <c r="O29" i="66" s="1"/>
  <c r="B52" i="66"/>
  <c r="C16" i="66"/>
  <c r="D16" i="66"/>
  <c r="S29" i="66" l="1"/>
  <c r="N19" i="66"/>
  <c r="D52" i="66"/>
  <c r="H27" i="66" s="1"/>
  <c r="D53" i="66"/>
  <c r="C52" i="66"/>
  <c r="C53" i="66"/>
  <c r="R30" i="66"/>
  <c r="M30" i="66"/>
  <c r="O30" i="66" s="1"/>
  <c r="H26" i="66"/>
  <c r="Q26" i="66" l="1"/>
  <c r="Q27" i="66"/>
  <c r="S30" i="66"/>
  <c r="N20" i="66"/>
  <c r="H28" i="66"/>
  <c r="H19" i="66" s="1"/>
  <c r="G18" i="66"/>
  <c r="G28" i="66" s="1"/>
  <c r="G17" i="66"/>
  <c r="G27" i="66" s="1"/>
  <c r="C56" i="66"/>
  <c r="I27" i="66"/>
  <c r="I26" i="66"/>
  <c r="H17" i="66" l="1"/>
  <c r="H20" i="66"/>
  <c r="I19" i="66"/>
  <c r="K19" i="66" s="1"/>
  <c r="H16" i="66"/>
  <c r="I16" i="66" s="1"/>
  <c r="K16" i="66" s="1"/>
  <c r="H18" i="66"/>
  <c r="I17" i="66"/>
  <c r="K17" i="66" s="1"/>
  <c r="Q28" i="66"/>
  <c r="I28" i="66"/>
  <c r="K28" i="66" s="1"/>
  <c r="D56" i="66"/>
  <c r="K27" i="66"/>
  <c r="E56" i="66"/>
  <c r="E53" i="66"/>
  <c r="E55" i="66"/>
  <c r="E54" i="66"/>
  <c r="E52" i="66"/>
  <c r="E51" i="66"/>
  <c r="J27" i="66"/>
  <c r="G21" i="66"/>
  <c r="G26" i="66"/>
  <c r="J26" i="66"/>
  <c r="V26" i="66" l="1"/>
  <c r="J19" i="66"/>
  <c r="M19" i="66" s="1"/>
  <c r="O19" i="66" s="1"/>
  <c r="I20" i="66"/>
  <c r="K20" i="66" s="1"/>
  <c r="V41" i="66"/>
  <c r="V33" i="66"/>
  <c r="V32" i="66"/>
  <c r="V31" i="66"/>
  <c r="V38" i="66"/>
  <c r="V30" i="66"/>
  <c r="V37" i="66"/>
  <c r="V29" i="66"/>
  <c r="V36" i="66"/>
  <c r="V35" i="66"/>
  <c r="V34" i="66"/>
  <c r="V40" i="66"/>
  <c r="V39" i="66"/>
  <c r="V27" i="66"/>
  <c r="V28" i="66"/>
  <c r="G31" i="66"/>
  <c r="J28" i="66"/>
  <c r="R28" i="66" s="1"/>
  <c r="I18" i="66"/>
  <c r="K18" i="66" s="1"/>
  <c r="R27" i="66"/>
  <c r="M27" i="66"/>
  <c r="O27" i="66" s="1"/>
  <c r="R26" i="66"/>
  <c r="M26" i="66"/>
  <c r="O26" i="66" s="1"/>
  <c r="J17" i="66"/>
  <c r="M17" i="66" s="1"/>
  <c r="J16" i="66"/>
  <c r="M16" i="66" s="1"/>
  <c r="K26" i="66"/>
  <c r="K21" i="66" l="1"/>
  <c r="P38" i="66" s="1"/>
  <c r="J20" i="66"/>
  <c r="M20" i="66" s="1"/>
  <c r="O20" i="66" s="1"/>
  <c r="S27" i="66"/>
  <c r="N17" i="66"/>
  <c r="O17" i="66" s="1"/>
  <c r="S26" i="66"/>
  <c r="N16" i="66"/>
  <c r="O16" i="66" s="1"/>
  <c r="P36" i="66"/>
  <c r="P37" i="66" s="1"/>
  <c r="V42" i="66"/>
  <c r="C40" i="66" s="1"/>
  <c r="K31" i="66"/>
  <c r="P39" i="66" s="1"/>
  <c r="M28" i="66"/>
  <c r="O28" i="66" s="1"/>
  <c r="J18" i="66"/>
  <c r="M18" i="66" s="1"/>
  <c r="C36" i="66" l="1"/>
  <c r="C39" i="66" s="1"/>
  <c r="S28" i="66"/>
  <c r="N18" i="66"/>
  <c r="O18" i="66" s="1"/>
  <c r="P40" i="66"/>
  <c r="P41" i="66"/>
  <c r="P42" i="66"/>
  <c r="C37" i="66"/>
  <c r="C41" i="66" l="1"/>
  <c r="R83" i="66" s="1"/>
  <c r="F34" i="70"/>
  <c r="F35" i="70" s="1"/>
  <c r="C38" i="66" l="1"/>
  <c r="C42" i="66" s="1"/>
  <c r="C44" i="66" s="1"/>
  <c r="R91" i="66"/>
  <c r="S91" i="66" s="1"/>
  <c r="R96" i="66"/>
  <c r="S96" i="66" s="1"/>
  <c r="R89" i="66"/>
  <c r="S89" i="66" s="1"/>
  <c r="U89" i="66" s="1"/>
  <c r="R84" i="66"/>
  <c r="S84" i="66" s="1"/>
  <c r="R85" i="66"/>
  <c r="S85" i="66" s="1"/>
  <c r="R97" i="66"/>
  <c r="S97" i="66" s="1"/>
  <c r="U97" i="66" s="1"/>
  <c r="R93" i="66"/>
  <c r="S93" i="66" s="1"/>
  <c r="R94" i="66"/>
  <c r="S94" i="66" s="1"/>
  <c r="R92" i="66"/>
  <c r="S92" i="66" s="1"/>
  <c r="R88" i="66"/>
  <c r="S88" i="66" s="1"/>
  <c r="U88" i="66" s="1"/>
  <c r="R87" i="66"/>
  <c r="S87" i="66" s="1"/>
  <c r="U87" i="66" s="1"/>
  <c r="R90" i="66"/>
  <c r="S90" i="66" s="1"/>
  <c r="R95" i="66"/>
  <c r="S95" i="66" s="1"/>
  <c r="R98" i="66"/>
  <c r="S98" i="66" s="1"/>
  <c r="D84" i="66" s="1"/>
  <c r="R86" i="66"/>
  <c r="S86" i="66" s="1"/>
  <c r="F37" i="70"/>
  <c r="F36" i="70"/>
  <c r="F38" i="70"/>
  <c r="F39" i="70"/>
  <c r="C45" i="66" l="1"/>
  <c r="H52" i="66" s="1"/>
  <c r="I52" i="66" s="1"/>
  <c r="J52" i="66" s="1"/>
  <c r="K52" i="66" s="1"/>
  <c r="L52" i="66" s="1"/>
  <c r="M52" i="66" s="1"/>
  <c r="D39" i="66"/>
  <c r="P43" i="66"/>
  <c r="D38" i="66"/>
  <c r="D40" i="66"/>
  <c r="D42" i="66"/>
  <c r="D37" i="66"/>
  <c r="D41" i="66"/>
  <c r="D36" i="66"/>
  <c r="H51" i="66"/>
  <c r="I66" i="66" s="1"/>
  <c r="D87" i="66"/>
  <c r="U94" i="66"/>
  <c r="U84" i="66"/>
  <c r="D88" i="66"/>
  <c r="U98" i="66"/>
  <c r="U85" i="66"/>
  <c r="D86" i="66"/>
  <c r="D92" i="66"/>
  <c r="U86" i="66"/>
  <c r="D94" i="66"/>
  <c r="U95" i="66"/>
  <c r="D83" i="66"/>
  <c r="U96" i="66"/>
  <c r="S83" i="66"/>
  <c r="D93" i="66" s="1"/>
  <c r="R99" i="66"/>
  <c r="U93" i="66"/>
  <c r="D89" i="66"/>
  <c r="U90" i="66"/>
  <c r="D90" i="66"/>
  <c r="D91" i="66"/>
  <c r="U92" i="66"/>
  <c r="U91" i="66"/>
  <c r="D85" i="66"/>
  <c r="M67" i="66"/>
  <c r="K67" i="66" l="1"/>
  <c r="H62" i="66"/>
  <c r="I62" i="66" s="1"/>
  <c r="J62" i="66" s="1"/>
  <c r="K62" i="66" s="1"/>
  <c r="L62" i="66" s="1"/>
  <c r="M62" i="66" s="1"/>
  <c r="H61" i="66"/>
  <c r="K63" i="66"/>
  <c r="H67" i="66"/>
  <c r="H65" i="66"/>
  <c r="H36" i="66" s="1"/>
  <c r="H40" i="66" s="1"/>
  <c r="L67" i="66"/>
  <c r="J65" i="66"/>
  <c r="J36" i="66" s="1"/>
  <c r="J40" i="66" s="1"/>
  <c r="H66" i="66"/>
  <c r="I67" i="66"/>
  <c r="L64" i="66"/>
  <c r="M64" i="66"/>
  <c r="I63" i="66"/>
  <c r="L65" i="66"/>
  <c r="L36" i="66" s="1"/>
  <c r="L40" i="66" s="1"/>
  <c r="K65" i="66"/>
  <c r="K36" i="66" s="1"/>
  <c r="K40" i="66" s="1"/>
  <c r="M66" i="66"/>
  <c r="M63" i="66"/>
  <c r="M65" i="66"/>
  <c r="M36" i="66" s="1"/>
  <c r="M40" i="66" s="1"/>
  <c r="K66" i="66"/>
  <c r="J66" i="66"/>
  <c r="J67" i="66"/>
  <c r="H63" i="66"/>
  <c r="L66" i="66"/>
  <c r="J63" i="66"/>
  <c r="L63" i="66"/>
  <c r="I64" i="66"/>
  <c r="I65" i="66"/>
  <c r="I36" i="66" s="1"/>
  <c r="I38" i="66" s="1"/>
  <c r="I39" i="66" s="1"/>
  <c r="J64" i="66"/>
  <c r="K64" i="66"/>
  <c r="H64" i="66"/>
  <c r="U83" i="66"/>
  <c r="U99" i="66" s="1"/>
  <c r="S99" i="66"/>
  <c r="D82" i="66"/>
  <c r="H38" i="66" l="1"/>
  <c r="C44" i="70" s="1"/>
  <c r="G42" i="66"/>
  <c r="M38" i="66"/>
  <c r="M39" i="66" s="1"/>
  <c r="J38" i="66"/>
  <c r="J39" i="66" s="1"/>
  <c r="L38" i="66"/>
  <c r="L39" i="66" s="1"/>
  <c r="I40" i="66"/>
  <c r="K38" i="66"/>
  <c r="K39" i="66" s="1"/>
  <c r="H39" i="6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tc={DF941DC2-9743-4546-A5B9-9CC4514FB715}</author>
    <author>tc={28652EA8-799B-466A-85A5-A39B9BFCB232}</author>
    <author>tc={81D51B98-EE80-4BCC-A0D9-FAEE484D2463}</author>
    <author>tc={7EBE0F83-E394-425F-8528-78EE8F82DEF2}</author>
    <author>tc={FB259675-F434-4BEC-9BCA-EAFAE28B9CB7}</author>
    <author>tc={11FDB2D8-F93C-4AED-94ED-B1EA42FE15A2}</author>
    <author>tc={9B9D4D27-996E-4596-A858-82A31AB67FBA}</author>
    <author>tc={53E09EDE-C50D-485F-81CA-F1F22DC23050}</author>
    <author>tc={2146913F-790B-4356-89FA-6C2EE453EF9B}</author>
    <author>tc={4CA674A6-E2D7-4F36-A361-7EEE41694EB8}</author>
    <author>tc={1BCE301A-1B55-40FC-BD6C-E2A4EF1ABF34}</author>
    <author>tc={8EEC024F-29AC-4DCF-8753-8E641FFEAC50}</author>
    <author>tc={BB95C4A9-5075-40D1-B5C6-FEE60C13D844}</author>
    <author>tc={D13E47E1-DE6C-40BB-9F31-CAC14DB078B5}</author>
    <author>tc={0D1BF88B-C11C-4A87-86FE-C41DBB0CE37A}</author>
    <author>tc={44920A02-2682-4482-B391-602ED8000540}</author>
  </authors>
  <commentList>
    <comment ref="B4" authorId="0" shapeId="0" xr:uid="{DF941DC2-9743-4546-A5B9-9CC4514FB715}">
      <text>
        <t>[Threaded comment]
Your version of Excel allows you to read this threaded comment; however, any edits to it will get removed if the file is opened in a newer version of Excel. Learn more: https://go.microsoft.com/fwlink/?linkid=870924
Comment:
    An input field that represents the frequency at which recipients receive arrearage grants. 1 = one year.</t>
      </text>
    </comment>
    <comment ref="E4" authorId="1" shapeId="0" xr:uid="{28652EA8-799B-466A-85A5-A39B9BFCB232}">
      <text>
        <t>[Threaded comment]
Your version of Excel allows you to read this threaded comment; however, any edits to it will get removed if the file is opened in a newer version of Excel. Learn more: https://go.microsoft.com/fwlink/?linkid=870924
Comment:
    An input field that represents the percentage of funding community-based organizations receive based on arrearage management costs.</t>
      </text>
    </comment>
    <comment ref="H4" authorId="2" shapeId="0" xr:uid="{81D51B98-EE80-4BCC-A0D9-FAEE484D2463}">
      <text>
        <t>[Threaded comment]
Your version of Excel allows you to read this threaded comment; however, any edits to it will get removed if the file is opened in a newer version of Excel. Learn more: https://go.microsoft.com/fwlink/?linkid=870924
Comment:
    A drop-down field that switches between having an arrearage management program or not.</t>
      </text>
    </comment>
    <comment ref="K4" authorId="3" shapeId="0" xr:uid="{7EBE0F83-E394-425F-8528-78EE8F82DEF2}">
      <text>
        <t>[Threaded comment]
Your version of Excel allows you to read this threaded comment; however, any edits to it will get removed if the file is opened in a newer version of Excel. Learn more: https://go.microsoft.com/fwlink/?linkid=870924
Comment:
    An input field that determines the number of applicants a full-time employee is able to handle each day.</t>
      </text>
    </comment>
    <comment ref="B6" authorId="4" shapeId="0" xr:uid="{FB259675-F434-4BEC-9BCA-EAFAE28B9CB7}">
      <text>
        <t>[Threaded comment]
Your version of Excel allows you to read this threaded comment; however, any edits to it will get removed if the file is opened in a newer version of Excel. Learn more: https://go.microsoft.com/fwlink/?linkid=870924
Comment:
    An input field that represents the level of participation within the program relative to the total number of eligible low-income recipients in the company's service area. WEAF has average 2.2k applicants which is 3.5%.</t>
      </text>
    </comment>
    <comment ref="E6" authorId="5" shapeId="0" xr:uid="{11FDB2D8-F93C-4AED-94ED-B1EA42FE15A2}">
      <text>
        <t>[Threaded comment]
Your version of Excel allows you to read this threaded comment; however, any edits to it will get removed if the file is opened in a newer version of Excel. Learn more: https://go.microsoft.com/fwlink/?linkid=870924
Comment:
    An input field that specifies the minimum amount of funds to be distributed to community-based organizations to increase program participation.</t>
      </text>
    </comment>
    <comment ref="H6" authorId="6" shapeId="0" xr:uid="{9B9D4D27-996E-4596-A858-82A31AB67FBA}">
      <text>
        <t>[Threaded comment]
Your version of Excel allows you to read this threaded comment; however, any edits to it will get removed if the file is opened in a newer version of Excel. Learn more: https://go.microsoft.com/fwlink/?linkid=870924
Comment:
    A drop-down field that switches between percentage and average, both of which utilize historical data related to low-income individuals. The percentage method calculates the average arrear level forgiven during COVID, based on all Big HEART data applicable to customers at 200% of the Federal Poverty Level (6,221 customers). On the other hand, the average method takes the arrear balances from the Weatherization Energy Assistance Funding Program (WEAF) and Low-Income Home Energy Assistance Program (LIHEAP) for recipients (2,208 customers) and calculates the average past due balance.</t>
      </text>
    </comment>
    <comment ref="K6" authorId="7" shapeId="0" xr:uid="{53E09EDE-C50D-485F-81CA-F1F22DC23050}">
      <text>
        <t>[Threaded comment]
Your version of Excel allows you to read this threaded comment; however, any edits to it will get removed if the file is opened in a newer version of Excel. Learn more: https://go.microsoft.com/fwlink/?linkid=870924
Comment:
    An input field that specifies the percentage amount for agencies to receive for funding and signing up a new recipient account into the program. If 'percentage' is selected for Agency Type.</t>
      </text>
    </comment>
    <comment ref="B8" authorId="8" shapeId="0" xr:uid="{2146913F-790B-4356-89FA-6C2EE453EF9B}">
      <text>
        <t>[Threaded comment]
Your version of Excel allows you to read this threaded comment; however, any edits to it will get removed if the file is opened in a newer version of Excel. Learn more: https://go.microsoft.com/fwlink/?linkid=870924
Comment:
    A drop-down field that represents the average assistance provided to account holders, indicating the energy burden after receiving assistance.</t>
      </text>
    </comment>
    <comment ref="E8" authorId="9" shapeId="0" xr:uid="{4CA674A6-E2D7-4F36-A361-7EEE41694EB8}">
      <text>
        <t>[Threaded comment]
Your version of Excel allows you to read this threaded comment; however, any edits to it will get removed if the file is opened in a newer version of Excel. Learn more: https://go.microsoft.com/fwlink/?linkid=870924
Comment:
    A drop-down field that switches between different types of rate spreads and allocation methods. This includes options such as allocating to residential only, applying an equal percentage, allocating based on customer count in each class, allocating based on therms in each class, allocating based on base revenues from the last general rate case for each class, allocating based on the cost of service results from the last general rate case, and an open field to create a custom allocator for each class.</t>
      </text>
    </comment>
    <comment ref="H8" authorId="10" shapeId="0" xr:uid="{1BCE301A-1B55-40FC-BD6C-E2A4EF1ABF34}">
      <text>
        <t>[Threaded comment]
Your version of Excel allows you to read this threaded comment; however, any edits to it will get removed if the file is opened in a newer version of Excel. Learn more: https://go.microsoft.com/fwlink/?linkid=870924
Comment:
    A drop-down field that switches between fee, staffing, or staffing (p). Fee is a simple agency fee amount multiplied by the number of participate enrollments. Staffing determines the full-time employee required to handle the anticipated enrollment by county, which is then summed up to the agency level, while staffing (p) is similar to ‘staffing’ but has a performance provision that helps shift funding to agencies that sign up more applicants.</t>
      </text>
    </comment>
    <comment ref="B10" authorId="11" shapeId="0" xr:uid="{8EEC024F-29AC-4DCF-8753-8E641FFEAC50}">
      <text>
        <t>[Threaded comment]
Your version of Excel allows you to read this threaded comment; however, any edits to it will get removed if the file is opened in a newer version of Excel. Learn more: https://go.microsoft.com/fwlink/?linkid=870924
Comment:
    A drop-down field that switches the underlying data between income percentages, such as the Federal Poverty Level (FPL), Area Median Income (AMI), the greater of FPL or AMI (MAX), or the Avista approach of FPL for all tiers with AMI on the last tier (AVA).</t>
      </text>
    </comment>
    <comment ref="E10" authorId="12" shapeId="0" xr:uid="{BB95C4A9-5075-40D1-B5C6-FEE60C13D844}">
      <text>
        <t>[Threaded comment]
Your version of Excel allows you to read this threaded comment; however, any edits to it will get removed if the file is opened in a newer version of Excel. Learn more: https://go.microsoft.com/fwlink/?linkid=870924
Comment:
    An input field that determines the amount the agency receives for verifying a self-certified recipient account. If 'fee' is selected for Agency Type.</t>
      </text>
    </comment>
    <comment ref="H10" authorId="13" shapeId="0" xr:uid="{D13E47E1-DE6C-40BB-9F31-CAC14DB078B5}">
      <text>
        <t>[Threaded comment]
Your version of Excel allows you to read this threaded comment; however, any edits to it will get removed if the file is opened in a newer version of Excel. Learn more: https://go.microsoft.com/fwlink/?linkid=870924
Comment:
    An input field that specifies the amount the agency receives for signing up a new recipient account into the program. If 'fee' is selected for Agency Type.</t>
      </text>
    </comment>
    <comment ref="V24" authorId="14" shapeId="0" xr:uid="{0D1BF88B-C11C-4A87-86FE-C41DBB0CE37A}">
      <text>
        <t>[Threaded comment]
Your version of Excel allows you to read this threaded comment; however, any edits to it will get removed if the file is opened in a newer version of Excel. Learn more: https://go.microsoft.com/fwlink/?linkid=870924
Comment:
    Current percentage of 'self-certify' Cascade is seeing in Oregon.</t>
      </text>
    </comment>
    <comment ref="V25" authorId="15" shapeId="0" xr:uid="{44920A02-2682-4482-B391-602ED8000540}">
      <text>
        <t>[Threaded comment]
Your version of Excel allows you to read this threaded comment; however, any edits to it will get removed if the file is opened in a newer version of Excel. Learn more: https://go.microsoft.com/fwlink/?linkid=870924
Comment:
    Verification level</t>
      </text>
    </comment>
  </commentList>
</comments>
</file>

<file path=xl/sharedStrings.xml><?xml version="1.0" encoding="utf-8"?>
<sst xmlns="http://schemas.openxmlformats.org/spreadsheetml/2006/main" count="383" uniqueCount="251">
  <si>
    <t>Arrearage Management</t>
  </si>
  <si>
    <t>Energy Discount</t>
  </si>
  <si>
    <t>0-25%</t>
  </si>
  <si>
    <t>26-50%</t>
  </si>
  <si>
    <t>51-100%</t>
  </si>
  <si>
    <t>101-150%</t>
  </si>
  <si>
    <t>151-200%</t>
  </si>
  <si>
    <t>Count</t>
  </si>
  <si>
    <t>FPL</t>
  </si>
  <si>
    <t>Sch. 503</t>
  </si>
  <si>
    <t>Sch. 504</t>
  </si>
  <si>
    <t>Sch. 505</t>
  </si>
  <si>
    <t>Sch. 511</t>
  </si>
  <si>
    <t>Sch. 570</t>
  </si>
  <si>
    <t>Sch. 663</t>
  </si>
  <si>
    <t>$ Increase</t>
  </si>
  <si>
    <t>% Increase</t>
  </si>
  <si>
    <t>TOGGLES</t>
  </si>
  <si>
    <t>RD Spread</t>
  </si>
  <si>
    <t>Base Rev</t>
  </si>
  <si>
    <t>ANNUAL RESULTS</t>
  </si>
  <si>
    <t>Avg. Bills</t>
  </si>
  <si>
    <t>Discount</t>
  </si>
  <si>
    <t>Post</t>
  </si>
  <si>
    <t>Avg. Assistance</t>
  </si>
  <si>
    <t>Acct Balance</t>
  </si>
  <si>
    <t>Rate Spread</t>
  </si>
  <si>
    <t>Retail % Inc</t>
  </si>
  <si>
    <t>Base % Inc</t>
  </si>
  <si>
    <t>Assistance</t>
  </si>
  <si>
    <t>WA</t>
  </si>
  <si>
    <t>Type</t>
  </si>
  <si>
    <t>Retail Rev</t>
  </si>
  <si>
    <t>RATE SPREAD</t>
  </si>
  <si>
    <t>RES Only</t>
  </si>
  <si>
    <t>Equal %</t>
  </si>
  <si>
    <t>Therms</t>
  </si>
  <si>
    <t>GRC</t>
  </si>
  <si>
    <t>OPEN</t>
  </si>
  <si>
    <t>COUNTY</t>
  </si>
  <si>
    <t>STATE</t>
  </si>
  <si>
    <t>CUSTOMER_COUNT</t>
  </si>
  <si>
    <t>WEAF_COUNT</t>
  </si>
  <si>
    <t>WEAF_TOTAL_BILL</t>
  </si>
  <si>
    <t>WEAF_TOTAL_ASSIST</t>
  </si>
  <si>
    <t>LIHEAP_COUNT</t>
  </si>
  <si>
    <t>LIHEAP_TOTAL_BILL</t>
  </si>
  <si>
    <t>LIHEAP_TOTAL_ASSIST</t>
  </si>
  <si>
    <t>BIGHRT_COUNT</t>
  </si>
  <si>
    <t>BIGHRT_TOTAL_BILL</t>
  </si>
  <si>
    <t>BIGHRT_TOTAL_ASSIST</t>
  </si>
  <si>
    <t>Bill</t>
  </si>
  <si>
    <t>%</t>
  </si>
  <si>
    <t>Avg. Bill</t>
  </si>
  <si>
    <t>Avg. Remaining</t>
  </si>
  <si>
    <t>% Reduced</t>
  </si>
  <si>
    <t xml:space="preserve">ADAMS       </t>
  </si>
  <si>
    <t xml:space="preserve">BENTON      </t>
  </si>
  <si>
    <t xml:space="preserve">CHELAN      </t>
  </si>
  <si>
    <t xml:space="preserve">COWLITZ     </t>
  </si>
  <si>
    <t xml:space="preserve">DOUGLAS     </t>
  </si>
  <si>
    <t xml:space="preserve">FRANKLIN    </t>
  </si>
  <si>
    <t xml:space="preserve">GRANT       </t>
  </si>
  <si>
    <t>GRAYS HARBOR</t>
  </si>
  <si>
    <t xml:space="preserve">ISLAND      </t>
  </si>
  <si>
    <t xml:space="preserve">KITSAP      </t>
  </si>
  <si>
    <t xml:space="preserve">MASON       </t>
  </si>
  <si>
    <t xml:space="preserve">SKAGIT      </t>
  </si>
  <si>
    <t xml:space="preserve">SNOHOMISH   </t>
  </si>
  <si>
    <t xml:space="preserve">WALLA WALLA </t>
  </si>
  <si>
    <t xml:space="preserve">WHATCOM     </t>
  </si>
  <si>
    <t xml:space="preserve">YAKIMA      </t>
  </si>
  <si>
    <t>SMI</t>
  </si>
  <si>
    <t>AMI</t>
  </si>
  <si>
    <t>Tier</t>
  </si>
  <si>
    <t>T1</t>
  </si>
  <si>
    <t>T2</t>
  </si>
  <si>
    <t>T3</t>
  </si>
  <si>
    <t>T4</t>
  </si>
  <si>
    <t>$ per Therm</t>
  </si>
  <si>
    <t>T5</t>
  </si>
  <si>
    <t>Avg Bill</t>
  </si>
  <si>
    <t>Avg. Arrearage</t>
  </si>
  <si>
    <t>ED Costs</t>
  </si>
  <si>
    <t>Avg. Arrear</t>
  </si>
  <si>
    <t>Arrearage Frequency</t>
  </si>
  <si>
    <t>WEAF</t>
  </si>
  <si>
    <t>Cost Component</t>
  </si>
  <si>
    <t>Amount</t>
  </si>
  <si>
    <t>BHG Bill</t>
  </si>
  <si>
    <t>BHG Arrear Grant</t>
  </si>
  <si>
    <t>Arrear Level Forgiven</t>
  </si>
  <si>
    <t>Grant</t>
  </si>
  <si>
    <t>Community Based-Org</t>
  </si>
  <si>
    <t>Total (rounded)</t>
  </si>
  <si>
    <t>LIHEAP Avg. Assistance</t>
  </si>
  <si>
    <t>Assistance Received</t>
  </si>
  <si>
    <t>Agency Fee</t>
  </si>
  <si>
    <t>Percentage</t>
  </si>
  <si>
    <t>CBO Funding %</t>
  </si>
  <si>
    <t>DATA</t>
  </si>
  <si>
    <t>Rev Type</t>
  </si>
  <si>
    <t>Enrollment Level</t>
  </si>
  <si>
    <t>Administrative</t>
  </si>
  <si>
    <t>CBO Funding $ (min)</t>
  </si>
  <si>
    <t>INFO</t>
  </si>
  <si>
    <t>FPL %</t>
  </si>
  <si>
    <t>LIRA - ED</t>
  </si>
  <si>
    <t>Program w/ Other Assistance</t>
  </si>
  <si>
    <t>Program Cost</t>
  </si>
  <si>
    <t>CNG LIRA REPORT</t>
  </si>
  <si>
    <t>Energy Burden</t>
  </si>
  <si>
    <t>AM Costs</t>
  </si>
  <si>
    <t>Poverty Level</t>
  </si>
  <si>
    <t>Before</t>
  </si>
  <si>
    <t>After</t>
  </si>
  <si>
    <t>Class Portion</t>
  </si>
  <si>
    <t>AMI %</t>
  </si>
  <si>
    <t>Percentage Type</t>
  </si>
  <si>
    <t>200%/80%</t>
  </si>
  <si>
    <t>AVA Tiers</t>
  </si>
  <si>
    <t>Income %</t>
  </si>
  <si>
    <t>EB Discount</t>
  </si>
  <si>
    <t>AMP Discount</t>
  </si>
  <si>
    <t>AMI Crossover</t>
  </si>
  <si>
    <t>Adams</t>
  </si>
  <si>
    <t>Benton</t>
  </si>
  <si>
    <t>Chelan</t>
  </si>
  <si>
    <t>Cowlitz</t>
  </si>
  <si>
    <t>Douglas</t>
  </si>
  <si>
    <t>Franklin</t>
  </si>
  <si>
    <t>Grays Harbor</t>
  </si>
  <si>
    <t>Island</t>
  </si>
  <si>
    <t>Kitsap</t>
  </si>
  <si>
    <t>Mason</t>
  </si>
  <si>
    <t>Skagit</t>
  </si>
  <si>
    <t>Snohomish</t>
  </si>
  <si>
    <t>Walla Walla</t>
  </si>
  <si>
    <t>Whatcom</t>
  </si>
  <si>
    <t>Yakima</t>
  </si>
  <si>
    <t>After w/LIHEAP</t>
  </si>
  <si>
    <t>$ AMI @ 1HH</t>
  </si>
  <si>
    <t>$ FPL @ 1HH</t>
  </si>
  <si>
    <t>Description</t>
  </si>
  <si>
    <t>Crossover</t>
  </si>
  <si>
    <t>FPL/AMI Crossover</t>
  </si>
  <si>
    <t>AMI/FPL Crossover</t>
  </si>
  <si>
    <t>% of Count</t>
  </si>
  <si>
    <t>p22</t>
  </si>
  <si>
    <t>p28</t>
  </si>
  <si>
    <t>p34</t>
  </si>
  <si>
    <t>p6</t>
  </si>
  <si>
    <t>CAA</t>
  </si>
  <si>
    <t>CAA %</t>
  </si>
  <si>
    <t>CNG Count</t>
  </si>
  <si>
    <t>BMAC</t>
  </si>
  <si>
    <t>NWCAC</t>
  </si>
  <si>
    <t>island, whatcom</t>
  </si>
  <si>
    <t>CDCAC</t>
  </si>
  <si>
    <t>chelan, douglas</t>
  </si>
  <si>
    <t>yakima</t>
  </si>
  <si>
    <t>OPPCO</t>
  </si>
  <si>
    <t>County</t>
  </si>
  <si>
    <t>walla walla</t>
  </si>
  <si>
    <t>appxs</t>
  </si>
  <si>
    <t>SOLVER</t>
  </si>
  <si>
    <t>Burden</t>
  </si>
  <si>
    <t>Max</t>
  </si>
  <si>
    <t>MAX</t>
  </si>
  <si>
    <t>AVA</t>
  </si>
  <si>
    <t>Statistics</t>
  </si>
  <si>
    <t>% of CNG Count</t>
  </si>
  <si>
    <t>Avg. Discount</t>
  </si>
  <si>
    <t>Avg. Arrears</t>
  </si>
  <si>
    <t>Avg. EB (before)</t>
  </si>
  <si>
    <t>Avg. EB (after)</t>
  </si>
  <si>
    <t>LI Count Aided</t>
  </si>
  <si>
    <t>Avg. Cost per LI</t>
  </si>
  <si>
    <t>Yes</t>
  </si>
  <si>
    <t>Avg. LIHEAP</t>
  </si>
  <si>
    <t>Avg. EB (LIHEAP)</t>
  </si>
  <si>
    <t>SCCAA</t>
  </si>
  <si>
    <t>skagit</t>
  </si>
  <si>
    <t>SMI Crossover</t>
  </si>
  <si>
    <t>$ SMI @ 1HH</t>
  </si>
  <si>
    <t>FPL/SMI Crossover</t>
  </si>
  <si>
    <t>SMI/FPL Crossover</t>
  </si>
  <si>
    <t>EDP</t>
  </si>
  <si>
    <t>Program Limits</t>
  </si>
  <si>
    <t>AMP</t>
  </si>
  <si>
    <t>Amounts</t>
  </si>
  <si>
    <t>Total</t>
  </si>
  <si>
    <t xml:space="preserve">Adams       </t>
  </si>
  <si>
    <t xml:space="preserve">Benton      </t>
  </si>
  <si>
    <t xml:space="preserve">Chelan      </t>
  </si>
  <si>
    <t xml:space="preserve">Cowlitz     </t>
  </si>
  <si>
    <t xml:space="preserve">Douglas     </t>
  </si>
  <si>
    <t xml:space="preserve">Franklin    </t>
  </si>
  <si>
    <t xml:space="preserve">Grant       </t>
  </si>
  <si>
    <t xml:space="preserve">Island      </t>
  </si>
  <si>
    <t xml:space="preserve">Kitsap      </t>
  </si>
  <si>
    <t xml:space="preserve">Mason       </t>
  </si>
  <si>
    <t xml:space="preserve">Skagit      </t>
  </si>
  <si>
    <t xml:space="preserve">Snohomish   </t>
  </si>
  <si>
    <t xml:space="preserve">Walla Walla </t>
  </si>
  <si>
    <t xml:space="preserve">Whatcom     </t>
  </si>
  <si>
    <t xml:space="preserve">Yakima      </t>
  </si>
  <si>
    <t>EDR (min)</t>
  </si>
  <si>
    <t>Verification</t>
  </si>
  <si>
    <t>Verification Fee</t>
  </si>
  <si>
    <t>Arrear Balance</t>
  </si>
  <si>
    <t>Average</t>
  </si>
  <si>
    <t>Proposed EDP</t>
  </si>
  <si>
    <t>Arrearage Mgmt</t>
  </si>
  <si>
    <t>Monthly Payment</t>
  </si>
  <si>
    <t>Total Owed</t>
  </si>
  <si>
    <t>Watcom</t>
  </si>
  <si>
    <t>80% AMI Count</t>
  </si>
  <si>
    <t>CAC</t>
  </si>
  <si>
    <t>CACLMT</t>
  </si>
  <si>
    <t>mason</t>
  </si>
  <si>
    <t>grays harbor</t>
  </si>
  <si>
    <t>benton, franklin</t>
  </si>
  <si>
    <t>CCAP</t>
  </si>
  <si>
    <t>KCR</t>
  </si>
  <si>
    <t>LCCAP</t>
  </si>
  <si>
    <t>kitsap</t>
  </si>
  <si>
    <t>cowlitz</t>
  </si>
  <si>
    <t>OIC</t>
  </si>
  <si>
    <t>SCEAP</t>
  </si>
  <si>
    <t>snohomish</t>
  </si>
  <si>
    <t>TPA</t>
  </si>
  <si>
    <t>Benefit Rate</t>
  </si>
  <si>
    <t>Avg FTE Cost</t>
  </si>
  <si>
    <t>Annual Hours</t>
  </si>
  <si>
    <t>Agency Type</t>
  </si>
  <si>
    <t>WEAF %</t>
  </si>
  <si>
    <t>Staffing Costs</t>
  </si>
  <si>
    <t>FTEs Needed</t>
  </si>
  <si>
    <t>Avg. FTE Rate</t>
  </si>
  <si>
    <t>Daily FTE Cost</t>
  </si>
  <si>
    <t>Performance</t>
  </si>
  <si>
    <t>Performance Cost</t>
  </si>
  <si>
    <t>Daily Applicants</t>
  </si>
  <si>
    <t>STAFFING ANALYSIS</t>
  </si>
  <si>
    <t>Diff vs WEAF Fee</t>
  </si>
  <si>
    <t>Agency</t>
  </si>
  <si>
    <t>ck</t>
  </si>
  <si>
    <t>Agency %</t>
  </si>
  <si>
    <t>north yakima</t>
  </si>
  <si>
    <t>adams, grant, s yakima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</si>
</sst>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
    <numFmt numFmtId="168" formatCode="&quot;$&quot;#,##0.00"/>
    <numFmt numFmtId="169" formatCode="&quot;$&quot;#,##0.00000"/>
    <numFmt numFmtId="170" formatCode="_(* #,##0\ &quot;th&quot;_);_(* \(#,##0\ &quot;th&quot;_);_(* &quot;-&quot;??_);_(@_)"/>
    <numFmt numFmtId="171" formatCode="0.0"/>
    <numFmt numFmtId="172" formatCode="_(* #,##0.0_);_(* \(#,##0.0\);_(* &quot;-&quot;??_);_(@_)"/>
    <numFmt numFmtId="173" formatCode="#,##0.0"/>
  </numFmts>
  <fonts count="16" x14ac:knownFonts="1">
    <font>
      <sz val="10"/>
      <name val="Arial"/>
    </font>
    <font>
      <sz val="11"/>
      <color theme="1"/>
      <name val="Calibri"/>
      <family val="2"/>
      <scheme val="minor"/>
    </font>
    <font>
      <sz val="11"/>
      <color theme="1"/>
      <name val="Calibri"/>
      <family val="2"/>
      <scheme val="minor"/>
    </font>
    <font>
      <sz val="10"/>
      <name val="Arial"/>
      <family val="2"/>
    </font>
    <font>
      <sz val="10"/>
      <name val="Calibri"/>
      <family val="2"/>
      <scheme val="minor"/>
    </font>
    <font>
      <sz val="11"/>
      <color indexed="8"/>
      <name val="Calibri"/>
      <family val="2"/>
      <scheme val="minor"/>
    </font>
    <font>
      <b/>
      <sz val="10"/>
      <color indexed="8"/>
      <name val="Calibri"/>
      <family val="2"/>
      <scheme val="minor"/>
    </font>
    <font>
      <sz val="10"/>
      <color indexed="8"/>
      <name val="Calibri"/>
      <family val="2"/>
      <scheme val="minor"/>
    </font>
    <font>
      <i/>
      <sz val="10"/>
      <color indexed="8"/>
      <name val="Calibri"/>
      <family val="2"/>
      <scheme val="minor"/>
    </font>
    <font>
      <sz val="10"/>
      <color theme="0"/>
      <name val="Calibri"/>
      <family val="2"/>
      <scheme val="minor"/>
    </font>
    <font>
      <sz val="10"/>
      <name val="Arial"/>
      <family val="2"/>
    </font>
    <font>
      <sz val="10"/>
      <color rgb="FFFF0000"/>
      <name val="Calibri"/>
      <family val="2"/>
      <scheme val="minor"/>
    </font>
    <font>
      <sz val="10"/>
      <color theme="0" tint="-0.14999847407452621"/>
      <name val="Calibri"/>
      <family val="2"/>
      <scheme val="minor"/>
    </font>
    <font>
      <sz val="10"/>
      <color theme="5"/>
      <name val="Calibri"/>
      <family val="2"/>
      <scheme val="minor"/>
    </font>
    <font>
      <i/>
      <sz val="10"/>
      <color theme="0"/>
      <name val="Calibri"/>
      <family val="2"/>
      <scheme val="minor"/>
    </font>
    <font>
      <sz val="10"/>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theme="6" tint="0.79998168889431442"/>
        <bgColor indexed="64"/>
      </patternFill>
    </fill>
  </fills>
  <borders count="5">
    <border>
      <left/>
      <right/>
      <top/>
      <bottom/>
      <diagonal/>
    </border>
    <border>
      <left/>
      <right/>
      <top style="thin">
        <color indexed="64"/>
      </top>
      <bottom style="double">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s>
  <cellStyleXfs count="13">
    <xf numFmtId="0" fontId="0" fillId="0" borderId="0"/>
    <xf numFmtId="9" fontId="3" fillId="0" borderId="0" applyFont="0" applyFill="0" applyBorder="0" applyAlignment="0" applyProtection="0"/>
    <xf numFmtId="0" fontId="3" fillId="0" borderId="0"/>
    <xf numFmtId="0" fontId="2"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0" fillId="0" borderId="0" applyFont="0" applyFill="0" applyBorder="0" applyAlignment="0" applyProtection="0"/>
    <xf numFmtId="44" fontId="15" fillId="0" borderId="0" applyFont="0" applyFill="0" applyBorder="0" applyAlignment="0" applyProtection="0"/>
  </cellStyleXfs>
  <cellXfs count="135">
    <xf numFmtId="0" fontId="0" fillId="0" borderId="0" xfId="0"/>
    <xf numFmtId="9" fontId="6" fillId="2" borderId="0" xfId="7" applyNumberFormat="1" applyFont="1" applyFill="1"/>
    <xf numFmtId="0" fontId="7" fillId="2" borderId="0" xfId="7" applyFont="1" applyFill="1"/>
    <xf numFmtId="0" fontId="7" fillId="0" borderId="0" xfId="7" applyFont="1"/>
    <xf numFmtId="9" fontId="6" fillId="0" borderId="0" xfId="7" applyNumberFormat="1" applyFont="1"/>
    <xf numFmtId="166" fontId="7" fillId="0" borderId="0" xfId="9" applyNumberFormat="1" applyFont="1" applyFill="1" applyBorder="1" applyAlignment="1"/>
    <xf numFmtId="166" fontId="7" fillId="0" borderId="0" xfId="7" applyNumberFormat="1" applyFont="1"/>
    <xf numFmtId="9" fontId="7" fillId="0" borderId="0" xfId="7" applyNumberFormat="1" applyFont="1" applyAlignment="1">
      <alignment horizontal="left"/>
    </xf>
    <xf numFmtId="0" fontId="8" fillId="0" borderId="3" xfId="7" applyFont="1" applyBorder="1" applyAlignment="1">
      <alignment horizontal="center"/>
    </xf>
    <xf numFmtId="167" fontId="7" fillId="0" borderId="0" xfId="7" applyNumberFormat="1" applyFont="1"/>
    <xf numFmtId="9" fontId="7" fillId="0" borderId="0" xfId="7" applyNumberFormat="1" applyFont="1"/>
    <xf numFmtId="10" fontId="7" fillId="0" borderId="0" xfId="8" applyNumberFormat="1" applyFont="1"/>
    <xf numFmtId="166" fontId="7" fillId="0" borderId="4" xfId="9" applyNumberFormat="1" applyFont="1" applyFill="1" applyBorder="1" applyAlignment="1"/>
    <xf numFmtId="0" fontId="6" fillId="0" borderId="0" xfId="7" applyFont="1"/>
    <xf numFmtId="0" fontId="6" fillId="0" borderId="0" xfId="7" applyFont="1" applyAlignment="1">
      <alignment horizontal="right"/>
    </xf>
    <xf numFmtId="166" fontId="4" fillId="0" borderId="0" xfId="9" applyNumberFormat="1" applyFont="1" applyAlignment="1">
      <alignment horizontal="right"/>
    </xf>
    <xf numFmtId="167" fontId="4" fillId="0" borderId="0" xfId="7" applyNumberFormat="1" applyFont="1" applyAlignment="1">
      <alignment horizontal="right"/>
    </xf>
    <xf numFmtId="0" fontId="7" fillId="0" borderId="0" xfId="7" applyFont="1" applyAlignment="1">
      <alignment horizontal="left"/>
    </xf>
    <xf numFmtId="0" fontId="7" fillId="0" borderId="4" xfId="7" applyFont="1" applyBorder="1" applyAlignment="1">
      <alignment horizontal="left"/>
    </xf>
    <xf numFmtId="167" fontId="7" fillId="0" borderId="0" xfId="9" applyNumberFormat="1" applyFont="1" applyFill="1" applyBorder="1" applyAlignment="1"/>
    <xf numFmtId="167" fontId="7" fillId="0" borderId="4" xfId="9" applyNumberFormat="1" applyFont="1" applyFill="1" applyBorder="1" applyAlignment="1"/>
    <xf numFmtId="0" fontId="7" fillId="0" borderId="0" xfId="0" applyNumberFormat="1" applyFont="1" applyFill="1" applyBorder="1" applyAlignment="1" applyProtection="1"/>
    <xf numFmtId="166" fontId="4" fillId="0" borderId="0" xfId="0" applyNumberFormat="1" applyFont="1" applyAlignment="1">
      <alignment horizontal="right"/>
    </xf>
    <xf numFmtId="167" fontId="4" fillId="0" borderId="0" xfId="0" applyNumberFormat="1" applyFont="1" applyFill="1" applyBorder="1" applyAlignment="1" applyProtection="1">
      <alignment horizontal="right"/>
    </xf>
    <xf numFmtId="10" fontId="7" fillId="0" borderId="0" xfId="0" applyNumberFormat="1" applyFont="1"/>
    <xf numFmtId="167" fontId="7" fillId="0" borderId="0" xfId="0" applyNumberFormat="1" applyFont="1" applyFill="1" applyBorder="1" applyAlignment="1" applyProtection="1"/>
    <xf numFmtId="168" fontId="7" fillId="0" borderId="0" xfId="7" applyNumberFormat="1" applyFont="1"/>
    <xf numFmtId="9" fontId="7" fillId="0" borderId="4" xfId="7" applyNumberFormat="1" applyFont="1" applyBorder="1" applyAlignment="1">
      <alignment horizontal="left"/>
    </xf>
    <xf numFmtId="43" fontId="7" fillId="0" borderId="0" xfId="11" applyFont="1"/>
    <xf numFmtId="165" fontId="7" fillId="3" borderId="0" xfId="1" applyNumberFormat="1" applyFont="1" applyFill="1" applyBorder="1" applyAlignment="1" applyProtection="1">
      <protection locked="0"/>
    </xf>
    <xf numFmtId="9" fontId="4" fillId="3" borderId="0" xfId="7" applyNumberFormat="1" applyFont="1" applyFill="1" applyAlignment="1" applyProtection="1">
      <alignment horizontal="left"/>
      <protection locked="0"/>
    </xf>
    <xf numFmtId="167" fontId="7" fillId="3" borderId="0" xfId="8" applyNumberFormat="1" applyFont="1" applyFill="1" applyAlignment="1" applyProtection="1">
      <alignment horizontal="center"/>
      <protection locked="0"/>
    </xf>
    <xf numFmtId="165" fontId="7" fillId="3" borderId="0" xfId="8" applyNumberFormat="1" applyFont="1" applyFill="1" applyAlignment="1" applyProtection="1">
      <alignment horizontal="center"/>
      <protection locked="0"/>
    </xf>
    <xf numFmtId="0" fontId="7" fillId="3" borderId="0" xfId="7" applyFont="1" applyFill="1" applyAlignment="1" applyProtection="1">
      <alignment horizontal="center"/>
      <protection locked="0"/>
    </xf>
    <xf numFmtId="1" fontId="7" fillId="3" borderId="0" xfId="8" applyNumberFormat="1" applyFont="1" applyFill="1" applyAlignment="1" applyProtection="1">
      <alignment horizontal="center"/>
      <protection locked="0"/>
    </xf>
    <xf numFmtId="0" fontId="7" fillId="0" borderId="0" xfId="7" applyFont="1" applyProtection="1"/>
    <xf numFmtId="9" fontId="6" fillId="2" borderId="0" xfId="7" applyNumberFormat="1" applyFont="1" applyFill="1" applyProtection="1"/>
    <xf numFmtId="0" fontId="7" fillId="2" borderId="0" xfId="7" applyFont="1" applyFill="1" applyProtection="1"/>
    <xf numFmtId="9" fontId="6" fillId="0" borderId="0" xfId="7" applyNumberFormat="1" applyFont="1" applyProtection="1"/>
    <xf numFmtId="166" fontId="7" fillId="0" borderId="0" xfId="9" applyNumberFormat="1" applyFont="1" applyFill="1" applyBorder="1" applyAlignment="1" applyProtection="1"/>
    <xf numFmtId="166" fontId="7" fillId="0" borderId="0" xfId="7" applyNumberFormat="1" applyFont="1" applyProtection="1"/>
    <xf numFmtId="9" fontId="7" fillId="0" borderId="0" xfId="8" applyFont="1" applyProtection="1"/>
    <xf numFmtId="9" fontId="7" fillId="0" borderId="0" xfId="7" applyNumberFormat="1" applyFont="1" applyAlignment="1" applyProtection="1">
      <alignment horizontal="left"/>
    </xf>
    <xf numFmtId="0" fontId="8" fillId="0" borderId="3" xfId="7" applyFont="1" applyBorder="1" applyAlignment="1" applyProtection="1">
      <alignment horizontal="center"/>
    </xf>
    <xf numFmtId="0" fontId="7" fillId="0" borderId="0" xfId="7" applyFont="1" applyFill="1" applyProtection="1"/>
    <xf numFmtId="9" fontId="4" fillId="0" borderId="0" xfId="7" applyNumberFormat="1" applyFont="1" applyFill="1" applyAlignment="1" applyProtection="1">
      <alignment horizontal="left"/>
    </xf>
    <xf numFmtId="167" fontId="7" fillId="0" borderId="0" xfId="9" applyNumberFormat="1" applyFont="1" applyFill="1" applyBorder="1" applyAlignment="1" applyProtection="1"/>
    <xf numFmtId="166" fontId="7" fillId="0" borderId="2" xfId="9" applyNumberFormat="1" applyFont="1" applyFill="1" applyBorder="1" applyAlignment="1" applyProtection="1"/>
    <xf numFmtId="167" fontId="7" fillId="0" borderId="2" xfId="9" applyNumberFormat="1" applyFont="1" applyFill="1" applyBorder="1" applyAlignment="1" applyProtection="1"/>
    <xf numFmtId="165" fontId="7" fillId="0" borderId="0" xfId="7" applyNumberFormat="1" applyFont="1" applyProtection="1"/>
    <xf numFmtId="165" fontId="8" fillId="0" borderId="3" xfId="7" applyNumberFormat="1" applyFont="1" applyBorder="1" applyAlignment="1" applyProtection="1">
      <alignment horizontal="center"/>
    </xf>
    <xf numFmtId="167" fontId="7" fillId="0" borderId="0" xfId="10" applyNumberFormat="1" applyFont="1" applyFill="1" applyBorder="1" applyAlignment="1" applyProtection="1"/>
    <xf numFmtId="9" fontId="9" fillId="0" borderId="0" xfId="1" applyFont="1" applyProtection="1"/>
    <xf numFmtId="165" fontId="9" fillId="0" borderId="0" xfId="7" applyNumberFormat="1" applyFont="1" applyProtection="1"/>
    <xf numFmtId="44" fontId="7" fillId="0" borderId="0" xfId="10" applyFont="1" applyFill="1" applyBorder="1" applyAlignment="1" applyProtection="1"/>
    <xf numFmtId="9" fontId="4" fillId="0" borderId="0" xfId="7" applyNumberFormat="1" applyFont="1" applyAlignment="1" applyProtection="1">
      <alignment horizontal="left"/>
    </xf>
    <xf numFmtId="164" fontId="8" fillId="0" borderId="3" xfId="7" applyNumberFormat="1" applyFont="1" applyBorder="1" applyAlignment="1" applyProtection="1">
      <alignment horizontal="center"/>
    </xf>
    <xf numFmtId="164" fontId="7" fillId="0" borderId="0" xfId="10" applyNumberFormat="1" applyFont="1" applyFill="1" applyBorder="1" applyAlignment="1" applyProtection="1"/>
    <xf numFmtId="165" fontId="7" fillId="0" borderId="0" xfId="8" applyNumberFormat="1" applyFont="1" applyFill="1" applyProtection="1"/>
    <xf numFmtId="167" fontId="7" fillId="0" borderId="0" xfId="9" applyNumberFormat="1" applyFont="1" applyProtection="1"/>
    <xf numFmtId="168" fontId="7" fillId="0" borderId="0" xfId="9" applyNumberFormat="1" applyFont="1" applyProtection="1"/>
    <xf numFmtId="164" fontId="7" fillId="0" borderId="2" xfId="10" applyNumberFormat="1" applyFont="1" applyFill="1" applyBorder="1" applyAlignment="1" applyProtection="1"/>
    <xf numFmtId="164" fontId="6" fillId="0" borderId="1" xfId="7" applyNumberFormat="1" applyFont="1" applyBorder="1" applyProtection="1"/>
    <xf numFmtId="165" fontId="7" fillId="0" borderId="1" xfId="8" applyNumberFormat="1" applyFont="1" applyFill="1" applyBorder="1" applyProtection="1"/>
    <xf numFmtId="0" fontId="7" fillId="0" borderId="0" xfId="7" applyFont="1" applyAlignment="1" applyProtection="1">
      <alignment horizontal="right"/>
    </xf>
    <xf numFmtId="166" fontId="9" fillId="0" borderId="0" xfId="9" applyNumberFormat="1" applyFont="1" applyFill="1" applyBorder="1" applyAlignment="1" applyProtection="1"/>
    <xf numFmtId="166" fontId="9" fillId="0" borderId="0" xfId="7" applyNumberFormat="1" applyFont="1" applyProtection="1"/>
    <xf numFmtId="0" fontId="9" fillId="0" borderId="0" xfId="7" applyFont="1" applyProtection="1"/>
    <xf numFmtId="164" fontId="7" fillId="0" borderId="0" xfId="7" applyNumberFormat="1" applyFont="1" applyProtection="1"/>
    <xf numFmtId="9" fontId="7" fillId="0" borderId="0" xfId="1" applyFont="1" applyAlignment="1" applyProtection="1">
      <alignment horizontal="left"/>
    </xf>
    <xf numFmtId="166" fontId="7" fillId="0" borderId="0" xfId="9" applyNumberFormat="1" applyFont="1" applyProtection="1"/>
    <xf numFmtId="9" fontId="7" fillId="0" borderId="4" xfId="1" applyFont="1" applyBorder="1" applyAlignment="1" applyProtection="1">
      <alignment horizontal="left"/>
    </xf>
    <xf numFmtId="166" fontId="7" fillId="0" borderId="4" xfId="9" applyNumberFormat="1" applyFont="1" applyFill="1" applyBorder="1" applyAlignment="1" applyProtection="1"/>
    <xf numFmtId="167" fontId="7" fillId="0" borderId="4" xfId="9" applyNumberFormat="1" applyFont="1" applyFill="1" applyBorder="1" applyAlignment="1" applyProtection="1"/>
    <xf numFmtId="167" fontId="7" fillId="0" borderId="0" xfId="7" applyNumberFormat="1" applyFont="1" applyProtection="1"/>
    <xf numFmtId="43" fontId="7" fillId="0" borderId="0" xfId="9" applyFont="1" applyProtection="1"/>
    <xf numFmtId="9" fontId="7" fillId="0" borderId="0" xfId="7" applyNumberFormat="1" applyFont="1" applyProtection="1"/>
    <xf numFmtId="165" fontId="7" fillId="0" borderId="0" xfId="1" applyNumberFormat="1" applyFont="1" applyFill="1" applyBorder="1" applyAlignment="1" applyProtection="1"/>
    <xf numFmtId="165" fontId="7" fillId="0" borderId="4" xfId="1" applyNumberFormat="1" applyFont="1" applyFill="1" applyBorder="1" applyAlignment="1" applyProtection="1"/>
    <xf numFmtId="165" fontId="7" fillId="0" borderId="0" xfId="1" applyNumberFormat="1" applyFont="1" applyProtection="1"/>
    <xf numFmtId="0" fontId="11" fillId="0" borderId="0" xfId="7" applyFont="1" applyAlignment="1">
      <alignment horizontal="right"/>
    </xf>
    <xf numFmtId="0" fontId="11" fillId="2" borderId="0" xfId="7" applyFont="1" applyFill="1" applyAlignment="1">
      <alignment horizontal="right"/>
    </xf>
    <xf numFmtId="0" fontId="11" fillId="2" borderId="0" xfId="7" applyFont="1" applyFill="1" applyAlignment="1" applyProtection="1">
      <alignment horizontal="right"/>
    </xf>
    <xf numFmtId="0" fontId="7" fillId="0" borderId="0" xfId="7" applyFont="1" applyAlignment="1" applyProtection="1">
      <alignment horizontal="left"/>
    </xf>
    <xf numFmtId="9" fontId="7" fillId="0" borderId="0" xfId="1" applyFont="1" applyProtection="1"/>
    <xf numFmtId="0" fontId="7" fillId="0" borderId="4" xfId="7" applyFont="1" applyBorder="1" applyAlignment="1" applyProtection="1">
      <alignment horizontal="left"/>
    </xf>
    <xf numFmtId="9" fontId="7" fillId="0" borderId="0" xfId="1" applyNumberFormat="1" applyFont="1" applyAlignment="1" applyProtection="1">
      <alignment horizontal="right"/>
    </xf>
    <xf numFmtId="165" fontId="8" fillId="0" borderId="0" xfId="7" applyNumberFormat="1" applyFont="1" applyBorder="1" applyAlignment="1" applyProtection="1">
      <alignment horizontal="center"/>
    </xf>
    <xf numFmtId="9" fontId="4" fillId="0" borderId="0" xfId="7" applyNumberFormat="1" applyFont="1" applyFill="1" applyAlignment="1" applyProtection="1">
      <alignment horizontal="right"/>
    </xf>
    <xf numFmtId="9" fontId="7" fillId="0" borderId="0" xfId="1" applyNumberFormat="1" applyFont="1" applyProtection="1"/>
    <xf numFmtId="167" fontId="8" fillId="0" borderId="3" xfId="7" applyNumberFormat="1" applyFont="1" applyBorder="1" applyAlignment="1" applyProtection="1">
      <alignment horizontal="center"/>
    </xf>
    <xf numFmtId="166" fontId="4" fillId="0" borderId="0" xfId="11" applyNumberFormat="1" applyFont="1" applyFill="1" applyAlignment="1" applyProtection="1">
      <alignment horizontal="left"/>
    </xf>
    <xf numFmtId="9" fontId="7" fillId="3" borderId="0" xfId="7" applyNumberFormat="1" applyFont="1" applyFill="1" applyAlignment="1" applyProtection="1">
      <alignment horizontal="right"/>
      <protection locked="0"/>
    </xf>
    <xf numFmtId="43" fontId="7" fillId="3" borderId="0" xfId="9" applyFont="1" applyFill="1" applyProtection="1">
      <protection locked="0"/>
    </xf>
    <xf numFmtId="9" fontId="7" fillId="0" borderId="0" xfId="7" applyNumberFormat="1" applyFont="1" applyFill="1" applyProtection="1">
      <protection locked="0"/>
    </xf>
    <xf numFmtId="9" fontId="7" fillId="0" borderId="0" xfId="7" applyNumberFormat="1" applyFont="1" applyFill="1" applyAlignment="1" applyProtection="1">
      <alignment horizontal="right"/>
      <protection locked="0"/>
    </xf>
    <xf numFmtId="166" fontId="7" fillId="0" borderId="0" xfId="11" applyNumberFormat="1" applyFont="1" applyProtection="1"/>
    <xf numFmtId="9" fontId="11" fillId="0" borderId="0" xfId="1" applyFont="1" applyProtection="1"/>
    <xf numFmtId="0" fontId="11" fillId="0" borderId="0" xfId="7" applyFont="1" applyProtection="1"/>
    <xf numFmtId="167" fontId="11" fillId="0" borderId="0" xfId="0" applyNumberFormat="1" applyFont="1" applyFill="1" applyBorder="1" applyAlignment="1" applyProtection="1"/>
    <xf numFmtId="10" fontId="11" fillId="0" borderId="0" xfId="0" applyNumberFormat="1" applyFont="1"/>
    <xf numFmtId="167" fontId="11" fillId="0" borderId="0" xfId="0" applyNumberFormat="1" applyFont="1" applyFill="1" applyBorder="1" applyAlignment="1" applyProtection="1">
      <alignment horizontal="right"/>
    </xf>
    <xf numFmtId="167" fontId="4" fillId="0" borderId="0" xfId="7" applyNumberFormat="1" applyFont="1" applyProtection="1"/>
    <xf numFmtId="168" fontId="7" fillId="0" borderId="0" xfId="7" applyNumberFormat="1" applyFont="1" applyProtection="1"/>
    <xf numFmtId="165" fontId="7" fillId="0" borderId="0" xfId="7" applyNumberFormat="1" applyFont="1"/>
    <xf numFmtId="9" fontId="7" fillId="0" borderId="0" xfId="7" applyNumberFormat="1" applyFont="1" applyProtection="1">
      <protection locked="0"/>
    </xf>
    <xf numFmtId="9" fontId="7" fillId="0" borderId="0" xfId="7" applyNumberFormat="1" applyFont="1" applyAlignment="1" applyProtection="1">
      <alignment horizontal="right"/>
      <protection locked="0"/>
    </xf>
    <xf numFmtId="166" fontId="7" fillId="0" borderId="0" xfId="11" applyNumberFormat="1" applyFont="1" applyAlignment="1" applyProtection="1">
      <alignment horizontal="center"/>
    </xf>
    <xf numFmtId="166" fontId="11" fillId="0" borderId="0" xfId="11" applyNumberFormat="1" applyFont="1" applyAlignment="1" applyProtection="1">
      <alignment horizontal="center"/>
    </xf>
    <xf numFmtId="170" fontId="7" fillId="0" borderId="0" xfId="10" applyNumberFormat="1" applyFont="1" applyFill="1" applyBorder="1" applyAlignment="1" applyProtection="1"/>
    <xf numFmtId="166" fontId="7" fillId="0" borderId="1" xfId="11" applyNumberFormat="1" applyFont="1" applyFill="1" applyBorder="1" applyProtection="1"/>
    <xf numFmtId="9" fontId="8" fillId="3" borderId="3" xfId="7" applyNumberFormat="1" applyFont="1" applyFill="1" applyBorder="1" applyAlignment="1" applyProtection="1">
      <alignment horizontal="right"/>
    </xf>
    <xf numFmtId="165" fontId="13" fillId="0" borderId="0" xfId="1" applyNumberFormat="1" applyFont="1" applyFill="1" applyBorder="1" applyAlignment="1" applyProtection="1"/>
    <xf numFmtId="9" fontId="12" fillId="0" borderId="0" xfId="1" applyFont="1" applyProtection="1"/>
    <xf numFmtId="167" fontId="9" fillId="0" borderId="0" xfId="9" applyNumberFormat="1" applyFont="1" applyFill="1" applyBorder="1" applyAlignment="1" applyProtection="1"/>
    <xf numFmtId="167" fontId="9" fillId="0" borderId="0" xfId="7" applyNumberFormat="1" applyFont="1" applyProtection="1"/>
    <xf numFmtId="169" fontId="13" fillId="0" borderId="0" xfId="9" applyNumberFormat="1" applyFont="1" applyProtection="1"/>
    <xf numFmtId="0" fontId="14" fillId="0" borderId="3" xfId="7" applyFont="1" applyBorder="1" applyAlignment="1" applyProtection="1">
      <alignment horizontal="center"/>
    </xf>
    <xf numFmtId="43" fontId="7" fillId="0" borderId="0" xfId="7" applyNumberFormat="1" applyFont="1" applyProtection="1"/>
    <xf numFmtId="171" fontId="7" fillId="3" borderId="0" xfId="8" applyNumberFormat="1" applyFont="1" applyFill="1" applyAlignment="1" applyProtection="1">
      <alignment horizontal="center"/>
      <protection locked="0"/>
    </xf>
    <xf numFmtId="9" fontId="7" fillId="0" borderId="0" xfId="1" applyFont="1" applyFill="1" applyBorder="1" applyAlignment="1"/>
    <xf numFmtId="9" fontId="7" fillId="0" borderId="4" xfId="1" applyFont="1" applyFill="1" applyBorder="1" applyAlignment="1"/>
    <xf numFmtId="9" fontId="7" fillId="0" borderId="0" xfId="1" applyFont="1"/>
    <xf numFmtId="167" fontId="7" fillId="3" borderId="0" xfId="10" applyNumberFormat="1" applyFont="1" applyFill="1" applyBorder="1" applyAlignment="1" applyProtection="1"/>
    <xf numFmtId="9" fontId="7" fillId="3" borderId="0" xfId="12" applyNumberFormat="1" applyFont="1" applyFill="1" applyProtection="1"/>
    <xf numFmtId="166" fontId="7" fillId="3" borderId="0" xfId="11" applyNumberFormat="1" applyFont="1" applyFill="1" applyProtection="1"/>
    <xf numFmtId="172" fontId="7" fillId="0" borderId="0" xfId="9" applyNumberFormat="1" applyFont="1" applyFill="1" applyBorder="1" applyAlignment="1"/>
    <xf numFmtId="172" fontId="7" fillId="0" borderId="4" xfId="9" applyNumberFormat="1" applyFont="1" applyFill="1" applyBorder="1" applyAlignment="1"/>
    <xf numFmtId="172" fontId="7" fillId="0" borderId="0" xfId="7" applyNumberFormat="1" applyFont="1" applyProtection="1"/>
    <xf numFmtId="172" fontId="7" fillId="0" borderId="0" xfId="7" applyNumberFormat="1" applyFont="1"/>
    <xf numFmtId="172" fontId="7" fillId="0" borderId="0" xfId="11" applyNumberFormat="1" applyFont="1" applyProtection="1"/>
    <xf numFmtId="173" fontId="7" fillId="3" borderId="0" xfId="8" applyNumberFormat="1" applyFont="1" applyFill="1" applyAlignment="1" applyProtection="1">
      <alignment horizontal="center"/>
      <protection locked="0"/>
    </xf>
    <xf numFmtId="167" fontId="7" fillId="0" borderId="0" xfId="7" applyNumberFormat="1" applyFont="1" applyAlignment="1" applyProtection="1">
      <alignment horizontal="left"/>
    </xf>
    <xf numFmtId="167" fontId="13" fillId="0" borderId="0" xfId="10" applyNumberFormat="1" applyFont="1" applyFill="1" applyBorder="1" applyAlignment="1" applyProtection="1"/>
    <xf numFmtId="166" fontId="8" fillId="0" borderId="3" xfId="11" applyNumberFormat="1" applyFont="1" applyBorder="1" applyAlignment="1" applyProtection="1">
      <alignment horizontal="center"/>
    </xf>
  </cellXfs>
  <cellStyles count="13">
    <cellStyle name="Comma" xfId="11" builtinId="3"/>
    <cellStyle name="Comma 2" xfId="6" xr:uid="{A58F62E3-752A-434E-A5EB-DB2CD6E7CA45}"/>
    <cellStyle name="Comma 3" xfId="9" xr:uid="{4A67A1BB-A021-4703-A821-4F30C0237776}"/>
    <cellStyle name="Currency" xfId="12" builtinId="4"/>
    <cellStyle name="Currency 2" xfId="10" xr:uid="{2660FE23-8BED-4F6B-AEF0-6FABE4C4A3AF}"/>
    <cellStyle name="Normal" xfId="0" builtinId="0"/>
    <cellStyle name="Normal 2" xfId="2" xr:uid="{00000000-0005-0000-0000-000003000000}"/>
    <cellStyle name="Normal 3" xfId="3" xr:uid="{00000000-0005-0000-0000-000004000000}"/>
    <cellStyle name="Normal 4" xfId="4" xr:uid="{56FBD157-65AB-4A0A-98A3-C601908CD24B}"/>
    <cellStyle name="Normal 5" xfId="7" xr:uid="{30BEE901-821A-4C44-9981-DE3A1579C698}"/>
    <cellStyle name="Percent" xfId="1" builtinId="5"/>
    <cellStyle name="Percent 2" xfId="5" xr:uid="{316E3C7B-7CD6-48F9-A682-951DC80D2F32}"/>
    <cellStyle name="Percent 3" xfId="8" xr:uid="{9393A9F1-416E-4EAB-A97A-65FBF0943548}"/>
  </cellStyles>
  <dxfs count="49">
    <dxf>
      <font>
        <b val="0"/>
        <i val="0"/>
        <strike val="0"/>
        <condense val="0"/>
        <extend val="0"/>
        <outline val="0"/>
        <shadow val="0"/>
        <u val="none"/>
        <vertAlign val="baseline"/>
        <sz val="10"/>
        <color rgb="FFFF0000"/>
        <name val="Calibri"/>
        <family val="2"/>
        <scheme val="minor"/>
      </font>
      <numFmt numFmtId="167" formatCode="&quot;$&quot;#,##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Calibri"/>
        <family val="2"/>
        <scheme val="minor"/>
      </font>
      <numFmt numFmtId="167" formatCode="&quot;$&quot;#,##0"/>
    </dxf>
    <dxf>
      <font>
        <b val="0"/>
        <i val="0"/>
        <strike val="0"/>
        <condense val="0"/>
        <extend val="0"/>
        <outline val="0"/>
        <shadow val="0"/>
        <u val="none"/>
        <vertAlign val="baseline"/>
        <sz val="10"/>
        <color rgb="FFFF0000"/>
        <name val="Calibri"/>
        <family val="2"/>
        <scheme val="minor"/>
      </font>
      <numFmt numFmtId="167" formatCode="&quot;$&quot;#,##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Calibri"/>
        <family val="2"/>
        <scheme val="minor"/>
      </font>
      <numFmt numFmtId="167" formatCode="&quot;$&quot;#,##0"/>
    </dxf>
    <dxf>
      <font>
        <b val="0"/>
        <i val="0"/>
        <strike val="0"/>
        <condense val="0"/>
        <extend val="0"/>
        <outline val="0"/>
        <shadow val="0"/>
        <u val="none"/>
        <vertAlign val="baseline"/>
        <sz val="10"/>
        <color rgb="FFFF0000"/>
        <name val="Calibri"/>
        <family val="2"/>
        <scheme val="minor"/>
      </font>
      <numFmt numFmtId="14" formatCode="0.00%"/>
    </dxf>
    <dxf>
      <font>
        <b val="0"/>
        <i val="0"/>
        <strike val="0"/>
        <condense val="0"/>
        <extend val="0"/>
        <outline val="0"/>
        <shadow val="0"/>
        <u val="none"/>
        <vertAlign val="baseline"/>
        <sz val="10"/>
        <color indexed="8"/>
        <name val="Calibri"/>
        <family val="2"/>
        <scheme val="minor"/>
      </font>
      <numFmt numFmtId="14" formatCode="0.0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indexed="8"/>
        <name val="Calibri"/>
        <family val="2"/>
        <scheme val="minor"/>
      </font>
      <numFmt numFmtId="14" formatCode="0.00%"/>
    </dxf>
    <dxf>
      <font>
        <b val="0"/>
        <i val="0"/>
        <strike val="0"/>
        <condense val="0"/>
        <extend val="0"/>
        <outline val="0"/>
        <shadow val="0"/>
        <u val="none"/>
        <vertAlign val="baseline"/>
        <sz val="10"/>
        <color indexed="8"/>
        <name val="Calibri"/>
        <family val="2"/>
        <scheme val="minor"/>
      </font>
      <numFmt numFmtId="14" formatCode="0.00%"/>
    </dxf>
    <dxf>
      <font>
        <b val="0"/>
        <i val="0"/>
        <strike val="0"/>
        <condense val="0"/>
        <extend val="0"/>
        <outline val="0"/>
        <shadow val="0"/>
        <u val="none"/>
        <vertAlign val="baseline"/>
        <sz val="10"/>
        <color indexed="8"/>
        <name val="Calibri"/>
        <family val="2"/>
        <scheme val="minor"/>
      </font>
      <numFmt numFmtId="167" formatCode="&quot;$&quot;#,##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Calibri"/>
        <family val="2"/>
        <scheme val="minor"/>
      </font>
      <numFmt numFmtId="167" formatCode="&quot;$&quot;#,##0"/>
    </dxf>
    <dxf>
      <font>
        <b val="0"/>
        <i val="0"/>
        <strike val="0"/>
        <condense val="0"/>
        <extend val="0"/>
        <outline val="0"/>
        <shadow val="0"/>
        <u val="none"/>
        <vertAlign val="baseline"/>
        <sz val="10"/>
        <color rgb="FFFF0000"/>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indexed="8"/>
        <name val="Calibri"/>
        <family val="2"/>
        <scheme val="minor"/>
      </font>
      <numFmt numFmtId="14" formatCode="0.00%"/>
    </dxf>
    <dxf>
      <font>
        <b val="0"/>
        <i val="0"/>
        <strike val="0"/>
        <condense val="0"/>
        <extend val="0"/>
        <outline val="0"/>
        <shadow val="0"/>
        <u val="none"/>
        <vertAlign val="baseline"/>
        <sz val="10"/>
        <color indexed="8"/>
        <name val="Calibri"/>
        <family val="2"/>
        <scheme val="minor"/>
      </font>
      <numFmt numFmtId="14" formatCode="0.0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7" formatCode="&quot;$&quot;#,##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family val="2"/>
        <scheme val="minor"/>
      </font>
      <numFmt numFmtId="167" formatCode="&quot;$&quot;#,##0"/>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indexed="8"/>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Calibri"/>
        <family val="2"/>
        <scheme val="minor"/>
      </font>
    </dxf>
    <dxf>
      <font>
        <b val="0"/>
        <i val="0"/>
        <strike val="0"/>
        <condense val="0"/>
        <extend val="0"/>
        <outline val="0"/>
        <shadow val="0"/>
        <u val="none"/>
        <vertAlign val="baseline"/>
        <sz val="10"/>
        <color indexed="8"/>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Calibri"/>
        <family val="2"/>
        <scheme val="minor"/>
      </font>
    </dxf>
    <dxf>
      <font>
        <b val="0"/>
        <i val="0"/>
        <strike val="0"/>
        <condense val="0"/>
        <extend val="0"/>
        <outline val="0"/>
        <shadow val="0"/>
        <u val="none"/>
        <vertAlign val="baseline"/>
        <sz val="10"/>
        <color indexed="8"/>
        <name val="Calibri"/>
        <family val="2"/>
        <scheme val="minor"/>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persons/person.xml><?xml version="1.0" encoding="utf-8"?>
<personList xmlns="http://schemas.microsoft.com/office/spreadsheetml/2018/threadedcomments" xmlns:x="http://schemas.openxmlformats.org/spreadsheetml/2006/main">
  <person displayName="Mickelson, Christopher" id="{19054FB9-5A18-4127-A88B-43C3375FA011}" userId="Mickelson, Christopher"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BC8E67-BA17-4023-BB2C-B3423AF4AE02}" name="Assistance" displayName="Assistance" ref="A1:Y18" totalsRowCount="1" headerRowDxfId="48">
  <sortState xmlns:xlrd2="http://schemas.microsoft.com/office/spreadsheetml/2017/richdata2" ref="A2:T17">
    <sortCondition ref="A1:A17"/>
  </sortState>
  <tableColumns count="25">
    <tableColumn id="1" xr3:uid="{19B692AF-C2DA-47F9-9036-E60F4366D4CC}" name="COUNTY" dataDxfId="47" totalsRowDxfId="46"/>
    <tableColumn id="20" xr3:uid="{7A013D98-9754-4185-AAC8-3890B26FCF82}" name="STATE" dataDxfId="45" totalsRowDxfId="44"/>
    <tableColumn id="2" xr3:uid="{65152531-A424-4AF8-A99A-D91781DF7B57}" name="CUSTOMER_COUNT" totalsRowFunction="sum" dataDxfId="43" totalsRowDxfId="42"/>
    <tableColumn id="3" xr3:uid="{398DFB01-A36E-4AEB-8C7A-256B21A36562}" name="WEAF_COUNT" totalsRowFunction="sum" dataDxfId="41" totalsRowDxfId="40"/>
    <tableColumn id="4" xr3:uid="{5843980B-A062-4348-9B99-2FA1060AC678}" name="WEAF_TOTAL_BILL" totalsRowFunction="sum" dataDxfId="39" totalsRowDxfId="38"/>
    <tableColumn id="5" xr3:uid="{DD576975-6017-42A0-AC24-FFC258755A37}" name="WEAF_TOTAL_ASSIST" totalsRowFunction="sum" dataDxfId="37" totalsRowDxfId="36"/>
    <tableColumn id="6" xr3:uid="{93A1F690-6061-409E-8F65-87EEFE5C2E0F}" name="LIHEAP_COUNT" totalsRowFunction="sum" dataDxfId="35" totalsRowDxfId="34"/>
    <tableColumn id="7" xr3:uid="{4B20A484-41EA-4767-87F9-8CBA19CCECA4}" name="LIHEAP_TOTAL_BILL" totalsRowFunction="sum" dataDxfId="33" totalsRowDxfId="32"/>
    <tableColumn id="8" xr3:uid="{6EA31746-0DBC-4FE0-BBA3-E84C72B005EA}" name="LIHEAP_TOTAL_ASSIST" totalsRowFunction="sum" dataDxfId="31" totalsRowDxfId="30"/>
    <tableColumn id="9" xr3:uid="{6920F498-E361-4294-9701-B461AD6BC447}" name="BIGHRT_COUNT" totalsRowFunction="sum" dataDxfId="29" totalsRowDxfId="28"/>
    <tableColumn id="10" xr3:uid="{0DC569AA-4B33-48B4-8110-AC70279BA9C7}" name="BIGHRT_TOTAL_BILL" totalsRowFunction="sum" dataDxfId="27" totalsRowDxfId="26"/>
    <tableColumn id="11" xr3:uid="{0EBE84A8-A53A-41D7-8BBF-80FB00460243}" name="BIGHRT_TOTAL_ASSIST" totalsRowFunction="sum" dataDxfId="25" totalsRowDxfId="24"/>
    <tableColumn id="12" xr3:uid="{05476341-FC18-4AEF-8633-2B21528BB367}" name="Count" dataDxfId="23" totalsRowDxfId="22">
      <calculatedColumnFormula>Assistance[[#This Row],[WEAF_COUNT]]+Assistance[[#This Row],[LIHEAP_COUNT]]+Assistance[[#This Row],[BIGHRT_COUNT]]</calculatedColumnFormula>
    </tableColumn>
    <tableColumn id="13" xr3:uid="{29E266B5-438C-46E1-9396-5DD06E937544}" name="Bill" dataDxfId="21" totalsRowDxfId="20">
      <calculatedColumnFormula>Assistance[[#This Row],[WEAF_TOTAL_BILL]]+Assistance[[#This Row],[LIHEAP_TOTAL_BILL]]+Assistance[[#This Row],[BIGHRT_TOTAL_BILL]]</calculatedColumnFormula>
    </tableColumn>
    <tableColumn id="14" xr3:uid="{9C73E269-CE31-48B3-AE13-5C34472A889F}" name="Assistance" dataDxfId="19" totalsRowDxfId="18">
      <calculatedColumnFormula>Assistance[[#This Row],[WEAF_TOTAL_ASSIST]]+Assistance[[#This Row],[LIHEAP_TOTAL_ASSIST]]+Assistance[[#This Row],[BIGHRT_TOTAL_ASSIST]]</calculatedColumnFormula>
    </tableColumn>
    <tableColumn id="15" xr3:uid="{D4603313-FF7E-4506-AE56-A636793C1833}" name="%" totalsRowFunction="custom" dataDxfId="17" totalsRowDxfId="16" dataCellStyle="Percent">
      <calculatedColumnFormula>Assistance[[#This Row],[Count]]/Assistance[[#This Row],[CUSTOMER_COUNT]]</calculatedColumnFormula>
      <totalsRowFormula>SUBTOTAL(1, Assistance[%])</totalsRowFormula>
    </tableColumn>
    <tableColumn id="16" xr3:uid="{FFB8EAB9-1B81-4868-A074-3CA53E69AEF3}" name="Avg. Bill" totalsRowFunction="average" dataDxfId="15" totalsRowDxfId="14">
      <calculatedColumnFormula>Assistance[[#This Row],[Bill]]/Assistance[[#This Row],[Count]]</calculatedColumnFormula>
    </tableColumn>
    <tableColumn id="17" xr3:uid="{2AB4543C-1712-44B2-8A57-6C80CF3473ED}" name="Avg. Assistance" totalsRowFunction="average" dataDxfId="13" totalsRowDxfId="12">
      <calculatedColumnFormula>Assistance[[#This Row],[Assistance]]/Assistance[[#This Row],[Count]]</calculatedColumnFormula>
    </tableColumn>
    <tableColumn id="18" xr3:uid="{772DA0EA-EF83-43D6-AFF8-B21021F2EAAA}" name="Avg. Remaining" totalsRowFunction="average" dataDxfId="11" totalsRowDxfId="10">
      <calculatedColumnFormula>Assistance[[#This Row],[Avg. Bill]]-Assistance[[#This Row],[Avg. Assistance]]</calculatedColumnFormula>
    </tableColumn>
    <tableColumn id="19" xr3:uid="{FB4D10C1-C6F1-4394-8610-ECA78C537238}" name="% Reduced" totalsRowFunction="average" dataDxfId="9" totalsRowDxfId="8" dataCellStyle="Percent">
      <calculatedColumnFormula>Assistance[[#This Row],[Avg. Assistance]]/Assistance[[#This Row],[Avg. Bill]]</calculatedColumnFormula>
    </tableColumn>
    <tableColumn id="21" xr3:uid="{D4BF9005-32B3-4DAC-963E-0DC2AFD6FAB6}" name="BHG Bill" dataDxfId="7" dataCellStyle="Normal 5">
      <calculatedColumnFormula>Assistance[[#This Row],[BIGHRT_TOTAL_BILL]]/Assistance[[#This Row],[BIGHRT_COUNT]]</calculatedColumnFormula>
    </tableColumn>
    <tableColumn id="22" xr3:uid="{D4D33DE6-D743-423E-95AF-832105AABEA3}" name="BHG Arrear Grant" dataDxfId="6" dataCellStyle="Normal 5">
      <calculatedColumnFormula>Assistance[[#This Row],[BIGHRT_TOTAL_ASSIST]]/Assistance[[#This Row],[BIGHRT_COUNT]]</calculatedColumnFormula>
    </tableColumn>
    <tableColumn id="23" xr3:uid="{BB55ED04-CA18-4513-B844-8F46376B7499}" name="Arrear Level Forgiven" totalsRowFunction="average" dataDxfId="5" totalsRowDxfId="4" dataCellStyle="Percent 3">
      <calculatedColumnFormula>(Assistance[[#This Row],[BHG Bill]]-Assistance[[#This Row],[BHG Arrear Grant]])/Assistance[[#This Row],[BHG Bill]]</calculatedColumnFormula>
    </tableColumn>
    <tableColumn id="24" xr3:uid="{4BDDF191-0EC0-4E32-B319-B5294E1B3AF2}" name="LIHEAP Avg. Assistance" totalsRowFunction="average" dataDxfId="3" totalsRowDxfId="2" dataCellStyle="Normal 5">
      <calculatedColumnFormula>IFERROR(Assistance[[#This Row],[LIHEAP_TOTAL_ASSIST]]/Assistance[[#This Row],[LIHEAP_COUNT]], 0)</calculatedColumnFormula>
    </tableColumn>
    <tableColumn id="25" xr3:uid="{FE7ECDC1-8E6F-49A4-8419-D400F8923DBB}" name="Avg. Arrears" totalsRowFunction="average" dataDxfId="1" totalsRowDxfId="0" dataCellStyle="Normal 5">
      <calculatedColumnFormula>+(Assistance[[#This Row],[WEAF_TOTAL_BILL]]+Assistance[[#This Row],[LIHEAP_TOTAL_BILL]])/(Assistance[[#This Row],[WEAF_COUNT]]+Assistance[[#This Row],[LIHEAP_COUNT]])</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3-05-25T22:48:35.98" personId="{19054FB9-5A18-4127-A88B-43C3375FA011}" id="{DF941DC2-9743-4546-A5B9-9CC4514FB715}">
    <text>An input field that represents the frequency at which recipients receive arrearage grants. 1 = one year.</text>
  </threadedComment>
  <threadedComment ref="E4" dT="2023-05-25T22:50:27.35" personId="{19054FB9-5A18-4127-A88B-43C3375FA011}" id="{28652EA8-799B-466A-85A5-A39B9BFCB232}">
    <text>An input field that represents the percentage of funding community-based organizations receive based on arrearage management costs.</text>
  </threadedComment>
  <threadedComment ref="H4" dT="2023-05-25T22:51:41.35" personId="{19054FB9-5A18-4127-A88B-43C3375FA011}" id="{81D51B98-EE80-4BCC-A0D9-FAEE484D2463}">
    <text>A drop-down field that switches between having an arrearage management program or not.</text>
  </threadedComment>
  <threadedComment ref="K4" dT="2023-05-25T22:55:44.62" personId="{19054FB9-5A18-4127-A88B-43C3375FA011}" id="{7EBE0F83-E394-425F-8528-78EE8F82DEF2}">
    <text>An input field that determines the number of applicants a full-time employee is able to handle each day.</text>
  </threadedComment>
  <threadedComment ref="B6" dT="2023-05-25T22:48:50.87" personId="{19054FB9-5A18-4127-A88B-43C3375FA011}" id="{FB259675-F434-4BEC-9BCA-EAFAE28B9CB7}">
    <text>An input field that represents the level of participation within the program relative to the total number of eligible low-income recipients in the company's service area. WEAF has average 2.2k applicants which is 3.5%.</text>
  </threadedComment>
  <threadedComment ref="E6" dT="2023-05-25T22:50:41.73" personId="{19054FB9-5A18-4127-A88B-43C3375FA011}" id="{11FDB2D8-F93C-4AED-94ED-B1EA42FE15A2}">
    <text>An input field that specifies the minimum amount of funds to be distributed to community-based organizations to increase program participation.</text>
  </threadedComment>
  <threadedComment ref="H6" dT="2023-05-25T22:53:10.50" personId="{19054FB9-5A18-4127-A88B-43C3375FA011}" id="{9B9D4D27-996E-4596-A858-82A31AB67FBA}">
    <text>A drop-down field that switches between percentage and average, both of which utilize historical data related to low-income individuals. The percentage method calculates the average arrear level forgiven during COVID, based on all Big HEART data applicable to customers at 200% of the Federal Poverty Level (6,221 customers). On the other hand, the average method takes the arrear balances from the Weatherization Energy Assistance Funding Program (WEAF) and Low-Income Home Energy Assistance Program (LIHEAP) for recipients (2,208 customers) and calculates the average past due balance.</text>
  </threadedComment>
  <threadedComment ref="K6" dT="2023-05-25T22:50:12.47" personId="{19054FB9-5A18-4127-A88B-43C3375FA011}" id="{53E09EDE-C50D-485F-81CA-F1F22DC23050}">
    <text>An input field that specifies the percentage amount for agencies to receive for funding and signing up a new recipient account into the program. If 'percentage' is selected for Agency Type.</text>
  </threadedComment>
  <threadedComment ref="B8" dT="2023-05-25T22:49:20.91" personId="{19054FB9-5A18-4127-A88B-43C3375FA011}" id="{2146913F-790B-4356-89FA-6C2EE453EF9B}">
    <text>A drop-down field that represents the average assistance provided to account holders, indicating the energy burden after receiving assistance.</text>
  </threadedComment>
  <threadedComment ref="E8" dT="2023-05-25T22:50:56.35" personId="{19054FB9-5A18-4127-A88B-43C3375FA011}" id="{4CA674A6-E2D7-4F36-A361-7EEE41694EB8}">
    <text>A drop-down field that switches between different types of rate spreads and allocation methods. This includes options such as allocating to residential only, applying an equal percentage, allocating based on customer count in each class, allocating based on therms in each class, allocating based on base revenues from the last general rate case for each class, allocating based on the cost of service results from the last general rate case, and an open field to create a custom allocator for each class.</text>
  </threadedComment>
  <threadedComment ref="H8" dT="2023-05-25T23:01:29.56" personId="{19054FB9-5A18-4127-A88B-43C3375FA011}" id="{1BCE301A-1B55-40FC-BD6C-E2A4EF1ABF34}">
    <text>A drop-down field that switches between fee, staffing, or staffing (p). Fee is a simple agency fee amount multiplied by the number of participate enrollments. Staffing determines the full-time employee required to handle the anticipated enrollment by county, which is then summed up to the agency level, while staffing (p) is similar to ‘staffing’ but has a performance provision that helps shift funding to agencies that sign up more applicants.</text>
  </threadedComment>
  <threadedComment ref="B10" dT="2023-05-25T22:49:33.76" personId="{19054FB9-5A18-4127-A88B-43C3375FA011}" id="{8EEC024F-29AC-4DCF-8753-8E641FFEAC50}">
    <text>A drop-down field that switches the underlying data between income percentages, such as the Federal Poverty Level (FPL), Area Median Income (AMI), the greater of FPL or AMI (MAX), or the Avista approach of FPL for all tiers with AMI on the last tier (AVA).</text>
  </threadedComment>
  <threadedComment ref="E10" dT="2023-05-25T22:51:08.23" personId="{19054FB9-5A18-4127-A88B-43C3375FA011}" id="{BB95C4A9-5075-40D1-B5C6-FEE60C13D844}">
    <text>An input field that determines the amount the agency receives for verifying a self-certified recipient account. If 'fee' is selected for Agency Type.</text>
  </threadedComment>
  <threadedComment ref="H10" dT="2023-05-25T22:50:12.47" personId="{19054FB9-5A18-4127-A88B-43C3375FA011}" id="{D13E47E1-DE6C-40BB-9F31-CAC14DB078B5}">
    <text>An input field that specifies the amount the agency receives for signing up a new recipient account into the program. If 'fee' is selected for Agency Type.</text>
  </threadedComment>
  <threadedComment ref="V24" dT="2023-05-17T21:14:47.54" personId="{19054FB9-5A18-4127-A88B-43C3375FA011}" id="{0D1BF88B-C11C-4A87-86FE-C41DBB0CE37A}">
    <text>Current percentage of 'self-certify' Cascade is seeing in Oregon.</text>
  </threadedComment>
  <threadedComment ref="V25" dT="2023-05-17T21:14:13.04" personId="{19054FB9-5A18-4127-A88B-43C3375FA011}" id="{44920A02-2682-4482-B391-602ED8000540}">
    <text>Verification level</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BD84D-FED9-4826-B1B2-D0E1040ADDC6}">
  <sheetPr codeName="Sheet1">
    <tabColor theme="7" tint="0.79998168889431442"/>
    <pageSetUpPr fitToPage="1"/>
  </sheetPr>
  <dimension ref="A1:AA103"/>
  <sheetViews>
    <sheetView tabSelected="1" zoomScale="110" zoomScaleNormal="110" workbookViewId="0">
      <pane ySplit="11" topLeftCell="A12" activePane="bottomLeft" state="frozen"/>
      <selection activeCell="H6" sqref="H6"/>
      <selection pane="bottomLeft" activeCell="L8" sqref="L8"/>
    </sheetView>
  </sheetViews>
  <sheetFormatPr defaultColWidth="8.85546875" defaultRowHeight="12.75" x14ac:dyDescent="0.2"/>
  <cols>
    <col min="1" max="1" width="3.7109375" style="35" customWidth="1"/>
    <col min="2" max="2" width="20.140625" style="35" bestFit="1" customWidth="1"/>
    <col min="3" max="3" width="14.140625" style="35" bestFit="1" customWidth="1"/>
    <col min="4" max="4" width="11.7109375" style="35" bestFit="1" customWidth="1"/>
    <col min="5" max="5" width="17.42578125" style="35" bestFit="1" customWidth="1"/>
    <col min="6" max="6" width="12.28515625" style="35" customWidth="1"/>
    <col min="7" max="7" width="12.7109375" style="35" bestFit="1" customWidth="1"/>
    <col min="8" max="8" width="14" style="35" bestFit="1" customWidth="1"/>
    <col min="9" max="9" width="13.7109375" style="35" bestFit="1" customWidth="1"/>
    <col min="10" max="10" width="11" style="35" bestFit="1" customWidth="1"/>
    <col min="11" max="11" width="14.140625" style="35" bestFit="1" customWidth="1"/>
    <col min="12" max="12" width="10" style="35" bestFit="1" customWidth="1"/>
    <col min="13" max="13" width="12.7109375" style="35" customWidth="1"/>
    <col min="14" max="14" width="12.28515625" style="35" bestFit="1" customWidth="1"/>
    <col min="15" max="15" width="14.140625" style="35" bestFit="1" customWidth="1"/>
    <col min="16" max="16" width="15.7109375" style="35" bestFit="1" customWidth="1"/>
    <col min="17" max="17" width="12.5703125" style="35" bestFit="1" customWidth="1"/>
    <col min="18" max="18" width="12.85546875" style="35" customWidth="1"/>
    <col min="19" max="19" width="15.7109375" style="35" bestFit="1" customWidth="1"/>
    <col min="20" max="20" width="7.7109375" style="35" customWidth="1"/>
    <col min="21" max="21" width="14.7109375" style="35" bestFit="1" customWidth="1"/>
    <col min="22" max="22" width="8.85546875" style="35"/>
    <col min="23" max="23" width="9" style="35" bestFit="1" customWidth="1"/>
    <col min="24" max="24" width="11" style="35" bestFit="1" customWidth="1"/>
    <col min="25" max="16384" width="8.85546875" style="35"/>
  </cols>
  <sheetData>
    <row r="1" spans="2:22" ht="7.5" customHeight="1" x14ac:dyDescent="0.2"/>
    <row r="2" spans="2:22" x14ac:dyDescent="0.2">
      <c r="B2" s="36" t="s">
        <v>17</v>
      </c>
      <c r="C2" s="37"/>
      <c r="D2" s="37"/>
      <c r="E2" s="37"/>
      <c r="F2" s="37"/>
      <c r="G2" s="37"/>
      <c r="H2" s="37"/>
      <c r="I2" s="37"/>
      <c r="J2" s="37"/>
      <c r="K2" s="37"/>
      <c r="L2" s="37"/>
    </row>
    <row r="3" spans="2:22" ht="5.25" customHeight="1" x14ac:dyDescent="0.2"/>
    <row r="4" spans="2:22" x14ac:dyDescent="0.2">
      <c r="B4" s="35" t="s">
        <v>85</v>
      </c>
      <c r="C4" s="119">
        <v>0.5</v>
      </c>
      <c r="E4" s="35" t="s">
        <v>99</v>
      </c>
      <c r="F4" s="32">
        <v>0.05</v>
      </c>
      <c r="H4" s="35" t="s">
        <v>213</v>
      </c>
      <c r="I4" s="31" t="s">
        <v>178</v>
      </c>
      <c r="K4" s="35" t="s">
        <v>243</v>
      </c>
      <c r="L4" s="131">
        <v>4</v>
      </c>
    </row>
    <row r="5" spans="2:22" ht="5.25" customHeight="1" x14ac:dyDescent="0.2"/>
    <row r="6" spans="2:22" x14ac:dyDescent="0.2">
      <c r="B6" s="35" t="s">
        <v>102</v>
      </c>
      <c r="C6" s="32">
        <v>0.1</v>
      </c>
      <c r="E6" s="35" t="s">
        <v>104</v>
      </c>
      <c r="F6" s="31">
        <v>73000</v>
      </c>
      <c r="H6" s="35" t="s">
        <v>210</v>
      </c>
      <c r="I6" s="31" t="s">
        <v>211</v>
      </c>
      <c r="K6" s="35" t="s">
        <v>248</v>
      </c>
      <c r="L6" s="32">
        <v>0.25</v>
      </c>
    </row>
    <row r="7" spans="2:22" ht="5.25" customHeight="1" x14ac:dyDescent="0.2"/>
    <row r="8" spans="2:22" x14ac:dyDescent="0.2">
      <c r="B8" s="35" t="s">
        <v>96</v>
      </c>
      <c r="C8" s="33" t="s">
        <v>179</v>
      </c>
      <c r="E8" s="35" t="s">
        <v>18</v>
      </c>
      <c r="F8" s="33" t="s">
        <v>19</v>
      </c>
      <c r="H8" s="35" t="s">
        <v>235</v>
      </c>
      <c r="I8" s="31" t="s">
        <v>98</v>
      </c>
    </row>
    <row r="9" spans="2:22" ht="5.25" customHeight="1" x14ac:dyDescent="0.2"/>
    <row r="10" spans="2:22" x14ac:dyDescent="0.2">
      <c r="B10" s="35" t="s">
        <v>118</v>
      </c>
      <c r="C10" s="34" t="s">
        <v>168</v>
      </c>
      <c r="E10" s="35" t="s">
        <v>209</v>
      </c>
      <c r="F10" s="31">
        <v>25</v>
      </c>
      <c r="H10" s="35" t="s">
        <v>97</v>
      </c>
      <c r="I10" s="31">
        <v>75</v>
      </c>
    </row>
    <row r="11" spans="2:22" ht="5.25" customHeight="1" x14ac:dyDescent="0.2"/>
    <row r="12" spans="2:22" x14ac:dyDescent="0.2">
      <c r="B12" s="36" t="s">
        <v>20</v>
      </c>
      <c r="C12" s="37"/>
      <c r="D12" s="37"/>
      <c r="E12" s="37"/>
      <c r="F12" s="37"/>
      <c r="G12" s="37"/>
      <c r="H12" s="37"/>
      <c r="I12" s="37"/>
      <c r="J12" s="37"/>
      <c r="K12" s="37"/>
      <c r="L12" s="37"/>
      <c r="M12" s="37"/>
      <c r="N12" s="37"/>
      <c r="O12" s="37"/>
      <c r="P12" s="37"/>
      <c r="Q12" s="37"/>
      <c r="R12" s="37"/>
      <c r="S12" s="37"/>
      <c r="T12" s="37"/>
      <c r="U12" s="37"/>
      <c r="V12" s="37"/>
    </row>
    <row r="13" spans="2:22" ht="8.25" customHeight="1" x14ac:dyDescent="0.2">
      <c r="B13" s="38"/>
      <c r="C13" s="39"/>
      <c r="D13" s="40"/>
      <c r="E13" s="40"/>
      <c r="F13" s="41"/>
    </row>
    <row r="14" spans="2:22" ht="13.5" thickBot="1" x14ac:dyDescent="0.25">
      <c r="B14" s="42" t="s">
        <v>0</v>
      </c>
      <c r="F14" s="41"/>
      <c r="G14" s="42" t="s">
        <v>82</v>
      </c>
      <c r="M14" s="35" t="s">
        <v>214</v>
      </c>
    </row>
    <row r="15" spans="2:22" x14ac:dyDescent="0.2">
      <c r="B15" s="43" t="s">
        <v>74</v>
      </c>
      <c r="C15" s="43" t="s">
        <v>106</v>
      </c>
      <c r="D15" s="43" t="s">
        <v>117</v>
      </c>
      <c r="E15" s="43" t="s">
        <v>22</v>
      </c>
      <c r="G15" s="43" t="s">
        <v>7</v>
      </c>
      <c r="H15" s="43" t="s">
        <v>84</v>
      </c>
      <c r="I15" s="43" t="s">
        <v>92</v>
      </c>
      <c r="J15" s="43" t="s">
        <v>23</v>
      </c>
      <c r="K15" s="43" t="s">
        <v>112</v>
      </c>
      <c r="M15" s="43" t="s">
        <v>231</v>
      </c>
      <c r="N15" s="117" t="s">
        <v>51</v>
      </c>
      <c r="O15" s="117" t="s">
        <v>215</v>
      </c>
    </row>
    <row r="16" spans="2:22" x14ac:dyDescent="0.2">
      <c r="B16" s="44" t="s">
        <v>75</v>
      </c>
      <c r="C16" s="45">
        <f>C26</f>
        <v>0.2</v>
      </c>
      <c r="D16" s="45">
        <f>D26</f>
        <v>0.04</v>
      </c>
      <c r="E16" s="29">
        <v>1</v>
      </c>
      <c r="F16" s="44"/>
      <c r="G16" s="39">
        <f>C51*$C$6</f>
        <v>81.933333333333337</v>
      </c>
      <c r="H16" s="46">
        <f>IF($I$6="Percentage", H26*Assistance[[#Totals],[Arrear Level Forgiven]],(Assistance[[#Totals],[Avg. Arrears]]/0.75)*(H26/AVERAGE($H$26:$H$30)))</f>
        <v>787.33084546380962</v>
      </c>
      <c r="I16" s="46">
        <f>H16*E16</f>
        <v>787.33084546380962</v>
      </c>
      <c r="J16" s="46">
        <f>H16-I16</f>
        <v>0</v>
      </c>
      <c r="K16" s="46">
        <f>I16*G16*$C$4</f>
        <v>32254.320302500735</v>
      </c>
      <c r="M16" s="46">
        <f>J16/12</f>
        <v>0</v>
      </c>
      <c r="N16" s="114">
        <f>O26/12</f>
        <v>-31.48140511318638</v>
      </c>
      <c r="O16" s="115">
        <f>SUM(M16:N16)</f>
        <v>-31.48140511318638</v>
      </c>
      <c r="Q16" s="46"/>
      <c r="R16" s="46"/>
    </row>
    <row r="17" spans="2:27" x14ac:dyDescent="0.2">
      <c r="B17" s="44" t="s">
        <v>76</v>
      </c>
      <c r="C17" s="45">
        <f>C27</f>
        <v>0.5</v>
      </c>
      <c r="D17" s="45">
        <f>D27</f>
        <v>0.12</v>
      </c>
      <c r="E17" s="29">
        <v>1</v>
      </c>
      <c r="F17" s="44"/>
      <c r="G17" s="39">
        <f>C52*$C$6</f>
        <v>192.4666666666667</v>
      </c>
      <c r="H17" s="46">
        <f>IF($I$6="Percentage", H27*Assistance[[#Totals],[Arrear Level Forgiven]],(Assistance[[#Totals],[Avg. Arrears]]/0.75)*(H27/AVERAGE($H$26:$H$30)))</f>
        <v>802.24241450668501</v>
      </c>
      <c r="I17" s="46">
        <f>H17*E17</f>
        <v>802.24241450668501</v>
      </c>
      <c r="J17" s="46">
        <f t="shared" ref="J17:J20" si="0">H17-I17</f>
        <v>0</v>
      </c>
      <c r="K17" s="46">
        <f>I17*G17*$C$4</f>
        <v>77202.461689360003</v>
      </c>
      <c r="M17" s="46">
        <f t="shared" ref="M17:M20" si="1">J17/12</f>
        <v>0</v>
      </c>
      <c r="N17" s="114">
        <f t="shared" ref="N17:N20" si="2">O27/12</f>
        <v>-18.101034742815997</v>
      </c>
      <c r="O17" s="115">
        <f t="shared" ref="O17:O20" si="3">SUM(M17:N17)</f>
        <v>-18.101034742815997</v>
      </c>
      <c r="Q17" s="46"/>
      <c r="R17" s="46"/>
    </row>
    <row r="18" spans="2:27" x14ac:dyDescent="0.2">
      <c r="B18" s="44" t="s">
        <v>77</v>
      </c>
      <c r="C18" s="45">
        <f t="shared" ref="C18:C20" si="4">C28</f>
        <v>1</v>
      </c>
      <c r="D18" s="45">
        <f t="shared" ref="D18:D20" si="5">D28</f>
        <v>0.24</v>
      </c>
      <c r="E18" s="29">
        <v>0.9</v>
      </c>
      <c r="F18" s="44"/>
      <c r="G18" s="39">
        <f>C53*$C$6</f>
        <v>971</v>
      </c>
      <c r="H18" s="46">
        <f>IF($I$6="Percentage", H28*Assistance[[#Totals],[Arrear Level Forgiven]],(Assistance[[#Totals],[Avg. Arrears]]/0.75)*(H28/AVERAGE($H$26:$H$30)))</f>
        <v>769.43696261235948</v>
      </c>
      <c r="I18" s="46">
        <f>H18*E18</f>
        <v>692.49326635112357</v>
      </c>
      <c r="J18" s="46">
        <f t="shared" si="0"/>
        <v>76.943696261235914</v>
      </c>
      <c r="K18" s="46">
        <f>I18*G18*$C$4</f>
        <v>336205.48081347049</v>
      </c>
      <c r="M18" s="46">
        <f t="shared" si="1"/>
        <v>6.4119746884363265</v>
      </c>
      <c r="N18" s="114">
        <f t="shared" si="2"/>
        <v>1.8074837757025126</v>
      </c>
      <c r="O18" s="115">
        <f t="shared" si="3"/>
        <v>8.2194584641388388</v>
      </c>
      <c r="Q18" s="46"/>
      <c r="R18" s="46"/>
    </row>
    <row r="19" spans="2:27" x14ac:dyDescent="0.2">
      <c r="B19" s="44" t="s">
        <v>78</v>
      </c>
      <c r="C19" s="45">
        <f t="shared" si="4"/>
        <v>1.5</v>
      </c>
      <c r="D19" s="45">
        <f t="shared" si="5"/>
        <v>0.36</v>
      </c>
      <c r="E19" s="29">
        <v>0.7</v>
      </c>
      <c r="F19" s="44"/>
      <c r="G19" s="39">
        <f>C54*$C$6</f>
        <v>1250.4563042186574</v>
      </c>
      <c r="H19" s="46">
        <f>IF($I$6="Percentage", H29*Assistance[[#Totals],[Arrear Level Forgiven]],(Assistance[[#Totals],[Avg. Arrears]]/0.75)*(H29/AVERAGE($H$26:$H$30)))</f>
        <v>810.72070661963369</v>
      </c>
      <c r="I19" s="46">
        <f>H19*E19</f>
        <v>567.50449463374355</v>
      </c>
      <c r="J19" s="46">
        <f t="shared" si="0"/>
        <v>243.21621198589014</v>
      </c>
      <c r="K19" s="46">
        <f>I19*G19*$C$4</f>
        <v>354819.78649359389</v>
      </c>
      <c r="M19" s="46">
        <f t="shared" si="1"/>
        <v>20.268017665490845</v>
      </c>
      <c r="N19" s="114">
        <f t="shared" si="2"/>
        <v>21.58026155348028</v>
      </c>
      <c r="O19" s="115">
        <f t="shared" si="3"/>
        <v>41.848279218971129</v>
      </c>
      <c r="Q19" s="46"/>
      <c r="R19" s="46"/>
    </row>
    <row r="20" spans="2:27" x14ac:dyDescent="0.2">
      <c r="B20" s="35" t="s">
        <v>80</v>
      </c>
      <c r="C20" s="45">
        <f t="shared" si="4"/>
        <v>2</v>
      </c>
      <c r="D20" s="45">
        <f t="shared" si="5"/>
        <v>0.8</v>
      </c>
      <c r="E20" s="29">
        <v>0.5</v>
      </c>
      <c r="G20" s="47">
        <f>C55*$C$6</f>
        <v>3495.0436957813431</v>
      </c>
      <c r="H20" s="46">
        <f>IF($I$6="Percentage", H30*Assistance[[#Totals],[Arrear Level Forgiven]],(Assistance[[#Totals],[Avg. Arrears]]/0.75)*(H30/AVERAGE($H$26:$H$30)))</f>
        <v>856.98917513552658</v>
      </c>
      <c r="I20" s="46">
        <f>H20*E20</f>
        <v>428.49458756776329</v>
      </c>
      <c r="J20" s="46">
        <f t="shared" si="0"/>
        <v>428.49458756776329</v>
      </c>
      <c r="K20" s="48">
        <f>I20*G20*$C$4</f>
        <v>748803.65347756888</v>
      </c>
      <c r="M20" s="46">
        <f t="shared" si="1"/>
        <v>35.70788229731361</v>
      </c>
      <c r="N20" s="114">
        <f t="shared" si="2"/>
        <v>68.540000000000006</v>
      </c>
      <c r="O20" s="115">
        <f t="shared" si="3"/>
        <v>104.24788229731362</v>
      </c>
      <c r="Q20" s="46"/>
      <c r="R20" s="46"/>
    </row>
    <row r="21" spans="2:27" x14ac:dyDescent="0.2">
      <c r="D21" s="49"/>
      <c r="E21" s="49"/>
      <c r="G21" s="40">
        <f>SUM(G16:G20)</f>
        <v>5990.9000000000005</v>
      </c>
      <c r="K21" s="46">
        <f>SUM(K16:K20)</f>
        <v>1549285.702776494</v>
      </c>
    </row>
    <row r="22" spans="2:27" x14ac:dyDescent="0.2">
      <c r="D22" s="49"/>
      <c r="E22" s="49"/>
    </row>
    <row r="23" spans="2:27" x14ac:dyDescent="0.2">
      <c r="D23" s="49"/>
      <c r="E23" s="49"/>
    </row>
    <row r="24" spans="2:27" ht="13.5" thickBot="1" x14ac:dyDescent="0.25">
      <c r="B24" s="42" t="s">
        <v>1</v>
      </c>
      <c r="D24" s="49"/>
      <c r="E24" s="49"/>
      <c r="F24" s="41"/>
      <c r="G24" s="42" t="s">
        <v>21</v>
      </c>
      <c r="M24" s="42" t="s">
        <v>108</v>
      </c>
      <c r="Q24" s="35" t="s">
        <v>111</v>
      </c>
      <c r="U24" s="35" t="s">
        <v>208</v>
      </c>
      <c r="V24" s="29">
        <v>0.17</v>
      </c>
    </row>
    <row r="25" spans="2:27" x14ac:dyDescent="0.2">
      <c r="B25" s="43" t="s">
        <v>74</v>
      </c>
      <c r="C25" s="43" t="s">
        <v>106</v>
      </c>
      <c r="D25" s="43" t="s">
        <v>117</v>
      </c>
      <c r="E25" s="50" t="s">
        <v>22</v>
      </c>
      <c r="G25" s="43" t="s">
        <v>7</v>
      </c>
      <c r="H25" s="43" t="s">
        <v>81</v>
      </c>
      <c r="I25" s="43" t="s">
        <v>22</v>
      </c>
      <c r="J25" s="43" t="s">
        <v>23</v>
      </c>
      <c r="K25" s="43" t="s">
        <v>83</v>
      </c>
      <c r="M25" s="43" t="s">
        <v>23</v>
      </c>
      <c r="N25" s="43" t="str">
        <f>C8</f>
        <v>Avg. LIHEAP</v>
      </c>
      <c r="O25" s="43" t="s">
        <v>25</v>
      </c>
      <c r="Q25" s="43" t="s">
        <v>114</v>
      </c>
      <c r="R25" s="43" t="s">
        <v>115</v>
      </c>
      <c r="S25" s="43" t="s">
        <v>140</v>
      </c>
      <c r="U25" s="43" t="s">
        <v>162</v>
      </c>
      <c r="V25" s="111">
        <v>0.05</v>
      </c>
    </row>
    <row r="26" spans="2:27" x14ac:dyDescent="0.2">
      <c r="B26" s="35" t="s">
        <v>75</v>
      </c>
      <c r="C26" s="30">
        <v>0.2</v>
      </c>
      <c r="D26" s="45">
        <f>MROUND((Info!$C$21*$C26)/(Info!$Z$6/$D$30), 2%)</f>
        <v>0.04</v>
      </c>
      <c r="E26" s="29">
        <v>0.9</v>
      </c>
      <c r="G26" s="39">
        <f>G16</f>
        <v>81.933333333333337</v>
      </c>
      <c r="H26" s="46">
        <f>D51</f>
        <v>821.33333333333337</v>
      </c>
      <c r="I26" s="46">
        <f>H26*E26</f>
        <v>739.2</v>
      </c>
      <c r="J26" s="46">
        <f>H26-I26</f>
        <v>82.133333333333326</v>
      </c>
      <c r="K26" s="46">
        <f>I26*G26</f>
        <v>60565.12000000001</v>
      </c>
      <c r="M26" s="51">
        <f>J26</f>
        <v>82.133333333333326</v>
      </c>
      <c r="N26" s="51">
        <f>IF($C$8="Avg. Assistance", Assistance[[#Totals],[Avg. Assistance]], Assistance[[#Totals],[LIHEAP Avg. Assistance]])</f>
        <v>459.91019469156987</v>
      </c>
      <c r="O26" s="51">
        <f>M26-$N$26</f>
        <v>-377.77686135823654</v>
      </c>
      <c r="P26" s="52"/>
      <c r="Q26" s="77">
        <f>H26/(Info!$C$21*C26)</f>
        <v>0.30218297767966645</v>
      </c>
      <c r="R26" s="112">
        <f>J26/(Info!$C$21*C26)</f>
        <v>3.021829776796664E-2</v>
      </c>
      <c r="S26" s="77">
        <f>O26/(Info!$C$21*C26)</f>
        <v>-0.1389907510515955</v>
      </c>
      <c r="T26" s="53"/>
      <c r="U26" s="35" t="s">
        <v>192</v>
      </c>
      <c r="V26" s="96">
        <f>ROUNDUP($V$24*$G$21*$V$25*(Assistance!C2/Assistance[[#Totals],[CUSTOMER_COUNT]]), 1)</f>
        <v>0.4</v>
      </c>
      <c r="W26" s="96"/>
      <c r="X26" s="96"/>
      <c r="Y26" s="113"/>
      <c r="Z26" s="96"/>
      <c r="AA26" s="96"/>
    </row>
    <row r="27" spans="2:27" x14ac:dyDescent="0.2">
      <c r="B27" s="35" t="s">
        <v>76</v>
      </c>
      <c r="C27" s="30">
        <v>0.5</v>
      </c>
      <c r="D27" s="45">
        <f>MROUND((Info!$C$21*$C27)/(Info!$Z$6/$D$30), 2%)</f>
        <v>0.12</v>
      </c>
      <c r="E27" s="29">
        <v>0.71</v>
      </c>
      <c r="G27" s="39">
        <f t="shared" ref="G27:G30" si="6">G17</f>
        <v>192.4666666666667</v>
      </c>
      <c r="H27" s="46">
        <f>D52</f>
        <v>836.88888888888903</v>
      </c>
      <c r="I27" s="46">
        <f>H27*E27</f>
        <v>594.19111111111113</v>
      </c>
      <c r="J27" s="46">
        <f t="shared" ref="J27:J30" si="7">H27-I27</f>
        <v>242.6977777777779</v>
      </c>
      <c r="K27" s="46">
        <f t="shared" ref="K27:K28" si="8">I27*G27</f>
        <v>114361.98251851853</v>
      </c>
      <c r="M27" s="51">
        <f>J27</f>
        <v>242.6977777777779</v>
      </c>
      <c r="N27" s="54"/>
      <c r="O27" s="51">
        <f t="shared" ref="O27:O29" si="9">M27-$N$26</f>
        <v>-217.21241691379197</v>
      </c>
      <c r="P27" s="52"/>
      <c r="Q27" s="77">
        <f>H27/(Info!$C$21*C27)</f>
        <v>0.1231624560542883</v>
      </c>
      <c r="R27" s="112">
        <f>J27/(Info!$C$21*C27)</f>
        <v>3.5717112255743623E-2</v>
      </c>
      <c r="S27" s="77">
        <f>O27/(Info!$C$21*C27)</f>
        <v>-3.1966507272081231E-2</v>
      </c>
      <c r="T27" s="53"/>
      <c r="U27" s="35" t="s">
        <v>193</v>
      </c>
      <c r="V27" s="96">
        <f>ROUNDUP($V$24*$G$21*$V$25*(Assistance!C3/Assistance[[#Totals],[CUSTOMER_COUNT]]), 1)</f>
        <v>4.8999999999999995</v>
      </c>
      <c r="W27" s="96"/>
      <c r="X27" s="96"/>
      <c r="Y27" s="113"/>
      <c r="Z27" s="96"/>
      <c r="AA27" s="96"/>
    </row>
    <row r="28" spans="2:27" x14ac:dyDescent="0.2">
      <c r="B28" s="35" t="s">
        <v>77</v>
      </c>
      <c r="C28" s="30">
        <v>1</v>
      </c>
      <c r="D28" s="45">
        <f>MROUND((Info!$C$21*$C28)/(Info!$Z$6/$D$30), 2%)</f>
        <v>0.24</v>
      </c>
      <c r="E28" s="29">
        <v>0.4</v>
      </c>
      <c r="G28" s="39">
        <f t="shared" si="6"/>
        <v>971</v>
      </c>
      <c r="H28" s="46">
        <f>D53</f>
        <v>802.66666666666674</v>
      </c>
      <c r="I28" s="46">
        <f>H28*E28</f>
        <v>321.06666666666672</v>
      </c>
      <c r="J28" s="46">
        <f t="shared" si="7"/>
        <v>481.6</v>
      </c>
      <c r="K28" s="46">
        <f t="shared" si="8"/>
        <v>311755.7333333334</v>
      </c>
      <c r="M28" s="51">
        <f t="shared" ref="M28:M30" si="10">J28</f>
        <v>481.6</v>
      </c>
      <c r="N28" s="54"/>
      <c r="O28" s="51">
        <f t="shared" si="9"/>
        <v>21.689805308430152</v>
      </c>
      <c r="P28" s="52"/>
      <c r="Q28" s="77">
        <f>H28/(Info!$C$21*C28)</f>
        <v>5.9063036546480263E-2</v>
      </c>
      <c r="R28" s="112">
        <f>J28/(Info!$C$21*C28)</f>
        <v>3.5437821927888156E-2</v>
      </c>
      <c r="S28" s="77">
        <f>O28/(Info!$C$21*C28)</f>
        <v>1.5960121639757286E-3</v>
      </c>
      <c r="T28" s="53"/>
      <c r="U28" s="35" t="s">
        <v>194</v>
      </c>
      <c r="V28" s="96">
        <f>ROUNDUP($V$24*$G$21*$V$25*(Assistance!C4/Assistance[[#Totals],[CUSTOMER_COUNT]]), 1)</f>
        <v>0.4</v>
      </c>
      <c r="W28" s="96"/>
      <c r="X28" s="96"/>
      <c r="Y28" s="113"/>
      <c r="Z28" s="96"/>
      <c r="AA28" s="96"/>
    </row>
    <row r="29" spans="2:27" x14ac:dyDescent="0.2">
      <c r="B29" s="35" t="s">
        <v>78</v>
      </c>
      <c r="C29" s="30">
        <v>1.5</v>
      </c>
      <c r="D29" s="45">
        <f>MROUND((Info!$C$21*$C29)/(Info!$Z$6/$D$30), 2%)</f>
        <v>0.36</v>
      </c>
      <c r="E29" s="29">
        <v>0.15</v>
      </c>
      <c r="G29" s="39">
        <f t="shared" si="6"/>
        <v>1250.4563042186574</v>
      </c>
      <c r="H29" s="46">
        <f>D54</f>
        <v>845.73333333333323</v>
      </c>
      <c r="I29" s="46">
        <f>H29*E29</f>
        <v>126.85999999999999</v>
      </c>
      <c r="J29" s="46">
        <f t="shared" si="7"/>
        <v>718.87333333333322</v>
      </c>
      <c r="K29" s="46">
        <f>I29*G29</f>
        <v>158632.88675317884</v>
      </c>
      <c r="M29" s="51">
        <f t="shared" si="10"/>
        <v>718.87333333333322</v>
      </c>
      <c r="N29" s="54"/>
      <c r="O29" s="51">
        <f t="shared" si="9"/>
        <v>258.96313864176335</v>
      </c>
      <c r="P29" s="52"/>
      <c r="Q29" s="77">
        <f>H29/(Info!$C$21*C29)</f>
        <v>4.1488022238574111E-2</v>
      </c>
      <c r="R29" s="112">
        <f>J29/(Info!$C$21*C29)</f>
        <v>3.5264818902787994E-2</v>
      </c>
      <c r="S29" s="77">
        <f>O29/(Info!$C$21*C29)</f>
        <v>1.2703612393513041E-2</v>
      </c>
      <c r="T29" s="53"/>
      <c r="U29" s="35" t="s">
        <v>195</v>
      </c>
      <c r="V29" s="96">
        <f>ROUNDUP($V$24*$G$21*$V$25*(Assistance!C5/Assistance[[#Totals],[CUSTOMER_COUNT]]), 1)</f>
        <v>1</v>
      </c>
      <c r="W29" s="96"/>
      <c r="X29" s="96"/>
      <c r="Y29" s="113"/>
      <c r="Z29" s="96"/>
      <c r="AA29" s="96"/>
    </row>
    <row r="30" spans="2:27" x14ac:dyDescent="0.2">
      <c r="B30" s="35" t="s">
        <v>80</v>
      </c>
      <c r="C30" s="55">
        <v>2</v>
      </c>
      <c r="D30" s="45">
        <v>0.8</v>
      </c>
      <c r="E30" s="29">
        <v>0.08</v>
      </c>
      <c r="G30" s="47">
        <f t="shared" si="6"/>
        <v>3495.0436957813431</v>
      </c>
      <c r="H30" s="46">
        <f>D55</f>
        <v>894</v>
      </c>
      <c r="I30" s="46">
        <f>H30*E30</f>
        <v>71.52</v>
      </c>
      <c r="J30" s="46">
        <f t="shared" si="7"/>
        <v>822.48</v>
      </c>
      <c r="K30" s="48">
        <f>I30*G30</f>
        <v>249965.52512228166</v>
      </c>
      <c r="M30" s="51">
        <f t="shared" si="10"/>
        <v>822.48</v>
      </c>
      <c r="N30" s="54"/>
      <c r="O30" s="51">
        <f>M30</f>
        <v>822.48</v>
      </c>
      <c r="P30" s="52"/>
      <c r="Q30" s="77">
        <f>H30/(Info!$C$21*C30)</f>
        <v>3.2891832229580573E-2</v>
      </c>
      <c r="R30" s="112">
        <f>J30/(Info!$C$21*C30)</f>
        <v>3.0260485651214128E-2</v>
      </c>
      <c r="S30" s="77">
        <f>O30/(Info!$C$21*C30)</f>
        <v>3.0260485651214128E-2</v>
      </c>
      <c r="T30" s="53"/>
      <c r="U30" s="35" t="s">
        <v>196</v>
      </c>
      <c r="V30" s="96">
        <f>ROUNDUP($V$24*$G$21*$V$25*(Assistance!C6/Assistance[[#Totals],[CUSTOMER_COUNT]]), 1)</f>
        <v>0.2</v>
      </c>
      <c r="W30" s="96"/>
      <c r="X30" s="96"/>
      <c r="Y30" s="113"/>
      <c r="Z30" s="96"/>
      <c r="AA30" s="96"/>
    </row>
    <row r="31" spans="2:27" x14ac:dyDescent="0.2">
      <c r="G31" s="40">
        <f>SUM(G26:G30)</f>
        <v>5990.9000000000005</v>
      </c>
      <c r="H31" s="79"/>
      <c r="I31" s="74"/>
      <c r="J31" s="74"/>
      <c r="K31" s="46">
        <f>SUM(K26:K30)</f>
        <v>895281.24772731238</v>
      </c>
      <c r="U31" s="35" t="s">
        <v>197</v>
      </c>
      <c r="V31" s="96">
        <f>ROUNDUP($V$24*$G$21*$V$25*(Assistance!C7/Assistance[[#Totals],[CUSTOMER_COUNT]]), 1)</f>
        <v>3.1</v>
      </c>
      <c r="W31" s="96"/>
      <c r="X31" s="96"/>
      <c r="Y31" s="113"/>
      <c r="Z31" s="96"/>
      <c r="AA31" s="96"/>
    </row>
    <row r="32" spans="2:27" x14ac:dyDescent="0.2">
      <c r="G32" s="118"/>
      <c r="H32" s="118"/>
      <c r="I32" s="118"/>
      <c r="M32" s="103"/>
      <c r="Q32" s="77"/>
      <c r="U32" s="35" t="s">
        <v>198</v>
      </c>
      <c r="V32" s="96">
        <f>ROUNDUP($V$24*$G$21*$V$25*(Assistance!C8/Assistance[[#Totals],[CUSTOMER_COUNT]]), 1)</f>
        <v>0.30000000000000004</v>
      </c>
      <c r="W32" s="96"/>
      <c r="X32" s="96"/>
      <c r="Y32" s="113"/>
      <c r="Z32" s="96"/>
      <c r="AA32" s="96"/>
    </row>
    <row r="33" spans="2:27" x14ac:dyDescent="0.2">
      <c r="U33" s="35" t="s">
        <v>131</v>
      </c>
      <c r="V33" s="96">
        <f>ROUNDUP($V$24*$G$21*$V$25*(Assistance!C9/Assistance[[#Totals],[CUSTOMER_COUNT]]), 1)</f>
        <v>1</v>
      </c>
      <c r="W33" s="96"/>
      <c r="X33" s="96"/>
      <c r="Y33" s="113"/>
      <c r="Z33" s="96"/>
      <c r="AA33" s="96"/>
    </row>
    <row r="34" spans="2:27" ht="13.5" thickBot="1" x14ac:dyDescent="0.25">
      <c r="B34" s="35" t="s">
        <v>109</v>
      </c>
      <c r="G34" s="35" t="s">
        <v>26</v>
      </c>
      <c r="O34" s="35" t="s">
        <v>170</v>
      </c>
      <c r="U34" s="35" t="s">
        <v>199</v>
      </c>
      <c r="V34" s="96">
        <f>ROUNDUP($V$24*$G$21*$V$25*(Assistance!C10/Assistance[[#Totals],[CUSTOMER_COUNT]]), 1)</f>
        <v>1.7000000000000002</v>
      </c>
      <c r="W34" s="96"/>
      <c r="X34" s="96"/>
      <c r="Y34" s="113"/>
      <c r="Z34" s="96"/>
      <c r="AA34" s="96"/>
    </row>
    <row r="35" spans="2:27" x14ac:dyDescent="0.2">
      <c r="B35" s="43" t="s">
        <v>87</v>
      </c>
      <c r="C35" s="56" t="s">
        <v>88</v>
      </c>
      <c r="D35" s="56" t="s">
        <v>98</v>
      </c>
      <c r="G35" s="43" t="s">
        <v>31</v>
      </c>
      <c r="H35" s="43" t="s">
        <v>9</v>
      </c>
      <c r="I35" s="43" t="s">
        <v>10</v>
      </c>
      <c r="J35" s="43" t="s">
        <v>11</v>
      </c>
      <c r="K35" s="43" t="s">
        <v>12</v>
      </c>
      <c r="L35" s="43" t="s">
        <v>13</v>
      </c>
      <c r="M35" s="43" t="s">
        <v>14</v>
      </c>
      <c r="O35" s="43" t="s">
        <v>31</v>
      </c>
      <c r="P35" s="43" t="s">
        <v>88</v>
      </c>
      <c r="U35" s="35" t="s">
        <v>200</v>
      </c>
      <c r="V35" s="96">
        <f>ROUNDUP($V$24*$G$21*$V$25*(Assistance!C11/Assistance[[#Totals],[CUSTOMER_COUNT]]), 1)</f>
        <v>8</v>
      </c>
      <c r="W35" s="96"/>
      <c r="X35" s="96"/>
      <c r="Y35" s="113"/>
      <c r="Z35" s="96"/>
      <c r="AA35" s="96"/>
    </row>
    <row r="36" spans="2:27" x14ac:dyDescent="0.2">
      <c r="B36" s="35" t="s">
        <v>0</v>
      </c>
      <c r="C36" s="57">
        <f>IF($I$4="Yes", K21, 0)</f>
        <v>1549285.702776494</v>
      </c>
      <c r="D36" s="58">
        <f t="shared" ref="D36:D42" si="11">C36/$C$42</f>
        <v>0.46651180450963381</v>
      </c>
      <c r="G36" s="35" t="s">
        <v>116</v>
      </c>
      <c r="H36" s="59">
        <f t="shared" ref="H36:M36" si="12">IFERROR(VLOOKUP($F$8, $G$61:$M$67, H$49, FALSE), "")</f>
        <v>1631167.300048684</v>
      </c>
      <c r="I36" s="59">
        <f t="shared" si="12"/>
        <v>886003.17183935142</v>
      </c>
      <c r="J36" s="59">
        <f t="shared" si="12"/>
        <v>79914.527928526993</v>
      </c>
      <c r="K36" s="59">
        <f t="shared" si="12"/>
        <v>65266.655531604127</v>
      </c>
      <c r="L36" s="59">
        <f t="shared" si="12"/>
        <v>4996.7333197115868</v>
      </c>
      <c r="M36" s="59">
        <f t="shared" si="12"/>
        <v>653651.61133212189</v>
      </c>
      <c r="O36" s="35" t="s">
        <v>176</v>
      </c>
      <c r="P36" s="40">
        <f>G31</f>
        <v>5990.9000000000005</v>
      </c>
      <c r="S36" s="40"/>
      <c r="U36" s="35" t="s">
        <v>201</v>
      </c>
      <c r="V36" s="96">
        <f>ROUNDUP($V$24*$G$21*$V$25*(Assistance!C12/Assistance[[#Totals],[CUSTOMER_COUNT]]), 1)</f>
        <v>0.6</v>
      </c>
      <c r="W36" s="96"/>
      <c r="X36" s="96"/>
      <c r="Y36" s="113"/>
      <c r="Z36" s="96"/>
      <c r="AA36" s="96"/>
    </row>
    <row r="37" spans="2:27" x14ac:dyDescent="0.2">
      <c r="B37" s="35" t="s">
        <v>1</v>
      </c>
      <c r="C37" s="57">
        <f>K31</f>
        <v>895281.24772731238</v>
      </c>
      <c r="D37" s="58">
        <f t="shared" si="11"/>
        <v>0.26958182707838374</v>
      </c>
      <c r="G37" s="35" t="s">
        <v>21</v>
      </c>
      <c r="H37" s="60">
        <f>54.0795637143333/0.75</f>
        <v>72.106084952444391</v>
      </c>
      <c r="I37" s="60">
        <f>242.108369352597/0.75</f>
        <v>322.81115913679599</v>
      </c>
      <c r="J37" s="60">
        <f>1563.89124719666/0.25</f>
        <v>6255.5649887866402</v>
      </c>
      <c r="K37" s="60">
        <f>12368.4061122613/0.75</f>
        <v>16491.208149681734</v>
      </c>
      <c r="L37" s="60">
        <f>16075.9855617706/0.75</f>
        <v>21434.647415694133</v>
      </c>
      <c r="M37" s="60">
        <v>12940.934409573314</v>
      </c>
      <c r="O37" s="35" t="s">
        <v>171</v>
      </c>
      <c r="P37" s="79">
        <f>P36/Assistance[[#Totals],[CUSTOMER_COUNT]]</f>
        <v>2.6226529906447957E-2</v>
      </c>
      <c r="U37" s="35" t="s">
        <v>202</v>
      </c>
      <c r="V37" s="96">
        <f>ROUNDUP($V$24*$G$21*$V$25*(Assistance!C13/Assistance[[#Totals],[CUSTOMER_COUNT]]), 1)</f>
        <v>6.8</v>
      </c>
      <c r="W37" s="96"/>
      <c r="X37" s="96"/>
      <c r="Y37" s="113"/>
      <c r="Z37" s="96"/>
      <c r="AA37" s="96"/>
    </row>
    <row r="38" spans="2:27" x14ac:dyDescent="0.2">
      <c r="B38" s="35" t="s">
        <v>103</v>
      </c>
      <c r="C38" s="57">
        <f>SUM(C36:C37, C39:C41)*IF($C$6&lt;50%, 6%, 3%)</f>
        <v>187990.37839611495</v>
      </c>
      <c r="D38" s="58">
        <f t="shared" si="11"/>
        <v>5.6606557782630212E-2</v>
      </c>
      <c r="G38" s="35" t="s">
        <v>15</v>
      </c>
      <c r="H38" s="60">
        <f>H$36/H$53/12</f>
        <v>0.69579905884750815</v>
      </c>
      <c r="I38" s="60">
        <f t="shared" ref="I38:M38" si="13">I$36/I$53/12</f>
        <v>2.7505717562597058</v>
      </c>
      <c r="J38" s="60">
        <f t="shared" si="13"/>
        <v>13.646606545171958</v>
      </c>
      <c r="K38" s="60">
        <f t="shared" si="13"/>
        <v>60.43208845518901</v>
      </c>
      <c r="L38" s="60">
        <f t="shared" si="13"/>
        <v>52.04930541366236</v>
      </c>
      <c r="M38" s="60">
        <f t="shared" si="13"/>
        <v>289.22637669562914</v>
      </c>
      <c r="O38" s="35" t="s">
        <v>173</v>
      </c>
      <c r="P38" s="46">
        <f>K21/G21</f>
        <v>258.60650365996656</v>
      </c>
      <c r="U38" s="35" t="s">
        <v>203</v>
      </c>
      <c r="V38" s="96">
        <f>ROUNDUP($V$24*$G$21*$V$25*(Assistance!C14/Assistance[[#Totals],[CUSTOMER_COUNT]]), 1)</f>
        <v>1.8</v>
      </c>
      <c r="W38" s="96"/>
      <c r="X38" s="96"/>
      <c r="Y38" s="113"/>
      <c r="Z38" s="96"/>
      <c r="AA38" s="96"/>
    </row>
    <row r="39" spans="2:27" x14ac:dyDescent="0.2">
      <c r="B39" s="35" t="s">
        <v>93</v>
      </c>
      <c r="C39" s="57">
        <f>IF((SUM(C36)*$F$4)&lt;F6,F6,SUM(C36)*$F$4)</f>
        <v>77464.285138824707</v>
      </c>
      <c r="D39" s="58">
        <f t="shared" si="11"/>
        <v>2.3325590225481696E-2</v>
      </c>
      <c r="G39" s="35" t="s">
        <v>16</v>
      </c>
      <c r="H39" s="49">
        <f>H38/H37</f>
        <v>9.6496579908117806E-3</v>
      </c>
      <c r="I39" s="49">
        <f t="shared" ref="I39:M39" si="14">I38/I37</f>
        <v>8.5206836207731909E-3</v>
      </c>
      <c r="J39" s="49">
        <f t="shared" si="14"/>
        <v>2.1815146305144404E-3</v>
      </c>
      <c r="K39" s="49">
        <f t="shared" si="14"/>
        <v>3.6645034073113252E-3</v>
      </c>
      <c r="L39" s="49">
        <f t="shared" si="14"/>
        <v>2.4282790569978129E-3</v>
      </c>
      <c r="M39" s="49">
        <f t="shared" si="14"/>
        <v>2.234972897178647E-2</v>
      </c>
      <c r="O39" s="35" t="s">
        <v>172</v>
      </c>
      <c r="P39" s="46">
        <f>K31/G31</f>
        <v>149.44019224612535</v>
      </c>
      <c r="U39" s="35" t="s">
        <v>204</v>
      </c>
      <c r="V39" s="96">
        <f>ROUNDUP($V$24*$G$21*$V$25*(Assistance!C15/Assistance[[#Totals],[CUSTOMER_COUNT]]), 1)</f>
        <v>3</v>
      </c>
      <c r="W39" s="96"/>
      <c r="X39" s="96"/>
      <c r="Y39" s="113"/>
      <c r="Z39" s="96"/>
      <c r="AA39" s="96"/>
    </row>
    <row r="40" spans="2:27" x14ac:dyDescent="0.2">
      <c r="B40" s="35" t="s">
        <v>208</v>
      </c>
      <c r="C40" s="57">
        <f>IF($I$8="Fee", F10*V42, 0)</f>
        <v>0</v>
      </c>
      <c r="D40" s="58">
        <f t="shared" si="11"/>
        <v>0</v>
      </c>
      <c r="G40" s="35" t="s">
        <v>79</v>
      </c>
      <c r="H40" s="116">
        <f t="shared" ref="H40:M40" si="15">H36/H54</f>
        <v>1.2381557685632103E-2</v>
      </c>
      <c r="I40" s="116">
        <f t="shared" si="15"/>
        <v>9.4966894657378086E-3</v>
      </c>
      <c r="J40" s="116">
        <f t="shared" si="15"/>
        <v>6.0025736243314491E-3</v>
      </c>
      <c r="K40" s="116">
        <f t="shared" si="15"/>
        <v>5.155810510887808E-3</v>
      </c>
      <c r="L40" s="116">
        <f t="shared" si="15"/>
        <v>2.1408351480747779E-3</v>
      </c>
      <c r="M40" s="116">
        <f t="shared" si="15"/>
        <v>1.0187555238637212E-3</v>
      </c>
      <c r="O40" s="35" t="s">
        <v>174</v>
      </c>
      <c r="P40" s="79">
        <f>SUMPRODUCT(G26:G30,Q26:Q30)/$P$36</f>
        <v>4.5510872211896439E-2</v>
      </c>
      <c r="U40" s="35" t="s">
        <v>205</v>
      </c>
      <c r="V40" s="96">
        <f>ROUNDUP($V$24*$G$21*$V$25*(Assistance!C16/Assistance[[#Totals],[CUSTOMER_COUNT]]), 1)</f>
        <v>11.6</v>
      </c>
      <c r="W40" s="96"/>
      <c r="X40" s="96"/>
      <c r="Y40" s="113"/>
      <c r="Z40" s="96"/>
      <c r="AA40" s="96"/>
    </row>
    <row r="41" spans="2:27" x14ac:dyDescent="0.2">
      <c r="B41" s="35" t="s">
        <v>246</v>
      </c>
      <c r="C41" s="61">
        <f>IF($I$8="Fee",G31*$I$10*((J99/G31)+(I99/H99)),IF($I$8="Percentage",SUM($C$36:$C$37)*$L$6,$D$82))</f>
        <v>611141.73762595165</v>
      </c>
      <c r="D41" s="58">
        <f t="shared" si="11"/>
        <v>0.18402340789700442</v>
      </c>
      <c r="O41" s="35" t="s">
        <v>175</v>
      </c>
      <c r="P41" s="79">
        <f>SUMPRODUCT(G26:G30,R26:R30)/$P$36</f>
        <v>3.2318883509200369E-2</v>
      </c>
      <c r="U41" s="35" t="s">
        <v>206</v>
      </c>
      <c r="V41" s="96">
        <f>ROUNDUP($V$24*$G$21*$V$25*(Assistance!C17/Assistance[[#Totals],[CUSTOMER_COUNT]]), 1)</f>
        <v>7</v>
      </c>
      <c r="W41" s="96"/>
      <c r="X41" s="96"/>
      <c r="Y41" s="113"/>
      <c r="Z41" s="96"/>
      <c r="AA41" s="96"/>
    </row>
    <row r="42" spans="2:27" ht="13.5" thickBot="1" x14ac:dyDescent="0.25">
      <c r="B42" s="35" t="s">
        <v>94</v>
      </c>
      <c r="C42" s="62">
        <f>ROUND(SUM(C36:C41),-3)</f>
        <v>3321000</v>
      </c>
      <c r="D42" s="63">
        <f t="shared" si="11"/>
        <v>1</v>
      </c>
      <c r="E42" s="40"/>
      <c r="F42" s="41"/>
      <c r="G42" s="74">
        <f>SUM(H36:M36)-C42</f>
        <v>0</v>
      </c>
      <c r="H42" s="103" t="s">
        <v>247</v>
      </c>
      <c r="M42" s="103"/>
      <c r="O42" s="35" t="s">
        <v>180</v>
      </c>
      <c r="P42" s="79">
        <f>SUMPRODUCT(G26:G29,S26:S29)/$P$36</f>
        <v>-1.7597125766559179E-5</v>
      </c>
      <c r="U42" s="35" t="s">
        <v>191</v>
      </c>
      <c r="V42" s="110">
        <f>SUM(V26:V41)</f>
        <v>51.800000000000004</v>
      </c>
      <c r="W42" s="96"/>
      <c r="X42" s="96"/>
      <c r="Y42" s="113"/>
      <c r="Z42" s="96"/>
      <c r="AA42" s="96"/>
    </row>
    <row r="43" spans="2:27" ht="13.5" thickTop="1" x14ac:dyDescent="0.2">
      <c r="D43" s="40"/>
      <c r="E43" s="40"/>
      <c r="F43" s="41"/>
      <c r="H43" s="103"/>
      <c r="O43" s="35" t="s">
        <v>177</v>
      </c>
      <c r="P43" s="46">
        <f>C42/P36</f>
        <v>554.34075013770882</v>
      </c>
      <c r="U43" s="64"/>
      <c r="V43" s="84"/>
    </row>
    <row r="44" spans="2:27" x14ac:dyDescent="0.2">
      <c r="B44" s="64" t="s">
        <v>27</v>
      </c>
      <c r="C44" s="49">
        <f>$C$42/Info!C15</f>
        <v>1.2782952097728822E-2</v>
      </c>
      <c r="D44" s="40"/>
      <c r="E44" s="40"/>
      <c r="F44" s="41"/>
    </row>
    <row r="45" spans="2:27" x14ac:dyDescent="0.2">
      <c r="B45" s="64" t="s">
        <v>28</v>
      </c>
      <c r="C45" s="49">
        <f>$C$42/Info!C16</f>
        <v>3.1090416713534502E-2</v>
      </c>
      <c r="D45" s="40"/>
      <c r="E45" s="40"/>
      <c r="F45" s="41"/>
    </row>
    <row r="46" spans="2:27" x14ac:dyDescent="0.2">
      <c r="B46" s="64"/>
      <c r="C46" s="49"/>
      <c r="D46" s="40"/>
      <c r="E46" s="40"/>
      <c r="F46" s="41"/>
    </row>
    <row r="47" spans="2:27" x14ac:dyDescent="0.2">
      <c r="B47" s="64"/>
      <c r="C47" s="49"/>
      <c r="D47" s="40"/>
      <c r="E47" s="40"/>
      <c r="F47" s="41"/>
    </row>
    <row r="48" spans="2:27" x14ac:dyDescent="0.2">
      <c r="B48" s="36" t="s">
        <v>100</v>
      </c>
      <c r="C48" s="37"/>
      <c r="D48" s="37"/>
      <c r="E48" s="37"/>
      <c r="F48" s="41"/>
      <c r="G48" s="36" t="s">
        <v>33</v>
      </c>
      <c r="H48" s="37"/>
      <c r="I48" s="37"/>
      <c r="J48" s="37"/>
      <c r="K48" s="37"/>
      <c r="L48" s="37"/>
      <c r="M48" s="37"/>
      <c r="O48" s="36" t="s">
        <v>165</v>
      </c>
      <c r="P48" s="37"/>
      <c r="Q48" s="37"/>
      <c r="S48" s="37"/>
      <c r="T48" s="37"/>
      <c r="U48" s="37"/>
      <c r="V48" s="37"/>
    </row>
    <row r="49" spans="1:17" ht="8.25" customHeight="1" thickBot="1" x14ac:dyDescent="0.25">
      <c r="B49" s="38"/>
      <c r="C49" s="39"/>
      <c r="D49" s="40"/>
      <c r="E49" s="40"/>
      <c r="F49" s="41"/>
      <c r="G49" s="38"/>
      <c r="H49" s="65">
        <v>2</v>
      </c>
      <c r="I49" s="66">
        <v>3</v>
      </c>
      <c r="J49" s="66">
        <v>4</v>
      </c>
      <c r="K49" s="67">
        <v>5</v>
      </c>
      <c r="L49" s="67">
        <v>6</v>
      </c>
      <c r="M49" s="67">
        <v>7</v>
      </c>
      <c r="O49" s="42"/>
      <c r="Q49" s="49"/>
    </row>
    <row r="50" spans="1:17" x14ac:dyDescent="0.2">
      <c r="B50" s="43" t="str">
        <f>C10&amp;" %"</f>
        <v>MAX %</v>
      </c>
      <c r="C50" s="43" t="s">
        <v>7</v>
      </c>
      <c r="D50" s="43" t="s">
        <v>81</v>
      </c>
      <c r="E50" s="43" t="s">
        <v>147</v>
      </c>
      <c r="G50" s="43" t="s">
        <v>31</v>
      </c>
      <c r="H50" s="43" t="s">
        <v>9</v>
      </c>
      <c r="I50" s="43" t="s">
        <v>10</v>
      </c>
      <c r="J50" s="43" t="s">
        <v>11</v>
      </c>
      <c r="K50" s="43" t="s">
        <v>12</v>
      </c>
      <c r="L50" s="43" t="s">
        <v>13</v>
      </c>
      <c r="M50" s="43" t="s">
        <v>14</v>
      </c>
      <c r="O50" s="43" t="s">
        <v>74</v>
      </c>
      <c r="P50" s="43" t="s">
        <v>166</v>
      </c>
      <c r="Q50" s="43" t="s">
        <v>207</v>
      </c>
    </row>
    <row r="51" spans="1:17" x14ac:dyDescent="0.2">
      <c r="B51" s="42">
        <f>IF($C$10="AMI",D26,C26)</f>
        <v>0.2</v>
      </c>
      <c r="C51" s="39">
        <f>IF($C$10="AMI",SUMIF(Count!$F$6:$F$45,"&lt;="&amp;B51,Count!$G$6:$G$45),IF($C$10="FPL",SUMIF(Count!$B$6:$B$45,"&lt;="&amp;B51,Count!$C$6:$C$45),IF($C$10="MAX",SUMIF(Count!$B$6:$B$45,"&lt;="&amp;B51,Count!$K$6:$K$45),SUMIF(Count!$B$6:$B$45,"&lt;="&amp;B51,Count!$O$6:$O$45))))</f>
        <v>819.33333333333337</v>
      </c>
      <c r="D51" s="59">
        <f>IF($C$10="AMI",AVERAGEIF(Count!$F$6:$F$45,"&lt;="&amp;B51,Count!$H$6:$H$45),IF($C$10="FPL",AVERAGEIF(Count!$B$6:$B$45,"&lt;="&amp;B51,Count!$D$6:$D$45),IF($C$10="MAX",AVERAGEIF(Count!$B$6:$B$45,"&lt;="&amp;B51,Count!$L$6:$L$45),AVERAGEIF(Count!$B$6:$B$45,"&lt;="&amp;B51,Count!$P$6:$P$45))))</f>
        <v>821.33333333333337</v>
      </c>
      <c r="E51" s="77">
        <f t="shared" ref="E51:E56" si="16">C51/$C$56</f>
        <v>1.3676297940765718E-2</v>
      </c>
      <c r="G51" s="35" t="s">
        <v>34</v>
      </c>
      <c r="H51" s="68">
        <f>$C$42</f>
        <v>3321000</v>
      </c>
      <c r="O51" s="35" t="s">
        <v>75</v>
      </c>
      <c r="P51" s="29">
        <v>3.5000000000000003E-2</v>
      </c>
      <c r="Q51" s="29">
        <v>0</v>
      </c>
    </row>
    <row r="52" spans="1:17" x14ac:dyDescent="0.2">
      <c r="B52" s="69">
        <f>IF($C$10="AMI",D27,C27)</f>
        <v>0.5</v>
      </c>
      <c r="C52" s="39">
        <f>IF($C$10="AMI",SUMIFS(Count!$G$6:$G$45,Count!$F$6:$F$45,"&lt;="&amp;B52,Count!$F$6:$F$45,"&gt;"&amp;B51),IF($C$10="FPL", SUMIFS(Count!$C$6:$C$45,Count!$B$6:$B$45,"&lt;="&amp;B52,Count!$B$6:$B$45,"&gt;"&amp;B51),  IF($C$10="MAX", SUMIFS(Count!$K$6:$K$45,Count!$B$6:$B$45,"&lt;="&amp;B52,Count!$B$6:$B$45,"&gt;"&amp;B51), SUMIFS(Count!$O$6:$O$45,Count!$B$6:$B$45,"&lt;="&amp;B52,Count!$B$6:$B$45,"&gt;"&amp;B51))))</f>
        <v>1924.6666666666667</v>
      </c>
      <c r="D52" s="59">
        <f>IF($C$10="AMI",AVERAGEIFS(Count!$H$6:$H$45,Count!$F$6:$F$45,"&lt;="&amp;B52,Count!$F$6:$F$45,"&gt;"&amp;B51),IF($C$10="FPL", AVERAGEIFS(Count!$D$6:$D$45,Count!$B$6:$B$45,"&lt;="&amp;B52,Count!$B$6:$B$45,"&gt;"&amp;B51),  IF($C$10="MAX", AVERAGEIFS(Count!$L$6:$L$45,Count!$B$6:$B$45,"&lt;="&amp;B52,Count!$B$6:$B$45,"&gt;"&amp;B51), AVERAGEIFS(Count!$P$6:$P$45,Count!$B$6:$B$45,"&lt;="&amp;B52,Count!$B$6:$B$45,"&gt;"&amp;B51))))</f>
        <v>836.88888888888903</v>
      </c>
      <c r="E52" s="77">
        <f t="shared" si="16"/>
        <v>3.2126502973954946E-2</v>
      </c>
      <c r="G52" s="35" t="s">
        <v>35</v>
      </c>
      <c r="H52" s="49">
        <f>$C$45</f>
        <v>3.1090416713534502E-2</v>
      </c>
      <c r="I52" s="49">
        <f>H52</f>
        <v>3.1090416713534502E-2</v>
      </c>
      <c r="J52" s="49">
        <f>I52</f>
        <v>3.1090416713534502E-2</v>
      </c>
      <c r="K52" s="49">
        <f>J52</f>
        <v>3.1090416713534502E-2</v>
      </c>
      <c r="L52" s="49">
        <f>K52</f>
        <v>3.1090416713534502E-2</v>
      </c>
      <c r="M52" s="49">
        <f>L52</f>
        <v>3.1090416713534502E-2</v>
      </c>
      <c r="O52" s="35" t="s">
        <v>76</v>
      </c>
      <c r="P52" s="29">
        <v>3.5000000000000003E-2</v>
      </c>
      <c r="Q52" s="29">
        <v>0</v>
      </c>
    </row>
    <row r="53" spans="1:17" x14ac:dyDescent="0.2">
      <c r="B53" s="69">
        <f>IF($C$10="AMI",D28,C28)</f>
        <v>1</v>
      </c>
      <c r="C53" s="39">
        <f>IF($C$10="AMI",SUMIFS(Count!$G$6:$G$45,Count!$F$6:$F$45,"&lt;="&amp;B53,Count!$F$6:$F$45,"&gt;"&amp;B52),IF($C$10="FPL", SUMIFS(Count!$C$6:$C$45,Count!$B$6:$B$45,"&lt;="&amp;B53,Count!$B$6:$B$45,"&gt;"&amp;B52),  IF($C$10="MAX", SUMIFS(Count!$K$6:$K$45,Count!$B$6:$B$45,"&lt;="&amp;B53,Count!$B$6:$B$45,"&gt;"&amp;B52), SUMIFS(Count!$O$6:$O$45,Count!$B$6:$B$45,"&lt;="&amp;B53,Count!$B$6:$B$45,"&gt;"&amp;B52))))</f>
        <v>9710</v>
      </c>
      <c r="D53" s="59">
        <f>IF($C$10="AMI",AVERAGEIFS(Count!$H$6:$H$45,Count!$F$6:$F$45,"&lt;="&amp;B53,Count!$F$6:$F$45,"&gt;"&amp;B52),IF($C$10="FPL", AVERAGEIFS(Count!$D$6:$D$45,Count!$B$6:$B$45,"&lt;="&amp;B53,Count!$B$6:$B$45,"&gt;"&amp;B52),  IF($C$10="MAX", AVERAGEIFS(Count!$L$6:$L$45,Count!$B$6:$B$45,"&lt;="&amp;B53,Count!$B$6:$B$45,"&gt;"&amp;B52), AVERAGEIFS(Count!$P$6:$P$45,Count!$B$6:$B$45,"&lt;="&amp;B53,Count!$B$6:$B$45,"&gt;"&amp;B52))))</f>
        <v>802.66666666666674</v>
      </c>
      <c r="E53" s="77">
        <f t="shared" si="16"/>
        <v>0.16207915338263032</v>
      </c>
      <c r="G53" s="35" t="s">
        <v>7</v>
      </c>
      <c r="H53" s="70">
        <v>195359</v>
      </c>
      <c r="I53" s="70">
        <v>26843</v>
      </c>
      <c r="J53" s="70">
        <v>488</v>
      </c>
      <c r="K53" s="70">
        <v>90</v>
      </c>
      <c r="L53" s="70">
        <v>8</v>
      </c>
      <c r="M53" s="70">
        <v>188.33333333333334</v>
      </c>
      <c r="O53" s="35" t="s">
        <v>77</v>
      </c>
      <c r="P53" s="29">
        <v>3.5000000000000003E-2</v>
      </c>
      <c r="Q53" s="29">
        <v>0</v>
      </c>
    </row>
    <row r="54" spans="1:17" x14ac:dyDescent="0.2">
      <c r="B54" s="69">
        <f>IF($C$10="AMI",D29,C29)</f>
        <v>1.5</v>
      </c>
      <c r="C54" s="39">
        <f>IF($C$10="AMI",SUMIFS(Count!$G$6:$G$45,Count!$F$6:$F$45,"&lt;="&amp;B54,Count!$F$6:$F$45,"&gt;"&amp;B53),IF($C$10="FPL", SUMIFS(Count!$C$6:$C$45,Count!$B$6:$B$45,"&lt;="&amp;B54,Count!$B$6:$B$45,"&gt;"&amp;B53),  IF($C$10="MAX", SUMIFS(Count!$K$6:$K$45,Count!$B$6:$B$45,"&lt;="&amp;B54,Count!$B$6:$B$45,"&gt;"&amp;B53), SUMIFS(Count!$O$6:$O$45,Count!$B$6:$B$45,"&lt;="&amp;B54,Count!$B$6:$B$45,"&gt;"&amp;B53))))</f>
        <v>12504.563042186572</v>
      </c>
      <c r="D54" s="59">
        <f>IF($C$10="AMI",AVERAGEIFS(Count!$H$6:$H$45,Count!$F$6:$F$45,"&lt;="&amp;B54,Count!$F$6:$F$45,"&gt;"&amp;B53),IF($C$10="FPL", AVERAGEIFS(Count!$D$6:$D$45,Count!$B$6:$B$45,"&lt;="&amp;B54,Count!$B$6:$B$45,"&gt;"&amp;B53),  IF($C$10="MAX", AVERAGEIFS(Count!$L$6:$L$45,Count!$B$6:$B$45,"&lt;="&amp;B54,Count!$B$6:$B$45,"&gt;"&amp;B53), AVERAGEIFS(Count!$P$6:$P$45,Count!$B$6:$B$45,"&lt;="&amp;B54,Count!$B$6:$B$45,"&gt;"&amp;B53))))</f>
        <v>845.73333333333323</v>
      </c>
      <c r="E54" s="77">
        <f t="shared" si="16"/>
        <v>0.20872595172989988</v>
      </c>
      <c r="G54" s="35" t="s">
        <v>36</v>
      </c>
      <c r="H54" s="70">
        <v>131741687.23064102</v>
      </c>
      <c r="I54" s="70">
        <v>93296003.311035588</v>
      </c>
      <c r="J54" s="70">
        <v>13313377.38276016</v>
      </c>
      <c r="K54" s="70">
        <v>12658854.586253112</v>
      </c>
      <c r="L54" s="70">
        <v>2334011.2498643706</v>
      </c>
      <c r="M54" s="70">
        <v>641617734.59945512</v>
      </c>
      <c r="O54" s="35" t="s">
        <v>78</v>
      </c>
      <c r="P54" s="29">
        <v>3.5000000000000003E-2</v>
      </c>
      <c r="Q54" s="29">
        <v>0</v>
      </c>
    </row>
    <row r="55" spans="1:17" ht="13.5" thickBot="1" x14ac:dyDescent="0.25">
      <c r="B55" s="71">
        <f>IF($C$10="AMI",D30,C30)</f>
        <v>2</v>
      </c>
      <c r="C55" s="72">
        <f>IF($C$10="AMI",SUMIFS(Count!$G$6:$G$45,Count!$F$6:$F$45,"&lt;="&amp;B55,Count!$F$6:$F$45,"&gt;"&amp;B54),IF($C$10="FPL", SUMIFS(Count!$C$6:$C$45,Count!$B$6:$B$45,"&lt;="&amp;B55,Count!$B$6:$B$45,"&gt;"&amp;B54),  IF($C$10="MAX", SUMIFS(Count!$K$6:$K$45,Count!$B$6:$B$45,"&lt;="&amp;B55,Count!$B$6:$B$45,"&gt;"&amp;B54), SUMIFS(Count!$O$6:$O$45,Count!$B$6:$B$45,"&lt;="&amp;B55,Count!$B$6:$B$45,"&gt;"&amp;B54))))</f>
        <v>34950.436957813428</v>
      </c>
      <c r="D55" s="73">
        <f>IF($C$10="AMI",AVERAGEIFS(Count!$H$6:$H$45,Count!$F$6:$F$45,"&lt;="&amp;B55,Count!$F$6:$F$45,"&gt;"&amp;B54),IF($C$10="FPL", AVERAGEIFS(Count!$D$6:$D$45,Count!$B$6:$B$45,"&lt;="&amp;B55,Count!$B$6:$B$45,"&gt;"&amp;B54),  IF($C$10="MAX", AVERAGEIFS(Count!$L$6:$L$45,Count!$B$6:$B$45,"&lt;="&amp;B55,Count!$B$6:$B$45,"&gt;"&amp;B54), AVERAGEIFS(Count!$P$6:$P$45,Count!$B$6:$B$45,"&lt;="&amp;B55,Count!$B$6:$B$45,"&gt;"&amp;B54))))</f>
        <v>894</v>
      </c>
      <c r="E55" s="78">
        <f t="shared" si="16"/>
        <v>0.58339209397274916</v>
      </c>
      <c r="G55" s="35" t="s">
        <v>19</v>
      </c>
      <c r="H55" s="59">
        <v>52465276.200000003</v>
      </c>
      <c r="I55" s="59">
        <v>28497629.350000001</v>
      </c>
      <c r="J55" s="59">
        <v>2570391.02</v>
      </c>
      <c r="K55" s="59">
        <v>2099253.16</v>
      </c>
      <c r="L55" s="59">
        <v>160716.19</v>
      </c>
      <c r="M55" s="59">
        <v>21024215.189999998</v>
      </c>
      <c r="O55" s="35" t="s">
        <v>80</v>
      </c>
      <c r="P55" s="29">
        <v>3.5000000000000003E-2</v>
      </c>
      <c r="Q55" s="29">
        <v>0</v>
      </c>
    </row>
    <row r="56" spans="1:17" x14ac:dyDescent="0.2">
      <c r="C56" s="40">
        <f>SUM(C51:C55)</f>
        <v>59909</v>
      </c>
      <c r="D56" s="74">
        <f>SUMPRODUCT(C51:C55,D51:D55)/C56</f>
        <v>866.29367345623723</v>
      </c>
      <c r="E56" s="79">
        <f t="shared" si="16"/>
        <v>1</v>
      </c>
      <c r="G56" s="35" t="s">
        <v>37</v>
      </c>
      <c r="H56" s="75">
        <v>1</v>
      </c>
      <c r="I56" s="75">
        <v>1</v>
      </c>
      <c r="J56" s="75">
        <v>1</v>
      </c>
      <c r="K56" s="75">
        <v>1</v>
      </c>
      <c r="L56" s="75">
        <v>1</v>
      </c>
      <c r="M56" s="75">
        <v>1</v>
      </c>
    </row>
    <row r="57" spans="1:17" x14ac:dyDescent="0.2">
      <c r="A57" s="76"/>
      <c r="E57" s="49"/>
      <c r="G57" s="35" t="s">
        <v>38</v>
      </c>
      <c r="H57" s="93">
        <v>2</v>
      </c>
      <c r="I57" s="93">
        <v>0.75</v>
      </c>
      <c r="J57" s="93">
        <v>0.5</v>
      </c>
      <c r="K57" s="93">
        <v>0.5</v>
      </c>
      <c r="L57" s="93">
        <v>0.5</v>
      </c>
      <c r="M57" s="93">
        <v>0</v>
      </c>
    </row>
    <row r="58" spans="1:17" x14ac:dyDescent="0.2">
      <c r="A58" s="76"/>
      <c r="C58" s="49"/>
      <c r="D58" s="49"/>
      <c r="E58" s="79"/>
    </row>
    <row r="59" spans="1:17" ht="8.25" customHeight="1" thickBot="1" x14ac:dyDescent="0.25"/>
    <row r="60" spans="1:17" x14ac:dyDescent="0.2">
      <c r="G60" s="43" t="s">
        <v>31</v>
      </c>
      <c r="H60" s="43" t="s">
        <v>9</v>
      </c>
      <c r="I60" s="43" t="s">
        <v>10</v>
      </c>
      <c r="J60" s="43" t="s">
        <v>11</v>
      </c>
      <c r="K60" s="43" t="s">
        <v>12</v>
      </c>
      <c r="L60" s="43" t="s">
        <v>13</v>
      </c>
      <c r="M60" s="43" t="s">
        <v>14</v>
      </c>
    </row>
    <row r="61" spans="1:17" x14ac:dyDescent="0.2">
      <c r="G61" s="68" t="str">
        <f>G51</f>
        <v>RES Only</v>
      </c>
      <c r="H61" s="68">
        <f>H51</f>
        <v>3321000</v>
      </c>
    </row>
    <row r="62" spans="1:17" x14ac:dyDescent="0.2">
      <c r="G62" s="68" t="str">
        <f t="shared" ref="G62:G67" si="17">G52</f>
        <v>Equal %</v>
      </c>
      <c r="H62" s="68">
        <f>H51/COUNT($H$52:$M$52)</f>
        <v>553500</v>
      </c>
      <c r="I62" s="68">
        <f>H62</f>
        <v>553500</v>
      </c>
      <c r="J62" s="68">
        <f>I62</f>
        <v>553500</v>
      </c>
      <c r="K62" s="68">
        <f>J62</f>
        <v>553500</v>
      </c>
      <c r="L62" s="68">
        <f>K62</f>
        <v>553500</v>
      </c>
      <c r="M62" s="68">
        <f>L62</f>
        <v>553500</v>
      </c>
    </row>
    <row r="63" spans="1:17" x14ac:dyDescent="0.2">
      <c r="G63" s="68" t="str">
        <f t="shared" si="17"/>
        <v>Count</v>
      </c>
      <c r="H63" s="68">
        <f t="shared" ref="H63:M63" si="18">H53/SUM($H$53:$M$53)*$H$51</f>
        <v>2909668.6150548114</v>
      </c>
      <c r="I63" s="68">
        <f t="shared" si="18"/>
        <v>399798.49729941442</v>
      </c>
      <c r="J63" s="68">
        <f t="shared" si="18"/>
        <v>7268.2511895881325</v>
      </c>
      <c r="K63" s="68">
        <f t="shared" si="18"/>
        <v>1340.4561620142049</v>
      </c>
      <c r="L63" s="68">
        <f>L53/SUM($H$53:$M$53)*$H$51</f>
        <v>119.15165884570709</v>
      </c>
      <c r="M63" s="68">
        <f t="shared" si="18"/>
        <v>2805.0286353260212</v>
      </c>
    </row>
    <row r="64" spans="1:17" x14ac:dyDescent="0.2">
      <c r="G64" s="68" t="str">
        <f t="shared" si="17"/>
        <v>Therms</v>
      </c>
      <c r="H64" s="68">
        <f t="shared" ref="H64:M64" si="19">H54/SUM($H$54:$M$54)*$H$51</f>
        <v>488863.55556958151</v>
      </c>
      <c r="I64" s="68">
        <f t="shared" si="19"/>
        <v>346200.33231558901</v>
      </c>
      <c r="J64" s="68">
        <f t="shared" si="19"/>
        <v>49402.927355723317</v>
      </c>
      <c r="K64" s="68">
        <f t="shared" si="19"/>
        <v>46974.141538356314</v>
      </c>
      <c r="L64" s="68">
        <f t="shared" si="19"/>
        <v>8660.9869839492821</v>
      </c>
      <c r="M64" s="68">
        <f t="shared" si="19"/>
        <v>2380898.0562368007</v>
      </c>
    </row>
    <row r="65" spans="2:22" x14ac:dyDescent="0.2">
      <c r="G65" s="68" t="str">
        <f t="shared" si="17"/>
        <v>Base Rev</v>
      </c>
      <c r="H65" s="68">
        <f t="shared" ref="H65:M65" si="20">H55/SUM($H$55:$M$55)*$H$51</f>
        <v>1631167.300048684</v>
      </c>
      <c r="I65" s="68">
        <f t="shared" si="20"/>
        <v>886003.17183935142</v>
      </c>
      <c r="J65" s="68">
        <f t="shared" si="20"/>
        <v>79914.527928526993</v>
      </c>
      <c r="K65" s="68">
        <f t="shared" si="20"/>
        <v>65266.655531604127</v>
      </c>
      <c r="L65" s="68">
        <f t="shared" si="20"/>
        <v>4996.7333197115868</v>
      </c>
      <c r="M65" s="68">
        <f t="shared" si="20"/>
        <v>653651.61133212189</v>
      </c>
    </row>
    <row r="66" spans="2:22" x14ac:dyDescent="0.2">
      <c r="G66" s="68" t="str">
        <f t="shared" si="17"/>
        <v>GRC</v>
      </c>
      <c r="H66" s="68">
        <f>H56/SUM($H$56:$M$56)*$H$51</f>
        <v>553500</v>
      </c>
      <c r="I66" s="68">
        <f t="shared" ref="I66:M66" si="21">I56/SUM($H$56:$M$56)*$H$51</f>
        <v>553500</v>
      </c>
      <c r="J66" s="68">
        <f t="shared" si="21"/>
        <v>553500</v>
      </c>
      <c r="K66" s="68">
        <f t="shared" si="21"/>
        <v>553500</v>
      </c>
      <c r="L66" s="68">
        <f t="shared" si="21"/>
        <v>553500</v>
      </c>
      <c r="M66" s="68">
        <f t="shared" si="21"/>
        <v>553500</v>
      </c>
    </row>
    <row r="67" spans="2:22" x14ac:dyDescent="0.2">
      <c r="G67" s="68" t="str">
        <f t="shared" si="17"/>
        <v>OPEN</v>
      </c>
      <c r="H67" s="68">
        <f>H57/SUM($H$57:$M$57)*$H$51</f>
        <v>1562823.5294117646</v>
      </c>
      <c r="I67" s="68">
        <f t="shared" ref="I67:M67" si="22">I57/SUM($H$57:$M$57)*$H$51</f>
        <v>586058.82352941181</v>
      </c>
      <c r="J67" s="68">
        <f t="shared" si="22"/>
        <v>390705.88235294115</v>
      </c>
      <c r="K67" s="68">
        <f t="shared" si="22"/>
        <v>390705.88235294115</v>
      </c>
      <c r="L67" s="68">
        <f t="shared" si="22"/>
        <v>390705.88235294115</v>
      </c>
      <c r="M67" s="68">
        <f t="shared" si="22"/>
        <v>0</v>
      </c>
    </row>
    <row r="69" spans="2:22" x14ac:dyDescent="0.2">
      <c r="G69" s="35" t="s">
        <v>212</v>
      </c>
      <c r="H69" s="84">
        <f>H55/SUM($H$55:$M$55)</f>
        <v>0.49116750980086843</v>
      </c>
      <c r="I69" s="84">
        <f t="shared" ref="I69:M69" si="23">I55/SUM($H$55:$M$55)</f>
        <v>0.26678806740118982</v>
      </c>
      <c r="J69" s="84">
        <f t="shared" si="23"/>
        <v>2.4063392932408008E-2</v>
      </c>
      <c r="K69" s="84">
        <f t="shared" si="23"/>
        <v>1.9652711692744393E-2</v>
      </c>
      <c r="L69" s="84">
        <f t="shared" si="23"/>
        <v>1.5045869676939437E-3</v>
      </c>
      <c r="M69" s="84">
        <f t="shared" si="23"/>
        <v>0.19682373120509541</v>
      </c>
    </row>
    <row r="70" spans="2:22" x14ac:dyDescent="0.2">
      <c r="G70" s="35" t="s">
        <v>86</v>
      </c>
      <c r="H70" s="84">
        <v>0.47575145048587525</v>
      </c>
      <c r="I70" s="84">
        <v>0.2726400436681008</v>
      </c>
      <c r="J70" s="84">
        <v>2.330884065844321E-2</v>
      </c>
      <c r="K70" s="84">
        <v>2.3716218095835382E-2</v>
      </c>
      <c r="L70" s="84">
        <v>1.2562261791738384E-3</v>
      </c>
      <c r="M70" s="84">
        <v>0.20332722091257152</v>
      </c>
    </row>
    <row r="71" spans="2:22" x14ac:dyDescent="0.2">
      <c r="J71" s="49"/>
    </row>
    <row r="72" spans="2:22" x14ac:dyDescent="0.2">
      <c r="J72" s="70"/>
    </row>
    <row r="73" spans="2:22" x14ac:dyDescent="0.2">
      <c r="B73" s="36" t="s">
        <v>244</v>
      </c>
      <c r="C73" s="37"/>
      <c r="D73" s="37"/>
      <c r="E73" s="37"/>
      <c r="F73" s="37"/>
      <c r="G73" s="37"/>
      <c r="H73" s="37"/>
      <c r="I73" s="37"/>
      <c r="J73" s="37"/>
      <c r="K73" s="37"/>
      <c r="L73" s="37"/>
      <c r="M73" s="37"/>
      <c r="N73" s="37"/>
      <c r="O73" s="37"/>
      <c r="P73" s="37"/>
      <c r="Q73" s="37"/>
      <c r="R73" s="37"/>
      <c r="S73" s="37"/>
      <c r="T73" s="37"/>
      <c r="U73" s="37"/>
      <c r="V73" s="37"/>
    </row>
    <row r="74" spans="2:22" x14ac:dyDescent="0.2">
      <c r="B74" s="38"/>
      <c r="I74" s="38"/>
    </row>
    <row r="75" spans="2:22" x14ac:dyDescent="0.2">
      <c r="B75" s="35" t="s">
        <v>239</v>
      </c>
      <c r="C75" s="123">
        <v>19</v>
      </c>
    </row>
    <row r="76" spans="2:22" x14ac:dyDescent="0.2">
      <c r="B76" s="35" t="s">
        <v>232</v>
      </c>
      <c r="C76" s="124">
        <v>0.31</v>
      </c>
    </row>
    <row r="77" spans="2:22" x14ac:dyDescent="0.2">
      <c r="B77" s="35" t="s">
        <v>234</v>
      </c>
      <c r="C77" s="125">
        <v>2080</v>
      </c>
    </row>
    <row r="78" spans="2:22" x14ac:dyDescent="0.2">
      <c r="B78" s="35" t="s">
        <v>233</v>
      </c>
      <c r="C78" s="51">
        <f>(C75*C77)*(1+C76)</f>
        <v>51771.200000000004</v>
      </c>
    </row>
    <row r="79" spans="2:22" x14ac:dyDescent="0.2">
      <c r="B79" s="35" t="s">
        <v>238</v>
      </c>
      <c r="C79" s="130">
        <f>M99</f>
        <v>5.7384099616858242</v>
      </c>
      <c r="D79" s="118"/>
      <c r="L79" s="40"/>
    </row>
    <row r="80" spans="2:22" x14ac:dyDescent="0.2">
      <c r="B80" s="35" t="s">
        <v>237</v>
      </c>
      <c r="C80" s="51">
        <f>C79*C78</f>
        <v>297084.36980842915</v>
      </c>
      <c r="D80" s="118"/>
    </row>
    <row r="81" spans="2:21" ht="13.5" thickBot="1" x14ac:dyDescent="0.25">
      <c r="E81" s="132"/>
    </row>
    <row r="82" spans="2:21" x14ac:dyDescent="0.2">
      <c r="B82" s="43" t="s">
        <v>152</v>
      </c>
      <c r="C82" s="43" t="s">
        <v>162</v>
      </c>
      <c r="D82" s="90">
        <f>SUM(D83:D94)</f>
        <v>611141.73762595165</v>
      </c>
      <c r="E82" s="134">
        <f>SUM(E83:E94)</f>
        <v>5990.9</v>
      </c>
      <c r="G82" s="8" t="s">
        <v>162</v>
      </c>
      <c r="H82" s="8" t="s">
        <v>154</v>
      </c>
      <c r="I82" s="8" t="s">
        <v>217</v>
      </c>
      <c r="J82" s="8" t="s">
        <v>86</v>
      </c>
      <c r="K82" s="8" t="s">
        <v>117</v>
      </c>
      <c r="L82" s="8" t="s">
        <v>236</v>
      </c>
      <c r="M82" s="8" t="s">
        <v>238</v>
      </c>
      <c r="N82" s="8" t="s">
        <v>240</v>
      </c>
      <c r="O82" s="8" t="s">
        <v>241</v>
      </c>
      <c r="P82" s="8" t="s">
        <v>242</v>
      </c>
      <c r="R82" s="8" t="s">
        <v>98</v>
      </c>
      <c r="S82" s="8" t="str">
        <f t="shared" ref="S82:S98" si="24">IF($I$8="Staffing",N82,IF($I$8="Percentage",R82,P82))</f>
        <v>Percentage</v>
      </c>
      <c r="U82" s="8" t="s">
        <v>245</v>
      </c>
    </row>
    <row r="83" spans="2:21" x14ac:dyDescent="0.2">
      <c r="B83" s="35" t="s">
        <v>155</v>
      </c>
      <c r="C83" s="35" t="s">
        <v>163</v>
      </c>
      <c r="D83" s="133">
        <f>S96</f>
        <v>35816.298733157222</v>
      </c>
      <c r="E83" s="5">
        <f>I96*$C$6</f>
        <v>351.1</v>
      </c>
      <c r="G83" s="7" t="s">
        <v>125</v>
      </c>
      <c r="H83" s="5">
        <f>Assistance!C2</f>
        <v>1418</v>
      </c>
      <c r="I83" s="5">
        <f>148+147+122</f>
        <v>417</v>
      </c>
      <c r="J83" s="5">
        <f>Assistance!D2</f>
        <v>74</v>
      </c>
      <c r="K83" s="120">
        <f t="shared" ref="K83:K98" si="25">I83/H83</f>
        <v>0.29407616361071931</v>
      </c>
      <c r="L83" s="120">
        <f t="shared" ref="L83:L98" si="26">J83/H83</f>
        <v>5.2186177715091681E-2</v>
      </c>
      <c r="M83" s="126">
        <f>(((I83*$C$6)/(365-(2*52)))/$L$4)</f>
        <v>3.9942528735632185E-2</v>
      </c>
      <c r="N83" s="5">
        <f t="shared" ref="N83:N98" si="27">M83*$C$78</f>
        <v>2067.8726436781612</v>
      </c>
      <c r="O83" s="5">
        <f>SUMPRODUCT(H83,K83,L83)</f>
        <v>21.76163610719323</v>
      </c>
      <c r="P83" s="5">
        <f t="shared" ref="P83:P98" si="28">ROUNDUP((O83/SUM($O$83:$O$98))*$C$80, -3)</f>
        <v>11000</v>
      </c>
      <c r="R83" s="96">
        <f>$C$41*(I83/SUM($I$83:$I$98))</f>
        <v>4253.8868048210088</v>
      </c>
      <c r="S83" s="96">
        <f t="shared" si="24"/>
        <v>4253.8868048210088</v>
      </c>
      <c r="U83" s="96">
        <f t="shared" ref="U83:U98" si="29">S83-(J83*$I$10)</f>
        <v>-1296.1131951789912</v>
      </c>
    </row>
    <row r="84" spans="2:21" x14ac:dyDescent="0.2">
      <c r="B84" s="35" t="s">
        <v>156</v>
      </c>
      <c r="C84" s="35" t="s">
        <v>249</v>
      </c>
      <c r="D84" s="133">
        <f>S98*35%</f>
        <v>31955.156873145828</v>
      </c>
      <c r="E84" s="5">
        <f>(I98*35%)*$C$6</f>
        <v>313.25</v>
      </c>
      <c r="G84" s="7" t="s">
        <v>126</v>
      </c>
      <c r="H84" s="5">
        <f>Assistance!C3</f>
        <v>21668</v>
      </c>
      <c r="I84" s="5">
        <f>820+1389+1265</f>
        <v>3474</v>
      </c>
      <c r="J84" s="5">
        <f>Assistance!D3</f>
        <v>81</v>
      </c>
      <c r="K84" s="120">
        <f t="shared" si="25"/>
        <v>0.16032859516337455</v>
      </c>
      <c r="L84" s="120">
        <f t="shared" si="26"/>
        <v>3.7382314934465573E-3</v>
      </c>
      <c r="M84" s="126">
        <f t="shared" ref="M84:M98" si="30">(((I84*$C$6)/(365-(2*52)))/$L$4)</f>
        <v>0.33275862068965523</v>
      </c>
      <c r="N84" s="5">
        <f t="shared" si="27"/>
        <v>17227.313103448279</v>
      </c>
      <c r="O84" s="5">
        <f t="shared" ref="O84:O98" si="31">SUMPRODUCT(H84,K84,L84)</f>
        <v>12.98661620823334</v>
      </c>
      <c r="P84" s="5">
        <f t="shared" si="28"/>
        <v>7000</v>
      </c>
      <c r="R84" s="96">
        <f t="shared" ref="R84:R98" si="32">$C$41*(I84/SUM($I$83:$I$98))</f>
        <v>35438.855539444092</v>
      </c>
      <c r="S84" s="96">
        <f t="shared" si="24"/>
        <v>35438.855539444092</v>
      </c>
      <c r="U84" s="96">
        <f t="shared" si="29"/>
        <v>29363.855539444092</v>
      </c>
    </row>
    <row r="85" spans="2:21" x14ac:dyDescent="0.2">
      <c r="B85" s="35" t="s">
        <v>161</v>
      </c>
      <c r="C85" s="35" t="s">
        <v>157</v>
      </c>
      <c r="D85" s="133">
        <f>S91+S97</f>
        <v>169971.85117968265</v>
      </c>
      <c r="E85" s="5">
        <f>(I91+I97)*$C$6</f>
        <v>1666.2</v>
      </c>
      <c r="G85" s="7" t="s">
        <v>127</v>
      </c>
      <c r="H85" s="5">
        <f>Assistance!C4</f>
        <v>1601</v>
      </c>
      <c r="I85" s="5">
        <f>76+172+207</f>
        <v>455</v>
      </c>
      <c r="J85" s="5">
        <f>Assistance!D4</f>
        <v>5</v>
      </c>
      <c r="K85" s="120">
        <f t="shared" si="25"/>
        <v>0.28419737663960026</v>
      </c>
      <c r="L85" s="120">
        <f t="shared" si="26"/>
        <v>3.1230480949406619E-3</v>
      </c>
      <c r="M85" s="126">
        <f t="shared" si="30"/>
        <v>4.3582375478927203E-2</v>
      </c>
      <c r="N85" s="5">
        <f t="shared" si="27"/>
        <v>2256.3118773946362</v>
      </c>
      <c r="O85" s="5">
        <f t="shared" si="31"/>
        <v>1.4209868831980013</v>
      </c>
      <c r="P85" s="5">
        <f t="shared" si="28"/>
        <v>1000</v>
      </c>
      <c r="R85" s="96">
        <f t="shared" si="32"/>
        <v>4641.5311659317967</v>
      </c>
      <c r="S85" s="96">
        <f t="shared" si="24"/>
        <v>4641.5311659317967</v>
      </c>
      <c r="U85" s="96">
        <f t="shared" si="29"/>
        <v>4266.5311659317967</v>
      </c>
    </row>
    <row r="86" spans="2:21" x14ac:dyDescent="0.2">
      <c r="B86" s="35" t="s">
        <v>158</v>
      </c>
      <c r="C86" s="35" t="s">
        <v>159</v>
      </c>
      <c r="D86" s="133">
        <f>S85+S87</f>
        <v>5590.2397339134604</v>
      </c>
      <c r="E86" s="5">
        <f>(I85+I87)*$C$6</f>
        <v>54.800000000000004</v>
      </c>
      <c r="G86" s="17" t="s">
        <v>128</v>
      </c>
      <c r="H86" s="5">
        <f>Assistance!C5</f>
        <v>4414</v>
      </c>
      <c r="I86" s="5">
        <f>179+307+262</f>
        <v>748</v>
      </c>
      <c r="J86" s="5">
        <f>Assistance!D5</f>
        <v>5</v>
      </c>
      <c r="K86" s="120">
        <f t="shared" si="25"/>
        <v>0.16946080652469417</v>
      </c>
      <c r="L86" s="120">
        <f t="shared" si="26"/>
        <v>1.1327594019030357E-3</v>
      </c>
      <c r="M86" s="126">
        <f t="shared" si="30"/>
        <v>7.1647509578544058E-2</v>
      </c>
      <c r="N86" s="5">
        <f t="shared" si="27"/>
        <v>3709.2775478927206</v>
      </c>
      <c r="O86" s="5">
        <f t="shared" si="31"/>
        <v>0.84730403262347087</v>
      </c>
      <c r="P86" s="5">
        <f t="shared" si="28"/>
        <v>1000</v>
      </c>
      <c r="R86" s="96">
        <f t="shared" si="32"/>
        <v>7630.47321344392</v>
      </c>
      <c r="S86" s="96">
        <f t="shared" si="24"/>
        <v>7630.47321344392</v>
      </c>
      <c r="U86" s="96">
        <f t="shared" si="29"/>
        <v>7255.47321344392</v>
      </c>
    </row>
    <row r="87" spans="2:21" x14ac:dyDescent="0.2">
      <c r="B87" s="35" t="s">
        <v>181</v>
      </c>
      <c r="C87" s="35" t="s">
        <v>182</v>
      </c>
      <c r="D87" s="133">
        <f>S94</f>
        <v>79161.059005781848</v>
      </c>
      <c r="E87" s="5">
        <f>I94*$C$6</f>
        <v>776</v>
      </c>
      <c r="G87" s="3" t="s">
        <v>129</v>
      </c>
      <c r="H87" s="5">
        <f>Assistance!C6</f>
        <v>464</v>
      </c>
      <c r="I87" s="5">
        <f>7+37+49</f>
        <v>93</v>
      </c>
      <c r="J87" s="5">
        <f>Assistance!D6</f>
        <v>2</v>
      </c>
      <c r="K87" s="120">
        <f t="shared" si="25"/>
        <v>0.20043103448275862</v>
      </c>
      <c r="L87" s="120">
        <f t="shared" si="26"/>
        <v>4.3103448275862068E-3</v>
      </c>
      <c r="M87" s="126">
        <f t="shared" si="30"/>
        <v>8.9080459770114941E-3</v>
      </c>
      <c r="N87" s="5">
        <f t="shared" si="27"/>
        <v>461.18022988505749</v>
      </c>
      <c r="O87" s="5">
        <f t="shared" si="31"/>
        <v>0.40086206896551724</v>
      </c>
      <c r="P87" s="5">
        <f t="shared" si="28"/>
        <v>1000</v>
      </c>
      <c r="R87" s="96">
        <f t="shared" si="32"/>
        <v>948.70856798166392</v>
      </c>
      <c r="S87" s="96">
        <f t="shared" si="24"/>
        <v>948.70856798166392</v>
      </c>
      <c r="U87" s="96">
        <f t="shared" si="29"/>
        <v>798.70856798166392</v>
      </c>
    </row>
    <row r="88" spans="2:21" x14ac:dyDescent="0.2">
      <c r="B88" s="35" t="s">
        <v>218</v>
      </c>
      <c r="C88" s="35" t="s">
        <v>222</v>
      </c>
      <c r="D88" s="133">
        <f>S84+S88</f>
        <v>69337.334801842691</v>
      </c>
      <c r="E88" s="5">
        <f>(I84+I88)*$C$6</f>
        <v>679.7</v>
      </c>
      <c r="G88" s="3" t="s">
        <v>130</v>
      </c>
      <c r="H88" s="5">
        <f>Assistance!C7</f>
        <v>13504</v>
      </c>
      <c r="I88" s="5">
        <f>1090+960+1273</f>
        <v>3323</v>
      </c>
      <c r="J88" s="5">
        <f>Assistance!D7</f>
        <v>128</v>
      </c>
      <c r="K88" s="120">
        <f t="shared" si="25"/>
        <v>0.24607523696682465</v>
      </c>
      <c r="L88" s="120">
        <f t="shared" si="26"/>
        <v>9.4786729857819912E-3</v>
      </c>
      <c r="M88" s="126">
        <f t="shared" si="30"/>
        <v>0.31829501915708813</v>
      </c>
      <c r="N88" s="5">
        <f t="shared" si="27"/>
        <v>16478.515095785442</v>
      </c>
      <c r="O88" s="5">
        <f t="shared" si="31"/>
        <v>31.497630331753555</v>
      </c>
      <c r="P88" s="5">
        <f t="shared" si="28"/>
        <v>16000</v>
      </c>
      <c r="R88" s="96">
        <f t="shared" si="32"/>
        <v>33898.479262398592</v>
      </c>
      <c r="S88" s="96">
        <f t="shared" si="24"/>
        <v>33898.479262398592</v>
      </c>
      <c r="U88" s="96">
        <f t="shared" si="29"/>
        <v>24298.479262398592</v>
      </c>
    </row>
    <row r="89" spans="2:21" x14ac:dyDescent="0.2">
      <c r="B89" s="35" t="s">
        <v>219</v>
      </c>
      <c r="C89" s="35" t="s">
        <v>220</v>
      </c>
      <c r="D89" s="133">
        <f>S93</f>
        <v>7783.4907244087044</v>
      </c>
      <c r="E89" s="5">
        <f>I93*$C$6</f>
        <v>76.3</v>
      </c>
      <c r="G89" s="3" t="s">
        <v>92</v>
      </c>
      <c r="H89" s="5">
        <f>Assistance!C8</f>
        <v>1255</v>
      </c>
      <c r="I89" s="5">
        <f>73+39+60</f>
        <v>172</v>
      </c>
      <c r="J89" s="5">
        <f>Assistance!D8</f>
        <v>8</v>
      </c>
      <c r="K89" s="120">
        <f t="shared" si="25"/>
        <v>0.13705179282868526</v>
      </c>
      <c r="L89" s="120">
        <f t="shared" si="26"/>
        <v>6.3745019920318727E-3</v>
      </c>
      <c r="M89" s="126">
        <f t="shared" si="30"/>
        <v>1.6475095785440614E-2</v>
      </c>
      <c r="N89" s="5">
        <f t="shared" si="27"/>
        <v>852.93547892720323</v>
      </c>
      <c r="O89" s="5">
        <f t="shared" si="31"/>
        <v>1.0964143426294821</v>
      </c>
      <c r="P89" s="5">
        <f t="shared" si="28"/>
        <v>1000</v>
      </c>
      <c r="R89" s="96">
        <f t="shared" si="32"/>
        <v>1754.6007923961954</v>
      </c>
      <c r="S89" s="96">
        <f t="shared" si="24"/>
        <v>1754.6007923961954</v>
      </c>
      <c r="U89" s="96">
        <f t="shared" si="29"/>
        <v>1154.6007923961954</v>
      </c>
    </row>
    <row r="90" spans="2:21" x14ac:dyDescent="0.2">
      <c r="B90" s="35" t="s">
        <v>223</v>
      </c>
      <c r="C90" s="35" t="s">
        <v>221</v>
      </c>
      <c r="D90" s="133">
        <f>S90</f>
        <v>12710.654577474766</v>
      </c>
      <c r="E90" s="5">
        <f>I90*$C$6</f>
        <v>124.60000000000001</v>
      </c>
      <c r="G90" s="3" t="s">
        <v>131</v>
      </c>
      <c r="H90" s="5">
        <f>Assistance!C9</f>
        <v>4380</v>
      </c>
      <c r="I90" s="5">
        <f>391+537+318</f>
        <v>1246</v>
      </c>
      <c r="J90" s="5">
        <f>Assistance!D9</f>
        <v>48</v>
      </c>
      <c r="K90" s="120">
        <f t="shared" si="25"/>
        <v>0.28447488584474884</v>
      </c>
      <c r="L90" s="120">
        <f t="shared" si="26"/>
        <v>1.0958904109589041E-2</v>
      </c>
      <c r="M90" s="126">
        <f t="shared" si="30"/>
        <v>0.11934865900383143</v>
      </c>
      <c r="N90" s="5">
        <f t="shared" si="27"/>
        <v>6178.8232950191586</v>
      </c>
      <c r="O90" s="5">
        <f t="shared" si="31"/>
        <v>13.654794520547945</v>
      </c>
      <c r="P90" s="5">
        <f t="shared" si="28"/>
        <v>7000</v>
      </c>
      <c r="R90" s="96">
        <f t="shared" si="32"/>
        <v>12710.654577474766</v>
      </c>
      <c r="S90" s="96">
        <f t="shared" si="24"/>
        <v>12710.654577474766</v>
      </c>
      <c r="U90" s="96">
        <f t="shared" si="29"/>
        <v>9110.6545774747665</v>
      </c>
    </row>
    <row r="91" spans="2:21" x14ac:dyDescent="0.2">
      <c r="B91" s="35" t="s">
        <v>224</v>
      </c>
      <c r="C91" s="35" t="s">
        <v>226</v>
      </c>
      <c r="D91" s="133">
        <f>S92</f>
        <v>108091.56974552377</v>
      </c>
      <c r="E91" s="5">
        <f>I92*$C$6</f>
        <v>1059.6000000000001</v>
      </c>
      <c r="G91" s="3" t="s">
        <v>132</v>
      </c>
      <c r="H91" s="5">
        <f>Assistance!C10</f>
        <v>7520</v>
      </c>
      <c r="I91" s="5">
        <f>662+1001+816</f>
        <v>2479</v>
      </c>
      <c r="J91" s="5">
        <f>Assistance!D10</f>
        <v>41</v>
      </c>
      <c r="K91" s="120">
        <f t="shared" si="25"/>
        <v>0.32965425531914894</v>
      </c>
      <c r="L91" s="120">
        <f t="shared" si="26"/>
        <v>5.4521276595744681E-3</v>
      </c>
      <c r="M91" s="126">
        <f t="shared" si="30"/>
        <v>0.23745210727969349</v>
      </c>
      <c r="N91" s="5">
        <f t="shared" si="27"/>
        <v>12293.180536398468</v>
      </c>
      <c r="O91" s="5">
        <f t="shared" si="31"/>
        <v>13.515824468085107</v>
      </c>
      <c r="P91" s="5">
        <f t="shared" si="28"/>
        <v>7000</v>
      </c>
      <c r="R91" s="96">
        <f t="shared" si="32"/>
        <v>25288.693978780055</v>
      </c>
      <c r="S91" s="96">
        <f t="shared" si="24"/>
        <v>25288.693978780055</v>
      </c>
      <c r="U91" s="96">
        <f t="shared" si="29"/>
        <v>22213.693978780055</v>
      </c>
    </row>
    <row r="92" spans="2:21" x14ac:dyDescent="0.2">
      <c r="B92" s="35" t="s">
        <v>225</v>
      </c>
      <c r="C92" s="35" t="s">
        <v>227</v>
      </c>
      <c r="D92" s="133">
        <f>S86</f>
        <v>7630.47321344392</v>
      </c>
      <c r="E92" s="5">
        <f>I86*$C$6</f>
        <v>74.8</v>
      </c>
      <c r="G92" s="3" t="s">
        <v>133</v>
      </c>
      <c r="H92" s="5">
        <f>Assistance!C11</f>
        <v>35507</v>
      </c>
      <c r="I92" s="5">
        <f>2813+3959+3824</f>
        <v>10596</v>
      </c>
      <c r="J92" s="5">
        <f>Assistance!D11</f>
        <v>148</v>
      </c>
      <c r="K92" s="120">
        <f t="shared" si="25"/>
        <v>0.29842002985326838</v>
      </c>
      <c r="L92" s="120">
        <f t="shared" si="26"/>
        <v>4.1681921874559946E-3</v>
      </c>
      <c r="M92" s="126">
        <f t="shared" si="30"/>
        <v>1.0149425287356324</v>
      </c>
      <c r="N92" s="5">
        <f t="shared" si="27"/>
        <v>52544.792643678178</v>
      </c>
      <c r="O92" s="5">
        <f t="shared" si="31"/>
        <v>44.166164418283721</v>
      </c>
      <c r="P92" s="5">
        <f t="shared" si="28"/>
        <v>22000</v>
      </c>
      <c r="R92" s="96">
        <f t="shared" si="32"/>
        <v>108091.56974552377</v>
      </c>
      <c r="S92" s="96">
        <f t="shared" si="24"/>
        <v>108091.56974552377</v>
      </c>
      <c r="U92" s="96">
        <f t="shared" si="29"/>
        <v>96991.569745523768</v>
      </c>
    </row>
    <row r="93" spans="2:21" x14ac:dyDescent="0.2">
      <c r="B93" s="35" t="s">
        <v>228</v>
      </c>
      <c r="C93" s="35" t="s">
        <v>250</v>
      </c>
      <c r="D93" s="133">
        <f>S83+S89+S98*65%</f>
        <v>65353.778933059461</v>
      </c>
      <c r="E93" s="5">
        <f>(I83+I89+I98*65%)*$C$6</f>
        <v>640.65000000000009</v>
      </c>
      <c r="G93" s="3" t="s">
        <v>134</v>
      </c>
      <c r="H93" s="5">
        <f>Assistance!C12</f>
        <v>2419</v>
      </c>
      <c r="I93" s="5">
        <f>202+377+184</f>
        <v>763</v>
      </c>
      <c r="J93" s="5">
        <f>Assistance!D12</f>
        <v>16</v>
      </c>
      <c r="K93" s="120">
        <f t="shared" si="25"/>
        <v>0.31541959487391485</v>
      </c>
      <c r="L93" s="120">
        <f t="shared" si="26"/>
        <v>6.6143034311699047E-3</v>
      </c>
      <c r="M93" s="126">
        <f t="shared" si="30"/>
        <v>7.3084291187739459E-2</v>
      </c>
      <c r="N93" s="5">
        <f t="shared" si="27"/>
        <v>3783.6614559386976</v>
      </c>
      <c r="O93" s="5">
        <f t="shared" si="31"/>
        <v>5.0467135179826377</v>
      </c>
      <c r="P93" s="5">
        <f t="shared" si="28"/>
        <v>3000</v>
      </c>
      <c r="R93" s="96">
        <f t="shared" si="32"/>
        <v>7783.4907244087044</v>
      </c>
      <c r="S93" s="96">
        <f t="shared" si="24"/>
        <v>7783.4907244087044</v>
      </c>
      <c r="U93" s="96">
        <f t="shared" si="29"/>
        <v>6583.4907244087044</v>
      </c>
    </row>
    <row r="94" spans="2:21" x14ac:dyDescent="0.2">
      <c r="B94" s="35" t="s">
        <v>229</v>
      </c>
      <c r="C94" s="35" t="s">
        <v>230</v>
      </c>
      <c r="D94" s="133">
        <f>S95</f>
        <v>17739.83010451735</v>
      </c>
      <c r="E94" s="5">
        <f>I95*$C$6</f>
        <v>173.9</v>
      </c>
      <c r="G94" s="3" t="s">
        <v>135</v>
      </c>
      <c r="H94" s="5">
        <f>Assistance!C13</f>
        <v>30097</v>
      </c>
      <c r="I94" s="5">
        <f>2134+2933+2693</f>
        <v>7760</v>
      </c>
      <c r="J94" s="5">
        <f>Assistance!D13</f>
        <v>298</v>
      </c>
      <c r="K94" s="120">
        <f t="shared" si="25"/>
        <v>0.25783300661195468</v>
      </c>
      <c r="L94" s="120">
        <f t="shared" si="26"/>
        <v>9.901319068345682E-3</v>
      </c>
      <c r="M94" s="126">
        <f t="shared" si="30"/>
        <v>0.74329501915708818</v>
      </c>
      <c r="N94" s="5">
        <f t="shared" si="27"/>
        <v>38481.275095785444</v>
      </c>
      <c r="O94" s="5">
        <f t="shared" si="31"/>
        <v>76.834235970362499</v>
      </c>
      <c r="P94" s="5">
        <f t="shared" si="28"/>
        <v>39000</v>
      </c>
      <c r="R94" s="96">
        <f t="shared" si="32"/>
        <v>79161.059005781848</v>
      </c>
      <c r="S94" s="96">
        <f t="shared" si="24"/>
        <v>79161.059005781848</v>
      </c>
      <c r="U94" s="96">
        <f t="shared" si="29"/>
        <v>56811.059005781848</v>
      </c>
    </row>
    <row r="95" spans="2:21" x14ac:dyDescent="0.2">
      <c r="G95" s="35" t="s">
        <v>136</v>
      </c>
      <c r="H95" s="5">
        <f>Assistance!C14</f>
        <v>7754</v>
      </c>
      <c r="I95" s="5">
        <f>373+767+599</f>
        <v>1739</v>
      </c>
      <c r="J95" s="5">
        <f>Assistance!D14</f>
        <v>51</v>
      </c>
      <c r="K95" s="120">
        <f t="shared" si="25"/>
        <v>0.22427134382254321</v>
      </c>
      <c r="L95" s="120">
        <f t="shared" si="26"/>
        <v>6.5772504513799332E-3</v>
      </c>
      <c r="M95" s="126">
        <f t="shared" si="30"/>
        <v>0.16657088122605365</v>
      </c>
      <c r="N95" s="5">
        <f t="shared" si="27"/>
        <v>8623.5744061302703</v>
      </c>
      <c r="O95" s="5">
        <f t="shared" si="31"/>
        <v>11.437838534949703</v>
      </c>
      <c r="P95" s="5">
        <f t="shared" si="28"/>
        <v>6000</v>
      </c>
      <c r="R95" s="96">
        <f t="shared" si="32"/>
        <v>17739.83010451735</v>
      </c>
      <c r="S95" s="96">
        <f t="shared" si="24"/>
        <v>17739.83010451735</v>
      </c>
      <c r="U95" s="96">
        <f t="shared" si="29"/>
        <v>13914.83010451735</v>
      </c>
    </row>
    <row r="96" spans="2:21" x14ac:dyDescent="0.2">
      <c r="G96" s="35" t="s">
        <v>137</v>
      </c>
      <c r="H96" s="5">
        <f>Assistance!C15</f>
        <v>13324</v>
      </c>
      <c r="I96" s="5">
        <f>915+1307+1289</f>
        <v>3511</v>
      </c>
      <c r="J96" s="5">
        <f>Assistance!D15</f>
        <v>146</v>
      </c>
      <c r="K96" s="120">
        <f t="shared" si="25"/>
        <v>0.26350945661963376</v>
      </c>
      <c r="L96" s="120">
        <f t="shared" si="26"/>
        <v>1.0957670369258481E-2</v>
      </c>
      <c r="M96" s="126">
        <f t="shared" si="30"/>
        <v>0.3363026819923372</v>
      </c>
      <c r="N96" s="5">
        <f t="shared" si="27"/>
        <v>17410.79340996169</v>
      </c>
      <c r="O96" s="5">
        <f t="shared" si="31"/>
        <v>38.472380666466528</v>
      </c>
      <c r="P96" s="5">
        <f t="shared" si="28"/>
        <v>20000</v>
      </c>
      <c r="R96" s="96">
        <f t="shared" si="32"/>
        <v>35816.298733157222</v>
      </c>
      <c r="S96" s="96">
        <f t="shared" si="24"/>
        <v>35816.298733157222</v>
      </c>
      <c r="U96" s="96">
        <f t="shared" si="29"/>
        <v>24866.298733157222</v>
      </c>
    </row>
    <row r="97" spans="4:21" x14ac:dyDescent="0.2">
      <c r="D97" s="103"/>
      <c r="G97" s="35" t="s">
        <v>216</v>
      </c>
      <c r="H97" s="5">
        <f>Assistance!C16</f>
        <v>51957</v>
      </c>
      <c r="I97" s="5">
        <f>2984+6469+4730</f>
        <v>14183</v>
      </c>
      <c r="J97" s="5">
        <f>Assistance!D16</f>
        <v>515</v>
      </c>
      <c r="K97" s="120">
        <f t="shared" si="25"/>
        <v>0.2729757299305195</v>
      </c>
      <c r="L97" s="120">
        <f t="shared" si="26"/>
        <v>9.9120426506534246E-3</v>
      </c>
      <c r="M97" s="126">
        <f t="shared" si="30"/>
        <v>1.3585249042145595</v>
      </c>
      <c r="N97" s="5">
        <f t="shared" si="27"/>
        <v>70332.464521072805</v>
      </c>
      <c r="O97" s="5">
        <f t="shared" si="31"/>
        <v>140.58250091421755</v>
      </c>
      <c r="P97" s="5">
        <f t="shared" si="28"/>
        <v>70000</v>
      </c>
      <c r="R97" s="96">
        <f t="shared" si="32"/>
        <v>144683.15720090258</v>
      </c>
      <c r="S97" s="96">
        <f t="shared" si="24"/>
        <v>144683.15720090258</v>
      </c>
      <c r="U97" s="96">
        <f t="shared" si="29"/>
        <v>106058.15720090258</v>
      </c>
    </row>
    <row r="98" spans="4:21" ht="13.5" thickBot="1" x14ac:dyDescent="0.25">
      <c r="G98" s="27" t="s">
        <v>139</v>
      </c>
      <c r="H98" s="12">
        <f>Assistance!C17</f>
        <v>31147</v>
      </c>
      <c r="I98" s="12">
        <f>2068+3873+3009</f>
        <v>8950</v>
      </c>
      <c r="J98" s="12">
        <f>Assistance!D17</f>
        <v>642</v>
      </c>
      <c r="K98" s="121">
        <f t="shared" si="25"/>
        <v>0.28734709602851</v>
      </c>
      <c r="L98" s="121">
        <f t="shared" si="26"/>
        <v>2.0611936944167977E-2</v>
      </c>
      <c r="M98" s="127">
        <f t="shared" si="30"/>
        <v>0.85727969348659006</v>
      </c>
      <c r="N98" s="12">
        <f t="shared" si="27"/>
        <v>44382.398467432955</v>
      </c>
      <c r="O98" s="12">
        <f t="shared" si="31"/>
        <v>184.4768356503034</v>
      </c>
      <c r="P98" s="12">
        <f t="shared" si="28"/>
        <v>92000</v>
      </c>
      <c r="R98" s="12">
        <f t="shared" si="32"/>
        <v>91300.448208988091</v>
      </c>
      <c r="S98" s="12">
        <f t="shared" si="24"/>
        <v>91300.448208988091</v>
      </c>
      <c r="U98" s="12">
        <f t="shared" si="29"/>
        <v>43150.448208988091</v>
      </c>
    </row>
    <row r="99" spans="4:21" x14ac:dyDescent="0.2">
      <c r="G99" s="3" t="s">
        <v>191</v>
      </c>
      <c r="H99" s="6">
        <f>SUM(H83:H98)</f>
        <v>228429</v>
      </c>
      <c r="I99" s="6">
        <f>SUM(I83:I98)</f>
        <v>59909</v>
      </c>
      <c r="J99" s="6">
        <f>SUM(J83:J98)</f>
        <v>2208</v>
      </c>
      <c r="K99" s="122">
        <f>AVERAGE(K83:K98)</f>
        <v>0.25159540032005617</v>
      </c>
      <c r="L99" s="122">
        <f>AVERAGE(L83:L98)</f>
        <v>1.0343592711398557E-2</v>
      </c>
      <c r="M99" s="129">
        <f>SUM(M83:M98)</f>
        <v>5.7384099616858242</v>
      </c>
      <c r="N99" s="6">
        <f>SUM(N83:N98)</f>
        <v>297084.36980842915</v>
      </c>
      <c r="P99" s="6">
        <f>SUM(P83:P98)</f>
        <v>304000</v>
      </c>
      <c r="R99" s="6">
        <f>SUM(R83:R98)</f>
        <v>611141.73762595165</v>
      </c>
      <c r="S99" s="6">
        <f>SUM(S83:S98)</f>
        <v>611141.73762595165</v>
      </c>
      <c r="U99" s="6">
        <f>SUM(U83:U98)</f>
        <v>445541.73762595165</v>
      </c>
    </row>
    <row r="101" spans="4:21" x14ac:dyDescent="0.2">
      <c r="G101" s="89"/>
      <c r="H101" s="5"/>
      <c r="I101" s="5"/>
      <c r="J101" s="84"/>
      <c r="L101" s="118"/>
    </row>
    <row r="102" spans="4:21" x14ac:dyDescent="0.2">
      <c r="H102" s="5"/>
      <c r="I102" s="5"/>
      <c r="J102" s="84"/>
    </row>
    <row r="103" spans="4:21" x14ac:dyDescent="0.2">
      <c r="H103" s="5"/>
      <c r="I103" s="5"/>
      <c r="J103" s="76"/>
    </row>
  </sheetData>
  <sheetProtection formatCells="0" formatColumns="0" formatRows="0" sort="0" autoFilter="0" pivotTables="0"/>
  <protectedRanges>
    <protectedRange sqref="P51:Q55" name="Solver"/>
    <protectedRange sqref="H61:M67" name="RD"/>
    <protectedRange sqref="B51:M56" name="Data"/>
    <protectedRange sqref="O36:P37 R36:S36 E36:M44 C36:D46" name="Dash"/>
    <protectedRange sqref="P51:Q55 C26:S31" name="EDP"/>
    <protectedRange sqref="V24 M16:M20 C16:K21" name="AMP"/>
  </protectedRanges>
  <dataValidations count="8">
    <dataValidation type="list" allowBlank="1" showInputMessage="1" showErrorMessage="1" sqref="C8" xr:uid="{BA68A474-7F16-435E-893F-7884FE1203E9}">
      <formula1>"Avg. Assistance, Avg. LIHEAP"</formula1>
    </dataValidation>
    <dataValidation type="list" allowBlank="1" showInputMessage="1" showErrorMessage="1" sqref="C3" xr:uid="{25FA86DE-E8A1-4517-8E3A-4CE15819BAA9}">
      <formula1>"WA, OR"</formula1>
    </dataValidation>
    <dataValidation type="list" allowBlank="1" showInputMessage="1" showErrorMessage="1" sqref="C8" xr:uid="{A2829DED-D94D-4B5B-8CFF-D39EF457BF79}">
      <formula1>#REF!</formula1>
    </dataValidation>
    <dataValidation type="list" allowBlank="1" showInputMessage="1" showErrorMessage="1" sqref="F8" xr:uid="{C676A5AB-61B3-44EC-AAAD-88EBD43E2C49}">
      <formula1>$G$61:$G$67</formula1>
    </dataValidation>
    <dataValidation type="list" allowBlank="1" showInputMessage="1" showErrorMessage="1" sqref="C10" xr:uid="{4B4E4331-FE8D-4A21-A136-81E985C41EB8}">
      <formula1>"FPL, AMI, MAX, AVA"</formula1>
    </dataValidation>
    <dataValidation type="list" allowBlank="1" showInputMessage="1" showErrorMessage="1" sqref="I4" xr:uid="{58751A30-AD60-4D82-B3B1-1EFDEFAAFFDE}">
      <formula1>"Yes, No"</formula1>
    </dataValidation>
    <dataValidation type="list" allowBlank="1" showInputMessage="1" showErrorMessage="1" sqref="I6" xr:uid="{686C74F1-CFD8-46E9-8B60-E873E5F4AB09}">
      <formula1>"Percentage, Average"</formula1>
    </dataValidation>
    <dataValidation type="list" allowBlank="1" showInputMessage="1" showErrorMessage="1" sqref="I8" xr:uid="{401E812E-B535-4D4F-9DE8-C6EDD96E4F29}">
      <formula1>"Fee, Staffing, Staffing (P), Percentage"</formula1>
    </dataValidation>
  </dataValidations>
  <pageMargins left="0.7" right="0.7" top="0.75" bottom="0.75" header="0.3" footer="0.3"/>
  <pageSetup scale="52" fitToHeight="0" orientation="landscape" r:id="rId1"/>
  <headerFooter>
    <oddHeader>&amp;LCascade Natural Gas Corp.&amp;CLow-Income Energy Burden Program&amp;R&amp;D</oddHeader>
    <oddFooter>&amp;L&amp;A&amp;C&amp;"Arial,Bold" Confidential and Proprietary&amp;RPage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5D039-5610-41BF-B535-10A304CCA0E1}">
  <sheetPr codeName="Sheet2">
    <tabColor theme="9" tint="0.79998168889431442"/>
    <pageSetUpPr fitToPage="1"/>
  </sheetPr>
  <dimension ref="A2:AC80"/>
  <sheetViews>
    <sheetView zoomScale="110" zoomScaleNormal="110" workbookViewId="0">
      <pane ySplit="1" topLeftCell="A20" activePane="bottomLeft" state="frozen"/>
      <selection activeCell="H6" sqref="H6"/>
      <selection pane="bottomLeft" activeCell="E43" sqref="E43"/>
    </sheetView>
  </sheetViews>
  <sheetFormatPr defaultColWidth="8.85546875" defaultRowHeight="12.75" x14ac:dyDescent="0.2"/>
  <cols>
    <col min="1" max="1" width="1.42578125" style="35" customWidth="1"/>
    <col min="2" max="2" width="13.42578125" style="35" bestFit="1" customWidth="1"/>
    <col min="3" max="3" width="14.140625" style="35" bestFit="1" customWidth="1"/>
    <col min="4" max="4" width="10.7109375" style="35" bestFit="1" customWidth="1"/>
    <col min="5" max="5" width="12.5703125" style="35" bestFit="1" customWidth="1"/>
    <col min="6" max="6" width="8" style="35" bestFit="1" customWidth="1"/>
    <col min="7" max="7" width="4.28515625" style="35" customWidth="1"/>
    <col min="8" max="8" width="4.5703125" style="35" customWidth="1"/>
    <col min="9" max="9" width="16.140625" style="35" customWidth="1"/>
    <col min="10" max="13" width="7.42578125" style="35" bestFit="1" customWidth="1"/>
    <col min="14" max="14" width="8" style="35" bestFit="1" customWidth="1"/>
    <col min="15" max="15" width="7.85546875" style="35" bestFit="1" customWidth="1"/>
    <col min="16" max="16" width="7.42578125" style="35" bestFit="1" customWidth="1"/>
    <col min="17" max="17" width="12" style="35" bestFit="1" customWidth="1"/>
    <col min="18" max="21" width="7.42578125" style="35" bestFit="1" customWidth="1"/>
    <col min="22" max="22" width="10.28515625" style="35" bestFit="1" customWidth="1"/>
    <col min="23" max="23" width="11.140625" style="35" bestFit="1" customWidth="1"/>
    <col min="24" max="24" width="9.28515625" style="35" bestFit="1" customWidth="1"/>
    <col min="25" max="25" width="7.42578125" style="35" bestFit="1" customWidth="1"/>
    <col min="26" max="26" width="9.28515625" style="35" bestFit="1" customWidth="1"/>
    <col min="27" max="27" width="8.85546875" style="35"/>
    <col min="28" max="28" width="15.85546875" style="35" bestFit="1" customWidth="1"/>
    <col min="29" max="29" width="7.42578125" style="35" bestFit="1" customWidth="1"/>
    <col min="30" max="16384" width="8.85546875" style="35"/>
  </cols>
  <sheetData>
    <row r="2" spans="1:29" x14ac:dyDescent="0.2">
      <c r="B2" s="36" t="s">
        <v>105</v>
      </c>
      <c r="C2" s="37"/>
      <c r="D2" s="37"/>
      <c r="E2" s="37"/>
      <c r="F2" s="37"/>
      <c r="I2" s="36" t="s">
        <v>124</v>
      </c>
      <c r="J2" s="37"/>
      <c r="K2" s="37"/>
      <c r="L2" s="37"/>
      <c r="M2" s="37"/>
      <c r="N2" s="37"/>
      <c r="O2" s="37"/>
      <c r="P2" s="37"/>
      <c r="Q2" s="37"/>
      <c r="R2" s="37"/>
      <c r="S2" s="37"/>
      <c r="T2" s="37"/>
      <c r="U2" s="37"/>
      <c r="V2" s="37"/>
      <c r="W2" s="37"/>
      <c r="X2" s="37"/>
      <c r="Y2" s="37"/>
      <c r="Z2" s="82" t="s">
        <v>164</v>
      </c>
      <c r="AB2" s="1" t="s">
        <v>183</v>
      </c>
      <c r="AC2" s="81" t="s">
        <v>164</v>
      </c>
    </row>
    <row r="3" spans="1:29" ht="8.25" customHeight="1" x14ac:dyDescent="0.2">
      <c r="B3" s="38"/>
      <c r="I3" s="38"/>
      <c r="AB3" s="3"/>
      <c r="AC3" s="3"/>
    </row>
    <row r="4" spans="1:29" ht="13.5" thickBot="1" x14ac:dyDescent="0.25">
      <c r="B4" s="35" t="s">
        <v>30</v>
      </c>
      <c r="I4" s="35" t="s">
        <v>30</v>
      </c>
      <c r="AB4" s="3"/>
      <c r="AC4" s="3"/>
    </row>
    <row r="5" spans="1:29" x14ac:dyDescent="0.2">
      <c r="B5" s="43" t="s">
        <v>106</v>
      </c>
      <c r="C5" s="43" t="s">
        <v>86</v>
      </c>
      <c r="D5" s="43" t="s">
        <v>107</v>
      </c>
      <c r="I5" s="43" t="s">
        <v>143</v>
      </c>
      <c r="J5" s="43" t="s">
        <v>125</v>
      </c>
      <c r="K5" s="43" t="s">
        <v>126</v>
      </c>
      <c r="L5" s="43" t="s">
        <v>127</v>
      </c>
      <c r="M5" s="43" t="s">
        <v>128</v>
      </c>
      <c r="N5" s="43" t="s">
        <v>129</v>
      </c>
      <c r="O5" s="43" t="s">
        <v>130</v>
      </c>
      <c r="P5" s="43" t="s">
        <v>92</v>
      </c>
      <c r="Q5" s="43" t="s">
        <v>131</v>
      </c>
      <c r="R5" s="43" t="s">
        <v>132</v>
      </c>
      <c r="S5" s="43" t="s">
        <v>133</v>
      </c>
      <c r="T5" s="43" t="s">
        <v>134</v>
      </c>
      <c r="U5" s="43" t="s">
        <v>135</v>
      </c>
      <c r="V5" s="43" t="s">
        <v>136</v>
      </c>
      <c r="W5" s="43" t="s">
        <v>137</v>
      </c>
      <c r="X5" s="43" t="s">
        <v>138</v>
      </c>
      <c r="Y5" s="43" t="s">
        <v>139</v>
      </c>
      <c r="Z5" s="43" t="s">
        <v>144</v>
      </c>
      <c r="AB5" s="8" t="s">
        <v>143</v>
      </c>
      <c r="AC5" s="8" t="s">
        <v>30</v>
      </c>
    </row>
    <row r="6" spans="1:29" x14ac:dyDescent="0.2">
      <c r="B6" s="83" t="s">
        <v>2</v>
      </c>
      <c r="C6" s="77">
        <v>0.88890000000000002</v>
      </c>
      <c r="D6" s="77">
        <v>0.92800000000000005</v>
      </c>
      <c r="I6" s="35" t="s">
        <v>141</v>
      </c>
      <c r="J6" s="51">
        <v>44200</v>
      </c>
      <c r="K6" s="51">
        <v>48900</v>
      </c>
      <c r="L6" s="51">
        <v>44600</v>
      </c>
      <c r="M6" s="51">
        <v>44600</v>
      </c>
      <c r="N6" s="51">
        <v>44600</v>
      </c>
      <c r="O6" s="51">
        <v>48900</v>
      </c>
      <c r="P6" s="51">
        <v>44600</v>
      </c>
      <c r="Q6" s="51">
        <v>44200</v>
      </c>
      <c r="R6" s="51">
        <v>49950</v>
      </c>
      <c r="S6" s="51">
        <v>57650</v>
      </c>
      <c r="T6" s="51">
        <v>44200</v>
      </c>
      <c r="U6" s="51">
        <v>48250</v>
      </c>
      <c r="V6" s="51">
        <v>66750</v>
      </c>
      <c r="W6" s="51">
        <v>45150</v>
      </c>
      <c r="X6" s="51">
        <v>50800</v>
      </c>
      <c r="Y6" s="51">
        <v>44200</v>
      </c>
      <c r="Z6" s="102">
        <f>ROUND(_xlfn.MODE.SNGL(J6:Y6), 4)</f>
        <v>44200</v>
      </c>
      <c r="AB6" s="3" t="s">
        <v>184</v>
      </c>
      <c r="AC6" s="51">
        <v>57400</v>
      </c>
    </row>
    <row r="7" spans="1:29" x14ac:dyDescent="0.2">
      <c r="B7" s="83" t="s">
        <v>3</v>
      </c>
      <c r="C7" s="77">
        <v>0.875</v>
      </c>
      <c r="D7" s="77">
        <v>0.72799999999999998</v>
      </c>
      <c r="J7" s="107" t="str">
        <f>IF(J6&lt;$AC$6, "Y", "N")</f>
        <v>Y</v>
      </c>
      <c r="K7" s="107" t="str">
        <f t="shared" ref="K7:Y7" si="0">IF(K6&lt;$AC$6, "Y", "N")</f>
        <v>Y</v>
      </c>
      <c r="L7" s="107" t="str">
        <f t="shared" si="0"/>
        <v>Y</v>
      </c>
      <c r="M7" s="107" t="str">
        <f t="shared" si="0"/>
        <v>Y</v>
      </c>
      <c r="N7" s="107" t="str">
        <f t="shared" si="0"/>
        <v>Y</v>
      </c>
      <c r="O7" s="107" t="str">
        <f t="shared" si="0"/>
        <v>Y</v>
      </c>
      <c r="P7" s="107" t="str">
        <f t="shared" si="0"/>
        <v>Y</v>
      </c>
      <c r="Q7" s="107" t="str">
        <f t="shared" si="0"/>
        <v>Y</v>
      </c>
      <c r="R7" s="107" t="str">
        <f t="shared" si="0"/>
        <v>Y</v>
      </c>
      <c r="S7" s="108" t="str">
        <f t="shared" si="0"/>
        <v>N</v>
      </c>
      <c r="T7" s="107" t="str">
        <f t="shared" si="0"/>
        <v>Y</v>
      </c>
      <c r="U7" s="107" t="str">
        <f t="shared" si="0"/>
        <v>Y</v>
      </c>
      <c r="V7" s="108" t="str">
        <f t="shared" si="0"/>
        <v>N</v>
      </c>
      <c r="W7" s="107" t="str">
        <f t="shared" si="0"/>
        <v>Y</v>
      </c>
      <c r="X7" s="107" t="str">
        <f t="shared" si="0"/>
        <v>Y</v>
      </c>
      <c r="Y7" s="107" t="str">
        <f t="shared" si="0"/>
        <v>Y</v>
      </c>
      <c r="Z7" s="107">
        <f>COUNTIF(J7:Y7, "Y")</f>
        <v>14</v>
      </c>
      <c r="AB7" s="3"/>
      <c r="AC7" s="96"/>
    </row>
    <row r="8" spans="1:29" x14ac:dyDescent="0.2">
      <c r="B8" s="83" t="s">
        <v>4</v>
      </c>
      <c r="C8" s="77">
        <v>0.83330000000000004</v>
      </c>
      <c r="D8" s="77">
        <v>0.53700000000000003</v>
      </c>
      <c r="J8" s="79"/>
      <c r="K8" s="79"/>
      <c r="L8" s="79"/>
      <c r="M8" s="79"/>
      <c r="N8" s="79"/>
      <c r="O8" s="79"/>
      <c r="P8" s="79"/>
      <c r="Q8" s="79"/>
      <c r="R8" s="79"/>
      <c r="S8" s="79"/>
      <c r="T8" s="79"/>
      <c r="U8" s="79"/>
      <c r="V8" s="79"/>
      <c r="W8" s="79"/>
      <c r="X8" s="79"/>
      <c r="Y8" s="79"/>
      <c r="Z8" s="97"/>
      <c r="AB8" s="3"/>
      <c r="AC8" s="79"/>
    </row>
    <row r="9" spans="1:29" x14ac:dyDescent="0.2">
      <c r="B9" s="83" t="s">
        <v>5</v>
      </c>
      <c r="C9" s="77">
        <v>0.75</v>
      </c>
      <c r="D9" s="77">
        <v>2.4E-2</v>
      </c>
      <c r="I9" s="35" t="s">
        <v>145</v>
      </c>
      <c r="J9" s="49"/>
      <c r="K9" s="49"/>
      <c r="L9" s="49"/>
      <c r="M9" s="49"/>
      <c r="N9" s="49"/>
      <c r="O9" s="49"/>
      <c r="P9" s="49"/>
      <c r="Q9" s="49"/>
      <c r="R9" s="49"/>
      <c r="S9" s="49"/>
      <c r="T9" s="49"/>
      <c r="U9" s="49"/>
      <c r="V9" s="49"/>
      <c r="W9" s="49"/>
      <c r="X9" s="49"/>
      <c r="Y9" s="49"/>
      <c r="Z9" s="98"/>
      <c r="AA9" s="84"/>
      <c r="AB9" s="3" t="s">
        <v>185</v>
      </c>
      <c r="AC9" s="104"/>
    </row>
    <row r="10" spans="1:29" ht="13.5" thickBot="1" x14ac:dyDescent="0.25">
      <c r="B10" s="85" t="s">
        <v>6</v>
      </c>
      <c r="C10" s="78">
        <v>0.5</v>
      </c>
      <c r="D10" s="78">
        <v>0</v>
      </c>
      <c r="I10" s="92">
        <f>Dashboard!C26</f>
        <v>0.2</v>
      </c>
      <c r="J10" s="79">
        <f t="shared" ref="J10:Y14" si="1">($C$21*$I10)/(J$6/$I$21)</f>
        <v>4.9194570135746608E-2</v>
      </c>
      <c r="K10" s="79">
        <f t="shared" si="1"/>
        <v>4.4466257668711658E-2</v>
      </c>
      <c r="L10" s="79">
        <f t="shared" si="1"/>
        <v>4.8753363228699553E-2</v>
      </c>
      <c r="M10" s="79">
        <f t="shared" si="1"/>
        <v>4.8753363228699553E-2</v>
      </c>
      <c r="N10" s="79">
        <f t="shared" si="1"/>
        <v>4.8753363228699553E-2</v>
      </c>
      <c r="O10" s="79">
        <f t="shared" si="1"/>
        <v>4.4466257668711658E-2</v>
      </c>
      <c r="P10" s="79">
        <f t="shared" si="1"/>
        <v>4.8753363228699553E-2</v>
      </c>
      <c r="Q10" s="79">
        <f t="shared" si="1"/>
        <v>4.9194570135746608E-2</v>
      </c>
      <c r="R10" s="79">
        <f t="shared" si="1"/>
        <v>4.3531531531531532E-2</v>
      </c>
      <c r="S10" s="79">
        <f t="shared" si="1"/>
        <v>3.77172593235039E-2</v>
      </c>
      <c r="T10" s="79">
        <f t="shared" si="1"/>
        <v>4.9194570135746608E-2</v>
      </c>
      <c r="U10" s="79">
        <f t="shared" si="1"/>
        <v>4.5065284974093262E-2</v>
      </c>
      <c r="V10" s="79">
        <f t="shared" si="1"/>
        <v>3.2575280898876402E-2</v>
      </c>
      <c r="W10" s="79">
        <f t="shared" si="1"/>
        <v>4.8159468438538203E-2</v>
      </c>
      <c r="X10" s="79">
        <f t="shared" si="1"/>
        <v>4.2803149606299211E-2</v>
      </c>
      <c r="Y10" s="79">
        <f t="shared" si="1"/>
        <v>4.9194570135746608E-2</v>
      </c>
      <c r="Z10" s="89">
        <f>MROUND(ROUND(_xlfn.MODE.SNGL(J10:Y10), 4), 2%)</f>
        <v>0.04</v>
      </c>
      <c r="AA10" s="79"/>
      <c r="AB10" s="92">
        <f>I10</f>
        <v>0.2</v>
      </c>
      <c r="AC10" s="84">
        <f>($C$21*$AB10)/(AC$6/$AB$21)</f>
        <v>3.7881533101045299E-2</v>
      </c>
    </row>
    <row r="11" spans="1:29" x14ac:dyDescent="0.2">
      <c r="A11" s="76"/>
      <c r="I11" s="92">
        <f>Dashboard!C27</f>
        <v>0.5</v>
      </c>
      <c r="J11" s="79">
        <f t="shared" si="1"/>
        <v>0.12298642533936652</v>
      </c>
      <c r="K11" s="79">
        <f t="shared" si="1"/>
        <v>0.11116564417177914</v>
      </c>
      <c r="L11" s="79">
        <f t="shared" si="1"/>
        <v>0.12188340807174888</v>
      </c>
      <c r="M11" s="79">
        <f t="shared" si="1"/>
        <v>0.12188340807174888</v>
      </c>
      <c r="N11" s="79">
        <f t="shared" si="1"/>
        <v>0.12188340807174888</v>
      </c>
      <c r="O11" s="79">
        <f t="shared" si="1"/>
        <v>0.11116564417177914</v>
      </c>
      <c r="P11" s="79">
        <f t="shared" si="1"/>
        <v>0.12188340807174888</v>
      </c>
      <c r="Q11" s="79">
        <f t="shared" si="1"/>
        <v>0.12298642533936652</v>
      </c>
      <c r="R11" s="79">
        <f t="shared" si="1"/>
        <v>0.10882882882882883</v>
      </c>
      <c r="S11" s="79">
        <f t="shared" si="1"/>
        <v>9.4293148308759761E-2</v>
      </c>
      <c r="T11" s="79">
        <f t="shared" si="1"/>
        <v>0.12298642533936652</v>
      </c>
      <c r="U11" s="79">
        <f t="shared" si="1"/>
        <v>0.11266321243523315</v>
      </c>
      <c r="V11" s="79">
        <f t="shared" si="1"/>
        <v>8.1438202247191005E-2</v>
      </c>
      <c r="W11" s="79">
        <f t="shared" si="1"/>
        <v>0.12039867109634551</v>
      </c>
      <c r="X11" s="79">
        <f t="shared" si="1"/>
        <v>0.10700787401574803</v>
      </c>
      <c r="Y11" s="79">
        <f t="shared" si="1"/>
        <v>0.12298642533936652</v>
      </c>
      <c r="Z11" s="89">
        <f t="shared" ref="Z11:Z14" si="2">MROUND(ROUND(_xlfn.MODE.SNGL(J11:Y11), 4), 2%)</f>
        <v>0.12</v>
      </c>
      <c r="AA11" s="79"/>
      <c r="AB11" s="92">
        <f>I11</f>
        <v>0.5</v>
      </c>
      <c r="AC11" s="84">
        <f>($C$21*$AB11)/(AC$6/$AB$21)</f>
        <v>9.4703832752613237E-2</v>
      </c>
    </row>
    <row r="12" spans="1:29" x14ac:dyDescent="0.2">
      <c r="I12" s="92">
        <f>Dashboard!C28</f>
        <v>1</v>
      </c>
      <c r="J12" s="79">
        <f t="shared" si="1"/>
        <v>0.24597285067873303</v>
      </c>
      <c r="K12" s="79">
        <f t="shared" si="1"/>
        <v>0.22233128834355828</v>
      </c>
      <c r="L12" s="79">
        <f t="shared" si="1"/>
        <v>0.24376681614349777</v>
      </c>
      <c r="M12" s="79">
        <f t="shared" si="1"/>
        <v>0.24376681614349777</v>
      </c>
      <c r="N12" s="79">
        <f t="shared" si="1"/>
        <v>0.24376681614349777</v>
      </c>
      <c r="O12" s="79">
        <f t="shared" si="1"/>
        <v>0.22233128834355828</v>
      </c>
      <c r="P12" s="79">
        <f t="shared" si="1"/>
        <v>0.24376681614349777</v>
      </c>
      <c r="Q12" s="79">
        <f t="shared" si="1"/>
        <v>0.24597285067873303</v>
      </c>
      <c r="R12" s="79">
        <f t="shared" si="1"/>
        <v>0.21765765765765765</v>
      </c>
      <c r="S12" s="79">
        <f t="shared" si="1"/>
        <v>0.18858629661751952</v>
      </c>
      <c r="T12" s="79">
        <f t="shared" si="1"/>
        <v>0.24597285067873303</v>
      </c>
      <c r="U12" s="79">
        <f t="shared" si="1"/>
        <v>0.22532642487046631</v>
      </c>
      <c r="V12" s="79">
        <f t="shared" si="1"/>
        <v>0.16287640449438201</v>
      </c>
      <c r="W12" s="79">
        <f t="shared" si="1"/>
        <v>0.24079734219269103</v>
      </c>
      <c r="X12" s="79">
        <f t="shared" si="1"/>
        <v>0.21401574803149606</v>
      </c>
      <c r="Y12" s="79">
        <f t="shared" si="1"/>
        <v>0.24597285067873303</v>
      </c>
      <c r="Z12" s="89">
        <f t="shared" si="2"/>
        <v>0.24</v>
      </c>
      <c r="AA12" s="79"/>
      <c r="AB12" s="92">
        <f>I12</f>
        <v>1</v>
      </c>
      <c r="AC12" s="84">
        <f>($C$21*$AB12)/(AC$6/$AB$21)</f>
        <v>0.18940766550522647</v>
      </c>
    </row>
    <row r="13" spans="1:29" ht="13.5" thickBot="1" x14ac:dyDescent="0.25">
      <c r="I13" s="92">
        <f>Dashboard!C29</f>
        <v>1.5</v>
      </c>
      <c r="J13" s="79">
        <f t="shared" si="1"/>
        <v>0.36895927601809952</v>
      </c>
      <c r="K13" s="79">
        <f t="shared" si="1"/>
        <v>0.33349693251533741</v>
      </c>
      <c r="L13" s="79">
        <f t="shared" si="1"/>
        <v>0.36565022421524662</v>
      </c>
      <c r="M13" s="79">
        <f t="shared" si="1"/>
        <v>0.36565022421524662</v>
      </c>
      <c r="N13" s="79">
        <f t="shared" si="1"/>
        <v>0.36565022421524662</v>
      </c>
      <c r="O13" s="79">
        <f t="shared" si="1"/>
        <v>0.33349693251533741</v>
      </c>
      <c r="P13" s="79">
        <f t="shared" si="1"/>
        <v>0.36565022421524662</v>
      </c>
      <c r="Q13" s="79">
        <f t="shared" si="1"/>
        <v>0.36895927601809952</v>
      </c>
      <c r="R13" s="79">
        <f t="shared" si="1"/>
        <v>0.32648648648648648</v>
      </c>
      <c r="S13" s="79">
        <f t="shared" si="1"/>
        <v>0.28287944492627926</v>
      </c>
      <c r="T13" s="79">
        <f t="shared" si="1"/>
        <v>0.36895927601809952</v>
      </c>
      <c r="U13" s="79">
        <f t="shared" si="1"/>
        <v>0.33798963730569948</v>
      </c>
      <c r="V13" s="79">
        <f t="shared" si="1"/>
        <v>0.24431460674157304</v>
      </c>
      <c r="W13" s="79">
        <f t="shared" si="1"/>
        <v>0.36119601328903655</v>
      </c>
      <c r="X13" s="79">
        <f t="shared" si="1"/>
        <v>0.32102362204724411</v>
      </c>
      <c r="Y13" s="79">
        <f t="shared" si="1"/>
        <v>0.36895927601809952</v>
      </c>
      <c r="Z13" s="89">
        <f t="shared" si="2"/>
        <v>0.36</v>
      </c>
      <c r="AA13" s="79"/>
      <c r="AB13" s="92">
        <f>I13</f>
        <v>1.5</v>
      </c>
      <c r="AC13" s="84">
        <f>($C$21*$AB13)/(AC$6/$AB$21)</f>
        <v>0.28411149825783971</v>
      </c>
    </row>
    <row r="14" spans="1:29" x14ac:dyDescent="0.2">
      <c r="B14" s="43" t="s">
        <v>101</v>
      </c>
      <c r="C14" s="43" t="s">
        <v>30</v>
      </c>
      <c r="I14" s="94">
        <v>2</v>
      </c>
      <c r="J14" s="79">
        <f t="shared" si="1"/>
        <v>0.49194570135746607</v>
      </c>
      <c r="K14" s="79">
        <f t="shared" si="1"/>
        <v>0.44466257668711656</v>
      </c>
      <c r="L14" s="79">
        <f t="shared" si="1"/>
        <v>0.48753363228699553</v>
      </c>
      <c r="M14" s="79">
        <f t="shared" si="1"/>
        <v>0.48753363228699553</v>
      </c>
      <c r="N14" s="79">
        <f t="shared" si="1"/>
        <v>0.48753363228699553</v>
      </c>
      <c r="O14" s="79">
        <f t="shared" si="1"/>
        <v>0.44466257668711656</v>
      </c>
      <c r="P14" s="79">
        <f t="shared" si="1"/>
        <v>0.48753363228699553</v>
      </c>
      <c r="Q14" s="79">
        <f t="shared" si="1"/>
        <v>0.49194570135746607</v>
      </c>
      <c r="R14" s="79">
        <f t="shared" si="1"/>
        <v>0.43531531531531531</v>
      </c>
      <c r="S14" s="79">
        <f t="shared" si="1"/>
        <v>0.37717259323503904</v>
      </c>
      <c r="T14" s="79">
        <f t="shared" si="1"/>
        <v>0.49194570135746607</v>
      </c>
      <c r="U14" s="79">
        <f t="shared" si="1"/>
        <v>0.45065284974093262</v>
      </c>
      <c r="V14" s="79">
        <f t="shared" si="1"/>
        <v>0.32575280898876402</v>
      </c>
      <c r="W14" s="79">
        <f t="shared" si="1"/>
        <v>0.48159468438538205</v>
      </c>
      <c r="X14" s="79">
        <f t="shared" si="1"/>
        <v>0.42803149606299212</v>
      </c>
      <c r="Y14" s="79">
        <f t="shared" si="1"/>
        <v>0.49194570135746607</v>
      </c>
      <c r="Z14" s="89">
        <f t="shared" si="2"/>
        <v>0.5</v>
      </c>
      <c r="AA14" s="79"/>
      <c r="AB14" s="105">
        <v>2</v>
      </c>
      <c r="AC14" s="84">
        <f>($C$21*$AB14)/(AC$6/$AB$21)</f>
        <v>0.37881533101045295</v>
      </c>
    </row>
    <row r="15" spans="1:29" x14ac:dyDescent="0.2">
      <c r="B15" s="35" t="s">
        <v>32</v>
      </c>
      <c r="C15" s="51">
        <v>259799143</v>
      </c>
      <c r="J15" s="49"/>
      <c r="K15" s="49"/>
      <c r="L15" s="49"/>
      <c r="M15" s="49"/>
      <c r="N15" s="49"/>
      <c r="O15" s="49"/>
      <c r="P15" s="49"/>
      <c r="Q15" s="49"/>
      <c r="R15" s="49"/>
      <c r="S15" s="49"/>
      <c r="T15" s="49"/>
      <c r="U15" s="49"/>
      <c r="V15" s="49"/>
      <c r="W15" s="49"/>
      <c r="X15" s="49"/>
      <c r="Y15" s="49"/>
      <c r="AB15" s="3"/>
      <c r="AC15" s="10"/>
    </row>
    <row r="16" spans="1:29" x14ac:dyDescent="0.2">
      <c r="B16" s="35" t="s">
        <v>19</v>
      </c>
      <c r="C16" s="51">
        <f>SUM(Dashboard!$H$55:$M$55)</f>
        <v>106817481.11</v>
      </c>
      <c r="D16" s="86">
        <f>C16/C15</f>
        <v>0.41115409341438819</v>
      </c>
      <c r="I16" s="35" t="s">
        <v>146</v>
      </c>
      <c r="J16" s="49"/>
      <c r="K16" s="49"/>
      <c r="L16" s="49"/>
      <c r="M16" s="49"/>
      <c r="N16" s="49"/>
      <c r="O16" s="49"/>
      <c r="P16" s="49"/>
      <c r="Q16" s="49"/>
      <c r="R16" s="49"/>
      <c r="S16" s="49"/>
      <c r="T16" s="49"/>
      <c r="U16" s="49"/>
      <c r="V16" s="49"/>
      <c r="W16" s="49"/>
      <c r="X16" s="49"/>
      <c r="Y16" s="49"/>
      <c r="AB16" s="3" t="s">
        <v>186</v>
      </c>
      <c r="AC16" s="10"/>
    </row>
    <row r="17" spans="2:29" x14ac:dyDescent="0.2">
      <c r="I17" s="92">
        <v>0.1</v>
      </c>
      <c r="J17" s="79">
        <f>((J$6/$I$21)*$I17)/$C$21</f>
        <v>0.40654893303899925</v>
      </c>
      <c r="K17" s="79">
        <f t="shared" ref="K17:Y17" si="3">((K$6/$I$21)*$I17)/$C$21</f>
        <v>0.44977924944812364</v>
      </c>
      <c r="L17" s="79">
        <f t="shared" si="3"/>
        <v>0.41022810890360561</v>
      </c>
      <c r="M17" s="79">
        <f t="shared" si="3"/>
        <v>0.41022810890360561</v>
      </c>
      <c r="N17" s="79">
        <f t="shared" si="3"/>
        <v>0.41022810890360561</v>
      </c>
      <c r="O17" s="79">
        <f t="shared" si="3"/>
        <v>0.44977924944812364</v>
      </c>
      <c r="P17" s="79">
        <f t="shared" si="3"/>
        <v>0.41022810890360561</v>
      </c>
      <c r="Q17" s="79">
        <f t="shared" si="3"/>
        <v>0.40654893303899925</v>
      </c>
      <c r="R17" s="79">
        <f t="shared" si="3"/>
        <v>0.45943708609271522</v>
      </c>
      <c r="S17" s="79">
        <f t="shared" si="3"/>
        <v>0.5302612214863871</v>
      </c>
      <c r="T17" s="79">
        <f t="shared" si="3"/>
        <v>0.40654893303899925</v>
      </c>
      <c r="U17" s="79">
        <f t="shared" si="3"/>
        <v>0.44380058866813832</v>
      </c>
      <c r="V17" s="79">
        <f t="shared" si="3"/>
        <v>0.61396247240618107</v>
      </c>
      <c r="W17" s="79">
        <f t="shared" si="3"/>
        <v>0.41528697571743928</v>
      </c>
      <c r="X17" s="79">
        <f t="shared" si="3"/>
        <v>0.4672553348050037</v>
      </c>
      <c r="Y17" s="79">
        <f t="shared" si="3"/>
        <v>0.40654893303899925</v>
      </c>
      <c r="Z17" s="79"/>
      <c r="AB17" s="92">
        <f>I17</f>
        <v>0.1</v>
      </c>
      <c r="AC17" s="84">
        <f>((AC$6/$AB$21)*$AB17)/$C$21</f>
        <v>0.52796173657100809</v>
      </c>
    </row>
    <row r="18" spans="2:29" x14ac:dyDescent="0.2">
      <c r="I18" s="92">
        <v>0.2</v>
      </c>
      <c r="J18" s="79">
        <f t="shared" ref="J18:Y21" si="4">((J$6/$I$21)*$I18)/$C$21</f>
        <v>0.8130978660779985</v>
      </c>
      <c r="K18" s="79">
        <f t="shared" si="4"/>
        <v>0.89955849889624728</v>
      </c>
      <c r="L18" s="79">
        <f t="shared" si="4"/>
        <v>0.82045621780721123</v>
      </c>
      <c r="M18" s="79">
        <f t="shared" si="4"/>
        <v>0.82045621780721123</v>
      </c>
      <c r="N18" s="79">
        <f t="shared" si="4"/>
        <v>0.82045621780721123</v>
      </c>
      <c r="O18" s="79">
        <f t="shared" si="4"/>
        <v>0.89955849889624728</v>
      </c>
      <c r="P18" s="79">
        <f t="shared" si="4"/>
        <v>0.82045621780721123</v>
      </c>
      <c r="Q18" s="79">
        <f t="shared" si="4"/>
        <v>0.8130978660779985</v>
      </c>
      <c r="R18" s="79">
        <f t="shared" si="4"/>
        <v>0.91887417218543044</v>
      </c>
      <c r="S18" s="79">
        <f t="shared" si="4"/>
        <v>1.0605224429727742</v>
      </c>
      <c r="T18" s="79">
        <f t="shared" si="4"/>
        <v>0.8130978660779985</v>
      </c>
      <c r="U18" s="79">
        <f t="shared" si="4"/>
        <v>0.88760117733627664</v>
      </c>
      <c r="V18" s="79">
        <f t="shared" si="4"/>
        <v>1.2279249448123621</v>
      </c>
      <c r="W18" s="79">
        <f t="shared" si="4"/>
        <v>0.83057395143487855</v>
      </c>
      <c r="X18" s="79">
        <f t="shared" si="4"/>
        <v>0.93451066961000739</v>
      </c>
      <c r="Y18" s="79">
        <f t="shared" si="4"/>
        <v>0.8130978660779985</v>
      </c>
      <c r="Z18" s="79"/>
      <c r="AB18" s="92">
        <f>I18</f>
        <v>0.2</v>
      </c>
      <c r="AC18" s="84">
        <f>((AC$6/$AB$21)*$AB18)/$C$21</f>
        <v>1.0559234731420162</v>
      </c>
    </row>
    <row r="19" spans="2:29" ht="13.5" thickBot="1" x14ac:dyDescent="0.25">
      <c r="I19" s="92">
        <v>0.4</v>
      </c>
      <c r="J19" s="79">
        <f t="shared" si="4"/>
        <v>1.626195732155997</v>
      </c>
      <c r="K19" s="79">
        <f t="shared" si="4"/>
        <v>1.7991169977924946</v>
      </c>
      <c r="L19" s="79">
        <f t="shared" si="4"/>
        <v>1.6409124356144225</v>
      </c>
      <c r="M19" s="79">
        <f t="shared" si="4"/>
        <v>1.6409124356144225</v>
      </c>
      <c r="N19" s="79">
        <f t="shared" si="4"/>
        <v>1.6409124356144225</v>
      </c>
      <c r="O19" s="79">
        <f t="shared" si="4"/>
        <v>1.7991169977924946</v>
      </c>
      <c r="P19" s="79">
        <f t="shared" si="4"/>
        <v>1.6409124356144225</v>
      </c>
      <c r="Q19" s="79">
        <f t="shared" si="4"/>
        <v>1.626195732155997</v>
      </c>
      <c r="R19" s="79">
        <f t="shared" si="4"/>
        <v>1.8377483443708609</v>
      </c>
      <c r="S19" s="79">
        <f t="shared" si="4"/>
        <v>2.1210448859455484</v>
      </c>
      <c r="T19" s="79">
        <f t="shared" si="4"/>
        <v>1.626195732155997</v>
      </c>
      <c r="U19" s="79">
        <f t="shared" si="4"/>
        <v>1.7752023546725533</v>
      </c>
      <c r="V19" s="79">
        <f t="shared" si="4"/>
        <v>2.4558498896247243</v>
      </c>
      <c r="W19" s="79">
        <f t="shared" si="4"/>
        <v>1.6611479028697571</v>
      </c>
      <c r="X19" s="79">
        <f t="shared" si="4"/>
        <v>1.8690213392200148</v>
      </c>
      <c r="Y19" s="79">
        <f t="shared" si="4"/>
        <v>1.626195732155997</v>
      </c>
      <c r="Z19" s="79"/>
      <c r="AB19" s="92">
        <f>I19</f>
        <v>0.4</v>
      </c>
      <c r="AC19" s="84">
        <f>((AC$6/$AB$21)*$AB19)/$C$21</f>
        <v>2.1118469462840324</v>
      </c>
    </row>
    <row r="20" spans="2:29" x14ac:dyDescent="0.2">
      <c r="B20" s="43" t="s">
        <v>113</v>
      </c>
      <c r="C20" s="43" t="s">
        <v>30</v>
      </c>
      <c r="I20" s="92">
        <v>0.60000000000000009</v>
      </c>
      <c r="J20" s="79">
        <f t="shared" si="4"/>
        <v>2.4392935982339963</v>
      </c>
      <c r="K20" s="79">
        <f t="shared" si="4"/>
        <v>2.6986754966887423</v>
      </c>
      <c r="L20" s="79">
        <f t="shared" si="4"/>
        <v>2.4613686534216339</v>
      </c>
      <c r="M20" s="79">
        <f t="shared" si="4"/>
        <v>2.4613686534216339</v>
      </c>
      <c r="N20" s="79">
        <f t="shared" si="4"/>
        <v>2.4613686534216339</v>
      </c>
      <c r="O20" s="79">
        <f t="shared" si="4"/>
        <v>2.6986754966887423</v>
      </c>
      <c r="P20" s="79">
        <f t="shared" si="4"/>
        <v>2.4613686534216339</v>
      </c>
      <c r="Q20" s="79">
        <f t="shared" si="4"/>
        <v>2.4392935982339963</v>
      </c>
      <c r="R20" s="79">
        <f t="shared" si="4"/>
        <v>2.7566225165562921</v>
      </c>
      <c r="S20" s="79">
        <f t="shared" si="4"/>
        <v>3.1815673289183226</v>
      </c>
      <c r="T20" s="79">
        <f t="shared" si="4"/>
        <v>2.4392935982339963</v>
      </c>
      <c r="U20" s="79">
        <f t="shared" si="4"/>
        <v>2.6628035320088306</v>
      </c>
      <c r="V20" s="79">
        <f t="shared" si="4"/>
        <v>3.6837748344370866</v>
      </c>
      <c r="W20" s="79">
        <f t="shared" si="4"/>
        <v>2.4917218543046364</v>
      </c>
      <c r="X20" s="79">
        <f t="shared" si="4"/>
        <v>2.8035320088300226</v>
      </c>
      <c r="Y20" s="79">
        <f t="shared" si="4"/>
        <v>2.4392935982339963</v>
      </c>
      <c r="Z20" s="79"/>
      <c r="AB20" s="92">
        <f>I20</f>
        <v>0.60000000000000009</v>
      </c>
      <c r="AC20" s="84">
        <f>((AC$6/$AB$21)*$AB20)/$C$21</f>
        <v>3.167770419426049</v>
      </c>
    </row>
    <row r="21" spans="2:29" x14ac:dyDescent="0.2">
      <c r="B21" s="35" t="s">
        <v>142</v>
      </c>
      <c r="C21" s="51">
        <v>13590</v>
      </c>
      <c r="I21" s="95">
        <v>0.8</v>
      </c>
      <c r="J21" s="79">
        <f t="shared" si="4"/>
        <v>3.252391464311994</v>
      </c>
      <c r="K21" s="79">
        <f t="shared" si="4"/>
        <v>3.5982339955849891</v>
      </c>
      <c r="L21" s="79">
        <f t="shared" si="4"/>
        <v>3.2818248712288449</v>
      </c>
      <c r="M21" s="79">
        <f t="shared" si="4"/>
        <v>3.2818248712288449</v>
      </c>
      <c r="N21" s="79">
        <f t="shared" si="4"/>
        <v>3.2818248712288449</v>
      </c>
      <c r="O21" s="79">
        <f t="shared" si="4"/>
        <v>3.5982339955849891</v>
      </c>
      <c r="P21" s="79">
        <f t="shared" si="4"/>
        <v>3.2818248712288449</v>
      </c>
      <c r="Q21" s="79">
        <f t="shared" si="4"/>
        <v>3.252391464311994</v>
      </c>
      <c r="R21" s="79">
        <f t="shared" si="4"/>
        <v>3.6754966887417218</v>
      </c>
      <c r="S21" s="79">
        <f t="shared" si="4"/>
        <v>4.2420897718910968</v>
      </c>
      <c r="T21" s="79">
        <f t="shared" si="4"/>
        <v>3.252391464311994</v>
      </c>
      <c r="U21" s="79">
        <f t="shared" si="4"/>
        <v>3.5504047093451065</v>
      </c>
      <c r="V21" s="79">
        <f t="shared" si="4"/>
        <v>4.9116997792494486</v>
      </c>
      <c r="W21" s="79">
        <f t="shared" si="4"/>
        <v>3.3222958057395142</v>
      </c>
      <c r="X21" s="79">
        <f t="shared" si="4"/>
        <v>3.7380426784400296</v>
      </c>
      <c r="Y21" s="79">
        <f t="shared" si="4"/>
        <v>3.252391464311994</v>
      </c>
      <c r="Z21" s="79"/>
      <c r="AB21" s="106">
        <v>0.8</v>
      </c>
      <c r="AC21" s="84">
        <f>((AC$6/$AB$21)*$AB21)/$C$21</f>
        <v>4.2236938925680647</v>
      </c>
    </row>
    <row r="23" spans="2:29" x14ac:dyDescent="0.2">
      <c r="V23" s="74"/>
    </row>
    <row r="24" spans="2:29" ht="13.5" thickBot="1" x14ac:dyDescent="0.25"/>
    <row r="25" spans="2:29" x14ac:dyDescent="0.2">
      <c r="B25" s="43" t="s">
        <v>120</v>
      </c>
      <c r="C25" s="43" t="s">
        <v>121</v>
      </c>
      <c r="D25" s="50" t="s">
        <v>122</v>
      </c>
      <c r="E25" s="50" t="s">
        <v>123</v>
      </c>
      <c r="F25" s="87"/>
    </row>
    <row r="26" spans="2:29" x14ac:dyDescent="0.2">
      <c r="B26" s="35" t="s">
        <v>75</v>
      </c>
      <c r="C26" s="45">
        <v>0.05</v>
      </c>
      <c r="D26" s="88">
        <v>0.94</v>
      </c>
      <c r="E26" s="88">
        <v>1</v>
      </c>
      <c r="F26" s="88"/>
    </row>
    <row r="27" spans="2:29" x14ac:dyDescent="0.2">
      <c r="B27" s="35" t="s">
        <v>76</v>
      </c>
      <c r="C27" s="45">
        <v>0.5</v>
      </c>
      <c r="D27" s="88">
        <v>0.75</v>
      </c>
      <c r="E27" s="88">
        <v>1</v>
      </c>
      <c r="F27" s="88"/>
      <c r="I27" s="84"/>
      <c r="J27" s="76"/>
      <c r="K27" s="76"/>
      <c r="L27" s="89"/>
    </row>
    <row r="28" spans="2:29" x14ac:dyDescent="0.2">
      <c r="B28" s="35" t="s">
        <v>77</v>
      </c>
      <c r="C28" s="45">
        <v>1</v>
      </c>
      <c r="D28" s="88">
        <v>0.35</v>
      </c>
      <c r="E28" s="88">
        <v>0.9</v>
      </c>
      <c r="F28" s="88"/>
      <c r="J28" s="84"/>
      <c r="K28" s="51"/>
      <c r="L28" s="51"/>
      <c r="M28" s="84"/>
      <c r="N28" s="84"/>
    </row>
    <row r="29" spans="2:29" x14ac:dyDescent="0.2">
      <c r="B29" s="35" t="s">
        <v>78</v>
      </c>
      <c r="C29" s="45">
        <v>1.5</v>
      </c>
      <c r="D29" s="88">
        <v>0.2</v>
      </c>
      <c r="E29" s="88">
        <v>0.9</v>
      </c>
      <c r="F29" s="88"/>
      <c r="J29" s="51"/>
      <c r="K29" s="51"/>
      <c r="L29" s="76"/>
      <c r="M29" s="84"/>
      <c r="N29" s="84"/>
    </row>
    <row r="30" spans="2:29" x14ac:dyDescent="0.2">
      <c r="B30" s="35" t="s">
        <v>80</v>
      </c>
      <c r="C30" s="55" t="s">
        <v>119</v>
      </c>
      <c r="D30" s="88">
        <v>0.15</v>
      </c>
      <c r="E30" s="88">
        <v>0.9</v>
      </c>
      <c r="F30" s="88"/>
      <c r="L30" s="76"/>
    </row>
    <row r="32" spans="2:29" x14ac:dyDescent="0.2">
      <c r="L32" s="76"/>
    </row>
    <row r="33" spans="2:12" ht="13.5" thickBot="1" x14ac:dyDescent="0.25">
      <c r="L33" s="76"/>
    </row>
    <row r="34" spans="2:12" x14ac:dyDescent="0.2">
      <c r="B34" s="43" t="s">
        <v>152</v>
      </c>
      <c r="C34" s="43" t="s">
        <v>162</v>
      </c>
      <c r="D34" s="90" t="s">
        <v>154</v>
      </c>
      <c r="E34" s="50" t="s">
        <v>153</v>
      </c>
      <c r="F34" s="90">
        <f>Dashboard!$C$39</f>
        <v>77464.285138824707</v>
      </c>
      <c r="L34" s="76"/>
    </row>
    <row r="35" spans="2:12" x14ac:dyDescent="0.2">
      <c r="B35" s="35" t="s">
        <v>155</v>
      </c>
      <c r="C35" s="35" t="s">
        <v>163</v>
      </c>
      <c r="D35" s="91">
        <f>Assistance!C15</f>
        <v>13324</v>
      </c>
      <c r="E35" s="88">
        <f>((D35/SUM($D$35:$D$39))*50%)+((1/COUNT($D$35:$D$39))*50%)</f>
        <v>0.14894570567923004</v>
      </c>
      <c r="F35" s="51">
        <f>E35*$F$34</f>
        <v>11537.972614939339</v>
      </c>
      <c r="J35" s="84"/>
      <c r="L35" s="76"/>
    </row>
    <row r="36" spans="2:12" x14ac:dyDescent="0.2">
      <c r="B36" s="35" t="s">
        <v>156</v>
      </c>
      <c r="C36" s="35" t="s">
        <v>160</v>
      </c>
      <c r="D36" s="91">
        <f>Assistance!C17</f>
        <v>31147</v>
      </c>
      <c r="E36" s="88">
        <f t="shared" ref="E36:E38" si="5">((D36/SUM($D$35:$D$39))*50%)+((1/COUNT($D$35:$D$39))*50%)</f>
        <v>0.21441848504885755</v>
      </c>
      <c r="F36" s="51">
        <f>E36*$F$34</f>
        <v>16609.774664859524</v>
      </c>
      <c r="J36" s="84"/>
      <c r="L36" s="76"/>
    </row>
    <row r="37" spans="2:12" x14ac:dyDescent="0.2">
      <c r="B37" s="35" t="s">
        <v>161</v>
      </c>
      <c r="C37" s="35" t="s">
        <v>157</v>
      </c>
      <c r="D37" s="91">
        <f>Assistance!C16+Assistance!C10</f>
        <v>59477</v>
      </c>
      <c r="E37" s="88">
        <f t="shared" si="5"/>
        <v>0.31848872235691716</v>
      </c>
      <c r="F37" s="51">
        <f>E37*$F$34</f>
        <v>24671.501202156207</v>
      </c>
      <c r="J37" s="84"/>
    </row>
    <row r="38" spans="2:12" x14ac:dyDescent="0.2">
      <c r="B38" s="35" t="s">
        <v>158</v>
      </c>
      <c r="C38" s="35" t="s">
        <v>159</v>
      </c>
      <c r="D38" s="91">
        <f>Assistance!C4+Assistance!C6</f>
        <v>2065</v>
      </c>
      <c r="E38" s="88">
        <f t="shared" si="5"/>
        <v>0.10758577621041805</v>
      </c>
      <c r="F38" s="51">
        <f>E38*$F$34</f>
        <v>8334.0552452456086</v>
      </c>
      <c r="J38" s="84"/>
    </row>
    <row r="39" spans="2:12" x14ac:dyDescent="0.2">
      <c r="B39" s="35" t="s">
        <v>181</v>
      </c>
      <c r="C39" s="35" t="s">
        <v>182</v>
      </c>
      <c r="D39" s="91">
        <f>Assistance!C13</f>
        <v>30097</v>
      </c>
      <c r="E39" s="88">
        <f>((D39/SUM($D$35:$D$39))*50%)+((1/COUNT($D$35:$D$39))*50%)</f>
        <v>0.21056131070457718</v>
      </c>
      <c r="F39" s="51">
        <f>E39*$F$34</f>
        <v>16310.981411624029</v>
      </c>
    </row>
    <row r="40" spans="2:12" x14ac:dyDescent="0.2">
      <c r="C40" s="91"/>
      <c r="D40" s="88"/>
      <c r="E40" s="51"/>
      <c r="F40" s="51"/>
    </row>
    <row r="41" spans="2:12" x14ac:dyDescent="0.2">
      <c r="C41" s="91"/>
      <c r="D41" s="88"/>
      <c r="E41" s="51"/>
      <c r="F41" s="51"/>
    </row>
    <row r="42" spans="2:12" ht="13.5" thickBot="1" x14ac:dyDescent="0.25"/>
    <row r="43" spans="2:12" x14ac:dyDescent="0.2">
      <c r="B43" s="43" t="s">
        <v>188</v>
      </c>
      <c r="C43" s="43" t="s">
        <v>190</v>
      </c>
    </row>
    <row r="44" spans="2:12" x14ac:dyDescent="0.2">
      <c r="B44" s="35" t="s">
        <v>189</v>
      </c>
      <c r="C44" s="51">
        <f>ROUNDUP((Dashboard!H37+Dashboard!H38)*12*110%, -2)</f>
        <v>1000</v>
      </c>
    </row>
    <row r="45" spans="2:12" x14ac:dyDescent="0.2">
      <c r="B45" s="35" t="s">
        <v>187</v>
      </c>
      <c r="C45" s="109">
        <f>ROUNDUP((Dashboard!$H$54/Dashboard!$H$53)*130%, -2)</f>
        <v>900</v>
      </c>
      <c r="D45" s="96"/>
    </row>
    <row r="46" spans="2:12" x14ac:dyDescent="0.2">
      <c r="D46" s="96"/>
    </row>
    <row r="47" spans="2:12" x14ac:dyDescent="0.2">
      <c r="C47" s="51"/>
      <c r="D47" s="96"/>
    </row>
    <row r="48" spans="2:12" x14ac:dyDescent="0.2">
      <c r="C48" s="51"/>
      <c r="D48" s="96"/>
    </row>
    <row r="51" spans="21:29" ht="8.25" customHeight="1" x14ac:dyDescent="0.2">
      <c r="AB51" s="3"/>
      <c r="AC51" s="3"/>
    </row>
    <row r="60" spans="21:29" x14ac:dyDescent="0.2">
      <c r="U60" s="74"/>
      <c r="V60" s="74"/>
      <c r="W60" s="74"/>
      <c r="X60" s="40"/>
    </row>
    <row r="61" spans="21:29" x14ac:dyDescent="0.2">
      <c r="U61" s="74"/>
      <c r="V61" s="74"/>
      <c r="W61" s="74"/>
      <c r="X61" s="40"/>
    </row>
    <row r="62" spans="21:29" x14ac:dyDescent="0.2">
      <c r="U62" s="74"/>
      <c r="V62" s="74"/>
      <c r="W62" s="74"/>
      <c r="X62" s="40"/>
    </row>
    <row r="63" spans="21:29" x14ac:dyDescent="0.2">
      <c r="U63" s="74"/>
      <c r="V63" s="74"/>
      <c r="W63" s="74"/>
      <c r="X63" s="40"/>
    </row>
    <row r="64" spans="21:29" x14ac:dyDescent="0.2">
      <c r="U64" s="74"/>
      <c r="V64" s="74"/>
      <c r="W64" s="74"/>
      <c r="X64" s="40"/>
    </row>
    <row r="65" spans="11:24" x14ac:dyDescent="0.2">
      <c r="U65" s="74"/>
      <c r="V65" s="74"/>
      <c r="W65" s="74"/>
      <c r="X65" s="40"/>
    </row>
    <row r="66" spans="11:24" x14ac:dyDescent="0.2">
      <c r="U66" s="74"/>
      <c r="V66" s="74"/>
      <c r="W66" s="74"/>
      <c r="X66" s="40"/>
    </row>
    <row r="67" spans="11:24" x14ac:dyDescent="0.2">
      <c r="U67" s="74"/>
      <c r="V67" s="74"/>
      <c r="W67" s="74"/>
      <c r="X67" s="40"/>
    </row>
    <row r="68" spans="11:24" x14ac:dyDescent="0.2">
      <c r="U68" s="74"/>
      <c r="V68" s="74"/>
      <c r="W68" s="74"/>
      <c r="X68" s="40"/>
    </row>
    <row r="69" spans="11:24" x14ac:dyDescent="0.2">
      <c r="U69" s="74"/>
      <c r="V69" s="74"/>
      <c r="W69" s="74"/>
      <c r="X69" s="40"/>
    </row>
    <row r="70" spans="11:24" x14ac:dyDescent="0.2">
      <c r="U70" s="74"/>
      <c r="V70" s="74"/>
      <c r="W70" s="74"/>
      <c r="X70" s="40"/>
    </row>
    <row r="71" spans="11:24" x14ac:dyDescent="0.2">
      <c r="U71" s="74"/>
      <c r="V71" s="74"/>
      <c r="W71" s="74"/>
      <c r="X71" s="40"/>
    </row>
    <row r="72" spans="11:24" x14ac:dyDescent="0.2">
      <c r="U72" s="74"/>
      <c r="V72" s="74"/>
      <c r="W72" s="74"/>
      <c r="X72" s="40"/>
    </row>
    <row r="73" spans="11:24" x14ac:dyDescent="0.2">
      <c r="U73" s="74"/>
      <c r="V73" s="74"/>
      <c r="W73" s="74"/>
    </row>
    <row r="74" spans="11:24" x14ac:dyDescent="0.2">
      <c r="U74" s="74"/>
      <c r="V74" s="74"/>
      <c r="W74" s="74"/>
    </row>
    <row r="75" spans="11:24" x14ac:dyDescent="0.2">
      <c r="U75" s="74"/>
      <c r="V75" s="74"/>
      <c r="W75" s="74"/>
    </row>
    <row r="77" spans="11:24" x14ac:dyDescent="0.2">
      <c r="K77" s="84"/>
      <c r="U77" s="74"/>
    </row>
    <row r="78" spans="11:24" x14ac:dyDescent="0.2">
      <c r="K78" s="40"/>
      <c r="U78" s="74"/>
      <c r="V78" s="74"/>
    </row>
    <row r="79" spans="11:24" x14ac:dyDescent="0.2">
      <c r="T79" s="74"/>
      <c r="U79" s="74"/>
      <c r="V79" s="74"/>
    </row>
    <row r="80" spans="11:24" x14ac:dyDescent="0.2">
      <c r="K80" s="128"/>
    </row>
  </sheetData>
  <sheetProtection formatCells="0" formatColumns="0" formatRows="0"/>
  <protectedRanges>
    <protectedRange sqref="E35:F39" name="CBO Funds"/>
    <protectedRange sqref="AA10:AA14 J8:Z21" name="Info"/>
    <protectedRange sqref="AC8:AC21" name="Info_1"/>
  </protectedRanges>
  <pageMargins left="0.7" right="0.7" top="0.75" bottom="0.75" header="0.3" footer="0.3"/>
  <pageSetup scale="48" fitToHeight="0" orientation="landscape" r:id="rId1"/>
  <headerFooter>
    <oddHeader>&amp;LCascade Natural Gas Corp.&amp;CLow-Income Energy Burden Program&amp;R&amp;D</oddHeader>
    <oddFooter>&amp;L&amp;A&amp;C&amp;"Arial,Bold" Confidential and Proprietary&amp;RPage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7B981-A09B-4ACA-B313-B245CF3CAD1E}">
  <sheetPr codeName="Sheet3">
    <tabColor theme="9" tint="0.79998168889431442"/>
    <pageSetUpPr fitToPage="1"/>
  </sheetPr>
  <dimension ref="A2:AB47"/>
  <sheetViews>
    <sheetView zoomScale="110" zoomScaleNormal="110" workbookViewId="0">
      <pane ySplit="1" topLeftCell="A2" activePane="bottomLeft" state="frozen"/>
      <selection activeCell="H6" sqref="H6"/>
      <selection pane="bottomLeft" activeCell="R13" sqref="R13"/>
    </sheetView>
  </sheetViews>
  <sheetFormatPr defaultColWidth="8.85546875" defaultRowHeight="12.75" x14ac:dyDescent="0.2"/>
  <cols>
    <col min="1" max="1" width="3.7109375" style="3" customWidth="1"/>
    <col min="2" max="2" width="5.28515625" style="3" bestFit="1" customWidth="1"/>
    <col min="3" max="3" width="7.5703125" style="3" bestFit="1" customWidth="1"/>
    <col min="4" max="4" width="8.7109375" style="3" bestFit="1" customWidth="1"/>
    <col min="5" max="5" width="2.42578125" style="3" customWidth="1"/>
    <col min="6" max="6" width="7.85546875" style="3" bestFit="1" customWidth="1"/>
    <col min="7" max="7" width="10.5703125" style="3" bestFit="1" customWidth="1"/>
    <col min="8" max="8" width="10.85546875" style="3" bestFit="1" customWidth="1"/>
    <col min="9" max="9" width="2.42578125" style="3" customWidth="1"/>
    <col min="10" max="10" width="7.85546875" style="3" bestFit="1" customWidth="1"/>
    <col min="11" max="11" width="10.5703125" style="3" bestFit="1" customWidth="1"/>
    <col min="12" max="12" width="10.85546875" style="3" bestFit="1" customWidth="1"/>
    <col min="13" max="13" width="2.42578125" style="3" customWidth="1"/>
    <col min="14" max="14" width="7.85546875" style="3" bestFit="1" customWidth="1"/>
    <col min="15" max="15" width="10.5703125" style="3" bestFit="1" customWidth="1"/>
    <col min="16" max="16" width="10.85546875" style="3" bestFit="1" customWidth="1"/>
    <col min="17" max="20" width="8.85546875" style="3"/>
    <col min="21" max="21" width="2.42578125" style="3" customWidth="1"/>
    <col min="22" max="24" width="8.85546875" style="3"/>
    <col min="25" max="25" width="2.42578125" style="3" customWidth="1"/>
    <col min="26" max="16384" width="8.85546875" style="3"/>
  </cols>
  <sheetData>
    <row r="2" spans="1:28" x14ac:dyDescent="0.2">
      <c r="B2" s="1" t="s">
        <v>100</v>
      </c>
      <c r="C2" s="2"/>
      <c r="D2" s="2"/>
      <c r="E2" s="2"/>
      <c r="F2" s="2"/>
      <c r="G2" s="2"/>
      <c r="H2" s="2"/>
      <c r="I2" s="2"/>
      <c r="J2" s="2"/>
      <c r="K2" s="2"/>
      <c r="L2" s="2"/>
      <c r="M2" s="2"/>
      <c r="N2" s="2"/>
      <c r="O2" s="2"/>
      <c r="P2" s="2"/>
      <c r="R2" s="1" t="s">
        <v>110</v>
      </c>
      <c r="S2" s="2"/>
      <c r="T2" s="2"/>
      <c r="U2" s="2"/>
      <c r="V2" s="2"/>
      <c r="W2" s="2"/>
      <c r="X2" s="2"/>
      <c r="Y2" s="2"/>
      <c r="Z2" s="2"/>
      <c r="AA2" s="2"/>
      <c r="AB2" s="81" t="s">
        <v>151</v>
      </c>
    </row>
    <row r="3" spans="1:28" ht="8.25" customHeight="1" x14ac:dyDescent="0.2">
      <c r="B3" s="4"/>
      <c r="C3" s="5"/>
      <c r="D3" s="6"/>
    </row>
    <row r="4" spans="1:28" ht="13.5" thickBot="1" x14ac:dyDescent="0.25">
      <c r="B4" s="3" t="s">
        <v>30</v>
      </c>
      <c r="R4" s="3" t="s">
        <v>30</v>
      </c>
      <c r="T4" s="80" t="s">
        <v>148</v>
      </c>
      <c r="X4" s="80" t="s">
        <v>149</v>
      </c>
      <c r="AB4" s="80" t="s">
        <v>150</v>
      </c>
    </row>
    <row r="5" spans="1:28" x14ac:dyDescent="0.2">
      <c r="B5" s="8" t="s">
        <v>8</v>
      </c>
      <c r="C5" s="8" t="s">
        <v>7</v>
      </c>
      <c r="D5" s="8" t="s">
        <v>81</v>
      </c>
      <c r="F5" s="8" t="s">
        <v>73</v>
      </c>
      <c r="G5" s="8" t="s">
        <v>7</v>
      </c>
      <c r="H5" s="8" t="s">
        <v>81</v>
      </c>
      <c r="J5" s="8" t="s">
        <v>167</v>
      </c>
      <c r="K5" s="8" t="s">
        <v>7</v>
      </c>
      <c r="L5" s="8" t="s">
        <v>81</v>
      </c>
      <c r="N5" s="8" t="s">
        <v>169</v>
      </c>
      <c r="O5" s="8" t="s">
        <v>7</v>
      </c>
      <c r="P5" s="8" t="s">
        <v>81</v>
      </c>
      <c r="R5" s="8" t="s">
        <v>8</v>
      </c>
      <c r="S5" s="8" t="s">
        <v>7</v>
      </c>
      <c r="T5" s="8" t="s">
        <v>81</v>
      </c>
      <c r="V5" s="8" t="s">
        <v>72</v>
      </c>
      <c r="W5" s="8" t="s">
        <v>7</v>
      </c>
      <c r="X5" s="8" t="s">
        <v>81</v>
      </c>
      <c r="Z5" s="8" t="s">
        <v>73</v>
      </c>
      <c r="AA5" s="8" t="s">
        <v>7</v>
      </c>
      <c r="AB5" s="8" t="s">
        <v>81</v>
      </c>
    </row>
    <row r="6" spans="1:28" x14ac:dyDescent="0.2">
      <c r="B6" s="7">
        <v>0.05</v>
      </c>
      <c r="C6" s="5">
        <f>B6/SUM($B$6:$B$10)*$S$6</f>
        <v>81.933333333333337</v>
      </c>
      <c r="D6" s="19">
        <f t="shared" ref="D6:D8" si="0">D7</f>
        <v>821.33333333333337</v>
      </c>
      <c r="F6" s="7">
        <f>MROUND(ROUND((Info!$C$21*B6)/(Info!Z$6/Info!$I$21), 4),1%)</f>
        <v>0.01</v>
      </c>
      <c r="G6" s="5">
        <f t="shared" ref="G6:G18" si="1">F6/SUM($F$6:$F$18)*$W$6</f>
        <v>26.758928571428577</v>
      </c>
      <c r="H6" s="19">
        <f>H7</f>
        <v>833.33333333333337</v>
      </c>
      <c r="J6" s="7">
        <f>IF(K6=C6,_xlfn.XLOOKUP(K6,$C$6:$C$45,$B$6:$B$45),_xlfn.XLOOKUP(K6,$G$6:$G$45,$F$6:$F$45))</f>
        <v>0.05</v>
      </c>
      <c r="K6" s="5">
        <f>MAX(C6,G6)</f>
        <v>81.933333333333337</v>
      </c>
      <c r="L6" s="19">
        <f>IF(K6=C6,_xlfn.XLOOKUP(K6,$C$6:$C$45,$D$6:$D$45),_xlfn.XLOOKUP(K6,$G$6:$G$45,$H$6:$H$45))</f>
        <v>821.33333333333337</v>
      </c>
      <c r="N6" s="7">
        <f>B6</f>
        <v>0.05</v>
      </c>
      <c r="O6" s="5">
        <f>C6</f>
        <v>81.933333333333337</v>
      </c>
      <c r="P6" s="19">
        <f>D6</f>
        <v>821.33333333333337</v>
      </c>
      <c r="Q6" s="26"/>
      <c r="R6" s="7">
        <v>0.25</v>
      </c>
      <c r="S6" s="5">
        <v>1229</v>
      </c>
      <c r="T6" s="19">
        <v>616</v>
      </c>
      <c r="V6" s="7">
        <v>0.15</v>
      </c>
      <c r="W6" s="5">
        <v>2997</v>
      </c>
      <c r="X6" s="19">
        <v>625</v>
      </c>
      <c r="Z6" s="7">
        <v>0.3</v>
      </c>
      <c r="AA6" s="5">
        <v>14935</v>
      </c>
      <c r="AB6" s="19">
        <v>633</v>
      </c>
    </row>
    <row r="7" spans="1:28" x14ac:dyDescent="0.2">
      <c r="B7" s="7">
        <v>0.1</v>
      </c>
      <c r="C7" s="5">
        <f>B7/SUM($B$6:$B$10)*$S$6</f>
        <v>163.86666666666667</v>
      </c>
      <c r="D7" s="19">
        <f t="shared" si="0"/>
        <v>821.33333333333337</v>
      </c>
      <c r="F7" s="7">
        <f>MROUND(ROUND((Info!$C$21*B7)/(Info!Z$6/Info!$I$21), 4),1%)</f>
        <v>0.02</v>
      </c>
      <c r="G7" s="5">
        <f t="shared" si="1"/>
        <v>53.517857142857153</v>
      </c>
      <c r="H7" s="19">
        <f t="shared" ref="H7:H16" si="2">H8</f>
        <v>833.33333333333337</v>
      </c>
      <c r="J7" s="7">
        <f t="shared" ref="J7:J44" si="3">IF(K7=C7,_xlfn.XLOOKUP(K7,$C$6:$C$45,$B$6:$B$45),_xlfn.XLOOKUP(K7,$G$6:$G$45,$F$6:$F$45))</f>
        <v>0.1</v>
      </c>
      <c r="K7" s="5">
        <f t="shared" ref="K7:K44" si="4">MAX(C7,G7)</f>
        <v>163.86666666666667</v>
      </c>
      <c r="L7" s="19">
        <f t="shared" ref="L7:L44" si="5">IF(K7=C7,_xlfn.XLOOKUP(K7,$C$6:$C$45,$D$6:$D$45),_xlfn.XLOOKUP(K7,$G$6:$G$45,$H$6:$H$45))</f>
        <v>821.33333333333337</v>
      </c>
      <c r="N7" s="7">
        <f t="shared" ref="N7:N45" si="6">B7</f>
        <v>0.1</v>
      </c>
      <c r="O7" s="5">
        <f t="shared" ref="O7:O35" si="7">C7</f>
        <v>163.86666666666667</v>
      </c>
      <c r="P7" s="19">
        <f t="shared" ref="P7:P35" si="8">D7</f>
        <v>821.33333333333337</v>
      </c>
      <c r="Q7" s="26"/>
      <c r="R7" s="7">
        <v>0.5</v>
      </c>
      <c r="S7" s="5">
        <v>1515</v>
      </c>
      <c r="T7" s="19">
        <v>630</v>
      </c>
      <c r="V7" s="7">
        <v>0.3</v>
      </c>
      <c r="W7" s="5">
        <v>11468</v>
      </c>
      <c r="X7" s="19">
        <v>603</v>
      </c>
      <c r="Z7" s="7">
        <v>0.6</v>
      </c>
      <c r="AA7" s="5">
        <v>24274</v>
      </c>
      <c r="AB7" s="19">
        <v>670</v>
      </c>
    </row>
    <row r="8" spans="1:28" x14ac:dyDescent="0.2">
      <c r="B8" s="7">
        <v>0.15</v>
      </c>
      <c r="C8" s="5">
        <f>B8/SUM($B$6:$B$10)*$S$6</f>
        <v>245.79999999999998</v>
      </c>
      <c r="D8" s="19">
        <f t="shared" si="0"/>
        <v>821.33333333333337</v>
      </c>
      <c r="F8" s="7">
        <f>MROUND(ROUND((Info!$C$21*B8)/(Info!Z$6/Info!$I$21), 4),1%)</f>
        <v>0.04</v>
      </c>
      <c r="G8" s="5">
        <f t="shared" si="1"/>
        <v>107.03571428571431</v>
      </c>
      <c r="H8" s="19">
        <f t="shared" si="2"/>
        <v>833.33333333333337</v>
      </c>
      <c r="J8" s="7">
        <f t="shared" si="3"/>
        <v>0.15</v>
      </c>
      <c r="K8" s="5">
        <f t="shared" si="4"/>
        <v>245.79999999999998</v>
      </c>
      <c r="L8" s="19">
        <f t="shared" si="5"/>
        <v>821.33333333333337</v>
      </c>
      <c r="N8" s="7">
        <f t="shared" si="6"/>
        <v>0.15</v>
      </c>
      <c r="O8" s="5">
        <f t="shared" si="7"/>
        <v>245.79999999999998</v>
      </c>
      <c r="P8" s="19">
        <f t="shared" si="8"/>
        <v>821.33333333333337</v>
      </c>
      <c r="Q8" s="26"/>
      <c r="R8" s="7">
        <v>1</v>
      </c>
      <c r="S8" s="5">
        <v>9710</v>
      </c>
      <c r="T8" s="19">
        <v>602</v>
      </c>
      <c r="V8" s="7">
        <v>0.45</v>
      </c>
      <c r="W8" s="5">
        <v>20110</v>
      </c>
      <c r="X8" s="19">
        <v>609.62391817466562</v>
      </c>
      <c r="Z8" s="7">
        <v>0.8</v>
      </c>
      <c r="AA8" s="5">
        <v>20700</v>
      </c>
      <c r="AB8" s="19">
        <v>662</v>
      </c>
    </row>
    <row r="9" spans="1:28" x14ac:dyDescent="0.2">
      <c r="B9" s="7">
        <v>0.2</v>
      </c>
      <c r="C9" s="5">
        <f>B9/SUM($B$6:$B$10)*$S$6</f>
        <v>327.73333333333335</v>
      </c>
      <c r="D9" s="19">
        <f>D10</f>
        <v>821.33333333333337</v>
      </c>
      <c r="F9" s="7">
        <f>MROUND(ROUND((Info!$C$21*B9)/(Info!Z$6/Info!$I$21), 4),1%)</f>
        <v>0.05</v>
      </c>
      <c r="G9" s="5">
        <f t="shared" si="1"/>
        <v>133.79464285714289</v>
      </c>
      <c r="H9" s="19">
        <f t="shared" si="2"/>
        <v>833.33333333333337</v>
      </c>
      <c r="J9" s="7">
        <f t="shared" si="3"/>
        <v>0.2</v>
      </c>
      <c r="K9" s="5">
        <f t="shared" si="4"/>
        <v>327.73333333333335</v>
      </c>
      <c r="L9" s="19">
        <f t="shared" si="5"/>
        <v>821.33333333333337</v>
      </c>
      <c r="N9" s="7">
        <f t="shared" si="6"/>
        <v>0.2</v>
      </c>
      <c r="O9" s="5">
        <f t="shared" si="7"/>
        <v>327.73333333333335</v>
      </c>
      <c r="P9" s="19">
        <f t="shared" si="8"/>
        <v>821.33333333333337</v>
      </c>
      <c r="Q9" s="26"/>
      <c r="R9" s="7">
        <v>1.5</v>
      </c>
      <c r="S9" s="5">
        <v>12382</v>
      </c>
      <c r="T9" s="19">
        <v>619</v>
      </c>
      <c r="V9" s="7">
        <v>0.6</v>
      </c>
      <c r="W9" s="5">
        <v>9158</v>
      </c>
      <c r="X9" s="19">
        <v>654.37608182533438</v>
      </c>
      <c r="Z9" s="17"/>
      <c r="AA9" s="5"/>
      <c r="AB9" s="19"/>
    </row>
    <row r="10" spans="1:28" ht="13.5" thickBot="1" x14ac:dyDescent="0.25">
      <c r="B10" s="7">
        <v>0.25</v>
      </c>
      <c r="C10" s="5">
        <f>B10/SUM($B$6:$B$10)*$S$6</f>
        <v>409.66666666666663</v>
      </c>
      <c r="D10" s="19">
        <f>SUMIF($R$6:$R$10, B10, $T$6:$T$10)/0.75</f>
        <v>821.33333333333337</v>
      </c>
      <c r="F10" s="7">
        <f>MROUND(ROUND((Info!$C$21*B10)/(Info!Z$6/Info!$I$21), 4),1%)</f>
        <v>0.06</v>
      </c>
      <c r="G10" s="5">
        <f t="shared" si="1"/>
        <v>160.55357142857144</v>
      </c>
      <c r="H10" s="19">
        <f t="shared" si="2"/>
        <v>833.33333333333337</v>
      </c>
      <c r="J10" s="7">
        <f t="shared" si="3"/>
        <v>0.25</v>
      </c>
      <c r="K10" s="5">
        <f t="shared" si="4"/>
        <v>409.66666666666663</v>
      </c>
      <c r="L10" s="19">
        <f t="shared" si="5"/>
        <v>821.33333333333337</v>
      </c>
      <c r="N10" s="7">
        <f t="shared" si="6"/>
        <v>0.25</v>
      </c>
      <c r="O10" s="5">
        <f t="shared" si="7"/>
        <v>409.66666666666663</v>
      </c>
      <c r="P10" s="19">
        <f t="shared" si="8"/>
        <v>821.33333333333337</v>
      </c>
      <c r="Q10" s="26"/>
      <c r="R10" s="27">
        <v>2</v>
      </c>
      <c r="S10" s="12">
        <v>14114</v>
      </c>
      <c r="T10" s="20">
        <v>614</v>
      </c>
      <c r="V10" s="27">
        <v>0.8</v>
      </c>
      <c r="W10" s="12">
        <v>22745</v>
      </c>
      <c r="X10" s="20">
        <v>675</v>
      </c>
      <c r="Z10" s="18"/>
      <c r="AA10" s="12"/>
      <c r="AB10" s="20"/>
    </row>
    <row r="11" spans="1:28" x14ac:dyDescent="0.2">
      <c r="B11" s="7">
        <v>0.3</v>
      </c>
      <c r="C11" s="5">
        <f>B11/SUM($B$11:$B$15)*$S$7</f>
        <v>227.25000000000003</v>
      </c>
      <c r="D11" s="19">
        <f t="shared" ref="D11:D13" si="9">D12</f>
        <v>840</v>
      </c>
      <c r="F11" s="7">
        <f>MROUND(ROUND((Info!$C$21*B11)/(Info!Z$6/Info!$I$21), 4),1%)</f>
        <v>7.0000000000000007E-2</v>
      </c>
      <c r="G11" s="5">
        <f t="shared" si="1"/>
        <v>187.31250000000003</v>
      </c>
      <c r="H11" s="19">
        <f t="shared" si="2"/>
        <v>833.33333333333337</v>
      </c>
      <c r="J11" s="7">
        <f t="shared" si="3"/>
        <v>0.3</v>
      </c>
      <c r="K11" s="5">
        <f t="shared" si="4"/>
        <v>227.25000000000003</v>
      </c>
      <c r="L11" s="19">
        <f t="shared" si="5"/>
        <v>840</v>
      </c>
      <c r="N11" s="7">
        <f t="shared" si="6"/>
        <v>0.3</v>
      </c>
      <c r="O11" s="5">
        <f t="shared" si="7"/>
        <v>227.25000000000003</v>
      </c>
      <c r="P11" s="19">
        <f t="shared" si="8"/>
        <v>840</v>
      </c>
      <c r="Q11" s="26"/>
      <c r="S11" s="6">
        <f>SUM(S6:S10)</f>
        <v>38950</v>
      </c>
      <c r="T11" s="9">
        <f>AVERAGE(T6:T10)</f>
        <v>616.20000000000005</v>
      </c>
      <c r="W11" s="6">
        <f>SUM(W6:W10)</f>
        <v>66478</v>
      </c>
      <c r="X11" s="9">
        <f>AVERAGE(X6:X10)</f>
        <v>633.4</v>
      </c>
      <c r="AA11" s="6">
        <f>SUM(AA6:AA10)</f>
        <v>59909</v>
      </c>
      <c r="AB11" s="9">
        <f>AVERAGE(AB6:AB10)</f>
        <v>655</v>
      </c>
    </row>
    <row r="12" spans="1:28" x14ac:dyDescent="0.2">
      <c r="B12" s="7">
        <v>0.35</v>
      </c>
      <c r="C12" s="5">
        <f>B12/SUM($B$11:$B$15)*$S$7</f>
        <v>265.125</v>
      </c>
      <c r="D12" s="19">
        <f t="shared" si="9"/>
        <v>840</v>
      </c>
      <c r="F12" s="7">
        <f>MROUND(ROUND((Info!$C$21*B12)/(Info!Z$6/Info!$I$21), 4),1%)</f>
        <v>0.09</v>
      </c>
      <c r="G12" s="5">
        <f t="shared" si="1"/>
        <v>240.83035714285717</v>
      </c>
      <c r="H12" s="19">
        <f t="shared" si="2"/>
        <v>833.33333333333337</v>
      </c>
      <c r="J12" s="7">
        <f t="shared" si="3"/>
        <v>0.35</v>
      </c>
      <c r="K12" s="5">
        <f t="shared" si="4"/>
        <v>265.125</v>
      </c>
      <c r="L12" s="19">
        <f t="shared" si="5"/>
        <v>840</v>
      </c>
      <c r="N12" s="7">
        <f t="shared" si="6"/>
        <v>0.35</v>
      </c>
      <c r="O12" s="5">
        <f t="shared" si="7"/>
        <v>265.125</v>
      </c>
      <c r="P12" s="19">
        <f t="shared" si="8"/>
        <v>840</v>
      </c>
      <c r="Q12" s="26"/>
      <c r="S12" s="6"/>
      <c r="T12" s="9"/>
      <c r="W12" s="6"/>
      <c r="X12" s="9"/>
      <c r="AA12" s="6"/>
      <c r="AB12" s="9"/>
    </row>
    <row r="13" spans="1:28" x14ac:dyDescent="0.2">
      <c r="B13" s="7">
        <v>0.4</v>
      </c>
      <c r="C13" s="5">
        <f>B13/SUM($B$11:$B$15)*$S$7</f>
        <v>303.00000000000006</v>
      </c>
      <c r="D13" s="19">
        <f t="shared" si="9"/>
        <v>840</v>
      </c>
      <c r="F13" s="7">
        <f>MROUND(ROUND((Info!$C$21*B13)/(Info!Z$6/Info!$I$21), 4),1%)</f>
        <v>0.1</v>
      </c>
      <c r="G13" s="5">
        <f t="shared" si="1"/>
        <v>267.58928571428578</v>
      </c>
      <c r="H13" s="19">
        <f t="shared" si="2"/>
        <v>833.33333333333337</v>
      </c>
      <c r="J13" s="7">
        <f t="shared" si="3"/>
        <v>0.4</v>
      </c>
      <c r="K13" s="5">
        <f t="shared" si="4"/>
        <v>303.00000000000006</v>
      </c>
      <c r="L13" s="19">
        <f t="shared" si="5"/>
        <v>840</v>
      </c>
      <c r="N13" s="7">
        <f t="shared" si="6"/>
        <v>0.4</v>
      </c>
      <c r="O13" s="5">
        <f t="shared" si="7"/>
        <v>303.00000000000006</v>
      </c>
      <c r="P13" s="19">
        <f t="shared" si="8"/>
        <v>840</v>
      </c>
      <c r="Q13" s="26"/>
    </row>
    <row r="14" spans="1:28" x14ac:dyDescent="0.2">
      <c r="B14" s="7">
        <v>0.45</v>
      </c>
      <c r="C14" s="5">
        <f>B14/SUM($B$11:$B$15)*$S$7</f>
        <v>340.87500000000006</v>
      </c>
      <c r="D14" s="19">
        <f>D15</f>
        <v>840</v>
      </c>
      <c r="F14" s="7">
        <f>MROUND(ROUND((Info!$C$21*B14)/(Info!Z$6/Info!$I$21), 4),1%)</f>
        <v>0.11</v>
      </c>
      <c r="G14" s="5">
        <f t="shared" si="1"/>
        <v>294.34821428571433</v>
      </c>
      <c r="H14" s="19">
        <f t="shared" si="2"/>
        <v>833.33333333333337</v>
      </c>
      <c r="J14" s="7">
        <f t="shared" si="3"/>
        <v>0.45</v>
      </c>
      <c r="K14" s="5">
        <f t="shared" si="4"/>
        <v>340.87500000000006</v>
      </c>
      <c r="L14" s="19">
        <f t="shared" si="5"/>
        <v>840</v>
      </c>
      <c r="N14" s="7">
        <f t="shared" si="6"/>
        <v>0.45</v>
      </c>
      <c r="O14" s="5">
        <f t="shared" si="7"/>
        <v>340.87500000000006</v>
      </c>
      <c r="P14" s="19">
        <f t="shared" si="8"/>
        <v>840</v>
      </c>
      <c r="Q14" s="26"/>
      <c r="X14" s="26"/>
    </row>
    <row r="15" spans="1:28" x14ac:dyDescent="0.2">
      <c r="B15" s="7">
        <v>0.5</v>
      </c>
      <c r="C15" s="5">
        <f>B15/SUM($B$11:$B$15)*$S$7</f>
        <v>378.75000000000006</v>
      </c>
      <c r="D15" s="19">
        <f>SUMIF($R$6:$R$10, B15, $T$6:$T$10)/0.75</f>
        <v>840</v>
      </c>
      <c r="F15" s="7">
        <f>MROUND(ROUND((Info!$C$21*B15)/(Info!Z$6/Info!$I$21), 4),1%)</f>
        <v>0.12</v>
      </c>
      <c r="G15" s="5">
        <f t="shared" si="1"/>
        <v>321.10714285714289</v>
      </c>
      <c r="H15" s="19">
        <f t="shared" si="2"/>
        <v>833.33333333333337</v>
      </c>
      <c r="J15" s="7">
        <f t="shared" si="3"/>
        <v>0.5</v>
      </c>
      <c r="K15" s="5">
        <f t="shared" si="4"/>
        <v>378.75000000000006</v>
      </c>
      <c r="L15" s="19">
        <f t="shared" si="5"/>
        <v>840</v>
      </c>
      <c r="N15" s="7">
        <f t="shared" si="6"/>
        <v>0.5</v>
      </c>
      <c r="O15" s="5">
        <f t="shared" si="7"/>
        <v>378.75000000000006</v>
      </c>
      <c r="P15" s="19">
        <f t="shared" si="8"/>
        <v>840</v>
      </c>
    </row>
    <row r="16" spans="1:28" x14ac:dyDescent="0.2">
      <c r="A16" s="10"/>
      <c r="B16" s="7">
        <v>0.55000000000000004</v>
      </c>
      <c r="C16" s="5">
        <f t="shared" ref="C16:C25" si="10">B16/SUM($B$16:$B$25)*$S$8</f>
        <v>689.09677419354841</v>
      </c>
      <c r="D16" s="19">
        <f t="shared" ref="D16:D23" si="11">D17</f>
        <v>802.66666666666663</v>
      </c>
      <c r="F16" s="7">
        <f>MROUND(ROUND((Info!$C$21*B16)/(Info!Z$6/Info!$I$21), 4),1%)</f>
        <v>0.14000000000000001</v>
      </c>
      <c r="G16" s="5">
        <f t="shared" si="1"/>
        <v>374.62500000000006</v>
      </c>
      <c r="H16" s="19">
        <f t="shared" si="2"/>
        <v>833.33333333333337</v>
      </c>
      <c r="J16" s="7">
        <f t="shared" si="3"/>
        <v>0.55000000000000004</v>
      </c>
      <c r="K16" s="5">
        <f t="shared" si="4"/>
        <v>689.09677419354841</v>
      </c>
      <c r="L16" s="19">
        <f t="shared" si="5"/>
        <v>802.66666666666663</v>
      </c>
      <c r="N16" s="7">
        <f t="shared" si="6"/>
        <v>0.55000000000000004</v>
      </c>
      <c r="O16" s="5">
        <f t="shared" si="7"/>
        <v>689.09677419354841</v>
      </c>
      <c r="P16" s="19">
        <f t="shared" si="8"/>
        <v>802.66666666666663</v>
      </c>
    </row>
    <row r="17" spans="1:16" x14ac:dyDescent="0.2">
      <c r="A17" s="10"/>
      <c r="B17" s="7">
        <v>0.6</v>
      </c>
      <c r="C17" s="5">
        <f t="shared" si="10"/>
        <v>751.74193548387098</v>
      </c>
      <c r="D17" s="19">
        <f t="shared" si="11"/>
        <v>802.66666666666663</v>
      </c>
      <c r="F17" s="7">
        <f>MROUND(ROUND((Info!$C$21*B17)/(Info!Z$6/Info!$I$21), 4),1%)</f>
        <v>0.15</v>
      </c>
      <c r="G17" s="5">
        <f t="shared" si="1"/>
        <v>401.38392857142856</v>
      </c>
      <c r="H17" s="19">
        <f t="shared" ref="H17" si="12">AVERAGEIF($V$6:$V$10, F17, $X$6:$X$10)/0.75</f>
        <v>833.33333333333337</v>
      </c>
      <c r="J17" s="7">
        <f t="shared" si="3"/>
        <v>0.6</v>
      </c>
      <c r="K17" s="5">
        <f t="shared" si="4"/>
        <v>751.74193548387098</v>
      </c>
      <c r="L17" s="19">
        <f t="shared" si="5"/>
        <v>802.66666666666663</v>
      </c>
      <c r="N17" s="7">
        <f t="shared" si="6"/>
        <v>0.6</v>
      </c>
      <c r="O17" s="5">
        <f t="shared" si="7"/>
        <v>751.74193548387098</v>
      </c>
      <c r="P17" s="19">
        <f t="shared" si="8"/>
        <v>802.66666666666663</v>
      </c>
    </row>
    <row r="18" spans="1:16" x14ac:dyDescent="0.2">
      <c r="B18" s="7">
        <v>0.65</v>
      </c>
      <c r="C18" s="5">
        <f t="shared" si="10"/>
        <v>814.38709677419365</v>
      </c>
      <c r="D18" s="19">
        <f t="shared" si="11"/>
        <v>802.66666666666663</v>
      </c>
      <c r="F18" s="7">
        <f>MROUND(ROUND((Info!$C$21*B18)/(Info!Z$6/Info!$I$21), 4),1%)</f>
        <v>0.16</v>
      </c>
      <c r="G18" s="5">
        <f t="shared" si="1"/>
        <v>428.14285714285722</v>
      </c>
      <c r="H18" s="19">
        <f t="shared" ref="H18:H28" si="13">H19</f>
        <v>844</v>
      </c>
      <c r="J18" s="7">
        <f t="shared" si="3"/>
        <v>0.65</v>
      </c>
      <c r="K18" s="5">
        <f t="shared" si="4"/>
        <v>814.38709677419365</v>
      </c>
      <c r="L18" s="19">
        <f t="shared" si="5"/>
        <v>802.66666666666663</v>
      </c>
      <c r="N18" s="7">
        <f t="shared" si="6"/>
        <v>0.65</v>
      </c>
      <c r="O18" s="5">
        <f t="shared" si="7"/>
        <v>814.38709677419365</v>
      </c>
      <c r="P18" s="19">
        <f t="shared" si="8"/>
        <v>802.66666666666663</v>
      </c>
    </row>
    <row r="19" spans="1:16" x14ac:dyDescent="0.2">
      <c r="B19" s="7">
        <v>0.7</v>
      </c>
      <c r="C19" s="5">
        <f t="shared" si="10"/>
        <v>877.0322580645161</v>
      </c>
      <c r="D19" s="19">
        <f t="shared" si="11"/>
        <v>802.66666666666663</v>
      </c>
      <c r="F19" s="7">
        <f>MROUND(ROUND((Info!$C$21*B19)/(Info!Z$6/Info!$I$21), 4),1%)</f>
        <v>0.17</v>
      </c>
      <c r="G19" s="5">
        <f t="shared" ref="G19:G32" si="14">F19/SUM($F$19:$F$32)*($AA$6-$W$6)</f>
        <v>574.9178470254958</v>
      </c>
      <c r="H19" s="19">
        <f t="shared" si="13"/>
        <v>844</v>
      </c>
      <c r="J19" s="7">
        <f t="shared" si="3"/>
        <v>0.7</v>
      </c>
      <c r="K19" s="5">
        <f t="shared" si="4"/>
        <v>877.0322580645161</v>
      </c>
      <c r="L19" s="19">
        <f t="shared" si="5"/>
        <v>802.66666666666663</v>
      </c>
      <c r="N19" s="7">
        <f t="shared" si="6"/>
        <v>0.7</v>
      </c>
      <c r="O19" s="5">
        <f t="shared" si="7"/>
        <v>877.0322580645161</v>
      </c>
      <c r="P19" s="19">
        <f t="shared" si="8"/>
        <v>802.66666666666663</v>
      </c>
    </row>
    <row r="20" spans="1:16" x14ac:dyDescent="0.2">
      <c r="B20" s="7">
        <v>0.75</v>
      </c>
      <c r="C20" s="5">
        <f t="shared" si="10"/>
        <v>939.67741935483866</v>
      </c>
      <c r="D20" s="19">
        <f t="shared" si="11"/>
        <v>802.66666666666663</v>
      </c>
      <c r="F20" s="7">
        <f>MROUND(ROUND((Info!$C$21*B20)/(Info!Z$6/Info!$I$21), 4),1%)</f>
        <v>0.18</v>
      </c>
      <c r="G20" s="5">
        <f t="shared" si="14"/>
        <v>608.73654390934837</v>
      </c>
      <c r="H20" s="19">
        <f t="shared" si="13"/>
        <v>844</v>
      </c>
      <c r="J20" s="7">
        <f t="shared" si="3"/>
        <v>0.75</v>
      </c>
      <c r="K20" s="5">
        <f t="shared" si="4"/>
        <v>939.67741935483866</v>
      </c>
      <c r="L20" s="19">
        <f t="shared" si="5"/>
        <v>802.66666666666663</v>
      </c>
      <c r="N20" s="7">
        <f t="shared" si="6"/>
        <v>0.75</v>
      </c>
      <c r="O20" s="5">
        <f t="shared" si="7"/>
        <v>939.67741935483866</v>
      </c>
      <c r="P20" s="19">
        <f t="shared" si="8"/>
        <v>802.66666666666663</v>
      </c>
    </row>
    <row r="21" spans="1:16" x14ac:dyDescent="0.2">
      <c r="B21" s="7">
        <v>0.8</v>
      </c>
      <c r="C21" s="5">
        <f t="shared" si="10"/>
        <v>1002.3225806451613</v>
      </c>
      <c r="D21" s="19">
        <f t="shared" si="11"/>
        <v>802.66666666666663</v>
      </c>
      <c r="F21" s="7">
        <f>MROUND(ROUND((Info!$C$21*B21)/(Info!Z$6/Info!$I$21), 4),1%)</f>
        <v>0.2</v>
      </c>
      <c r="G21" s="5">
        <f t="shared" si="14"/>
        <v>676.37393767705396</v>
      </c>
      <c r="H21" s="19">
        <f t="shared" si="13"/>
        <v>844</v>
      </c>
      <c r="J21" s="7">
        <f t="shared" si="3"/>
        <v>0.8</v>
      </c>
      <c r="K21" s="5">
        <f t="shared" si="4"/>
        <v>1002.3225806451613</v>
      </c>
      <c r="L21" s="19">
        <f t="shared" si="5"/>
        <v>802.66666666666663</v>
      </c>
      <c r="N21" s="7">
        <f t="shared" si="6"/>
        <v>0.8</v>
      </c>
      <c r="O21" s="5">
        <f t="shared" si="7"/>
        <v>1002.3225806451613</v>
      </c>
      <c r="P21" s="19">
        <f t="shared" si="8"/>
        <v>802.66666666666663</v>
      </c>
    </row>
    <row r="22" spans="1:16" x14ac:dyDescent="0.2">
      <c r="B22" s="7">
        <v>0.85</v>
      </c>
      <c r="C22" s="5">
        <f t="shared" si="10"/>
        <v>1064.9677419354839</v>
      </c>
      <c r="D22" s="19">
        <f t="shared" si="11"/>
        <v>802.66666666666663</v>
      </c>
      <c r="F22" s="7">
        <f>MROUND(ROUND((Info!$C$21*B22)/(Info!Z$6/Info!$I$21), 4),1%)</f>
        <v>0.21</v>
      </c>
      <c r="G22" s="5">
        <f t="shared" si="14"/>
        <v>710.19263456090653</v>
      </c>
      <c r="H22" s="19">
        <f t="shared" si="13"/>
        <v>844</v>
      </c>
      <c r="J22" s="7">
        <f t="shared" si="3"/>
        <v>0.85</v>
      </c>
      <c r="K22" s="5">
        <f t="shared" si="4"/>
        <v>1064.9677419354839</v>
      </c>
      <c r="L22" s="19">
        <f t="shared" si="5"/>
        <v>802.66666666666663</v>
      </c>
      <c r="N22" s="7">
        <f t="shared" si="6"/>
        <v>0.85</v>
      </c>
      <c r="O22" s="5">
        <f t="shared" si="7"/>
        <v>1064.9677419354839</v>
      </c>
      <c r="P22" s="19">
        <f t="shared" si="8"/>
        <v>802.66666666666663</v>
      </c>
    </row>
    <row r="23" spans="1:16" x14ac:dyDescent="0.2">
      <c r="B23" s="7">
        <v>0.9</v>
      </c>
      <c r="C23" s="5">
        <f t="shared" si="10"/>
        <v>1127.6129032258066</v>
      </c>
      <c r="D23" s="19">
        <f t="shared" si="11"/>
        <v>802.66666666666663</v>
      </c>
      <c r="F23" s="7">
        <f>MROUND(ROUND((Info!$C$21*B23)/(Info!Z$6/Info!$I$21), 4),1%)</f>
        <v>0.22</v>
      </c>
      <c r="G23" s="5">
        <f t="shared" si="14"/>
        <v>744.01133144475921</v>
      </c>
      <c r="H23" s="19">
        <f t="shared" si="13"/>
        <v>844</v>
      </c>
      <c r="J23" s="7">
        <f t="shared" si="3"/>
        <v>0.9</v>
      </c>
      <c r="K23" s="5">
        <f t="shared" si="4"/>
        <v>1127.6129032258066</v>
      </c>
      <c r="L23" s="19">
        <f t="shared" si="5"/>
        <v>802.66666666666663</v>
      </c>
      <c r="N23" s="7">
        <f t="shared" si="6"/>
        <v>0.9</v>
      </c>
      <c r="O23" s="5">
        <f t="shared" si="7"/>
        <v>1127.6129032258066</v>
      </c>
      <c r="P23" s="19">
        <f t="shared" si="8"/>
        <v>802.66666666666663</v>
      </c>
    </row>
    <row r="24" spans="1:16" x14ac:dyDescent="0.2">
      <c r="B24" s="7">
        <v>0.95</v>
      </c>
      <c r="C24" s="5">
        <f t="shared" si="10"/>
        <v>1190.258064516129</v>
      </c>
      <c r="D24" s="19">
        <f>D25</f>
        <v>802.66666666666663</v>
      </c>
      <c r="F24" s="7">
        <f>MROUND(ROUND((Info!$C$21*B24)/(Info!Z$6/Info!$I$21), 4),1%)</f>
        <v>0.23</v>
      </c>
      <c r="G24" s="5">
        <f t="shared" si="14"/>
        <v>777.830028328612</v>
      </c>
      <c r="H24" s="19">
        <f t="shared" si="13"/>
        <v>844</v>
      </c>
      <c r="J24" s="7">
        <f t="shared" si="3"/>
        <v>0.95</v>
      </c>
      <c r="K24" s="5">
        <f t="shared" si="4"/>
        <v>1190.258064516129</v>
      </c>
      <c r="L24" s="19">
        <f t="shared" si="5"/>
        <v>802.66666666666663</v>
      </c>
      <c r="N24" s="7">
        <f t="shared" si="6"/>
        <v>0.95</v>
      </c>
      <c r="O24" s="5">
        <f t="shared" si="7"/>
        <v>1190.258064516129</v>
      </c>
      <c r="P24" s="19">
        <f t="shared" si="8"/>
        <v>802.66666666666663</v>
      </c>
    </row>
    <row r="25" spans="1:16" x14ac:dyDescent="0.2">
      <c r="B25" s="7">
        <v>1</v>
      </c>
      <c r="C25" s="5">
        <f t="shared" si="10"/>
        <v>1252.9032258064515</v>
      </c>
      <c r="D25" s="19">
        <f>SUMIF($R$6:$R$10, B25, $T$6:$T$10)/0.75</f>
        <v>802.66666666666663</v>
      </c>
      <c r="F25" s="7">
        <f>MROUND(ROUND((Info!$C$21*B25)/(Info!Z$6/Info!$I$21), 4),1%)</f>
        <v>0.25</v>
      </c>
      <c r="G25" s="5">
        <f t="shared" si="14"/>
        <v>845.46742209631725</v>
      </c>
      <c r="H25" s="19">
        <f t="shared" si="13"/>
        <v>844</v>
      </c>
      <c r="J25" s="7">
        <f t="shared" si="3"/>
        <v>1</v>
      </c>
      <c r="K25" s="5">
        <f t="shared" si="4"/>
        <v>1252.9032258064515</v>
      </c>
      <c r="L25" s="19">
        <f t="shared" si="5"/>
        <v>802.66666666666663</v>
      </c>
      <c r="N25" s="7">
        <f t="shared" si="6"/>
        <v>1</v>
      </c>
      <c r="O25" s="5">
        <f t="shared" si="7"/>
        <v>1252.9032258064515</v>
      </c>
      <c r="P25" s="19">
        <f t="shared" si="8"/>
        <v>802.66666666666663</v>
      </c>
    </row>
    <row r="26" spans="1:16" x14ac:dyDescent="0.2">
      <c r="B26" s="7">
        <v>1.05</v>
      </c>
      <c r="C26" s="5">
        <f t="shared" ref="C26:C35" si="15">B26/SUM($B$26:$B$35)*$S$9</f>
        <v>1019.6941176470588</v>
      </c>
      <c r="D26" s="19">
        <f t="shared" ref="D26:D33" si="16">D27</f>
        <v>825.33333333333337</v>
      </c>
      <c r="F26" s="7">
        <f>MROUND(ROUND((Info!$C$21*B26)/(Info!Z$6/Info!$I$21), 4),1%)</f>
        <v>0.26</v>
      </c>
      <c r="G26" s="5">
        <f t="shared" si="14"/>
        <v>879.28611898017004</v>
      </c>
      <c r="H26" s="19">
        <f t="shared" si="13"/>
        <v>844</v>
      </c>
      <c r="J26" s="7">
        <f t="shared" si="3"/>
        <v>1.05</v>
      </c>
      <c r="K26" s="5">
        <f t="shared" si="4"/>
        <v>1019.6941176470588</v>
      </c>
      <c r="L26" s="19">
        <f t="shared" si="5"/>
        <v>825.33333333333337</v>
      </c>
      <c r="N26" s="7">
        <f t="shared" si="6"/>
        <v>1.05</v>
      </c>
      <c r="O26" s="5">
        <f t="shared" si="7"/>
        <v>1019.6941176470588</v>
      </c>
      <c r="P26" s="19">
        <f t="shared" si="8"/>
        <v>825.33333333333337</v>
      </c>
    </row>
    <row r="27" spans="1:16" x14ac:dyDescent="0.2">
      <c r="B27" s="7">
        <v>1.1000000000000001</v>
      </c>
      <c r="C27" s="5">
        <f t="shared" si="15"/>
        <v>1068.2509803921571</v>
      </c>
      <c r="D27" s="19">
        <f t="shared" si="16"/>
        <v>825.33333333333337</v>
      </c>
      <c r="F27" s="7">
        <f>MROUND(ROUND((Info!$C$21*B27)/(Info!Z$6/Info!$I$21), 4),1%)</f>
        <v>0.27</v>
      </c>
      <c r="G27" s="5">
        <f t="shared" si="14"/>
        <v>913.10481586402273</v>
      </c>
      <c r="H27" s="19">
        <f t="shared" si="13"/>
        <v>844</v>
      </c>
      <c r="J27" s="7">
        <f t="shared" si="3"/>
        <v>1.1000000000000001</v>
      </c>
      <c r="K27" s="5">
        <f t="shared" si="4"/>
        <v>1068.2509803921571</v>
      </c>
      <c r="L27" s="19">
        <f t="shared" si="5"/>
        <v>825.33333333333337</v>
      </c>
      <c r="N27" s="7">
        <f t="shared" si="6"/>
        <v>1.1000000000000001</v>
      </c>
      <c r="O27" s="5">
        <f t="shared" si="7"/>
        <v>1068.2509803921571</v>
      </c>
      <c r="P27" s="19">
        <f t="shared" si="8"/>
        <v>825.33333333333337</v>
      </c>
    </row>
    <row r="28" spans="1:16" x14ac:dyDescent="0.2">
      <c r="B28" s="7">
        <v>1.1499999999999999</v>
      </c>
      <c r="C28" s="5">
        <f t="shared" si="15"/>
        <v>1116.8078431372548</v>
      </c>
      <c r="D28" s="19">
        <f t="shared" si="16"/>
        <v>825.33333333333337</v>
      </c>
      <c r="F28" s="7">
        <f>MROUND(ROUND((Info!$C$21*B28)/(Info!Z$6/Info!$I$21), 4),1%)</f>
        <v>0.28000000000000003</v>
      </c>
      <c r="G28" s="5">
        <f t="shared" si="14"/>
        <v>946.92351274787552</v>
      </c>
      <c r="H28" s="19">
        <f t="shared" si="13"/>
        <v>844</v>
      </c>
      <c r="J28" s="7">
        <f t="shared" si="3"/>
        <v>1.1499999999999999</v>
      </c>
      <c r="K28" s="5">
        <f t="shared" si="4"/>
        <v>1116.8078431372548</v>
      </c>
      <c r="L28" s="19">
        <f t="shared" si="5"/>
        <v>825.33333333333337</v>
      </c>
      <c r="N28" s="7">
        <f t="shared" si="6"/>
        <v>1.1499999999999999</v>
      </c>
      <c r="O28" s="5">
        <f t="shared" si="7"/>
        <v>1116.8078431372548</v>
      </c>
      <c r="P28" s="19">
        <f t="shared" si="8"/>
        <v>825.33333333333337</v>
      </c>
    </row>
    <row r="29" spans="1:16" x14ac:dyDescent="0.2">
      <c r="B29" s="7">
        <v>1.2</v>
      </c>
      <c r="C29" s="5">
        <f t="shared" si="15"/>
        <v>1165.3647058823528</v>
      </c>
      <c r="D29" s="19">
        <f t="shared" si="16"/>
        <v>825.33333333333337</v>
      </c>
      <c r="F29" s="7">
        <f>MROUND(ROUND((Info!$C$21*B29)/(Info!Z$6/Info!$I$21), 4),1%)</f>
        <v>0.3</v>
      </c>
      <c r="G29" s="5">
        <f t="shared" si="14"/>
        <v>1014.5609065155808</v>
      </c>
      <c r="H29" s="19">
        <f t="shared" ref="H29" si="17">AVERAGEIF($Z$6:$Z$10, F29, $AB$6:$AB$10)/0.75</f>
        <v>844</v>
      </c>
      <c r="J29" s="7">
        <f t="shared" si="3"/>
        <v>1.2</v>
      </c>
      <c r="K29" s="5">
        <f t="shared" si="4"/>
        <v>1165.3647058823528</v>
      </c>
      <c r="L29" s="19">
        <f t="shared" si="5"/>
        <v>825.33333333333337</v>
      </c>
      <c r="N29" s="7">
        <f t="shared" si="6"/>
        <v>1.2</v>
      </c>
      <c r="O29" s="5">
        <f t="shared" si="7"/>
        <v>1165.3647058823528</v>
      </c>
      <c r="P29" s="19">
        <f t="shared" si="8"/>
        <v>825.33333333333337</v>
      </c>
    </row>
    <row r="30" spans="1:16" x14ac:dyDescent="0.2">
      <c r="B30" s="7">
        <v>1.25</v>
      </c>
      <c r="C30" s="5">
        <f t="shared" si="15"/>
        <v>1213.9215686274511</v>
      </c>
      <c r="D30" s="19">
        <f t="shared" si="16"/>
        <v>825.33333333333337</v>
      </c>
      <c r="F30" s="7">
        <f>MROUND(ROUND((Info!$C$21*B30)/(Info!Z$6/Info!$I$21), 4),1%)</f>
        <v>0.31</v>
      </c>
      <c r="G30" s="5">
        <f t="shared" si="14"/>
        <v>1048.3796033994336</v>
      </c>
      <c r="H30" s="19">
        <f t="shared" ref="H30:H42" si="18">H31</f>
        <v>893.33333333333337</v>
      </c>
      <c r="J30" s="7">
        <f t="shared" si="3"/>
        <v>1.25</v>
      </c>
      <c r="K30" s="5">
        <f t="shared" si="4"/>
        <v>1213.9215686274511</v>
      </c>
      <c r="L30" s="19">
        <f t="shared" si="5"/>
        <v>825.33333333333337</v>
      </c>
      <c r="N30" s="7">
        <f t="shared" si="6"/>
        <v>1.25</v>
      </c>
      <c r="O30" s="5">
        <f t="shared" si="7"/>
        <v>1213.9215686274511</v>
      </c>
      <c r="P30" s="19">
        <f t="shared" si="8"/>
        <v>825.33333333333337</v>
      </c>
    </row>
    <row r="31" spans="1:16" x14ac:dyDescent="0.2">
      <c r="B31" s="7">
        <v>1.3</v>
      </c>
      <c r="C31" s="5">
        <f t="shared" si="15"/>
        <v>1262.478431372549</v>
      </c>
      <c r="D31" s="19">
        <f t="shared" si="16"/>
        <v>825.33333333333337</v>
      </c>
      <c r="F31" s="7">
        <f>MROUND(ROUND((Info!$C$21*B31)/(Info!Z$6/Info!$I$21), 4),1%)</f>
        <v>0.32</v>
      </c>
      <c r="G31" s="5">
        <f t="shared" si="14"/>
        <v>1082.1983002832862</v>
      </c>
      <c r="H31" s="19">
        <f t="shared" si="18"/>
        <v>893.33333333333337</v>
      </c>
      <c r="J31" s="7">
        <f t="shared" si="3"/>
        <v>1.3</v>
      </c>
      <c r="K31" s="5">
        <f t="shared" si="4"/>
        <v>1262.478431372549</v>
      </c>
      <c r="L31" s="19">
        <f t="shared" si="5"/>
        <v>825.33333333333337</v>
      </c>
      <c r="N31" s="7">
        <f t="shared" si="6"/>
        <v>1.3</v>
      </c>
      <c r="O31" s="5">
        <f t="shared" si="7"/>
        <v>1262.478431372549</v>
      </c>
      <c r="P31" s="19">
        <f t="shared" si="8"/>
        <v>825.33333333333337</v>
      </c>
    </row>
    <row r="32" spans="1:16" x14ac:dyDescent="0.2">
      <c r="B32" s="7">
        <v>1.35</v>
      </c>
      <c r="C32" s="5">
        <f t="shared" si="15"/>
        <v>1311.0352941176473</v>
      </c>
      <c r="D32" s="19">
        <f t="shared" si="16"/>
        <v>825.33333333333337</v>
      </c>
      <c r="F32" s="7">
        <f>MROUND(ROUND((Info!$C$21*B32)/(Info!Z$6/Info!$I$21), 4),1%)</f>
        <v>0.33</v>
      </c>
      <c r="G32" s="5">
        <f t="shared" si="14"/>
        <v>1116.0169971671389</v>
      </c>
      <c r="H32" s="19">
        <f t="shared" si="18"/>
        <v>893.33333333333337</v>
      </c>
      <c r="J32" s="7">
        <f t="shared" si="3"/>
        <v>1.35</v>
      </c>
      <c r="K32" s="5">
        <f t="shared" si="4"/>
        <v>1311.0352941176473</v>
      </c>
      <c r="L32" s="19">
        <f t="shared" si="5"/>
        <v>825.33333333333337</v>
      </c>
      <c r="N32" s="7">
        <f t="shared" si="6"/>
        <v>1.35</v>
      </c>
      <c r="O32" s="5">
        <f t="shared" si="7"/>
        <v>1311.0352941176473</v>
      </c>
      <c r="P32" s="19">
        <f t="shared" si="8"/>
        <v>825.33333333333337</v>
      </c>
    </row>
    <row r="33" spans="2:16" x14ac:dyDescent="0.2">
      <c r="B33" s="7">
        <v>1.4</v>
      </c>
      <c r="C33" s="5">
        <f t="shared" si="15"/>
        <v>1359.592156862745</v>
      </c>
      <c r="D33" s="19">
        <f t="shared" si="16"/>
        <v>825.33333333333337</v>
      </c>
      <c r="F33" s="7">
        <f>MROUND(ROUND((Info!$C$21*B33)/(Info!Z$6/Info!$I$21), 4),1%)</f>
        <v>0.34</v>
      </c>
      <c r="G33" s="5">
        <f t="shared" ref="G33:G44" si="19">F33/SUM($F$33:$F$44)*($W$8)</f>
        <v>1381.2929292929296</v>
      </c>
      <c r="H33" s="19">
        <f t="shared" si="18"/>
        <v>893.33333333333337</v>
      </c>
      <c r="J33" s="7">
        <f t="shared" si="3"/>
        <v>0.34</v>
      </c>
      <c r="K33" s="5">
        <f t="shared" si="4"/>
        <v>1381.2929292929296</v>
      </c>
      <c r="L33" s="19">
        <f t="shared" si="5"/>
        <v>893.33333333333337</v>
      </c>
      <c r="N33" s="7">
        <f t="shared" si="6"/>
        <v>1.4</v>
      </c>
      <c r="O33" s="5">
        <f t="shared" si="7"/>
        <v>1359.592156862745</v>
      </c>
      <c r="P33" s="19">
        <f t="shared" si="8"/>
        <v>825.33333333333337</v>
      </c>
    </row>
    <row r="34" spans="2:16" x14ac:dyDescent="0.2">
      <c r="B34" s="7">
        <v>1.45</v>
      </c>
      <c r="C34" s="5">
        <f t="shared" si="15"/>
        <v>1408.1490196078432</v>
      </c>
      <c r="D34" s="19">
        <f>D35</f>
        <v>825.33333333333337</v>
      </c>
      <c r="F34" s="7">
        <f>MROUND(ROUND((Info!$C$21*B34)/(Info!Z$6/Info!$I$21), 4),1%)</f>
        <v>0.36</v>
      </c>
      <c r="G34" s="5">
        <f t="shared" si="19"/>
        <v>1462.5454545454547</v>
      </c>
      <c r="H34" s="19">
        <f t="shared" si="18"/>
        <v>893.33333333333337</v>
      </c>
      <c r="J34" s="7">
        <f t="shared" si="3"/>
        <v>0.36</v>
      </c>
      <c r="K34" s="5">
        <f t="shared" si="4"/>
        <v>1462.5454545454547</v>
      </c>
      <c r="L34" s="19">
        <f t="shared" si="5"/>
        <v>893.33333333333337</v>
      </c>
      <c r="N34" s="7">
        <f t="shared" si="6"/>
        <v>1.45</v>
      </c>
      <c r="O34" s="5">
        <f t="shared" si="7"/>
        <v>1408.1490196078432</v>
      </c>
      <c r="P34" s="19">
        <f t="shared" si="8"/>
        <v>825.33333333333337</v>
      </c>
    </row>
    <row r="35" spans="2:16" x14ac:dyDescent="0.2">
      <c r="B35" s="7">
        <v>1.5</v>
      </c>
      <c r="C35" s="5">
        <f t="shared" si="15"/>
        <v>1456.7058823529412</v>
      </c>
      <c r="D35" s="19">
        <f>SUMIF($R$6:$R$10, B35, $T$6:$T$10)/0.75</f>
        <v>825.33333333333337</v>
      </c>
      <c r="F35" s="7">
        <f>MROUND(ROUND((Info!$C$21*B35)/(Info!Z$6/Info!$I$21), 4),1%)</f>
        <v>0.37</v>
      </c>
      <c r="G35" s="5">
        <f t="shared" si="19"/>
        <v>1503.1717171717173</v>
      </c>
      <c r="H35" s="19">
        <f t="shared" si="18"/>
        <v>893.33333333333337</v>
      </c>
      <c r="J35" s="7">
        <f t="shared" si="3"/>
        <v>0.37</v>
      </c>
      <c r="K35" s="5">
        <f t="shared" si="4"/>
        <v>1503.1717171717173</v>
      </c>
      <c r="L35" s="19">
        <f t="shared" si="5"/>
        <v>893.33333333333337</v>
      </c>
      <c r="N35" s="7">
        <f t="shared" si="6"/>
        <v>1.5</v>
      </c>
      <c r="O35" s="5">
        <f t="shared" si="7"/>
        <v>1456.7058823529412</v>
      </c>
      <c r="P35" s="19">
        <f t="shared" si="8"/>
        <v>825.33333333333337</v>
      </c>
    </row>
    <row r="36" spans="2:16" x14ac:dyDescent="0.2">
      <c r="B36" s="7">
        <v>1.55</v>
      </c>
      <c r="C36" s="5">
        <f t="shared" ref="C36:C45" si="20">B36/SUM($B$36:$B$45)*$S$10</f>
        <v>1232.4901408450705</v>
      </c>
      <c r="D36" s="19">
        <f t="shared" ref="D36:D43" si="21">D37</f>
        <v>818.66666666666663</v>
      </c>
      <c r="F36" s="7">
        <f>MROUND(ROUND((Info!$C$21*B36)/(Info!Z$6/Info!$I$21), 4),1%)</f>
        <v>0.38</v>
      </c>
      <c r="G36" s="5">
        <f t="shared" si="19"/>
        <v>1543.7979797979799</v>
      </c>
      <c r="H36" s="19">
        <f t="shared" si="18"/>
        <v>893.33333333333337</v>
      </c>
      <c r="J36" s="7">
        <f t="shared" si="3"/>
        <v>0.38</v>
      </c>
      <c r="K36" s="5">
        <f t="shared" si="4"/>
        <v>1543.7979797979799</v>
      </c>
      <c r="L36" s="19">
        <f t="shared" si="5"/>
        <v>893.33333333333337</v>
      </c>
      <c r="N36" s="7">
        <f t="shared" si="6"/>
        <v>1.55</v>
      </c>
      <c r="O36" s="5">
        <f>MAX(G36,C36)</f>
        <v>1543.7979797979799</v>
      </c>
      <c r="P36" s="19">
        <f>IF(O36=C36,_xlfn.XLOOKUP(O36,$C$6:$C$45,$D$6:$D$45),_xlfn.XLOOKUP(O36,$G$6:$G$45,$H$6:$H$45))</f>
        <v>893.33333333333337</v>
      </c>
    </row>
    <row r="37" spans="2:16" x14ac:dyDescent="0.2">
      <c r="B37" s="7">
        <v>1.6</v>
      </c>
      <c r="C37" s="5">
        <f t="shared" si="20"/>
        <v>1272.2478873239438</v>
      </c>
      <c r="D37" s="19">
        <f t="shared" si="21"/>
        <v>818.66666666666663</v>
      </c>
      <c r="F37" s="7">
        <f>MROUND(ROUND((Info!$C$21*B37)/(Info!Z$6/Info!$I$21), 4),1%)</f>
        <v>0.39</v>
      </c>
      <c r="G37" s="5">
        <f t="shared" si="19"/>
        <v>1584.4242424242425</v>
      </c>
      <c r="H37" s="19">
        <f t="shared" si="18"/>
        <v>893.33333333333337</v>
      </c>
      <c r="J37" s="7">
        <f t="shared" si="3"/>
        <v>0.39</v>
      </c>
      <c r="K37" s="5">
        <f t="shared" si="4"/>
        <v>1584.4242424242425</v>
      </c>
      <c r="L37" s="19">
        <f t="shared" si="5"/>
        <v>893.33333333333337</v>
      </c>
      <c r="N37" s="7">
        <f t="shared" si="6"/>
        <v>1.6</v>
      </c>
      <c r="O37" s="5">
        <f t="shared" ref="O37:O44" si="22">MAX(G37,C37)</f>
        <v>1584.4242424242425</v>
      </c>
      <c r="P37" s="19">
        <f t="shared" ref="P37:P44" si="23">IF(O37=C37,_xlfn.XLOOKUP(O37,$C$6:$C$45,$D$6:$D$45),_xlfn.XLOOKUP(O37,$G$6:$G$45,$H$6:$H$45))</f>
        <v>893.33333333333337</v>
      </c>
    </row>
    <row r="38" spans="2:16" x14ac:dyDescent="0.2">
      <c r="B38" s="7">
        <v>1.65</v>
      </c>
      <c r="C38" s="5">
        <f t="shared" si="20"/>
        <v>1312.0056338028169</v>
      </c>
      <c r="D38" s="19">
        <f t="shared" si="21"/>
        <v>818.66666666666663</v>
      </c>
      <c r="F38" s="7">
        <f>MROUND(ROUND((Info!$C$21*B38)/(Info!Z$6/Info!$I$21), 4),1%)</f>
        <v>0.41000000000000003</v>
      </c>
      <c r="G38" s="5">
        <f t="shared" si="19"/>
        <v>1665.6767676767681</v>
      </c>
      <c r="H38" s="19">
        <f t="shared" si="18"/>
        <v>893.33333333333337</v>
      </c>
      <c r="J38" s="7">
        <f t="shared" si="3"/>
        <v>0.41000000000000003</v>
      </c>
      <c r="K38" s="5">
        <f t="shared" si="4"/>
        <v>1665.6767676767681</v>
      </c>
      <c r="L38" s="19">
        <f t="shared" si="5"/>
        <v>893.33333333333337</v>
      </c>
      <c r="N38" s="7">
        <f t="shared" si="6"/>
        <v>1.65</v>
      </c>
      <c r="O38" s="5">
        <f t="shared" si="22"/>
        <v>1665.6767676767681</v>
      </c>
      <c r="P38" s="19">
        <f t="shared" si="23"/>
        <v>893.33333333333337</v>
      </c>
    </row>
    <row r="39" spans="2:16" x14ac:dyDescent="0.2">
      <c r="B39" s="7">
        <v>1.7</v>
      </c>
      <c r="C39" s="5">
        <f t="shared" si="20"/>
        <v>1351.7633802816902</v>
      </c>
      <c r="D39" s="19">
        <f t="shared" si="21"/>
        <v>818.66666666666663</v>
      </c>
      <c r="F39" s="7">
        <f>MROUND(ROUND((Info!$C$21*B39)/(Info!Z$6/Info!$I$21), 4),1%)</f>
        <v>0.42</v>
      </c>
      <c r="G39" s="5">
        <f t="shared" si="19"/>
        <v>1706.3030303030305</v>
      </c>
      <c r="H39" s="19">
        <f t="shared" si="18"/>
        <v>893.33333333333337</v>
      </c>
      <c r="J39" s="7">
        <f t="shared" si="3"/>
        <v>0.42</v>
      </c>
      <c r="K39" s="5">
        <f t="shared" si="4"/>
        <v>1706.3030303030305</v>
      </c>
      <c r="L39" s="19">
        <f t="shared" si="5"/>
        <v>893.33333333333337</v>
      </c>
      <c r="N39" s="7">
        <f t="shared" si="6"/>
        <v>1.7</v>
      </c>
      <c r="O39" s="5">
        <f t="shared" si="22"/>
        <v>1706.3030303030305</v>
      </c>
      <c r="P39" s="19">
        <f t="shared" si="23"/>
        <v>893.33333333333337</v>
      </c>
    </row>
    <row r="40" spans="2:16" x14ac:dyDescent="0.2">
      <c r="B40" s="7">
        <v>1.75</v>
      </c>
      <c r="C40" s="5">
        <f t="shared" si="20"/>
        <v>1391.5211267605632</v>
      </c>
      <c r="D40" s="19">
        <f t="shared" si="21"/>
        <v>818.66666666666663</v>
      </c>
      <c r="F40" s="7">
        <f>MROUND(ROUND((Info!$C$21*B40)/(Info!Z$6/Info!$I$21), 4),1%)</f>
        <v>0.43</v>
      </c>
      <c r="G40" s="5">
        <f t="shared" si="19"/>
        <v>1746.9292929292931</v>
      </c>
      <c r="H40" s="19">
        <f t="shared" si="18"/>
        <v>893.33333333333337</v>
      </c>
      <c r="J40" s="7">
        <f t="shared" si="3"/>
        <v>0.43</v>
      </c>
      <c r="K40" s="5">
        <f t="shared" si="4"/>
        <v>1746.9292929292931</v>
      </c>
      <c r="L40" s="19">
        <f t="shared" si="5"/>
        <v>893.33333333333337</v>
      </c>
      <c r="N40" s="7">
        <f t="shared" si="6"/>
        <v>1.75</v>
      </c>
      <c r="O40" s="5">
        <f t="shared" si="22"/>
        <v>1746.9292929292931</v>
      </c>
      <c r="P40" s="19">
        <f t="shared" si="23"/>
        <v>893.33333333333337</v>
      </c>
    </row>
    <row r="41" spans="2:16" x14ac:dyDescent="0.2">
      <c r="B41" s="7">
        <v>1.8</v>
      </c>
      <c r="C41" s="5">
        <f t="shared" si="20"/>
        <v>1431.2788732394367</v>
      </c>
      <c r="D41" s="19">
        <f t="shared" si="21"/>
        <v>818.66666666666663</v>
      </c>
      <c r="F41" s="7">
        <f>MROUND(ROUND((Info!$C$21*B41)/(Info!Z$6/Info!$I$21), 4),1%)</f>
        <v>0.44</v>
      </c>
      <c r="G41" s="5">
        <f t="shared" si="19"/>
        <v>1787.5555555555559</v>
      </c>
      <c r="H41" s="19">
        <f t="shared" si="18"/>
        <v>893.33333333333337</v>
      </c>
      <c r="J41" s="7">
        <f t="shared" si="3"/>
        <v>0.44</v>
      </c>
      <c r="K41" s="5">
        <f t="shared" si="4"/>
        <v>1787.5555555555559</v>
      </c>
      <c r="L41" s="19">
        <f t="shared" si="5"/>
        <v>893.33333333333337</v>
      </c>
      <c r="N41" s="7">
        <f t="shared" si="6"/>
        <v>1.8</v>
      </c>
      <c r="O41" s="5">
        <f t="shared" si="22"/>
        <v>1787.5555555555559</v>
      </c>
      <c r="P41" s="19">
        <f t="shared" si="23"/>
        <v>893.33333333333337</v>
      </c>
    </row>
    <row r="42" spans="2:16" x14ac:dyDescent="0.2">
      <c r="B42" s="7">
        <v>1.85</v>
      </c>
      <c r="C42" s="5">
        <f t="shared" si="20"/>
        <v>1471.0366197183098</v>
      </c>
      <c r="D42" s="19">
        <f t="shared" si="21"/>
        <v>818.66666666666663</v>
      </c>
      <c r="F42" s="7">
        <f>MROUND(ROUND((Info!$C$21*B42)/(Info!Z$6/Info!$I$21), 4),1%)</f>
        <v>0.46</v>
      </c>
      <c r="G42" s="5">
        <f t="shared" si="19"/>
        <v>1868.8080808080811</v>
      </c>
      <c r="H42" s="19">
        <f t="shared" si="18"/>
        <v>893.33333333333337</v>
      </c>
      <c r="J42" s="7">
        <f t="shared" si="3"/>
        <v>0.46</v>
      </c>
      <c r="K42" s="5">
        <f t="shared" si="4"/>
        <v>1868.8080808080811</v>
      </c>
      <c r="L42" s="19">
        <f t="shared" si="5"/>
        <v>893.33333333333337</v>
      </c>
      <c r="N42" s="7">
        <f t="shared" si="6"/>
        <v>1.85</v>
      </c>
      <c r="O42" s="5">
        <f t="shared" si="22"/>
        <v>1868.8080808080811</v>
      </c>
      <c r="P42" s="19">
        <f t="shared" si="23"/>
        <v>893.33333333333337</v>
      </c>
    </row>
    <row r="43" spans="2:16" x14ac:dyDescent="0.2">
      <c r="B43" s="7">
        <v>1.9</v>
      </c>
      <c r="C43" s="5">
        <f t="shared" si="20"/>
        <v>1510.7943661971831</v>
      </c>
      <c r="D43" s="19">
        <f t="shared" si="21"/>
        <v>818.66666666666663</v>
      </c>
      <c r="F43" s="7">
        <f>MROUND(ROUND((Info!$C$21*B43)/(Info!Z$6/Info!$I$21), 4),1%)</f>
        <v>0.47000000000000003</v>
      </c>
      <c r="G43" s="5">
        <f t="shared" si="19"/>
        <v>1909.4343434343436</v>
      </c>
      <c r="H43" s="19">
        <f>H44</f>
        <v>893.33333333333337</v>
      </c>
      <c r="J43" s="7">
        <f t="shared" si="3"/>
        <v>0.47000000000000003</v>
      </c>
      <c r="K43" s="5">
        <f t="shared" si="4"/>
        <v>1909.4343434343436</v>
      </c>
      <c r="L43" s="19">
        <f t="shared" si="5"/>
        <v>893.33333333333337</v>
      </c>
      <c r="N43" s="7">
        <f t="shared" si="6"/>
        <v>1.9</v>
      </c>
      <c r="O43" s="5">
        <f t="shared" si="22"/>
        <v>1909.4343434343436</v>
      </c>
      <c r="P43" s="19">
        <f t="shared" si="23"/>
        <v>893.33333333333337</v>
      </c>
    </row>
    <row r="44" spans="2:16" x14ac:dyDescent="0.2">
      <c r="B44" s="7">
        <v>1.95</v>
      </c>
      <c r="C44" s="5">
        <f t="shared" si="20"/>
        <v>1550.5521126760561</v>
      </c>
      <c r="D44" s="19">
        <f>D45</f>
        <v>818.66666666666663</v>
      </c>
      <c r="F44" s="7">
        <f>MROUND(ROUND((Info!$C$21*B44)/(Info!Z$6/Info!$I$21), 4),1%)</f>
        <v>0.48</v>
      </c>
      <c r="G44" s="5">
        <f t="shared" si="19"/>
        <v>1950.0606060606062</v>
      </c>
      <c r="H44" s="19">
        <f>AB7/0.75</f>
        <v>893.33333333333337</v>
      </c>
      <c r="J44" s="7">
        <f t="shared" si="3"/>
        <v>0.48</v>
      </c>
      <c r="K44" s="5">
        <f t="shared" si="4"/>
        <v>1950.0606060606062</v>
      </c>
      <c r="L44" s="19">
        <f t="shared" si="5"/>
        <v>893.33333333333337</v>
      </c>
      <c r="N44" s="7">
        <f t="shared" si="6"/>
        <v>1.95</v>
      </c>
      <c r="O44" s="5">
        <f t="shared" si="22"/>
        <v>1950.0606060606062</v>
      </c>
      <c r="P44" s="19">
        <f t="shared" si="23"/>
        <v>893.33333333333337</v>
      </c>
    </row>
    <row r="45" spans="2:16" ht="13.5" thickBot="1" x14ac:dyDescent="0.25">
      <c r="B45" s="27">
        <v>2</v>
      </c>
      <c r="C45" s="12">
        <f t="shared" si="20"/>
        <v>1590.3098591549297</v>
      </c>
      <c r="D45" s="20">
        <f>SUMIF($R$6:$R$10, B45, $T$6:$T$10)/0.75</f>
        <v>818.66666666666663</v>
      </c>
      <c r="F45" s="27">
        <v>0.8</v>
      </c>
      <c r="G45" s="12">
        <f>AA11-SUM(G6:G44)</f>
        <v>24864</v>
      </c>
      <c r="H45" s="20">
        <f>X10/0.75</f>
        <v>900</v>
      </c>
      <c r="J45" s="27">
        <f t="shared" ref="J45" si="24">B45</f>
        <v>2</v>
      </c>
      <c r="K45" s="12">
        <f>MAX(AA11,S11)-SUM(K6:K44)</f>
        <v>19187.447058823527</v>
      </c>
      <c r="L45" s="20">
        <f>MAX(T10,X10, AB8)/0.75</f>
        <v>900</v>
      </c>
      <c r="N45" s="27">
        <f t="shared" si="6"/>
        <v>2</v>
      </c>
      <c r="O45" s="12">
        <f>G45-C45</f>
        <v>23273.690140845072</v>
      </c>
      <c r="P45" s="20">
        <f>MAX(X10,T10, AB8)/0.75</f>
        <v>900</v>
      </c>
    </row>
    <row r="46" spans="2:16" x14ac:dyDescent="0.2">
      <c r="C46" s="6">
        <f>SUM(C6:C45)</f>
        <v>38950</v>
      </c>
      <c r="D46" s="9">
        <f>AVERAGE(D6:D45)</f>
        <v>819.33333333333326</v>
      </c>
      <c r="G46" s="6">
        <f>SUM(G6:G45)</f>
        <v>59909</v>
      </c>
      <c r="H46" s="9">
        <f>AVERAGE(H6:H45)</f>
        <v>860.69999999999959</v>
      </c>
      <c r="K46" s="6">
        <f>SUM(K6:K45)</f>
        <v>59909</v>
      </c>
      <c r="L46" s="9">
        <f>AVERAGE(L6:L45)</f>
        <v>843.26666666666608</v>
      </c>
      <c r="O46" s="6">
        <f>SUM(O6:O45)</f>
        <v>63872.680039834973</v>
      </c>
      <c r="P46" s="9">
        <f>AVERAGE(P6:P45)</f>
        <v>838.16666666666606</v>
      </c>
    </row>
    <row r="47" spans="2:16" x14ac:dyDescent="0.2">
      <c r="C47" s="28">
        <f>C46-S11</f>
        <v>0</v>
      </c>
      <c r="G47" s="28">
        <f>G46-AA11</f>
        <v>0</v>
      </c>
      <c r="K47" s="28"/>
      <c r="O47" s="28"/>
    </row>
  </sheetData>
  <sheetProtection formatCells="0" formatColumns="0" formatRows="0"/>
  <protectedRanges>
    <protectedRange sqref="S20:S47 G6:G44 B6:D45 T20 H6:P45" name="Count"/>
    <protectedRange sqref="F6:F45 R20:R47" name="Info"/>
  </protectedRanges>
  <pageMargins left="0.7" right="0.7" top="0.75" bottom="0.75" header="0.3" footer="0.3"/>
  <pageSetup scale="85" fitToHeight="0" orientation="landscape" r:id="rId1"/>
  <headerFooter>
    <oddHeader>&amp;LCascade Natural Gas Corp.&amp;CLow-Income Energy Burden Program&amp;R&amp;D</oddHeader>
    <oddFooter>&amp;L&amp;A&amp;C&amp;"Arial,Bold" Confidential and Proprietary&amp;RPage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E067A-9FD7-4276-9EB6-0A109B4F2255}">
  <sheetPr codeName="Sheet4">
    <tabColor theme="9" tint="0.79998168889431442"/>
    <pageSetUpPr fitToPage="1"/>
  </sheetPr>
  <dimension ref="A1:Y19"/>
  <sheetViews>
    <sheetView zoomScale="90" zoomScaleNormal="90" workbookViewId="0">
      <pane ySplit="1" topLeftCell="A2" activePane="bottomLeft" state="frozen"/>
      <selection activeCell="H6" sqref="H6"/>
      <selection pane="bottomLeft" activeCell="G20" sqref="G20"/>
    </sheetView>
  </sheetViews>
  <sheetFormatPr defaultColWidth="9.140625" defaultRowHeight="12.75" x14ac:dyDescent="0.2"/>
  <cols>
    <col min="1" max="1" width="13.5703125" style="3" bestFit="1" customWidth="1"/>
    <col min="2" max="2" width="6" style="3" bestFit="1" customWidth="1"/>
    <col min="3" max="3" width="17.140625" style="3" bestFit="1" customWidth="1"/>
    <col min="4" max="4" width="12.7109375" style="3" bestFit="1" customWidth="1"/>
    <col min="5" max="5" width="16.5703125" style="3" bestFit="1" customWidth="1"/>
    <col min="6" max="6" width="18.7109375" style="3" bestFit="1" customWidth="1"/>
    <col min="7" max="7" width="13.7109375" style="3" bestFit="1" customWidth="1"/>
    <col min="8" max="8" width="17.7109375" style="3" bestFit="1" customWidth="1"/>
    <col min="9" max="9" width="19.85546875" style="3" bestFit="1" customWidth="1"/>
    <col min="10" max="10" width="13.85546875" style="3" bestFit="1" customWidth="1"/>
    <col min="11" max="11" width="17.85546875" style="3" bestFit="1" customWidth="1"/>
    <col min="12" max="12" width="20" style="3" bestFit="1" customWidth="1"/>
    <col min="13" max="13" width="7.140625" style="3" bestFit="1" customWidth="1"/>
    <col min="14" max="14" width="10.85546875" style="3" bestFit="1" customWidth="1"/>
    <col min="15" max="15" width="9.85546875" style="3" bestFit="1" customWidth="1"/>
    <col min="16" max="16" width="7.42578125" style="3" bestFit="1" customWidth="1"/>
    <col min="17" max="17" width="7.85546875" style="3" bestFit="1" customWidth="1"/>
    <col min="18" max="18" width="13.7109375" style="3" bestFit="1" customWidth="1"/>
    <col min="19" max="19" width="13.85546875" style="3" bestFit="1" customWidth="1"/>
    <col min="20" max="20" width="10.28515625" style="3" bestFit="1" customWidth="1"/>
    <col min="21" max="21" width="7.85546875" style="3" bestFit="1" customWidth="1"/>
    <col min="22" max="22" width="15.7109375" style="3" bestFit="1" customWidth="1"/>
    <col min="23" max="23" width="19.28515625" style="3" bestFit="1" customWidth="1"/>
    <col min="24" max="24" width="20.28515625" style="3" bestFit="1" customWidth="1"/>
    <col min="25" max="25" width="10.7109375" style="3" bestFit="1" customWidth="1"/>
    <col min="26" max="16384" width="9.140625" style="3"/>
  </cols>
  <sheetData>
    <row r="1" spans="1:25" x14ac:dyDescent="0.2">
      <c r="A1" s="13" t="s">
        <v>39</v>
      </c>
      <c r="B1" s="13" t="s">
        <v>40</v>
      </c>
      <c r="C1" s="13" t="s">
        <v>41</v>
      </c>
      <c r="D1" s="13" t="s">
        <v>42</v>
      </c>
      <c r="E1" s="13" t="s">
        <v>43</v>
      </c>
      <c r="F1" s="13" t="s">
        <v>44</v>
      </c>
      <c r="G1" s="13" t="s">
        <v>45</v>
      </c>
      <c r="H1" s="13" t="s">
        <v>46</v>
      </c>
      <c r="I1" s="13" t="s">
        <v>47</v>
      </c>
      <c r="J1" s="13" t="s">
        <v>48</v>
      </c>
      <c r="K1" s="13" t="s">
        <v>49</v>
      </c>
      <c r="L1" s="13" t="s">
        <v>50</v>
      </c>
      <c r="M1" s="14" t="s">
        <v>7</v>
      </c>
      <c r="N1" s="14" t="s">
        <v>51</v>
      </c>
      <c r="O1" s="14" t="s">
        <v>29</v>
      </c>
      <c r="P1" s="14" t="s">
        <v>52</v>
      </c>
      <c r="Q1" s="3" t="s">
        <v>53</v>
      </c>
      <c r="R1" s="3" t="s">
        <v>24</v>
      </c>
      <c r="S1" s="3" t="s">
        <v>54</v>
      </c>
      <c r="T1" s="3" t="s">
        <v>55</v>
      </c>
      <c r="U1" s="3" t="s">
        <v>89</v>
      </c>
      <c r="V1" s="3" t="s">
        <v>90</v>
      </c>
      <c r="W1" s="3" t="s">
        <v>91</v>
      </c>
      <c r="X1" s="3" t="s">
        <v>95</v>
      </c>
      <c r="Y1" s="3" t="s">
        <v>173</v>
      </c>
    </row>
    <row r="2" spans="1:25" x14ac:dyDescent="0.2">
      <c r="A2" s="3" t="s">
        <v>56</v>
      </c>
      <c r="B2" s="3" t="s">
        <v>30</v>
      </c>
      <c r="C2" s="15">
        <v>1418</v>
      </c>
      <c r="D2" s="15">
        <v>74</v>
      </c>
      <c r="E2" s="16">
        <v>34776.160000000003</v>
      </c>
      <c r="F2" s="16">
        <v>29238.61</v>
      </c>
      <c r="G2" s="15">
        <v>1</v>
      </c>
      <c r="H2" s="16">
        <v>674.48</v>
      </c>
      <c r="I2" s="16">
        <v>684.59</v>
      </c>
      <c r="J2" s="15">
        <v>116</v>
      </c>
      <c r="K2" s="16">
        <v>59152.33</v>
      </c>
      <c r="L2" s="16">
        <v>30970.75</v>
      </c>
      <c r="M2" s="15">
        <f>Assistance[[#This Row],[WEAF_COUNT]]+Assistance[[#This Row],[LIHEAP_COUNT]]+Assistance[[#This Row],[BIGHRT_COUNT]]</f>
        <v>191</v>
      </c>
      <c r="N2" s="16">
        <f>Assistance[[#This Row],[WEAF_TOTAL_BILL]]+Assistance[[#This Row],[LIHEAP_TOTAL_BILL]]+Assistance[[#This Row],[BIGHRT_TOTAL_BILL]]</f>
        <v>94602.97</v>
      </c>
      <c r="O2" s="16">
        <f>Assistance[[#This Row],[WEAF_TOTAL_ASSIST]]+Assistance[[#This Row],[LIHEAP_TOTAL_ASSIST]]+Assistance[[#This Row],[BIGHRT_TOTAL_ASSIST]]</f>
        <v>60893.95</v>
      </c>
      <c r="P2" s="11">
        <f>Assistance[[#This Row],[Count]]/Assistance[[#This Row],[CUSTOMER_COUNT]]</f>
        <v>0.13469675599435826</v>
      </c>
      <c r="Q2" s="16">
        <f>Assistance[[#This Row],[Bill]]/Assistance[[#This Row],[Count]]</f>
        <v>495.30350785340318</v>
      </c>
      <c r="R2" s="16">
        <f>Assistance[[#This Row],[Assistance]]/Assistance[[#This Row],[Count]]</f>
        <v>318.81649214659683</v>
      </c>
      <c r="S2" s="9">
        <f>Assistance[[#This Row],[Avg. Bill]]-Assistance[[#This Row],[Avg. Assistance]]</f>
        <v>176.48701570680635</v>
      </c>
      <c r="T2" s="11">
        <f>Assistance[[#This Row],[Avg. Assistance]]/Assistance[[#This Row],[Avg. Bill]]</f>
        <v>0.64367905151392169</v>
      </c>
      <c r="U2" s="16">
        <f>Assistance[[#This Row],[BIGHRT_TOTAL_BILL]]/Assistance[[#This Row],[BIGHRT_COUNT]]</f>
        <v>509.93387931034482</v>
      </c>
      <c r="V2" s="16">
        <f>Assistance[[#This Row],[BIGHRT_TOTAL_ASSIST]]/Assistance[[#This Row],[BIGHRT_COUNT]]</f>
        <v>266.98922413793105</v>
      </c>
      <c r="W2" s="11">
        <f>(Assistance[[#This Row],[BHG Bill]]-Assistance[[#This Row],[BHG Arrear Grant]])/Assistance[[#This Row],[BHG Bill]]</f>
        <v>0.47642383655893178</v>
      </c>
      <c r="X2" s="9">
        <f>IFERROR(Assistance[[#This Row],[LIHEAP_TOTAL_ASSIST]]/Assistance[[#This Row],[LIHEAP_COUNT]], 0)</f>
        <v>684.59</v>
      </c>
      <c r="Y2" s="9">
        <f>+(Assistance[[#This Row],[WEAF_TOTAL_BILL]]+Assistance[[#This Row],[LIHEAP_TOTAL_BILL]])/(Assistance[[#This Row],[WEAF_COUNT]]+Assistance[[#This Row],[LIHEAP_COUNT]])</f>
        <v>472.67520000000007</v>
      </c>
    </row>
    <row r="3" spans="1:25" x14ac:dyDescent="0.2">
      <c r="A3" s="3" t="s">
        <v>57</v>
      </c>
      <c r="B3" s="3" t="s">
        <v>30</v>
      </c>
      <c r="C3" s="15">
        <v>21668</v>
      </c>
      <c r="D3" s="15">
        <v>81</v>
      </c>
      <c r="E3" s="16">
        <v>46682.06</v>
      </c>
      <c r="F3" s="16">
        <v>22889.46</v>
      </c>
      <c r="G3" s="15">
        <v>3</v>
      </c>
      <c r="H3" s="16">
        <v>1569.69</v>
      </c>
      <c r="I3" s="16">
        <v>2168</v>
      </c>
      <c r="J3" s="15">
        <v>309</v>
      </c>
      <c r="K3" s="16">
        <v>180683.51999999999</v>
      </c>
      <c r="L3" s="16">
        <v>118801.88</v>
      </c>
      <c r="M3" s="15">
        <f>Assistance[[#This Row],[WEAF_COUNT]]+Assistance[[#This Row],[LIHEAP_COUNT]]+Assistance[[#This Row],[BIGHRT_COUNT]]</f>
        <v>393</v>
      </c>
      <c r="N3" s="16">
        <f>Assistance[[#This Row],[WEAF_TOTAL_BILL]]+Assistance[[#This Row],[LIHEAP_TOTAL_BILL]]+Assistance[[#This Row],[BIGHRT_TOTAL_BILL]]</f>
        <v>228935.27</v>
      </c>
      <c r="O3" s="16">
        <f>Assistance[[#This Row],[WEAF_TOTAL_ASSIST]]+Assistance[[#This Row],[LIHEAP_TOTAL_ASSIST]]+Assistance[[#This Row],[BIGHRT_TOTAL_ASSIST]]</f>
        <v>143859.34</v>
      </c>
      <c r="P3" s="11">
        <f>Assistance[[#This Row],[Count]]/Assistance[[#This Row],[CUSTOMER_COUNT]]</f>
        <v>1.8137345394129593E-2</v>
      </c>
      <c r="Q3" s="16">
        <f>Assistance[[#This Row],[Bill]]/Assistance[[#This Row],[Count]]</f>
        <v>582.53249363867678</v>
      </c>
      <c r="R3" s="16">
        <f>Assistance[[#This Row],[Assistance]]/Assistance[[#This Row],[Count]]</f>
        <v>366.05430025445293</v>
      </c>
      <c r="S3" s="9">
        <f>Assistance[[#This Row],[Avg. Bill]]-Assistance[[#This Row],[Avg. Assistance]]</f>
        <v>216.47819338422386</v>
      </c>
      <c r="T3" s="11">
        <f>Assistance[[#This Row],[Avg. Assistance]]/Assistance[[#This Row],[Avg. Bill]]</f>
        <v>0.62838434637004603</v>
      </c>
      <c r="U3" s="16">
        <f>Assistance[[#This Row],[BIGHRT_TOTAL_BILL]]/Assistance[[#This Row],[BIGHRT_COUNT]]</f>
        <v>584.73631067961162</v>
      </c>
      <c r="V3" s="16">
        <f>Assistance[[#This Row],[BIGHRT_TOTAL_ASSIST]]/Assistance[[#This Row],[BIGHRT_COUNT]]</f>
        <v>384.47210355987056</v>
      </c>
      <c r="W3" s="11">
        <f>(Assistance[[#This Row],[BHG Bill]]-Assistance[[#This Row],[BHG Arrear Grant]])/Assistance[[#This Row],[BHG Bill]]</f>
        <v>0.34248635404047911</v>
      </c>
      <c r="X3" s="9">
        <f>IFERROR(Assistance[[#This Row],[LIHEAP_TOTAL_ASSIST]]/Assistance[[#This Row],[LIHEAP_COUNT]], 0)</f>
        <v>722.66666666666663</v>
      </c>
      <c r="Y3" s="9">
        <f>+(Assistance[[#This Row],[WEAF_TOTAL_BILL]]+Assistance[[#This Row],[LIHEAP_TOTAL_BILL]])/(Assistance[[#This Row],[WEAF_COUNT]]+Assistance[[#This Row],[LIHEAP_COUNT]])</f>
        <v>574.42559523809518</v>
      </c>
    </row>
    <row r="4" spans="1:25" x14ac:dyDescent="0.2">
      <c r="A4" s="3" t="s">
        <v>58</v>
      </c>
      <c r="B4" s="3" t="s">
        <v>30</v>
      </c>
      <c r="C4" s="15">
        <v>1601</v>
      </c>
      <c r="D4" s="15">
        <v>5</v>
      </c>
      <c r="E4" s="16">
        <v>2035.87</v>
      </c>
      <c r="F4" s="16">
        <v>1457</v>
      </c>
      <c r="G4" s="15">
        <v>6</v>
      </c>
      <c r="H4" s="16">
        <v>1809.28</v>
      </c>
      <c r="I4" s="16">
        <v>2603</v>
      </c>
      <c r="J4" s="15">
        <v>19</v>
      </c>
      <c r="K4" s="16">
        <v>8752.7900000000009</v>
      </c>
      <c r="L4" s="16">
        <v>4521.33</v>
      </c>
      <c r="M4" s="15">
        <f>Assistance[[#This Row],[WEAF_COUNT]]+Assistance[[#This Row],[LIHEAP_COUNT]]+Assistance[[#This Row],[BIGHRT_COUNT]]</f>
        <v>30</v>
      </c>
      <c r="N4" s="16">
        <f>Assistance[[#This Row],[WEAF_TOTAL_BILL]]+Assistance[[#This Row],[LIHEAP_TOTAL_BILL]]+Assistance[[#This Row],[BIGHRT_TOTAL_BILL]]</f>
        <v>12597.94</v>
      </c>
      <c r="O4" s="16">
        <f>Assistance[[#This Row],[WEAF_TOTAL_ASSIST]]+Assistance[[#This Row],[LIHEAP_TOTAL_ASSIST]]+Assistance[[#This Row],[BIGHRT_TOTAL_ASSIST]]</f>
        <v>8581.33</v>
      </c>
      <c r="P4" s="11">
        <f>Assistance[[#This Row],[Count]]/Assistance[[#This Row],[CUSTOMER_COUNT]]</f>
        <v>1.8738288569643973E-2</v>
      </c>
      <c r="Q4" s="16">
        <f>Assistance[[#This Row],[Bill]]/Assistance[[#This Row],[Count]]</f>
        <v>419.93133333333333</v>
      </c>
      <c r="R4" s="16">
        <f>Assistance[[#This Row],[Assistance]]/Assistance[[#This Row],[Count]]</f>
        <v>286.04433333333333</v>
      </c>
      <c r="S4" s="9">
        <f>Assistance[[#This Row],[Avg. Bill]]-Assistance[[#This Row],[Avg. Assistance]]</f>
        <v>133.887</v>
      </c>
      <c r="T4" s="11">
        <f>Assistance[[#This Row],[Avg. Assistance]]/Assistance[[#This Row],[Avg. Bill]]</f>
        <v>0.68116930228275419</v>
      </c>
      <c r="U4" s="16">
        <f>Assistance[[#This Row],[BIGHRT_TOTAL_BILL]]/Assistance[[#This Row],[BIGHRT_COUNT]]</f>
        <v>460.6731578947369</v>
      </c>
      <c r="V4" s="16">
        <f>Assistance[[#This Row],[BIGHRT_TOTAL_ASSIST]]/Assistance[[#This Row],[BIGHRT_COUNT]]</f>
        <v>237.96473684210525</v>
      </c>
      <c r="W4" s="11">
        <f>(Assistance[[#This Row],[BHG Bill]]-Assistance[[#This Row],[BHG Arrear Grant]])/Assistance[[#This Row],[BHG Bill]]</f>
        <v>0.48344127986619134</v>
      </c>
      <c r="X4" s="9">
        <f>IFERROR(Assistance[[#This Row],[LIHEAP_TOTAL_ASSIST]]/Assistance[[#This Row],[LIHEAP_COUNT]], 0)</f>
        <v>433.83333333333331</v>
      </c>
      <c r="Y4" s="9">
        <f>+(Assistance[[#This Row],[WEAF_TOTAL_BILL]]+Assistance[[#This Row],[LIHEAP_TOTAL_BILL]])/(Assistance[[#This Row],[WEAF_COUNT]]+Assistance[[#This Row],[LIHEAP_COUNT]])</f>
        <v>349.55909090909086</v>
      </c>
    </row>
    <row r="5" spans="1:25" x14ac:dyDescent="0.2">
      <c r="A5" s="3" t="s">
        <v>59</v>
      </c>
      <c r="B5" s="3" t="s">
        <v>30</v>
      </c>
      <c r="C5" s="15">
        <v>4414</v>
      </c>
      <c r="D5" s="15">
        <v>5</v>
      </c>
      <c r="E5" s="16">
        <v>2898.61</v>
      </c>
      <c r="F5" s="16">
        <v>957.7</v>
      </c>
      <c r="G5" s="15">
        <v>4</v>
      </c>
      <c r="H5" s="16">
        <v>3159.41</v>
      </c>
      <c r="I5" s="16">
        <v>2397</v>
      </c>
      <c r="J5" s="15">
        <v>54</v>
      </c>
      <c r="K5" s="16">
        <v>29981.21</v>
      </c>
      <c r="L5" s="16">
        <v>19702.03</v>
      </c>
      <c r="M5" s="15">
        <f>Assistance[[#This Row],[WEAF_COUNT]]+Assistance[[#This Row],[LIHEAP_COUNT]]+Assistance[[#This Row],[BIGHRT_COUNT]]</f>
        <v>63</v>
      </c>
      <c r="N5" s="16">
        <f>Assistance[[#This Row],[WEAF_TOTAL_BILL]]+Assistance[[#This Row],[LIHEAP_TOTAL_BILL]]+Assistance[[#This Row],[BIGHRT_TOTAL_BILL]]</f>
        <v>36039.229999999996</v>
      </c>
      <c r="O5" s="16">
        <f>Assistance[[#This Row],[WEAF_TOTAL_ASSIST]]+Assistance[[#This Row],[LIHEAP_TOTAL_ASSIST]]+Assistance[[#This Row],[BIGHRT_TOTAL_ASSIST]]</f>
        <v>23056.73</v>
      </c>
      <c r="P5" s="11">
        <f>Assistance[[#This Row],[Count]]/Assistance[[#This Row],[CUSTOMER_COUNT]]</f>
        <v>1.4272768463978252E-2</v>
      </c>
      <c r="Q5" s="16">
        <f>Assistance[[#This Row],[Bill]]/Assistance[[#This Row],[Count]]</f>
        <v>572.0512698412698</v>
      </c>
      <c r="R5" s="16">
        <f>Assistance[[#This Row],[Assistance]]/Assistance[[#This Row],[Count]]</f>
        <v>365.97984126984124</v>
      </c>
      <c r="S5" s="9">
        <f>Assistance[[#This Row],[Avg. Bill]]-Assistance[[#This Row],[Avg. Assistance]]</f>
        <v>206.07142857142856</v>
      </c>
      <c r="T5" s="11">
        <f>Assistance[[#This Row],[Avg. Assistance]]/Assistance[[#This Row],[Avg. Bill]]</f>
        <v>0.63976755330233193</v>
      </c>
      <c r="U5" s="16">
        <f>Assistance[[#This Row],[BIGHRT_TOTAL_BILL]]/Assistance[[#This Row],[BIGHRT_COUNT]]</f>
        <v>555.20759259259262</v>
      </c>
      <c r="V5" s="16">
        <f>Assistance[[#This Row],[BIGHRT_TOTAL_ASSIST]]/Assistance[[#This Row],[BIGHRT_COUNT]]</f>
        <v>364.85240740740738</v>
      </c>
      <c r="W5" s="11">
        <f>(Assistance[[#This Row],[BHG Bill]]-Assistance[[#This Row],[BHG Arrear Grant]])/Assistance[[#This Row],[BHG Bill]]</f>
        <v>0.34285407426851694</v>
      </c>
      <c r="X5" s="9">
        <f>IFERROR(Assistance[[#This Row],[LIHEAP_TOTAL_ASSIST]]/Assistance[[#This Row],[LIHEAP_COUNT]], 0)</f>
        <v>599.25</v>
      </c>
      <c r="Y5" s="9">
        <f>+(Assistance[[#This Row],[WEAF_TOTAL_BILL]]+Assistance[[#This Row],[LIHEAP_TOTAL_BILL]])/(Assistance[[#This Row],[WEAF_COUNT]]+Assistance[[#This Row],[LIHEAP_COUNT]])</f>
        <v>673.11333333333334</v>
      </c>
    </row>
    <row r="6" spans="1:25" x14ac:dyDescent="0.2">
      <c r="A6" s="3" t="s">
        <v>60</v>
      </c>
      <c r="B6" s="3" t="s">
        <v>30</v>
      </c>
      <c r="C6" s="15">
        <v>464</v>
      </c>
      <c r="D6" s="15">
        <v>2</v>
      </c>
      <c r="E6" s="16">
        <v>764.15</v>
      </c>
      <c r="F6" s="16">
        <v>842</v>
      </c>
      <c r="G6" s="15">
        <v>2</v>
      </c>
      <c r="H6" s="16">
        <v>764.15</v>
      </c>
      <c r="I6" s="16">
        <v>591</v>
      </c>
      <c r="J6" s="15">
        <v>6</v>
      </c>
      <c r="K6" s="16">
        <v>3073.61</v>
      </c>
      <c r="L6" s="16">
        <v>1360.92</v>
      </c>
      <c r="M6" s="15">
        <f>Assistance[[#This Row],[WEAF_COUNT]]+Assistance[[#This Row],[LIHEAP_COUNT]]+Assistance[[#This Row],[BIGHRT_COUNT]]</f>
        <v>10</v>
      </c>
      <c r="N6" s="16">
        <f>Assistance[[#This Row],[WEAF_TOTAL_BILL]]+Assistance[[#This Row],[LIHEAP_TOTAL_BILL]]+Assistance[[#This Row],[BIGHRT_TOTAL_BILL]]</f>
        <v>4601.91</v>
      </c>
      <c r="O6" s="16">
        <f>Assistance[[#This Row],[WEAF_TOTAL_ASSIST]]+Assistance[[#This Row],[LIHEAP_TOTAL_ASSIST]]+Assistance[[#This Row],[BIGHRT_TOTAL_ASSIST]]</f>
        <v>2793.92</v>
      </c>
      <c r="P6" s="11">
        <f>Assistance[[#This Row],[Count]]/Assistance[[#This Row],[CUSTOMER_COUNT]]</f>
        <v>2.1551724137931036E-2</v>
      </c>
      <c r="Q6" s="16">
        <f>Assistance[[#This Row],[Bill]]/Assistance[[#This Row],[Count]]</f>
        <v>460.19099999999997</v>
      </c>
      <c r="R6" s="16">
        <f>Assistance[[#This Row],[Assistance]]/Assistance[[#This Row],[Count]]</f>
        <v>279.392</v>
      </c>
      <c r="S6" s="9">
        <f>Assistance[[#This Row],[Avg. Bill]]-Assistance[[#This Row],[Avg. Assistance]]</f>
        <v>180.79899999999998</v>
      </c>
      <c r="T6" s="11">
        <f>Assistance[[#This Row],[Avg. Assistance]]/Assistance[[#This Row],[Avg. Bill]]</f>
        <v>0.60712182550288907</v>
      </c>
      <c r="U6" s="16">
        <f>Assistance[[#This Row],[BIGHRT_TOTAL_BILL]]/Assistance[[#This Row],[BIGHRT_COUNT]]</f>
        <v>512.26833333333332</v>
      </c>
      <c r="V6" s="16">
        <f>Assistance[[#This Row],[BIGHRT_TOTAL_ASSIST]]/Assistance[[#This Row],[BIGHRT_COUNT]]</f>
        <v>226.82000000000002</v>
      </c>
      <c r="W6" s="11">
        <f>(Assistance[[#This Row],[BHG Bill]]-Assistance[[#This Row],[BHG Arrear Grant]])/Assistance[[#This Row],[BHG Bill]]</f>
        <v>0.55722424120171388</v>
      </c>
      <c r="X6" s="9">
        <f>IFERROR(Assistance[[#This Row],[LIHEAP_TOTAL_ASSIST]]/Assistance[[#This Row],[LIHEAP_COUNT]], 0)</f>
        <v>295.5</v>
      </c>
      <c r="Y6" s="9">
        <f>+(Assistance[[#This Row],[WEAF_TOTAL_BILL]]+Assistance[[#This Row],[LIHEAP_TOTAL_BILL]])/(Assistance[[#This Row],[WEAF_COUNT]]+Assistance[[#This Row],[LIHEAP_COUNT]])</f>
        <v>382.07499999999999</v>
      </c>
    </row>
    <row r="7" spans="1:25" x14ac:dyDescent="0.2">
      <c r="A7" s="3" t="s">
        <v>61</v>
      </c>
      <c r="B7" s="3" t="s">
        <v>30</v>
      </c>
      <c r="C7" s="15">
        <v>13504</v>
      </c>
      <c r="D7" s="15">
        <v>128</v>
      </c>
      <c r="E7" s="16">
        <v>78014.2</v>
      </c>
      <c r="F7" s="16">
        <v>40989.480000000003</v>
      </c>
      <c r="G7" s="15">
        <v>3</v>
      </c>
      <c r="H7" s="16">
        <v>1853.08</v>
      </c>
      <c r="I7" s="16">
        <v>1371.44</v>
      </c>
      <c r="J7" s="15">
        <v>521</v>
      </c>
      <c r="K7" s="16">
        <v>304997.21999999997</v>
      </c>
      <c r="L7" s="16">
        <v>188270.64</v>
      </c>
      <c r="M7" s="15">
        <f>Assistance[[#This Row],[WEAF_COUNT]]+Assistance[[#This Row],[LIHEAP_COUNT]]+Assistance[[#This Row],[BIGHRT_COUNT]]</f>
        <v>652</v>
      </c>
      <c r="N7" s="16">
        <f>Assistance[[#This Row],[WEAF_TOTAL_BILL]]+Assistance[[#This Row],[LIHEAP_TOTAL_BILL]]+Assistance[[#This Row],[BIGHRT_TOTAL_BILL]]</f>
        <v>384864.5</v>
      </c>
      <c r="O7" s="16">
        <f>Assistance[[#This Row],[WEAF_TOTAL_ASSIST]]+Assistance[[#This Row],[LIHEAP_TOTAL_ASSIST]]+Assistance[[#This Row],[BIGHRT_TOTAL_ASSIST]]</f>
        <v>230631.56000000003</v>
      </c>
      <c r="P7" s="11">
        <f>Assistance[[#This Row],[Count]]/Assistance[[#This Row],[CUSTOMER_COUNT]]</f>
        <v>4.8281990521327013E-2</v>
      </c>
      <c r="Q7" s="16">
        <f>Assistance[[#This Row],[Bill]]/Assistance[[#This Row],[Count]]</f>
        <v>590.28297546012266</v>
      </c>
      <c r="R7" s="16">
        <f>Assistance[[#This Row],[Assistance]]/Assistance[[#This Row],[Count]]</f>
        <v>353.72938650306753</v>
      </c>
      <c r="S7" s="9">
        <f>Assistance[[#This Row],[Avg. Bill]]-Assistance[[#This Row],[Avg. Assistance]]</f>
        <v>236.55358895705513</v>
      </c>
      <c r="T7" s="11">
        <f>Assistance[[#This Row],[Avg. Assistance]]/Assistance[[#This Row],[Avg. Bill]]</f>
        <v>0.59925391923651061</v>
      </c>
      <c r="U7" s="16">
        <f>Assistance[[#This Row],[BIGHRT_TOTAL_BILL]]/Assistance[[#This Row],[BIGHRT_COUNT]]</f>
        <v>585.40733205374272</v>
      </c>
      <c r="V7" s="16">
        <f>Assistance[[#This Row],[BIGHRT_TOTAL_ASSIST]]/Assistance[[#This Row],[BIGHRT_COUNT]]</f>
        <v>361.36399232245685</v>
      </c>
      <c r="W7" s="11">
        <f>(Assistance[[#This Row],[BHG Bill]]-Assistance[[#This Row],[BHG Arrear Grant]])/Assistance[[#This Row],[BHG Bill]]</f>
        <v>0.38271358670088845</v>
      </c>
      <c r="X7" s="9">
        <f>IFERROR(Assistance[[#This Row],[LIHEAP_TOTAL_ASSIST]]/Assistance[[#This Row],[LIHEAP_COUNT]], 0)</f>
        <v>457.1466666666667</v>
      </c>
      <c r="Y7" s="9">
        <f>+(Assistance[[#This Row],[WEAF_TOTAL_BILL]]+Assistance[[#This Row],[LIHEAP_TOTAL_BILL]])/(Assistance[[#This Row],[WEAF_COUNT]]+Assistance[[#This Row],[LIHEAP_COUNT]])</f>
        <v>609.67389312977093</v>
      </c>
    </row>
    <row r="8" spans="1:25" x14ac:dyDescent="0.2">
      <c r="A8" s="3" t="s">
        <v>62</v>
      </c>
      <c r="B8" s="3" t="s">
        <v>30</v>
      </c>
      <c r="C8" s="15">
        <v>1255</v>
      </c>
      <c r="D8" s="15">
        <v>8</v>
      </c>
      <c r="E8" s="16">
        <v>4739.2</v>
      </c>
      <c r="F8" s="16">
        <v>2672.99</v>
      </c>
      <c r="G8" s="15">
        <v>0</v>
      </c>
      <c r="H8" s="9">
        <v>0</v>
      </c>
      <c r="I8" s="9">
        <v>0</v>
      </c>
      <c r="J8" s="15">
        <v>27</v>
      </c>
      <c r="K8" s="16">
        <v>15324.27</v>
      </c>
      <c r="L8" s="16">
        <v>8471.27</v>
      </c>
      <c r="M8" s="15">
        <f>Assistance[[#This Row],[WEAF_COUNT]]+Assistance[[#This Row],[LIHEAP_COUNT]]+Assistance[[#This Row],[BIGHRT_COUNT]]</f>
        <v>35</v>
      </c>
      <c r="N8" s="16">
        <f>Assistance[[#This Row],[WEAF_TOTAL_BILL]]+Assistance[[#This Row],[LIHEAP_TOTAL_BILL]]+Assistance[[#This Row],[BIGHRT_TOTAL_BILL]]</f>
        <v>20063.47</v>
      </c>
      <c r="O8" s="16">
        <f>Assistance[[#This Row],[WEAF_TOTAL_ASSIST]]+Assistance[[#This Row],[LIHEAP_TOTAL_ASSIST]]+Assistance[[#This Row],[BIGHRT_TOTAL_ASSIST]]</f>
        <v>11144.26</v>
      </c>
      <c r="P8" s="11">
        <f>Assistance[[#This Row],[Count]]/Assistance[[#This Row],[CUSTOMER_COUNT]]</f>
        <v>2.7888446215139442E-2</v>
      </c>
      <c r="Q8" s="16">
        <f>Assistance[[#This Row],[Bill]]/Assistance[[#This Row],[Count]]</f>
        <v>573.24200000000008</v>
      </c>
      <c r="R8" s="16">
        <f>Assistance[[#This Row],[Assistance]]/Assistance[[#This Row],[Count]]</f>
        <v>318.40742857142857</v>
      </c>
      <c r="S8" s="9">
        <f>Assistance[[#This Row],[Avg. Bill]]-Assistance[[#This Row],[Avg. Assistance]]</f>
        <v>254.83457142857151</v>
      </c>
      <c r="T8" s="11">
        <f>Assistance[[#This Row],[Avg. Assistance]]/Assistance[[#This Row],[Avg. Bill]]</f>
        <v>0.55545027854104989</v>
      </c>
      <c r="U8" s="16">
        <f>Assistance[[#This Row],[BIGHRT_TOTAL_BILL]]/Assistance[[#This Row],[BIGHRT_COUNT]]</f>
        <v>567.56555555555553</v>
      </c>
      <c r="V8" s="16">
        <f>Assistance[[#This Row],[BIGHRT_TOTAL_ASSIST]]/Assistance[[#This Row],[BIGHRT_COUNT]]</f>
        <v>313.75074074074075</v>
      </c>
      <c r="W8" s="11">
        <f>(Assistance[[#This Row],[BHG Bill]]-Assistance[[#This Row],[BHG Arrear Grant]])/Assistance[[#This Row],[BHG Bill]]</f>
        <v>0.44719911617323366</v>
      </c>
      <c r="X8" s="9">
        <f>IFERROR(Assistance[[#This Row],[LIHEAP_TOTAL_ASSIST]]/Assistance[[#This Row],[LIHEAP_COUNT]], 0)</f>
        <v>0</v>
      </c>
      <c r="Y8" s="9">
        <f>+(Assistance[[#This Row],[WEAF_TOTAL_BILL]]+Assistance[[#This Row],[LIHEAP_TOTAL_BILL]])/(Assistance[[#This Row],[WEAF_COUNT]]+Assistance[[#This Row],[LIHEAP_COUNT]])</f>
        <v>592.4</v>
      </c>
    </row>
    <row r="9" spans="1:25" x14ac:dyDescent="0.2">
      <c r="A9" s="3" t="s">
        <v>63</v>
      </c>
      <c r="B9" s="3" t="s">
        <v>30</v>
      </c>
      <c r="C9" s="15">
        <v>4380</v>
      </c>
      <c r="D9" s="15">
        <v>48</v>
      </c>
      <c r="E9" s="16">
        <v>40701.06</v>
      </c>
      <c r="F9" s="16">
        <v>15237.74</v>
      </c>
      <c r="G9" s="15">
        <v>49</v>
      </c>
      <c r="H9" s="16">
        <v>38657.18</v>
      </c>
      <c r="I9" s="16">
        <v>17378.46</v>
      </c>
      <c r="J9" s="15">
        <v>181</v>
      </c>
      <c r="K9" s="16">
        <v>138393.93</v>
      </c>
      <c r="L9" s="16">
        <v>83946.13</v>
      </c>
      <c r="M9" s="15">
        <f>Assistance[[#This Row],[WEAF_COUNT]]+Assistance[[#This Row],[LIHEAP_COUNT]]+Assistance[[#This Row],[BIGHRT_COUNT]]</f>
        <v>278</v>
      </c>
      <c r="N9" s="16">
        <f>Assistance[[#This Row],[WEAF_TOTAL_BILL]]+Assistance[[#This Row],[LIHEAP_TOTAL_BILL]]+Assistance[[#This Row],[BIGHRT_TOTAL_BILL]]</f>
        <v>217752.16999999998</v>
      </c>
      <c r="O9" s="16">
        <f>Assistance[[#This Row],[WEAF_TOTAL_ASSIST]]+Assistance[[#This Row],[LIHEAP_TOTAL_ASSIST]]+Assistance[[#This Row],[BIGHRT_TOTAL_ASSIST]]</f>
        <v>116562.33</v>
      </c>
      <c r="P9" s="11">
        <f>Assistance[[#This Row],[Count]]/Assistance[[#This Row],[CUSTOMER_COUNT]]</f>
        <v>6.347031963470319E-2</v>
      </c>
      <c r="Q9" s="16">
        <f>Assistance[[#This Row],[Bill]]/Assistance[[#This Row],[Count]]</f>
        <v>783.28118705035968</v>
      </c>
      <c r="R9" s="16">
        <f>Assistance[[#This Row],[Assistance]]/Assistance[[#This Row],[Count]]</f>
        <v>419.28895683453237</v>
      </c>
      <c r="S9" s="9">
        <f>Assistance[[#This Row],[Avg. Bill]]-Assistance[[#This Row],[Avg. Assistance]]</f>
        <v>363.99223021582731</v>
      </c>
      <c r="T9" s="11">
        <f>Assistance[[#This Row],[Avg. Assistance]]/Assistance[[#This Row],[Avg. Bill]]</f>
        <v>0.53529813273502624</v>
      </c>
      <c r="U9" s="16">
        <f>Assistance[[#This Row],[BIGHRT_TOTAL_BILL]]/Assistance[[#This Row],[BIGHRT_COUNT]]</f>
        <v>764.6073480662983</v>
      </c>
      <c r="V9" s="16">
        <f>Assistance[[#This Row],[BIGHRT_TOTAL_ASSIST]]/Assistance[[#This Row],[BIGHRT_COUNT]]</f>
        <v>463.79077348066301</v>
      </c>
      <c r="W9" s="11">
        <f>(Assistance[[#This Row],[BHG Bill]]-Assistance[[#This Row],[BHG Arrear Grant]])/Assistance[[#This Row],[BHG Bill]]</f>
        <v>0.39342621457458427</v>
      </c>
      <c r="X9" s="9">
        <f>IFERROR(Assistance[[#This Row],[LIHEAP_TOTAL_ASSIST]]/Assistance[[#This Row],[LIHEAP_COUNT]], 0)</f>
        <v>354.66244897959183</v>
      </c>
      <c r="Y9" s="9">
        <f>+(Assistance[[#This Row],[WEAF_TOTAL_BILL]]+Assistance[[#This Row],[LIHEAP_TOTAL_BILL]])/(Assistance[[#This Row],[WEAF_COUNT]]+Assistance[[#This Row],[LIHEAP_COUNT]])</f>
        <v>818.12618556701022</v>
      </c>
    </row>
    <row r="10" spans="1:25" x14ac:dyDescent="0.2">
      <c r="A10" s="3" t="s">
        <v>64</v>
      </c>
      <c r="B10" s="3" t="s">
        <v>30</v>
      </c>
      <c r="C10" s="15">
        <v>7520</v>
      </c>
      <c r="D10" s="15">
        <v>41</v>
      </c>
      <c r="E10" s="16">
        <v>34687.56</v>
      </c>
      <c r="F10" s="16">
        <v>15857</v>
      </c>
      <c r="G10" s="15">
        <v>50</v>
      </c>
      <c r="H10" s="16">
        <v>38122.21</v>
      </c>
      <c r="I10" s="16">
        <v>19681.61</v>
      </c>
      <c r="J10" s="15">
        <v>105</v>
      </c>
      <c r="K10" s="16">
        <v>81174.009999999995</v>
      </c>
      <c r="L10" s="16">
        <v>45073.29</v>
      </c>
      <c r="M10" s="15">
        <f>Assistance[[#This Row],[WEAF_COUNT]]+Assistance[[#This Row],[LIHEAP_COUNT]]+Assistance[[#This Row],[BIGHRT_COUNT]]</f>
        <v>196</v>
      </c>
      <c r="N10" s="16">
        <f>Assistance[[#This Row],[WEAF_TOTAL_BILL]]+Assistance[[#This Row],[LIHEAP_TOTAL_BILL]]+Assistance[[#This Row],[BIGHRT_TOTAL_BILL]]</f>
        <v>153983.77999999997</v>
      </c>
      <c r="O10" s="16">
        <f>Assistance[[#This Row],[WEAF_TOTAL_ASSIST]]+Assistance[[#This Row],[LIHEAP_TOTAL_ASSIST]]+Assistance[[#This Row],[BIGHRT_TOTAL_ASSIST]]</f>
        <v>80611.899999999994</v>
      </c>
      <c r="P10" s="11">
        <f>Assistance[[#This Row],[Count]]/Assistance[[#This Row],[CUSTOMER_COUNT]]</f>
        <v>2.6063829787234042E-2</v>
      </c>
      <c r="Q10" s="16">
        <f>Assistance[[#This Row],[Bill]]/Assistance[[#This Row],[Count]]</f>
        <v>785.63153061224477</v>
      </c>
      <c r="R10" s="16">
        <f>Assistance[[#This Row],[Assistance]]/Assistance[[#This Row],[Count]]</f>
        <v>411.28520408163263</v>
      </c>
      <c r="S10" s="9">
        <f>Assistance[[#This Row],[Avg. Bill]]-Assistance[[#This Row],[Avg. Assistance]]</f>
        <v>374.34632653061215</v>
      </c>
      <c r="T10" s="11">
        <f>Assistance[[#This Row],[Avg. Assistance]]/Assistance[[#This Row],[Avg. Bill]]</f>
        <v>0.5235090345229868</v>
      </c>
      <c r="U10" s="16">
        <f>Assistance[[#This Row],[BIGHRT_TOTAL_BILL]]/Assistance[[#This Row],[BIGHRT_COUNT]]</f>
        <v>773.08580952380953</v>
      </c>
      <c r="V10" s="16">
        <f>Assistance[[#This Row],[BIGHRT_TOTAL_ASSIST]]/Assistance[[#This Row],[BIGHRT_COUNT]]</f>
        <v>429.26942857142859</v>
      </c>
      <c r="W10" s="11">
        <f>(Assistance[[#This Row],[BHG Bill]]-Assistance[[#This Row],[BHG Arrear Grant]])/Assistance[[#This Row],[BHG Bill]]</f>
        <v>0.44473249504367218</v>
      </c>
      <c r="X10" s="9">
        <f>IFERROR(Assistance[[#This Row],[LIHEAP_TOTAL_ASSIST]]/Assistance[[#This Row],[LIHEAP_COUNT]], 0)</f>
        <v>393.63220000000001</v>
      </c>
      <c r="Y10" s="9">
        <f>+(Assistance[[#This Row],[WEAF_TOTAL_BILL]]+Assistance[[#This Row],[LIHEAP_TOTAL_BILL]])/(Assistance[[#This Row],[WEAF_COUNT]]+Assistance[[#This Row],[LIHEAP_COUNT]])</f>
        <v>800.10736263736248</v>
      </c>
    </row>
    <row r="11" spans="1:25" x14ac:dyDescent="0.2">
      <c r="A11" s="3" t="s">
        <v>65</v>
      </c>
      <c r="B11" s="3" t="s">
        <v>30</v>
      </c>
      <c r="C11" s="15">
        <v>35507</v>
      </c>
      <c r="D11" s="15">
        <v>148</v>
      </c>
      <c r="E11" s="16">
        <v>92321.67</v>
      </c>
      <c r="F11" s="16">
        <v>34211.56</v>
      </c>
      <c r="G11" s="15">
        <v>144</v>
      </c>
      <c r="H11" s="16">
        <v>77771.09</v>
      </c>
      <c r="I11" s="16">
        <v>41429.67</v>
      </c>
      <c r="J11" s="15">
        <v>854</v>
      </c>
      <c r="K11" s="16">
        <v>552593.55000000005</v>
      </c>
      <c r="L11" s="16">
        <v>399247.3</v>
      </c>
      <c r="M11" s="15">
        <f>Assistance[[#This Row],[WEAF_COUNT]]+Assistance[[#This Row],[LIHEAP_COUNT]]+Assistance[[#This Row],[BIGHRT_COUNT]]</f>
        <v>1146</v>
      </c>
      <c r="N11" s="16">
        <f>Assistance[[#This Row],[WEAF_TOTAL_BILL]]+Assistance[[#This Row],[LIHEAP_TOTAL_BILL]]+Assistance[[#This Row],[BIGHRT_TOTAL_BILL]]</f>
        <v>722686.31</v>
      </c>
      <c r="O11" s="16">
        <f>Assistance[[#This Row],[WEAF_TOTAL_ASSIST]]+Assistance[[#This Row],[LIHEAP_TOTAL_ASSIST]]+Assistance[[#This Row],[BIGHRT_TOTAL_ASSIST]]</f>
        <v>474888.52999999997</v>
      </c>
      <c r="P11" s="11">
        <f>Assistance[[#This Row],[Count]]/Assistance[[#This Row],[CUSTOMER_COUNT]]</f>
        <v>3.2275325992057902E-2</v>
      </c>
      <c r="Q11" s="16">
        <f>Assistance[[#This Row],[Bill]]/Assistance[[#This Row],[Count]]</f>
        <v>630.61632635253056</v>
      </c>
      <c r="R11" s="16">
        <f>Assistance[[#This Row],[Assistance]]/Assistance[[#This Row],[Count]]</f>
        <v>414.38789703315877</v>
      </c>
      <c r="S11" s="9">
        <f>Assistance[[#This Row],[Avg. Bill]]-Assistance[[#This Row],[Avg. Assistance]]</f>
        <v>216.2284293193718</v>
      </c>
      <c r="T11" s="11">
        <f>Assistance[[#This Row],[Avg. Assistance]]/Assistance[[#This Row],[Avg. Bill]]</f>
        <v>0.6571157131785158</v>
      </c>
      <c r="U11" s="16">
        <f>Assistance[[#This Row],[BIGHRT_TOTAL_BILL]]/Assistance[[#This Row],[BIGHRT_COUNT]]</f>
        <v>647.06504683840751</v>
      </c>
      <c r="V11" s="16">
        <f>Assistance[[#This Row],[BIGHRT_TOTAL_ASSIST]]/Assistance[[#This Row],[BIGHRT_COUNT]]</f>
        <v>467.50269320843091</v>
      </c>
      <c r="W11" s="11">
        <f>(Assistance[[#This Row],[BHG Bill]]-Assistance[[#This Row],[BHG Arrear Grant]])/Assistance[[#This Row],[BHG Bill]]</f>
        <v>0.27750278663223632</v>
      </c>
      <c r="X11" s="9">
        <f>IFERROR(Assistance[[#This Row],[LIHEAP_TOTAL_ASSIST]]/Assistance[[#This Row],[LIHEAP_COUNT]], 0)</f>
        <v>287.70604166666664</v>
      </c>
      <c r="Y11" s="9">
        <f>+(Assistance[[#This Row],[WEAF_TOTAL_BILL]]+Assistance[[#This Row],[LIHEAP_TOTAL_BILL]])/(Assistance[[#This Row],[WEAF_COUNT]]+Assistance[[#This Row],[LIHEAP_COUNT]])</f>
        <v>582.50945205479456</v>
      </c>
    </row>
    <row r="12" spans="1:25" x14ac:dyDescent="0.2">
      <c r="A12" s="3" t="s">
        <v>66</v>
      </c>
      <c r="B12" s="3" t="s">
        <v>30</v>
      </c>
      <c r="C12" s="15">
        <v>2419</v>
      </c>
      <c r="D12" s="15">
        <v>16</v>
      </c>
      <c r="E12" s="16">
        <v>11113.85</v>
      </c>
      <c r="F12" s="16">
        <v>5525.01</v>
      </c>
      <c r="G12" s="15">
        <v>33</v>
      </c>
      <c r="H12" s="16">
        <v>22974.7</v>
      </c>
      <c r="I12" s="16">
        <v>24655.42</v>
      </c>
      <c r="J12" s="15">
        <v>87</v>
      </c>
      <c r="K12" s="16">
        <v>51473.16</v>
      </c>
      <c r="L12" s="16">
        <v>30300</v>
      </c>
      <c r="M12" s="15">
        <f>Assistance[[#This Row],[WEAF_COUNT]]+Assistance[[#This Row],[LIHEAP_COUNT]]+Assistance[[#This Row],[BIGHRT_COUNT]]</f>
        <v>136</v>
      </c>
      <c r="N12" s="16">
        <f>Assistance[[#This Row],[WEAF_TOTAL_BILL]]+Assistance[[#This Row],[LIHEAP_TOTAL_BILL]]+Assistance[[#This Row],[BIGHRT_TOTAL_BILL]]</f>
        <v>85561.71</v>
      </c>
      <c r="O12" s="16">
        <f>Assistance[[#This Row],[WEAF_TOTAL_ASSIST]]+Assistance[[#This Row],[LIHEAP_TOTAL_ASSIST]]+Assistance[[#This Row],[BIGHRT_TOTAL_ASSIST]]</f>
        <v>60480.43</v>
      </c>
      <c r="P12" s="11">
        <f>Assistance[[#This Row],[Count]]/Assistance[[#This Row],[CUSTOMER_COUNT]]</f>
        <v>5.6221579164944191E-2</v>
      </c>
      <c r="Q12" s="16">
        <f>Assistance[[#This Row],[Bill]]/Assistance[[#This Row],[Count]]</f>
        <v>629.13022058823537</v>
      </c>
      <c r="R12" s="16">
        <f>Assistance[[#This Row],[Assistance]]/Assistance[[#This Row],[Count]]</f>
        <v>444.70904411764707</v>
      </c>
      <c r="S12" s="9">
        <f>Assistance[[#This Row],[Avg. Bill]]-Assistance[[#This Row],[Avg. Assistance]]</f>
        <v>184.42117647058831</v>
      </c>
      <c r="T12" s="11">
        <f>Assistance[[#This Row],[Avg. Assistance]]/Assistance[[#This Row],[Avg. Bill]]</f>
        <v>0.70686326862798787</v>
      </c>
      <c r="U12" s="16">
        <f>Assistance[[#This Row],[BIGHRT_TOTAL_BILL]]/Assistance[[#This Row],[BIGHRT_COUNT]]</f>
        <v>591.64551724137937</v>
      </c>
      <c r="V12" s="16">
        <f>Assistance[[#This Row],[BIGHRT_TOTAL_ASSIST]]/Assistance[[#This Row],[BIGHRT_COUNT]]</f>
        <v>348.27586206896552</v>
      </c>
      <c r="W12" s="11">
        <f>(Assistance[[#This Row],[BHG Bill]]-Assistance[[#This Row],[BHG Arrear Grant]])/Assistance[[#This Row],[BHG Bill]]</f>
        <v>0.41134369834686663</v>
      </c>
      <c r="X12" s="9">
        <f>IFERROR(Assistance[[#This Row],[LIHEAP_TOTAL_ASSIST]]/Assistance[[#This Row],[LIHEAP_COUNT]], 0)</f>
        <v>747.13393939393939</v>
      </c>
      <c r="Y12" s="9">
        <f>+(Assistance[[#This Row],[WEAF_TOTAL_BILL]]+Assistance[[#This Row],[LIHEAP_TOTAL_BILL]])/(Assistance[[#This Row],[WEAF_COUNT]]+Assistance[[#This Row],[LIHEAP_COUNT]])</f>
        <v>695.68469387755113</v>
      </c>
    </row>
    <row r="13" spans="1:25" x14ac:dyDescent="0.2">
      <c r="A13" s="3" t="s">
        <v>67</v>
      </c>
      <c r="B13" s="3" t="s">
        <v>30</v>
      </c>
      <c r="C13" s="15">
        <v>30097</v>
      </c>
      <c r="D13" s="15">
        <v>298</v>
      </c>
      <c r="E13" s="16">
        <v>190991.19</v>
      </c>
      <c r="F13" s="16">
        <v>88677.89</v>
      </c>
      <c r="G13" s="15">
        <v>264</v>
      </c>
      <c r="H13" s="16">
        <v>172648.43</v>
      </c>
      <c r="I13" s="16">
        <v>110475.27</v>
      </c>
      <c r="J13" s="15">
        <v>745</v>
      </c>
      <c r="K13" s="16">
        <v>515078.63</v>
      </c>
      <c r="L13" s="16">
        <v>314808.37</v>
      </c>
      <c r="M13" s="15">
        <f>Assistance[[#This Row],[WEAF_COUNT]]+Assistance[[#This Row],[LIHEAP_COUNT]]+Assistance[[#This Row],[BIGHRT_COUNT]]</f>
        <v>1307</v>
      </c>
      <c r="N13" s="16">
        <f>Assistance[[#This Row],[WEAF_TOTAL_BILL]]+Assistance[[#This Row],[LIHEAP_TOTAL_BILL]]+Assistance[[#This Row],[BIGHRT_TOTAL_BILL]]</f>
        <v>878718.25</v>
      </c>
      <c r="O13" s="16">
        <f>Assistance[[#This Row],[WEAF_TOTAL_ASSIST]]+Assistance[[#This Row],[LIHEAP_TOTAL_ASSIST]]+Assistance[[#This Row],[BIGHRT_TOTAL_ASSIST]]</f>
        <v>513961.53</v>
      </c>
      <c r="P13" s="11">
        <f>Assistance[[#This Row],[Count]]/Assistance[[#This Row],[CUSTOMER_COUNT]]</f>
        <v>4.3426255108482574E-2</v>
      </c>
      <c r="Q13" s="16">
        <f>Assistance[[#This Row],[Bill]]/Assistance[[#This Row],[Count]]</f>
        <v>672.31694720734504</v>
      </c>
      <c r="R13" s="16">
        <f>Assistance[[#This Row],[Assistance]]/Assistance[[#This Row],[Count]]</f>
        <v>393.23758990053562</v>
      </c>
      <c r="S13" s="9">
        <f>Assistance[[#This Row],[Avg. Bill]]-Assistance[[#This Row],[Avg. Assistance]]</f>
        <v>279.07935730680941</v>
      </c>
      <c r="T13" s="11">
        <f>Assistance[[#This Row],[Avg. Assistance]]/Assistance[[#This Row],[Avg. Bill]]</f>
        <v>0.58489911868792988</v>
      </c>
      <c r="U13" s="16">
        <f>Assistance[[#This Row],[BIGHRT_TOTAL_BILL]]/Assistance[[#This Row],[BIGHRT_COUNT]]</f>
        <v>691.38071140939599</v>
      </c>
      <c r="V13" s="16">
        <f>Assistance[[#This Row],[BIGHRT_TOTAL_ASSIST]]/Assistance[[#This Row],[BIGHRT_COUNT]]</f>
        <v>422.56157046979865</v>
      </c>
      <c r="W13" s="11">
        <f>(Assistance[[#This Row],[BHG Bill]]-Assistance[[#This Row],[BHG Arrear Grant]])/Assistance[[#This Row],[BHG Bill]]</f>
        <v>0.38881492715005478</v>
      </c>
      <c r="X13" s="9">
        <f>IFERROR(Assistance[[#This Row],[LIHEAP_TOTAL_ASSIST]]/Assistance[[#This Row],[LIHEAP_COUNT]], 0)</f>
        <v>418.46693181818182</v>
      </c>
      <c r="Y13" s="9">
        <f>+(Assistance[[#This Row],[WEAF_TOTAL_BILL]]+Assistance[[#This Row],[LIHEAP_TOTAL_BILL]])/(Assistance[[#This Row],[WEAF_COUNT]]+Assistance[[#This Row],[LIHEAP_COUNT]])</f>
        <v>647.0455871886121</v>
      </c>
    </row>
    <row r="14" spans="1:25" x14ac:dyDescent="0.2">
      <c r="A14" s="3" t="s">
        <v>68</v>
      </c>
      <c r="B14" s="3" t="s">
        <v>30</v>
      </c>
      <c r="C14" s="15">
        <v>7754</v>
      </c>
      <c r="D14" s="15">
        <v>51</v>
      </c>
      <c r="E14" s="16">
        <v>34369.72</v>
      </c>
      <c r="F14" s="16">
        <v>16182.71</v>
      </c>
      <c r="G14" s="15">
        <v>44</v>
      </c>
      <c r="H14" s="16">
        <v>35143.74</v>
      </c>
      <c r="I14" s="16">
        <v>19647.32</v>
      </c>
      <c r="J14" s="15">
        <v>239</v>
      </c>
      <c r="K14" s="16">
        <v>162768.01</v>
      </c>
      <c r="L14" s="16">
        <v>99244.34</v>
      </c>
      <c r="M14" s="15">
        <f>Assistance[[#This Row],[WEAF_COUNT]]+Assistance[[#This Row],[LIHEAP_COUNT]]+Assistance[[#This Row],[BIGHRT_COUNT]]</f>
        <v>334</v>
      </c>
      <c r="N14" s="16">
        <f>Assistance[[#This Row],[WEAF_TOTAL_BILL]]+Assistance[[#This Row],[LIHEAP_TOTAL_BILL]]+Assistance[[#This Row],[BIGHRT_TOTAL_BILL]]</f>
        <v>232281.47</v>
      </c>
      <c r="O14" s="16">
        <f>Assistance[[#This Row],[WEAF_TOTAL_ASSIST]]+Assistance[[#This Row],[LIHEAP_TOTAL_ASSIST]]+Assistance[[#This Row],[BIGHRT_TOTAL_ASSIST]]</f>
        <v>135074.37</v>
      </c>
      <c r="P14" s="11">
        <f>Assistance[[#This Row],[Count]]/Assistance[[#This Row],[CUSTOMER_COUNT]]</f>
        <v>4.3074542171782304E-2</v>
      </c>
      <c r="Q14" s="16">
        <f>Assistance[[#This Row],[Bill]]/Assistance[[#This Row],[Count]]</f>
        <v>695.45350299401196</v>
      </c>
      <c r="R14" s="16">
        <f>Assistance[[#This Row],[Assistance]]/Assistance[[#This Row],[Count]]</f>
        <v>404.41428143712574</v>
      </c>
      <c r="S14" s="9">
        <f>Assistance[[#This Row],[Avg. Bill]]-Assistance[[#This Row],[Avg. Assistance]]</f>
        <v>291.03922155688622</v>
      </c>
      <c r="T14" s="11">
        <f>Assistance[[#This Row],[Avg. Assistance]]/Assistance[[#This Row],[Avg. Bill]]</f>
        <v>0.58151160314251493</v>
      </c>
      <c r="U14" s="16">
        <f>Assistance[[#This Row],[BIGHRT_TOTAL_BILL]]/Assistance[[#This Row],[BIGHRT_COUNT]]</f>
        <v>681.03769874476995</v>
      </c>
      <c r="V14" s="16">
        <f>Assistance[[#This Row],[BIGHRT_TOTAL_ASSIST]]/Assistance[[#This Row],[BIGHRT_COUNT]]</f>
        <v>415.24828451882843</v>
      </c>
      <c r="W14" s="11">
        <f>(Assistance[[#This Row],[BHG Bill]]-Assistance[[#This Row],[BHG Arrear Grant]])/Assistance[[#This Row],[BHG Bill]]</f>
        <v>0.39027122098500816</v>
      </c>
      <c r="X14" s="9">
        <f>IFERROR(Assistance[[#This Row],[LIHEAP_TOTAL_ASSIST]]/Assistance[[#This Row],[LIHEAP_COUNT]], 0)</f>
        <v>446.53</v>
      </c>
      <c r="Y14" s="9">
        <f>+(Assistance[[#This Row],[WEAF_TOTAL_BILL]]+Assistance[[#This Row],[LIHEAP_TOTAL_BILL]])/(Assistance[[#This Row],[WEAF_COUNT]]+Assistance[[#This Row],[LIHEAP_COUNT]])</f>
        <v>731.72063157894729</v>
      </c>
    </row>
    <row r="15" spans="1:25" x14ac:dyDescent="0.2">
      <c r="A15" s="3" t="s">
        <v>69</v>
      </c>
      <c r="B15" s="3" t="s">
        <v>30</v>
      </c>
      <c r="C15" s="15">
        <v>13324</v>
      </c>
      <c r="D15" s="15">
        <v>146</v>
      </c>
      <c r="E15" s="16">
        <v>79262.58</v>
      </c>
      <c r="F15" s="16">
        <v>49246.07</v>
      </c>
      <c r="G15" s="15">
        <v>138</v>
      </c>
      <c r="H15" s="16">
        <v>77050.149999999994</v>
      </c>
      <c r="I15" s="16">
        <v>59262.87</v>
      </c>
      <c r="J15" s="15">
        <v>404</v>
      </c>
      <c r="K15" s="16">
        <v>228994.64</v>
      </c>
      <c r="L15" s="16">
        <v>152498.65</v>
      </c>
      <c r="M15" s="15">
        <f>Assistance[[#This Row],[WEAF_COUNT]]+Assistance[[#This Row],[LIHEAP_COUNT]]+Assistance[[#This Row],[BIGHRT_COUNT]]</f>
        <v>688</v>
      </c>
      <c r="N15" s="16">
        <f>Assistance[[#This Row],[WEAF_TOTAL_BILL]]+Assistance[[#This Row],[LIHEAP_TOTAL_BILL]]+Assistance[[#This Row],[BIGHRT_TOTAL_BILL]]</f>
        <v>385307.37</v>
      </c>
      <c r="O15" s="16">
        <f>Assistance[[#This Row],[WEAF_TOTAL_ASSIST]]+Assistance[[#This Row],[LIHEAP_TOTAL_ASSIST]]+Assistance[[#This Row],[BIGHRT_TOTAL_ASSIST]]</f>
        <v>261007.59</v>
      </c>
      <c r="P15" s="11">
        <f>Assistance[[#This Row],[Count]]/Assistance[[#This Row],[CUSTOMER_COUNT]]</f>
        <v>5.1636145301711199E-2</v>
      </c>
      <c r="Q15" s="16">
        <f>Assistance[[#This Row],[Bill]]/Assistance[[#This Row],[Count]]</f>
        <v>560.03978197674417</v>
      </c>
      <c r="R15" s="16">
        <f>Assistance[[#This Row],[Assistance]]/Assistance[[#This Row],[Count]]</f>
        <v>379.37149709302327</v>
      </c>
      <c r="S15" s="9">
        <f>Assistance[[#This Row],[Avg. Bill]]-Assistance[[#This Row],[Avg. Assistance]]</f>
        <v>180.6682848837209</v>
      </c>
      <c r="T15" s="11">
        <f>Assistance[[#This Row],[Avg. Assistance]]/Assistance[[#This Row],[Avg. Bill]]</f>
        <v>0.67740097989820447</v>
      </c>
      <c r="U15" s="16">
        <f>Assistance[[#This Row],[BIGHRT_TOTAL_BILL]]/Assistance[[#This Row],[BIGHRT_COUNT]]</f>
        <v>566.81841584158417</v>
      </c>
      <c r="V15" s="16">
        <f>Assistance[[#This Row],[BIGHRT_TOTAL_ASSIST]]/Assistance[[#This Row],[BIGHRT_COUNT]]</f>
        <v>377.47190594059407</v>
      </c>
      <c r="W15" s="11">
        <f>(Assistance[[#This Row],[BHG Bill]]-Assistance[[#This Row],[BHG Arrear Grant]])/Assistance[[#This Row],[BHG Bill]]</f>
        <v>0.33405144330015757</v>
      </c>
      <c r="X15" s="9">
        <f>IFERROR(Assistance[[#This Row],[LIHEAP_TOTAL_ASSIST]]/Assistance[[#This Row],[LIHEAP_COUNT]], 0)</f>
        <v>429.44108695652176</v>
      </c>
      <c r="Y15" s="9">
        <f>+(Assistance[[#This Row],[WEAF_TOTAL_BILL]]+Assistance[[#This Row],[LIHEAP_TOTAL_BILL]])/(Assistance[[#This Row],[WEAF_COUNT]]+Assistance[[#This Row],[LIHEAP_COUNT]])</f>
        <v>550.39693661971819</v>
      </c>
    </row>
    <row r="16" spans="1:25" x14ac:dyDescent="0.2">
      <c r="A16" s="3" t="s">
        <v>70</v>
      </c>
      <c r="B16" s="3" t="s">
        <v>30</v>
      </c>
      <c r="C16" s="15">
        <v>51957</v>
      </c>
      <c r="D16" s="15">
        <v>515</v>
      </c>
      <c r="E16" s="16">
        <v>323796.27</v>
      </c>
      <c r="F16" s="16">
        <v>190451.86</v>
      </c>
      <c r="G16" s="15">
        <v>510</v>
      </c>
      <c r="H16" s="16">
        <v>319270.84000000003</v>
      </c>
      <c r="I16" s="16">
        <v>208307.94</v>
      </c>
      <c r="J16" s="15">
        <v>1005</v>
      </c>
      <c r="K16" s="16">
        <v>718001.71</v>
      </c>
      <c r="L16" s="16">
        <v>446360.23</v>
      </c>
      <c r="M16" s="15">
        <f>Assistance[[#This Row],[WEAF_COUNT]]+Assistance[[#This Row],[LIHEAP_COUNT]]+Assistance[[#This Row],[BIGHRT_COUNT]]</f>
        <v>2030</v>
      </c>
      <c r="N16" s="16">
        <f>Assistance[[#This Row],[WEAF_TOTAL_BILL]]+Assistance[[#This Row],[LIHEAP_TOTAL_BILL]]+Assistance[[#This Row],[BIGHRT_TOTAL_BILL]]</f>
        <v>1361068.82</v>
      </c>
      <c r="O16" s="16">
        <f>Assistance[[#This Row],[WEAF_TOTAL_ASSIST]]+Assistance[[#This Row],[LIHEAP_TOTAL_ASSIST]]+Assistance[[#This Row],[BIGHRT_TOTAL_ASSIST]]</f>
        <v>845120.03</v>
      </c>
      <c r="P16" s="11">
        <f>Assistance[[#This Row],[Count]]/Assistance[[#This Row],[CUSTOMER_COUNT]]</f>
        <v>3.9070770059857186E-2</v>
      </c>
      <c r="Q16" s="16">
        <f>Assistance[[#This Row],[Bill]]/Assistance[[#This Row],[Count]]</f>
        <v>670.47725123152713</v>
      </c>
      <c r="R16" s="16">
        <f>Assistance[[#This Row],[Assistance]]/Assistance[[#This Row],[Count]]</f>
        <v>416.31528571428572</v>
      </c>
      <c r="S16" s="9">
        <f>Assistance[[#This Row],[Avg. Bill]]-Assistance[[#This Row],[Avg. Assistance]]</f>
        <v>254.16196551724141</v>
      </c>
      <c r="T16" s="11">
        <f>Assistance[[#This Row],[Avg. Assistance]]/Assistance[[#This Row],[Avg. Bill]]</f>
        <v>0.6209238045729385</v>
      </c>
      <c r="U16" s="16">
        <f>Assistance[[#This Row],[BIGHRT_TOTAL_BILL]]/Assistance[[#This Row],[BIGHRT_COUNT]]</f>
        <v>714.42956218905465</v>
      </c>
      <c r="V16" s="16">
        <f>Assistance[[#This Row],[BIGHRT_TOTAL_ASSIST]]/Assistance[[#This Row],[BIGHRT_COUNT]]</f>
        <v>444.13953233830841</v>
      </c>
      <c r="W16" s="11">
        <f>(Assistance[[#This Row],[BHG Bill]]-Assistance[[#This Row],[BHG Arrear Grant]])/Assistance[[#This Row],[BHG Bill]]</f>
        <v>0.37832985105286171</v>
      </c>
      <c r="X16" s="9">
        <f>IFERROR(Assistance[[#This Row],[LIHEAP_TOTAL_ASSIST]]/Assistance[[#This Row],[LIHEAP_COUNT]], 0)</f>
        <v>408.4469411764706</v>
      </c>
      <c r="Y16" s="9">
        <f>+(Assistance[[#This Row],[WEAF_TOTAL_BILL]]+Assistance[[#This Row],[LIHEAP_TOTAL_BILL]])/(Assistance[[#This Row],[WEAF_COUNT]]+Assistance[[#This Row],[LIHEAP_COUNT]])</f>
        <v>627.38254634146347</v>
      </c>
    </row>
    <row r="17" spans="1:25" x14ac:dyDescent="0.2">
      <c r="A17" s="3" t="s">
        <v>71</v>
      </c>
      <c r="B17" s="3" t="s">
        <v>30</v>
      </c>
      <c r="C17" s="15">
        <v>31147</v>
      </c>
      <c r="D17" s="15">
        <v>642</v>
      </c>
      <c r="E17" s="16">
        <v>358907.68</v>
      </c>
      <c r="F17" s="16">
        <v>243265.56</v>
      </c>
      <c r="G17" s="15">
        <v>226</v>
      </c>
      <c r="H17" s="16">
        <v>124770.34</v>
      </c>
      <c r="I17" s="16">
        <v>153579.85</v>
      </c>
      <c r="J17" s="15">
        <v>1549</v>
      </c>
      <c r="K17" s="16">
        <v>953185.62</v>
      </c>
      <c r="L17" s="16">
        <v>600954.57999999996</v>
      </c>
      <c r="M17" s="15">
        <f>Assistance[[#This Row],[WEAF_COUNT]]+Assistance[[#This Row],[LIHEAP_COUNT]]+Assistance[[#This Row],[BIGHRT_COUNT]]</f>
        <v>2417</v>
      </c>
      <c r="N17" s="16">
        <f>Assistance[[#This Row],[WEAF_TOTAL_BILL]]+Assistance[[#This Row],[LIHEAP_TOTAL_BILL]]+Assistance[[#This Row],[BIGHRT_TOTAL_BILL]]</f>
        <v>1436863.6400000001</v>
      </c>
      <c r="O17" s="16">
        <f>Assistance[[#This Row],[WEAF_TOTAL_ASSIST]]+Assistance[[#This Row],[LIHEAP_TOTAL_ASSIST]]+Assistance[[#This Row],[BIGHRT_TOTAL_ASSIST]]</f>
        <v>997799.99</v>
      </c>
      <c r="P17" s="11">
        <f>Assistance[[#This Row],[Count]]/Assistance[[#This Row],[CUSTOMER_COUNT]]</f>
        <v>7.7599768838090347E-2</v>
      </c>
      <c r="Q17" s="16">
        <f>Assistance[[#This Row],[Bill]]/Assistance[[#This Row],[Count]]</f>
        <v>594.48226727347958</v>
      </c>
      <c r="R17" s="16">
        <f>Assistance[[#This Row],[Assistance]]/Assistance[[#This Row],[Count]]</f>
        <v>412.82581299131152</v>
      </c>
      <c r="S17" s="9">
        <f>Assistance[[#This Row],[Avg. Bill]]-Assistance[[#This Row],[Avg. Assistance]]</f>
        <v>181.65645428216806</v>
      </c>
      <c r="T17" s="11">
        <f>Assistance[[#This Row],[Avg. Assistance]]/Assistance[[#This Row],[Avg. Bill]]</f>
        <v>0.69442914569123615</v>
      </c>
      <c r="U17" s="16">
        <f>Assistance[[#This Row],[BIGHRT_TOTAL_BILL]]/Assistance[[#This Row],[BIGHRT_COUNT]]</f>
        <v>615.35546804389924</v>
      </c>
      <c r="V17" s="16">
        <f>Assistance[[#This Row],[BIGHRT_TOTAL_ASSIST]]/Assistance[[#This Row],[BIGHRT_COUNT]]</f>
        <v>387.9629309231762</v>
      </c>
      <c r="W17" s="11">
        <f>(Assistance[[#This Row],[BHG Bill]]-Assistance[[#This Row],[BHG Arrear Grant]])/Assistance[[#This Row],[BHG Bill]]</f>
        <v>0.36953037541628042</v>
      </c>
      <c r="X17" s="9">
        <f>IFERROR(Assistance[[#This Row],[LIHEAP_TOTAL_ASSIST]]/Assistance[[#This Row],[LIHEAP_COUNT]], 0)</f>
        <v>679.55685840707963</v>
      </c>
      <c r="Y17" s="9">
        <f>+(Assistance[[#This Row],[WEAF_TOTAL_BILL]]+Assistance[[#This Row],[LIHEAP_TOTAL_BILL]])/(Assistance[[#This Row],[WEAF_COUNT]]+Assistance[[#This Row],[LIHEAP_COUNT]])</f>
        <v>557.23274193548389</v>
      </c>
    </row>
    <row r="18" spans="1:25" x14ac:dyDescent="0.2">
      <c r="A18" s="21"/>
      <c r="B18" s="21"/>
      <c r="C18" s="22">
        <f>SUBTOTAL(109,Assistance[CUSTOMER_COUNT])</f>
        <v>228429</v>
      </c>
      <c r="D18" s="22">
        <f>SUBTOTAL(109,Assistance[WEAF_COUNT])</f>
        <v>2208</v>
      </c>
      <c r="E18" s="23">
        <f>SUBTOTAL(109,Assistance[WEAF_TOTAL_BILL])</f>
        <v>1336061.8299999998</v>
      </c>
      <c r="F18" s="23">
        <f>SUBTOTAL(109,Assistance[WEAF_TOTAL_ASSIST])</f>
        <v>757702.64</v>
      </c>
      <c r="G18" s="22">
        <f>SUBTOTAL(109,Assistance[LIHEAP_COUNT])</f>
        <v>1477</v>
      </c>
      <c r="H18" s="23">
        <f>SUBTOTAL(109,Assistance[LIHEAP_TOTAL_BILL])</f>
        <v>916238.7699999999</v>
      </c>
      <c r="I18" s="23">
        <f>SUBTOTAL(109,Assistance[LIHEAP_TOTAL_ASSIST])</f>
        <v>664233.44000000006</v>
      </c>
      <c r="J18" s="22">
        <f>SUBTOTAL(109,Assistance[BIGHRT_COUNT])</f>
        <v>6221</v>
      </c>
      <c r="K18" s="23">
        <f>SUBTOTAL(109,Assistance[BIGHRT_TOTAL_BILL])</f>
        <v>4003628.2100000004</v>
      </c>
      <c r="L18" s="23">
        <f>SUBTOTAL(109,Assistance[BIGHRT_TOTAL_ASSIST])</f>
        <v>2544531.71</v>
      </c>
      <c r="M18" s="22"/>
      <c r="N18" s="23"/>
      <c r="O18" s="23"/>
      <c r="P18" s="24">
        <f>SUBTOTAL(1, Assistance[%])</f>
        <v>4.4775365959710656E-2</v>
      </c>
      <c r="Q18" s="23">
        <f>SUBTOTAL(101,Assistance[Avg. Bill])</f>
        <v>607.18522471333029</v>
      </c>
      <c r="R18" s="101">
        <f>SUBTOTAL(101,Assistance[Avg. Assistance])</f>
        <v>374.01620945512332</v>
      </c>
      <c r="S18" s="25">
        <f>SUBTOTAL(101,Assistance[Avg. Remaining])</f>
        <v>233.16901525820691</v>
      </c>
      <c r="T18" s="24">
        <f>SUBTOTAL(101,Assistance[% Reduced])</f>
        <v>0.62104856736292779</v>
      </c>
      <c r="U18"/>
      <c r="V18"/>
      <c r="W18" s="100">
        <f>SUBTOTAL(101,Assistance[Arrear Level Forgiven])</f>
        <v>0.4012715938319798</v>
      </c>
      <c r="X18" s="99">
        <f>SUBTOTAL(101,Assistance[LIHEAP Avg. Assistance])</f>
        <v>459.91019469156987</v>
      </c>
      <c r="Y18" s="99">
        <f>SUBTOTAL(101,Assistance[Avg. Arrears])</f>
        <v>604.00801565070208</v>
      </c>
    </row>
    <row r="19" spans="1:25" x14ac:dyDescent="0.2">
      <c r="G19" s="6"/>
    </row>
  </sheetData>
  <sheetProtection formatCells="0" formatColumns="0" formatRows="0"/>
  <protectedRanges>
    <protectedRange sqref="M2:X18" name="Assistance"/>
  </protectedRanges>
  <pageMargins left="0.7" right="0.7" top="0.75" bottom="0.75" header="0.3" footer="0.3"/>
  <pageSetup scale="37" fitToHeight="0" orientation="landscape" r:id="rId1"/>
  <headerFooter>
    <oddHeader>&amp;LCascade Natural Gas Corp.&amp;CLow-Income Energy Burden Program&amp;R&amp;D</oddHeader>
    <oddFooter>&amp;L&amp;A&amp;C&amp;"Arial,Bold" Confidential and Proprietary&amp;RPage &amp;P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2023-06-30T07:00:00+00:00</OpenedDate>
    <SignificantOrder xmlns="dc463f71-b30c-4ab2-9473-d307f9d35888">false</SignificantOrder>
    <Date1 xmlns="dc463f71-b30c-4ab2-9473-d307f9d35888">2023-06-30T07:00:00+00:00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230551</DocketNumber>
    <DelegatedOrder xmlns="dc463f71-b30c-4ab2-9473-d307f9d35888">false</DelegatedOrder>
  </documentManagement>
</p:properti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AA0B09BC856F84D8B4D1C99C24DCD92" ma:contentTypeVersion="24" ma:contentTypeDescription="" ma:contentTypeScope="" ma:versionID="a1651454c71f3577e0cf77613b68442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e a f 7 c f 2 8 - 0 e 4 a - 4 b 6 b - 8 2 a 2 - c 3 5 4 a 3 c 1 f c b c "   x m l n s = " h t t p : / / s c h e m a s . m i c r o s o f t . c o m / D a t a M a s h u p " > A A A A A B Q D A A B Q S w M E F A A C A A g A D k H R V I c g v y S k A A A A 9 Q A A A B I A H A B D b 2 5 m a W c v U G F j a 2 F n Z S 5 4 b W w g o h g A K K A U A A A A A A A A A A A A A A A A A A A A A A A A A A A A h Y + x D o I w G I R f h X S n r d U Y J D 9 l c J X E h G h c m 1 K h E Y q h x f J u D j 6 S r y B G U T f H + + 4 u u b t f b 5 A O T R 1 c V G d 1 a x I 0 w x Q F y s i 2 0 K Z M U O + O Y Y R S D l s h T 6 J U w R g 2 N h 6 s T l D l 3 D k m x H u P / R y 3 X U k Y p T N y y D a 5 r F Q j Q m 2 s E 0 Y q 9 G k V / 1 u I w / 4 1 h j O 8 W u J o w T A F M j H I t P n 6 b J z 7 d H 8 g r P v a 9 Z 3 i y o S 7 H M g k g b w v 8 A d Q S w M E F A A C A A g A D k H R 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5 B 0 V Q o i k e 4 D g A A A B E A A A A T A B w A R m 9 y b X V s Y X M v U 2 V j d G l v b j E u b S C i G A A o o B Q A A A A A A A A A A A A A A A A A A A A A A A A A A A A r T k 0 u y c z P U w i G 0 I b W A F B L A Q I t A B Q A A g A I A A 5 B 0 V S H I L 8 k p A A A A P U A A A A S A A A A A A A A A A A A A A A A A A A A A A B D b 2 5 m a W c v U G F j a 2 F n Z S 5 4 b W x Q S w E C L Q A U A A I A C A A O Q d F U D 8 r p q 6 Q A A A D p A A A A E w A A A A A A A A A A A A A A A A D w A A A A W 0 N v b n R l b n R f V H l w Z X N d L n h t b F B L A Q I t A B Q A A g A I A A 5 B 0 V 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H w H s j f k 2 M R 6 7 E T / 3 F D W C L A A A A A A I A A A A A A A N m A A D A A A A A E A A A A N C E 0 V u I 2 2 p i Z / / 9 I O G / 3 c U A A A A A B I A A A K A A A A A Q A A A A 3 s D J S l 4 F c 0 a 8 g m r 9 4 0 C 8 X 1 A A A A A 0 V t C H T 5 / K F g + / c W F R Z s 9 S U s O j N Y T a i H g j v s Y Y W Q z D R V D o k b i 1 2 Y s x 1 T / H G M S u Z y n J d 6 5 9 G T Z 1 w X Z s X + Z z I 0 L y O 0 v h 2 5 w E P v N s M 2 a 8 n e X M O x Q A A A A W q 1 V E L U g R C n B C N K D Z / m j 1 h c i + 7 A = = < / D a t a M a s h u p > 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9CA7B95D-8B8E-42D7-AEDF-0731BC024449}">
  <ds:schemaRefs>
    <ds:schemaRef ds:uri="http://schemas.microsoft.com/sharepoint/v3/contenttype/forms"/>
  </ds:schemaRefs>
</ds:datastoreItem>
</file>

<file path=customXml/itemProps2.xml><?xml version="1.0" encoding="utf-8"?>
<ds:datastoreItem xmlns:ds="http://schemas.openxmlformats.org/officeDocument/2006/customXml" ds:itemID="{9E8F8DB3-6621-44FE-A556-CF8B394DDEC4}">
  <ds:schemaRefs>
    <ds:schemaRef ds:uri="http://purl.org/dc/elements/1.1/"/>
    <ds:schemaRef ds:uri="http://schemas.microsoft.com/office/2006/metadata/properties"/>
    <ds:schemaRef ds:uri="b5df3ae9-f00c-4e6e-8773-083cef44cac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0bb9782-60b2-4bdd-8cf4-24cfb4846487"/>
    <ds:schemaRef ds:uri="http://www.w3.org/XML/1998/namespace"/>
    <ds:schemaRef ds:uri="http://purl.org/dc/dcmitype/"/>
  </ds:schemaRefs>
</ds:datastoreItem>
</file>

<file path=customXml/itemProps3.xml><?xml version="1.0" encoding="utf-8"?>
<ds:datastoreItem xmlns:ds="http://schemas.openxmlformats.org/officeDocument/2006/customXml" ds:itemID="{685434B6-5924-4787-9B55-AE810CC23B36}"/>
</file>

<file path=customXml/itemProps4.xml><?xml version="1.0" encoding="utf-8"?>
<ds:datastoreItem xmlns:ds="http://schemas.openxmlformats.org/officeDocument/2006/customXml" ds:itemID="{9A8E1BC4-3F2D-4FB6-9519-CC9C7E897C9D}">
  <ds:schemaRefs>
    <ds:schemaRef ds:uri="http://schemas.microsoft.com/DataMashup"/>
  </ds:schemaRefs>
</ds:datastoreItem>
</file>

<file path=customXml/itemProps5.xml><?xml version="1.0" encoding="utf-8"?>
<ds:datastoreItem xmlns:ds="http://schemas.openxmlformats.org/officeDocument/2006/customXml" ds:itemID="{152EE97A-660F-41CA-9C4B-DCBDCEE993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Dashboard</vt:lpstr>
      <vt:lpstr>Info</vt:lpstr>
      <vt:lpstr>Count</vt:lpstr>
      <vt:lpstr>Assistance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Low-Income Energy Burden Program</dc:title>
  <dc:creator>Christopher.Mickelson@cngc.com</dc:creator>
  <cp:keywords>LI; Energy Burden; EDP; AMPED</cp:keywords>
  <cp:lastModifiedBy>Mickelson, Christopher</cp:lastModifiedBy>
  <cp:lastPrinted>2023-02-22T19:54:09Z</cp:lastPrinted>
  <dcterms:created xsi:type="dcterms:W3CDTF">1998-06-26T22:33:08Z</dcterms:created>
  <dcterms:modified xsi:type="dcterms:W3CDTF">2023-06-27T18:39:52Z</dcterms:modified>
  <cp:category>Low-Income; Energy Burden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0x0101006E56B4D1795A2E4DB2F0B01679ED314A009AA0B09BC856F84D8B4D1C99C24DCD92</vt:lpwstr>
  </property>
  <property fmtid="{D5CDD505-2E9C-101B-9397-08002B2CF9AE}" pid="3" name="Workbook id">
    <vt:lpwstr>6d8e3442-f139-4f6f-8caf-6fa01d4ac4aa</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_docset_NoMedatataSyncRequired">
    <vt:lpwstr>False</vt:lpwstr>
  </property>
</Properties>
</file>