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rport01fps01\public\Evan Burmester\WUTC\Spokane\"/>
    </mc:Choice>
  </mc:AlternateContent>
  <xr:revisionPtr revIDLastSave="0" documentId="8_{B64041E0-B773-46C2-93C1-3343AC33B043}" xr6:coauthVersionLast="47" xr6:coauthVersionMax="47" xr10:uidLastSave="{00000000-0000-0000-0000-000000000000}"/>
  <bookViews>
    <workbookView xWindow="-9450" yWindow="5325" windowWidth="15555" windowHeight="11010" firstSheet="1" activeTab="5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2-2024 Budget" sheetId="49" r:id="rId7"/>
    <sheet name="Budget vs Actual" sheetId="48" r:id="rId8"/>
  </sheet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Calculation'!$A$383:$G$443</definedName>
    <definedName name="_xlnm.Print_Area" localSheetId="5">'Res''l &amp; MF Customers'!$A$1:$P$26</definedName>
    <definedName name="_xlnm.Print_Area" localSheetId="2">'Tons &amp; Revenue'!$A$1:$P$264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33" l="1"/>
  <c r="K11" i="33"/>
  <c r="K12" i="33"/>
  <c r="K13" i="33"/>
  <c r="K14" i="33"/>
  <c r="K15" i="33"/>
  <c r="K16" i="33"/>
  <c r="K17" i="33"/>
  <c r="K18" i="33"/>
  <c r="K19" i="33"/>
  <c r="K20" i="33"/>
  <c r="K9" i="33"/>
  <c r="G21" i="33"/>
  <c r="X37" i="36"/>
  <c r="J16" i="33"/>
  <c r="J17" i="33"/>
  <c r="J18" i="33"/>
  <c r="J9" i="33"/>
  <c r="J10" i="33"/>
  <c r="J11" i="33"/>
  <c r="J12" i="33"/>
  <c r="J13" i="33"/>
  <c r="J14" i="33"/>
  <c r="C12" i="33"/>
  <c r="C11" i="33"/>
  <c r="C10" i="33"/>
  <c r="C9" i="33"/>
  <c r="J15" i="33" l="1"/>
  <c r="G9" i="33"/>
  <c r="G10" i="33"/>
  <c r="G11" i="33"/>
  <c r="G12" i="33"/>
  <c r="G13" i="33"/>
  <c r="G14" i="33"/>
  <c r="G15" i="33"/>
  <c r="F21" i="33" l="1"/>
  <c r="H13" i="33"/>
  <c r="H14" i="33"/>
  <c r="H15" i="33"/>
  <c r="C42" i="35" l="1"/>
  <c r="P20" i="33" l="1"/>
  <c r="Q20" i="33" s="1"/>
  <c r="P19" i="33"/>
  <c r="Q19" i="33" s="1"/>
  <c r="P18" i="33"/>
  <c r="Q18" i="33" s="1"/>
  <c r="P17" i="33"/>
  <c r="Q17" i="33" s="1"/>
  <c r="I16" i="33"/>
  <c r="I17" i="33"/>
  <c r="I18" i="33"/>
  <c r="I19" i="33"/>
  <c r="I20" i="33"/>
  <c r="C10" i="35"/>
  <c r="C9" i="35"/>
  <c r="P16" i="33" l="1"/>
  <c r="Q16" i="33" s="1"/>
  <c r="P15" i="33"/>
  <c r="Q15" i="33" s="1"/>
  <c r="P14" i="33"/>
  <c r="Q14" i="33" s="1"/>
  <c r="P13" i="33"/>
  <c r="Q13" i="33" s="1"/>
  <c r="J40" i="36"/>
  <c r="L40" i="36"/>
  <c r="N40" i="36"/>
  <c r="P40" i="36"/>
  <c r="I15" i="33"/>
  <c r="I14" i="33"/>
  <c r="I13" i="33"/>
  <c r="J12" i="40" l="1"/>
  <c r="I12" i="40"/>
  <c r="H12" i="40"/>
  <c r="G12" i="40"/>
  <c r="P37" i="36"/>
  <c r="N37" i="36" l="1"/>
  <c r="L37" i="36"/>
  <c r="J37" i="36"/>
  <c r="O21" i="33" l="1"/>
  <c r="P12" i="33"/>
  <c r="Q12" i="33" s="1"/>
  <c r="P11" i="33"/>
  <c r="Q11" i="33" s="1"/>
  <c r="P10" i="33"/>
  <c r="Q10" i="33" s="1"/>
  <c r="P9" i="33"/>
  <c r="Q9" i="33" s="1"/>
  <c r="D12" i="33"/>
  <c r="D11" i="33"/>
  <c r="D10" i="33"/>
  <c r="D9" i="33"/>
  <c r="D40" i="36"/>
  <c r="F40" i="36"/>
  <c r="H40" i="36"/>
  <c r="B40" i="36"/>
  <c r="C12" i="42"/>
  <c r="C10" i="42"/>
  <c r="C8" i="42"/>
  <c r="F12" i="40"/>
  <c r="E12" i="40"/>
  <c r="D12" i="40"/>
  <c r="C12" i="40"/>
  <c r="H37" i="36"/>
  <c r="F37" i="36"/>
  <c r="D37" i="36"/>
  <c r="B37" i="36"/>
  <c r="Q21" i="33" l="1"/>
  <c r="P21" i="33"/>
  <c r="H24" i="48"/>
  <c r="H25" i="48"/>
  <c r="D22" i="48"/>
  <c r="D23" i="48"/>
  <c r="D24" i="48"/>
  <c r="D25" i="48"/>
  <c r="A22" i="48"/>
  <c r="A23" i="48"/>
  <c r="A24" i="48"/>
  <c r="A25" i="48"/>
  <c r="A21" i="48"/>
  <c r="D21" i="48"/>
  <c r="D12" i="48"/>
  <c r="D9" i="48"/>
  <c r="D6" i="48"/>
  <c r="A58" i="35" l="1"/>
  <c r="A41" i="35"/>
  <c r="D16" i="49"/>
  <c r="D25" i="49"/>
  <c r="C11" i="35" l="1"/>
  <c r="F31" i="35" s="1"/>
  <c r="F21" i="35" s="1"/>
  <c r="H22" i="48"/>
  <c r="H21" i="48"/>
  <c r="F26" i="48"/>
  <c r="H23" i="48"/>
  <c r="D26" i="48" l="1"/>
  <c r="D16" i="48" s="1"/>
  <c r="H26" i="48"/>
  <c r="C96" i="33"/>
  <c r="D96" i="33"/>
  <c r="E96" i="33"/>
  <c r="I96" i="33"/>
  <c r="J96" i="33"/>
  <c r="K96" i="33"/>
  <c r="L96" i="33"/>
  <c r="M96" i="33"/>
  <c r="N96" i="33"/>
  <c r="O96" i="33"/>
  <c r="D34" i="33"/>
  <c r="L34" i="33"/>
  <c r="L33" i="33"/>
  <c r="D33" i="33"/>
  <c r="H16" i="48" l="1"/>
  <c r="C89" i="33"/>
  <c r="D89" i="33"/>
  <c r="E89" i="33"/>
  <c r="I89" i="33"/>
  <c r="J89" i="33"/>
  <c r="K89" i="33"/>
  <c r="L89" i="33"/>
  <c r="M89" i="33"/>
  <c r="N89" i="33"/>
  <c r="O89" i="33"/>
  <c r="C90" i="33"/>
  <c r="D90" i="33"/>
  <c r="E90" i="33"/>
  <c r="I90" i="33"/>
  <c r="J90" i="33"/>
  <c r="K90" i="33"/>
  <c r="L90" i="33"/>
  <c r="M90" i="33"/>
  <c r="N90" i="33"/>
  <c r="O90" i="33"/>
  <c r="C91" i="33"/>
  <c r="D91" i="33"/>
  <c r="E91" i="33"/>
  <c r="I91" i="33"/>
  <c r="J91" i="33"/>
  <c r="K91" i="33"/>
  <c r="L91" i="33"/>
  <c r="M91" i="33"/>
  <c r="N91" i="33"/>
  <c r="O91" i="33"/>
  <c r="C92" i="33"/>
  <c r="D92" i="33"/>
  <c r="E92" i="33"/>
  <c r="I92" i="33"/>
  <c r="J92" i="33"/>
  <c r="K92" i="33"/>
  <c r="L92" i="33"/>
  <c r="M92" i="33"/>
  <c r="N92" i="33"/>
  <c r="O92" i="33"/>
  <c r="C93" i="33"/>
  <c r="D93" i="33"/>
  <c r="E93" i="33"/>
  <c r="I93" i="33"/>
  <c r="J93" i="33"/>
  <c r="K93" i="33"/>
  <c r="L93" i="33"/>
  <c r="M93" i="33"/>
  <c r="N93" i="33"/>
  <c r="O93" i="33"/>
  <c r="C94" i="33"/>
  <c r="D94" i="33"/>
  <c r="E94" i="33"/>
  <c r="I94" i="33"/>
  <c r="J94" i="33"/>
  <c r="K94" i="33"/>
  <c r="L94" i="33"/>
  <c r="M94" i="33"/>
  <c r="N94" i="33"/>
  <c r="O94" i="33"/>
  <c r="C95" i="33"/>
  <c r="D95" i="33"/>
  <c r="E95" i="33"/>
  <c r="I95" i="33"/>
  <c r="J95" i="33"/>
  <c r="K95" i="33"/>
  <c r="L95" i="33"/>
  <c r="M95" i="33"/>
  <c r="N95" i="33"/>
  <c r="O95" i="33"/>
  <c r="C88" i="33"/>
  <c r="D88" i="33"/>
  <c r="E88" i="33"/>
  <c r="I88" i="33"/>
  <c r="J88" i="33"/>
  <c r="K88" i="33"/>
  <c r="L88" i="33"/>
  <c r="M88" i="33"/>
  <c r="N88" i="33"/>
  <c r="O88" i="33"/>
  <c r="L32" i="33" l="1"/>
  <c r="L31" i="33"/>
  <c r="L30" i="33"/>
  <c r="L29" i="33"/>
  <c r="L28" i="33"/>
  <c r="L27" i="33"/>
  <c r="L26" i="33"/>
  <c r="L25" i="33"/>
  <c r="D32" i="33"/>
  <c r="D31" i="33"/>
  <c r="D30" i="33"/>
  <c r="D29" i="33" l="1"/>
  <c r="D28" i="33"/>
  <c r="D27" i="33"/>
  <c r="D26" i="33"/>
  <c r="D85" i="33" l="1"/>
  <c r="E85" i="33"/>
  <c r="I85" i="33"/>
  <c r="J85" i="33"/>
  <c r="K85" i="33"/>
  <c r="L85" i="33"/>
  <c r="M85" i="33"/>
  <c r="N85" i="33"/>
  <c r="O85" i="33"/>
  <c r="D86" i="33"/>
  <c r="E86" i="33"/>
  <c r="I86" i="33"/>
  <c r="J86" i="33"/>
  <c r="K86" i="33"/>
  <c r="L86" i="33"/>
  <c r="M86" i="33"/>
  <c r="N86" i="33"/>
  <c r="O86" i="33"/>
  <c r="D87" i="33"/>
  <c r="E87" i="33"/>
  <c r="I87" i="33"/>
  <c r="J87" i="33"/>
  <c r="K87" i="33"/>
  <c r="L87" i="33"/>
  <c r="M87" i="33"/>
  <c r="N87" i="33"/>
  <c r="O87" i="33"/>
  <c r="C86" i="33"/>
  <c r="C87" i="33"/>
  <c r="C85" i="33"/>
  <c r="L24" i="33"/>
  <c r="L23" i="33"/>
  <c r="D25" i="33"/>
  <c r="D24" i="33"/>
  <c r="D23" i="33"/>
  <c r="A124" i="35" l="1"/>
  <c r="A107" i="35"/>
  <c r="N52" i="40"/>
  <c r="N56" i="40" s="1"/>
  <c r="C110" i="35" s="1"/>
  <c r="F128" i="35" s="1"/>
  <c r="F118" i="35" s="1"/>
  <c r="M52" i="40"/>
  <c r="M56" i="40" s="1"/>
  <c r="L52" i="40"/>
  <c r="L56" i="40" s="1"/>
  <c r="K52" i="40"/>
  <c r="K56" i="40" s="1"/>
  <c r="J52" i="40"/>
  <c r="J56" i="40" s="1"/>
  <c r="I52" i="40"/>
  <c r="I56" i="40" s="1"/>
  <c r="H52" i="40"/>
  <c r="H56" i="40" s="1"/>
  <c r="G52" i="40"/>
  <c r="G56" i="40" s="1"/>
  <c r="F52" i="40"/>
  <c r="F56" i="40" s="1"/>
  <c r="E52" i="40"/>
  <c r="E56" i="40" s="1"/>
  <c r="D52" i="40"/>
  <c r="D56" i="40" s="1"/>
  <c r="C52" i="40"/>
  <c r="C56" i="40" s="1"/>
  <c r="N41" i="40"/>
  <c r="M41" i="40"/>
  <c r="L41" i="40"/>
  <c r="L45" i="40" s="1"/>
  <c r="L47" i="40" s="1"/>
  <c r="L49" i="40" s="1"/>
  <c r="I32" i="33" s="1"/>
  <c r="K41" i="40"/>
  <c r="J41" i="40"/>
  <c r="I41" i="40"/>
  <c r="H41" i="40"/>
  <c r="H45" i="40" s="1"/>
  <c r="H47" i="40" s="1"/>
  <c r="H49" i="40" s="1"/>
  <c r="I28" i="33" s="1"/>
  <c r="G41" i="40"/>
  <c r="F41" i="40"/>
  <c r="E41" i="40"/>
  <c r="D41" i="40"/>
  <c r="D45" i="40" s="1"/>
  <c r="D47" i="40" s="1"/>
  <c r="D49" i="40" s="1"/>
  <c r="I24" i="33" s="1"/>
  <c r="C41" i="40"/>
  <c r="K32" i="37"/>
  <c r="J32" i="37"/>
  <c r="I32" i="37"/>
  <c r="H32" i="37"/>
  <c r="G32" i="37"/>
  <c r="F32" i="37"/>
  <c r="E32" i="37"/>
  <c r="D32" i="37"/>
  <c r="C32" i="37"/>
  <c r="B32" i="37"/>
  <c r="V54" i="36"/>
  <c r="T54" i="36"/>
  <c r="R54" i="36"/>
  <c r="P54" i="36"/>
  <c r="N54" i="36"/>
  <c r="L54" i="36"/>
  <c r="J54" i="36"/>
  <c r="J58" i="36" s="1"/>
  <c r="C27" i="33" s="1"/>
  <c r="E27" i="33" s="1"/>
  <c r="H54" i="36"/>
  <c r="F54" i="36"/>
  <c r="D54" i="36"/>
  <c r="B54" i="36"/>
  <c r="Z53" i="36"/>
  <c r="Z52" i="36"/>
  <c r="Z51" i="36"/>
  <c r="Z50" i="36"/>
  <c r="Z49" i="36"/>
  <c r="Z48" i="36"/>
  <c r="Z47" i="36"/>
  <c r="Z46" i="36"/>
  <c r="X54" i="36"/>
  <c r="Z44" i="36"/>
  <c r="L35" i="33"/>
  <c r="D35" i="33"/>
  <c r="G51" i="36" l="1"/>
  <c r="M60" i="33" s="1"/>
  <c r="G47" i="36"/>
  <c r="I60" i="33" s="1"/>
  <c r="G49" i="36"/>
  <c r="J60" i="33" s="1"/>
  <c r="G50" i="36"/>
  <c r="L60" i="33" s="1"/>
  <c r="G53" i="36"/>
  <c r="O60" i="33" s="1"/>
  <c r="G45" i="36"/>
  <c r="D60" i="33" s="1"/>
  <c r="G52" i="36"/>
  <c r="N60" i="33" s="1"/>
  <c r="G48" i="36"/>
  <c r="K60" i="33" s="1"/>
  <c r="G44" i="36"/>
  <c r="C60" i="33" s="1"/>
  <c r="P60" i="33" s="1"/>
  <c r="G46" i="36"/>
  <c r="E60" i="33" s="1"/>
  <c r="E53" i="36"/>
  <c r="O59" i="33" s="1"/>
  <c r="E49" i="36"/>
  <c r="J59" i="33" s="1"/>
  <c r="E45" i="36"/>
  <c r="D59" i="33" s="1"/>
  <c r="E52" i="36"/>
  <c r="N59" i="33" s="1"/>
  <c r="E48" i="36"/>
  <c r="K59" i="33" s="1"/>
  <c r="E44" i="36"/>
  <c r="C59" i="33" s="1"/>
  <c r="P59" i="33" s="1"/>
  <c r="E46" i="36"/>
  <c r="E59" i="33" s="1"/>
  <c r="E51" i="36"/>
  <c r="M59" i="33" s="1"/>
  <c r="E47" i="36"/>
  <c r="I59" i="33" s="1"/>
  <c r="E50" i="36"/>
  <c r="L59" i="33" s="1"/>
  <c r="D58" i="36"/>
  <c r="C24" i="33" s="1"/>
  <c r="E24" i="33" s="1"/>
  <c r="J24" i="33" s="1"/>
  <c r="K24" i="33" s="1"/>
  <c r="B58" i="36"/>
  <c r="C23" i="33" s="1"/>
  <c r="E23" i="33" s="1"/>
  <c r="C47" i="36"/>
  <c r="I58" i="33" s="1"/>
  <c r="C51" i="36"/>
  <c r="M58" i="33" s="1"/>
  <c r="C48" i="36"/>
  <c r="K58" i="33" s="1"/>
  <c r="C52" i="36"/>
  <c r="N58" i="33" s="1"/>
  <c r="C45" i="36"/>
  <c r="D58" i="33" s="1"/>
  <c r="C49" i="36"/>
  <c r="J58" i="33" s="1"/>
  <c r="C53" i="36"/>
  <c r="O58" i="33" s="1"/>
  <c r="C46" i="36"/>
  <c r="E58" i="33" s="1"/>
  <c r="C50" i="36"/>
  <c r="L58" i="33" s="1"/>
  <c r="C44" i="36"/>
  <c r="C58" i="33" s="1"/>
  <c r="P58" i="33" s="1"/>
  <c r="M24" i="33"/>
  <c r="Y53" i="36"/>
  <c r="O69" i="33" s="1"/>
  <c r="Y49" i="36"/>
  <c r="J69" i="33" s="1"/>
  <c r="Y45" i="36"/>
  <c r="D69" i="33" s="1"/>
  <c r="Y47" i="36"/>
  <c r="I69" i="33" s="1"/>
  <c r="Y50" i="36"/>
  <c r="L69" i="33" s="1"/>
  <c r="Y52" i="36"/>
  <c r="N69" i="33" s="1"/>
  <c r="Y48" i="36"/>
  <c r="K69" i="33" s="1"/>
  <c r="Y44" i="36"/>
  <c r="Y51" i="36"/>
  <c r="M69" i="33" s="1"/>
  <c r="Y46" i="36"/>
  <c r="E69" i="33" s="1"/>
  <c r="V58" i="36"/>
  <c r="C33" i="33" s="1"/>
  <c r="E33" i="33" s="1"/>
  <c r="W51" i="36"/>
  <c r="M68" i="33" s="1"/>
  <c r="W47" i="36"/>
  <c r="I68" i="33" s="1"/>
  <c r="W46" i="36"/>
  <c r="E68" i="33" s="1"/>
  <c r="W49" i="36"/>
  <c r="J68" i="33" s="1"/>
  <c r="W45" i="36"/>
  <c r="D68" i="33" s="1"/>
  <c r="W48" i="36"/>
  <c r="K68" i="33" s="1"/>
  <c r="W44" i="36"/>
  <c r="C68" i="33" s="1"/>
  <c r="P68" i="33" s="1"/>
  <c r="W50" i="36"/>
  <c r="L68" i="33" s="1"/>
  <c r="W53" i="36"/>
  <c r="O68" i="33" s="1"/>
  <c r="W52" i="36"/>
  <c r="N68" i="33" s="1"/>
  <c r="T58" i="36"/>
  <c r="C32" i="33" s="1"/>
  <c r="E32" i="33" s="1"/>
  <c r="J32" i="33" s="1"/>
  <c r="K32" i="33" s="1"/>
  <c r="M32" i="33" s="1"/>
  <c r="U53" i="36"/>
  <c r="O67" i="33" s="1"/>
  <c r="U49" i="36"/>
  <c r="J67" i="33" s="1"/>
  <c r="U45" i="36"/>
  <c r="D67" i="33" s="1"/>
  <c r="U52" i="36"/>
  <c r="N67" i="33" s="1"/>
  <c r="U48" i="36"/>
  <c r="K67" i="33" s="1"/>
  <c r="U44" i="36"/>
  <c r="C67" i="33" s="1"/>
  <c r="U51" i="36"/>
  <c r="M67" i="33" s="1"/>
  <c r="U47" i="36"/>
  <c r="I67" i="33" s="1"/>
  <c r="U50" i="36"/>
  <c r="L67" i="33" s="1"/>
  <c r="U46" i="36"/>
  <c r="E67" i="33" s="1"/>
  <c r="P67" i="33" s="1"/>
  <c r="S51" i="36"/>
  <c r="M66" i="33" s="1"/>
  <c r="S47" i="36"/>
  <c r="I66" i="33" s="1"/>
  <c r="S53" i="36"/>
  <c r="O66" i="33" s="1"/>
  <c r="S52" i="36"/>
  <c r="N66" i="33" s="1"/>
  <c r="S50" i="36"/>
  <c r="L66" i="33" s="1"/>
  <c r="S46" i="36"/>
  <c r="E66" i="33" s="1"/>
  <c r="S49" i="36"/>
  <c r="J66" i="33" s="1"/>
  <c r="S45" i="36"/>
  <c r="D66" i="33" s="1"/>
  <c r="S48" i="36"/>
  <c r="S44" i="36"/>
  <c r="C66" i="33" s="1"/>
  <c r="R58" i="36"/>
  <c r="C31" i="33" s="1"/>
  <c r="E31" i="33" s="1"/>
  <c r="P58" i="36"/>
  <c r="C30" i="33" s="1"/>
  <c r="E30" i="33" s="1"/>
  <c r="Q53" i="36"/>
  <c r="O65" i="33" s="1"/>
  <c r="Q49" i="36"/>
  <c r="J65" i="33" s="1"/>
  <c r="Q45" i="36"/>
  <c r="D65" i="33" s="1"/>
  <c r="Q50" i="36"/>
  <c r="L65" i="33" s="1"/>
  <c r="Q52" i="36"/>
  <c r="N65" i="33" s="1"/>
  <c r="Q48" i="36"/>
  <c r="K65" i="33" s="1"/>
  <c r="Q44" i="36"/>
  <c r="C65" i="33" s="1"/>
  <c r="Q51" i="36"/>
  <c r="M65" i="33" s="1"/>
  <c r="Q47" i="36"/>
  <c r="I65" i="33" s="1"/>
  <c r="Q46" i="36"/>
  <c r="E65" i="33" s="1"/>
  <c r="N58" i="36"/>
  <c r="C29" i="33" s="1"/>
  <c r="E29" i="33" s="1"/>
  <c r="O52" i="36"/>
  <c r="N64" i="33" s="1"/>
  <c r="O48" i="36"/>
  <c r="K64" i="33" s="1"/>
  <c r="O44" i="36"/>
  <c r="C64" i="33" s="1"/>
  <c r="P64" i="33" s="1"/>
  <c r="O49" i="36"/>
  <c r="J64" i="33" s="1"/>
  <c r="O51" i="36"/>
  <c r="M64" i="33" s="1"/>
  <c r="O47" i="36"/>
  <c r="I64" i="33" s="1"/>
  <c r="O53" i="36"/>
  <c r="O64" i="33" s="1"/>
  <c r="O50" i="36"/>
  <c r="L64" i="33" s="1"/>
  <c r="O46" i="36"/>
  <c r="E64" i="33" s="1"/>
  <c r="O45" i="36"/>
  <c r="D64" i="33" s="1"/>
  <c r="M50" i="36"/>
  <c r="L63" i="33" s="1"/>
  <c r="M46" i="36"/>
  <c r="E63" i="33" s="1"/>
  <c r="M48" i="36"/>
  <c r="K63" i="33" s="1"/>
  <c r="M44" i="36"/>
  <c r="C63" i="33" s="1"/>
  <c r="M51" i="36"/>
  <c r="M63" i="33" s="1"/>
  <c r="M53" i="36"/>
  <c r="O63" i="33" s="1"/>
  <c r="M49" i="36"/>
  <c r="J63" i="33" s="1"/>
  <c r="M45" i="36"/>
  <c r="D63" i="33" s="1"/>
  <c r="M52" i="36"/>
  <c r="N63" i="33" s="1"/>
  <c r="M47" i="36"/>
  <c r="I63" i="33" s="1"/>
  <c r="L58" i="36"/>
  <c r="C28" i="33" s="1"/>
  <c r="E28" i="33" s="1"/>
  <c r="J28" i="33" s="1"/>
  <c r="K28" i="33" s="1"/>
  <c r="M28" i="33" s="1"/>
  <c r="K52" i="36"/>
  <c r="N62" i="33" s="1"/>
  <c r="K48" i="36"/>
  <c r="K62" i="33" s="1"/>
  <c r="K44" i="36"/>
  <c r="C62" i="33" s="1"/>
  <c r="K49" i="36"/>
  <c r="J62" i="33" s="1"/>
  <c r="K51" i="36"/>
  <c r="M62" i="33" s="1"/>
  <c r="K47" i="36"/>
  <c r="I62" i="33" s="1"/>
  <c r="K45" i="36"/>
  <c r="D62" i="33" s="1"/>
  <c r="K50" i="36"/>
  <c r="L62" i="33" s="1"/>
  <c r="K46" i="36"/>
  <c r="E62" i="33" s="1"/>
  <c r="K53" i="36"/>
  <c r="O62" i="33" s="1"/>
  <c r="I50" i="36"/>
  <c r="L61" i="33" s="1"/>
  <c r="I46" i="36"/>
  <c r="E61" i="33" s="1"/>
  <c r="I52" i="36"/>
  <c r="N61" i="33" s="1"/>
  <c r="I44" i="36"/>
  <c r="C61" i="33" s="1"/>
  <c r="P61" i="33" s="1"/>
  <c r="I51" i="36"/>
  <c r="M61" i="33" s="1"/>
  <c r="I53" i="36"/>
  <c r="O61" i="33" s="1"/>
  <c r="I49" i="36"/>
  <c r="J61" i="33" s="1"/>
  <c r="I45" i="36"/>
  <c r="D61" i="33" s="1"/>
  <c r="I48" i="36"/>
  <c r="K61" i="33" s="1"/>
  <c r="I47" i="36"/>
  <c r="I61" i="33" s="1"/>
  <c r="H58" i="36"/>
  <c r="C26" i="33" s="1"/>
  <c r="E26" i="33" s="1"/>
  <c r="C77" i="35"/>
  <c r="F97" i="35" s="1"/>
  <c r="F87" i="35" s="1"/>
  <c r="P52" i="40"/>
  <c r="P56" i="40"/>
  <c r="E45" i="40"/>
  <c r="E47" i="40" s="1"/>
  <c r="E49" i="40" s="1"/>
  <c r="I25" i="33" s="1"/>
  <c r="I45" i="40"/>
  <c r="I47" i="40" s="1"/>
  <c r="I49" i="40" s="1"/>
  <c r="I29" i="33" s="1"/>
  <c r="M45" i="40"/>
  <c r="M47" i="40" s="1"/>
  <c r="M49" i="40" s="1"/>
  <c r="I33" i="33" s="1"/>
  <c r="P43" i="40"/>
  <c r="F45" i="40"/>
  <c r="F47" i="40" s="1"/>
  <c r="F49" i="40" s="1"/>
  <c r="I26" i="33" s="1"/>
  <c r="J45" i="40"/>
  <c r="J47" i="40" s="1"/>
  <c r="J49" i="40" s="1"/>
  <c r="I30" i="33" s="1"/>
  <c r="N45" i="40"/>
  <c r="N47" i="40" s="1"/>
  <c r="N49" i="40" s="1"/>
  <c r="I34" i="33" s="1"/>
  <c r="C45" i="40"/>
  <c r="C47" i="40" s="1"/>
  <c r="C49" i="40" s="1"/>
  <c r="I23" i="33" s="1"/>
  <c r="G45" i="40"/>
  <c r="G47" i="40" s="1"/>
  <c r="G49" i="40" s="1"/>
  <c r="I27" i="33" s="1"/>
  <c r="J27" i="33" s="1"/>
  <c r="K27" i="33" s="1"/>
  <c r="M27" i="33" s="1"/>
  <c r="K45" i="40"/>
  <c r="K47" i="40" s="1"/>
  <c r="K49" i="40" s="1"/>
  <c r="I31" i="33" s="1"/>
  <c r="W54" i="36"/>
  <c r="Z45" i="36"/>
  <c r="K54" i="36"/>
  <c r="G54" i="36"/>
  <c r="F58" i="36"/>
  <c r="C25" i="33" s="1"/>
  <c r="E25" i="33" s="1"/>
  <c r="E54" i="36"/>
  <c r="C54" i="36"/>
  <c r="X58" i="36"/>
  <c r="C34" i="33" s="1"/>
  <c r="E34" i="33" s="1"/>
  <c r="Z56" i="36"/>
  <c r="P62" i="33" l="1"/>
  <c r="P65" i="33"/>
  <c r="L121" i="33"/>
  <c r="L152" i="33" s="1"/>
  <c r="L220" i="33" s="1"/>
  <c r="J23" i="33"/>
  <c r="K23" i="33" s="1"/>
  <c r="J25" i="33"/>
  <c r="K25" i="33" s="1"/>
  <c r="N123" i="33" s="1"/>
  <c r="P63" i="33"/>
  <c r="P66" i="33"/>
  <c r="N121" i="33"/>
  <c r="N152" i="33" s="1"/>
  <c r="N220" i="33" s="1"/>
  <c r="J121" i="33"/>
  <c r="I121" i="33"/>
  <c r="I152" i="33" s="1"/>
  <c r="I220" i="33" s="1"/>
  <c r="C121" i="33"/>
  <c r="P121" i="33" s="1"/>
  <c r="J26" i="33"/>
  <c r="K26" i="33" s="1"/>
  <c r="M26" i="33" s="1"/>
  <c r="J30" i="33"/>
  <c r="K30" i="33" s="1"/>
  <c r="M30" i="33" s="1"/>
  <c r="J29" i="33"/>
  <c r="K29" i="33" s="1"/>
  <c r="M29" i="33" s="1"/>
  <c r="J31" i="33"/>
  <c r="K31" i="33" s="1"/>
  <c r="M31" i="33" s="1"/>
  <c r="J33" i="33"/>
  <c r="K33" i="33" s="1"/>
  <c r="M33" i="33" s="1"/>
  <c r="S54" i="36"/>
  <c r="K66" i="33"/>
  <c r="K121" i="33"/>
  <c r="K152" i="33" s="1"/>
  <c r="K220" i="33" s="1"/>
  <c r="M121" i="33"/>
  <c r="M152" i="33" s="1"/>
  <c r="M220" i="33" s="1"/>
  <c r="E121" i="33"/>
  <c r="E152" i="33" s="1"/>
  <c r="E220" i="33" s="1"/>
  <c r="O121" i="33"/>
  <c r="O152" i="33" s="1"/>
  <c r="O220" i="33" s="1"/>
  <c r="D121" i="33"/>
  <c r="D152" i="33" s="1"/>
  <c r="C123" i="33"/>
  <c r="J123" i="33"/>
  <c r="L124" i="33"/>
  <c r="C125" i="33"/>
  <c r="E126" i="33"/>
  <c r="L126" i="33"/>
  <c r="D128" i="33"/>
  <c r="K128" i="33"/>
  <c r="M129" i="33"/>
  <c r="D130" i="33"/>
  <c r="D123" i="33"/>
  <c r="K123" i="33"/>
  <c r="M124" i="33"/>
  <c r="D125" i="33"/>
  <c r="I126" i="33"/>
  <c r="M126" i="33"/>
  <c r="N127" i="33"/>
  <c r="E128" i="33"/>
  <c r="J129" i="33"/>
  <c r="N129" i="33"/>
  <c r="E123" i="33"/>
  <c r="L123" i="33"/>
  <c r="N124" i="33"/>
  <c r="E125" i="33"/>
  <c r="J126" i="33"/>
  <c r="N126" i="33"/>
  <c r="O127" i="33"/>
  <c r="I128" i="33"/>
  <c r="K129" i="33"/>
  <c r="O129" i="33"/>
  <c r="I123" i="33"/>
  <c r="M123" i="33"/>
  <c r="O124" i="33"/>
  <c r="I125" i="33"/>
  <c r="K126" i="33"/>
  <c r="O126" i="33"/>
  <c r="C128" i="33"/>
  <c r="J128" i="33"/>
  <c r="L129" i="33"/>
  <c r="C130" i="33"/>
  <c r="E122" i="33"/>
  <c r="L122" i="33"/>
  <c r="J122" i="33"/>
  <c r="N122" i="33"/>
  <c r="O122" i="33"/>
  <c r="C122" i="33"/>
  <c r="P122" i="33" s="1"/>
  <c r="O131" i="33"/>
  <c r="O162" i="33" s="1"/>
  <c r="O230" i="33" s="1"/>
  <c r="J152" i="33"/>
  <c r="J220" i="33" s="1"/>
  <c r="C152" i="33"/>
  <c r="C220" i="33" s="1"/>
  <c r="E131" i="33"/>
  <c r="E162" i="33" s="1"/>
  <c r="E230" i="33" s="1"/>
  <c r="N131" i="33"/>
  <c r="J34" i="33"/>
  <c r="K34" i="33" s="1"/>
  <c r="M34" i="33" s="1"/>
  <c r="Y54" i="36"/>
  <c r="C69" i="33"/>
  <c r="N162" i="33"/>
  <c r="N230" i="33" s="1"/>
  <c r="U54" i="36"/>
  <c r="Q54" i="36"/>
  <c r="O54" i="36"/>
  <c r="M54" i="36"/>
  <c r="C35" i="33"/>
  <c r="E35" i="33"/>
  <c r="I54" i="36"/>
  <c r="Z54" i="36"/>
  <c r="Z58" i="36" s="1"/>
  <c r="D131" i="33" l="1"/>
  <c r="D162" i="33" s="1"/>
  <c r="D230" i="33" s="1"/>
  <c r="I131" i="33"/>
  <c r="I162" i="33" s="1"/>
  <c r="I230" i="33" s="1"/>
  <c r="L131" i="33"/>
  <c r="L162" i="33" s="1"/>
  <c r="L230" i="33" s="1"/>
  <c r="K122" i="33"/>
  <c r="K153" i="33" s="1"/>
  <c r="K221" i="33" s="1"/>
  <c r="M122" i="33"/>
  <c r="N130" i="33"/>
  <c r="N161" i="33" s="1"/>
  <c r="N229" i="33" s="1"/>
  <c r="E129" i="33"/>
  <c r="E160" i="33" s="1"/>
  <c r="E228" i="33" s="1"/>
  <c r="L127" i="33"/>
  <c r="L158" i="33" s="1"/>
  <c r="L226" i="33" s="1"/>
  <c r="D126" i="33"/>
  <c r="K124" i="33"/>
  <c r="M130" i="33"/>
  <c r="M161" i="33" s="1"/>
  <c r="M229" i="33" s="1"/>
  <c r="D129" i="33"/>
  <c r="D160" i="33" s="1"/>
  <c r="D228" i="33" s="1"/>
  <c r="K127" i="33"/>
  <c r="C126" i="33"/>
  <c r="J124" i="33"/>
  <c r="J155" i="33" s="1"/>
  <c r="J223" i="33" s="1"/>
  <c r="L130" i="33"/>
  <c r="L161" i="33" s="1"/>
  <c r="L229" i="33" s="1"/>
  <c r="C129" i="33"/>
  <c r="J127" i="33"/>
  <c r="J158" i="33" s="1"/>
  <c r="J226" i="33" s="1"/>
  <c r="O125" i="33"/>
  <c r="O156" i="33" s="1"/>
  <c r="O224" i="33" s="1"/>
  <c r="I124" i="33"/>
  <c r="I155" i="33" s="1"/>
  <c r="I223" i="33" s="1"/>
  <c r="O130" i="33"/>
  <c r="I129" i="33"/>
  <c r="I160" i="33" s="1"/>
  <c r="I228" i="33" s="1"/>
  <c r="M127" i="33"/>
  <c r="M158" i="33" s="1"/>
  <c r="M226" i="33" s="1"/>
  <c r="N125" i="33"/>
  <c r="N156" i="33" s="1"/>
  <c r="N224" i="33" s="1"/>
  <c r="E124" i="33"/>
  <c r="M25" i="33"/>
  <c r="J131" i="33"/>
  <c r="J162" i="33" s="1"/>
  <c r="J230" i="33" s="1"/>
  <c r="K131" i="33"/>
  <c r="K162" i="33" s="1"/>
  <c r="K230" i="33" s="1"/>
  <c r="M131" i="33"/>
  <c r="M162" i="33" s="1"/>
  <c r="M230" i="33" s="1"/>
  <c r="D122" i="33"/>
  <c r="I122" i="33"/>
  <c r="J130" i="33"/>
  <c r="N128" i="33"/>
  <c r="E127" i="33"/>
  <c r="M125" i="33"/>
  <c r="D124" i="33"/>
  <c r="I130" i="33"/>
  <c r="M128" i="33"/>
  <c r="D127" i="33"/>
  <c r="L125" i="33"/>
  <c r="C124" i="33"/>
  <c r="E130" i="33"/>
  <c r="L128" i="33"/>
  <c r="L159" i="33" s="1"/>
  <c r="L227" i="33" s="1"/>
  <c r="C127" i="33"/>
  <c r="P127" i="33" s="1"/>
  <c r="K125" i="33"/>
  <c r="O123" i="33"/>
  <c r="K130" i="33"/>
  <c r="K161" i="33" s="1"/>
  <c r="K229" i="33" s="1"/>
  <c r="O128" i="33"/>
  <c r="O159" i="33" s="1"/>
  <c r="O227" i="33" s="1"/>
  <c r="I127" i="33"/>
  <c r="J125" i="33"/>
  <c r="J156" i="33" s="1"/>
  <c r="J224" i="33" s="1"/>
  <c r="I185" i="33"/>
  <c r="I250" i="33" s="1"/>
  <c r="H6" i="48"/>
  <c r="K185" i="33"/>
  <c r="K250" i="33" s="1"/>
  <c r="D220" i="33"/>
  <c r="D185" i="33"/>
  <c r="D250" i="33" s="1"/>
  <c r="O185" i="33"/>
  <c r="O250" i="33" s="1"/>
  <c r="C185" i="33"/>
  <c r="C250" i="33" s="1"/>
  <c r="D153" i="33"/>
  <c r="D221" i="33" s="1"/>
  <c r="I153" i="33"/>
  <c r="I221" i="33" s="1"/>
  <c r="J161" i="33"/>
  <c r="J229" i="33" s="1"/>
  <c r="N159" i="33"/>
  <c r="N227" i="33" s="1"/>
  <c r="E158" i="33"/>
  <c r="E226" i="33" s="1"/>
  <c r="M156" i="33"/>
  <c r="M224" i="33" s="1"/>
  <c r="D155" i="33"/>
  <c r="D223" i="33" s="1"/>
  <c r="I161" i="33"/>
  <c r="I229" i="33" s="1"/>
  <c r="M159" i="33"/>
  <c r="M227" i="33" s="1"/>
  <c r="D158" i="33"/>
  <c r="D226" i="33" s="1"/>
  <c r="L156" i="33"/>
  <c r="L224" i="33" s="1"/>
  <c r="P124" i="33"/>
  <c r="C155" i="33"/>
  <c r="C223" i="33" s="1"/>
  <c r="E161" i="33"/>
  <c r="E229" i="33" s="1"/>
  <c r="C158" i="33"/>
  <c r="C226" i="33" s="1"/>
  <c r="K156" i="33"/>
  <c r="K224" i="33" s="1"/>
  <c r="O154" i="33"/>
  <c r="O222" i="33" s="1"/>
  <c r="I158" i="33"/>
  <c r="I226" i="33" s="1"/>
  <c r="N154" i="33"/>
  <c r="N222" i="33" s="1"/>
  <c r="M185" i="33"/>
  <c r="M250" i="33" s="1"/>
  <c r="J185" i="33"/>
  <c r="J250" i="33" s="1"/>
  <c r="C153" i="33"/>
  <c r="C221" i="33" s="1"/>
  <c r="P221" i="33" s="1"/>
  <c r="N153" i="33"/>
  <c r="N221" i="33" s="1"/>
  <c r="L153" i="33"/>
  <c r="L221" i="33" s="1"/>
  <c r="P130" i="33"/>
  <c r="C161" i="33"/>
  <c r="C229" i="33" s="1"/>
  <c r="P229" i="33" s="1"/>
  <c r="J159" i="33"/>
  <c r="J227" i="33" s="1"/>
  <c r="O157" i="33"/>
  <c r="O225" i="33" s="1"/>
  <c r="I156" i="33"/>
  <c r="I224" i="33" s="1"/>
  <c r="M154" i="33"/>
  <c r="M222" i="33" s="1"/>
  <c r="O160" i="33"/>
  <c r="O228" i="33" s="1"/>
  <c r="I159" i="33"/>
  <c r="I227" i="33" s="1"/>
  <c r="N157" i="33"/>
  <c r="N225" i="33" s="1"/>
  <c r="E156" i="33"/>
  <c r="E224" i="33" s="1"/>
  <c r="L154" i="33"/>
  <c r="L222" i="33" s="1"/>
  <c r="N160" i="33"/>
  <c r="N228" i="33" s="1"/>
  <c r="E159" i="33"/>
  <c r="E227" i="33" s="1"/>
  <c r="M157" i="33"/>
  <c r="M225" i="33" s="1"/>
  <c r="D156" i="33"/>
  <c r="D224" i="33" s="1"/>
  <c r="K154" i="33"/>
  <c r="K222" i="33" s="1"/>
  <c r="D161" i="33"/>
  <c r="D229" i="33" s="1"/>
  <c r="K159" i="33"/>
  <c r="K227" i="33" s="1"/>
  <c r="L157" i="33"/>
  <c r="L225" i="33" s="1"/>
  <c r="P125" i="33"/>
  <c r="C156" i="33"/>
  <c r="C224" i="33" s="1"/>
  <c r="P224" i="33" s="1"/>
  <c r="J154" i="33"/>
  <c r="J222" i="33" s="1"/>
  <c r="O153" i="33"/>
  <c r="O221" i="33" s="1"/>
  <c r="J153" i="33"/>
  <c r="J221" i="33" s="1"/>
  <c r="E153" i="33"/>
  <c r="E221" i="33" s="1"/>
  <c r="L160" i="33"/>
  <c r="L228" i="33" s="1"/>
  <c r="P128" i="33"/>
  <c r="C159" i="33"/>
  <c r="C227" i="33" s="1"/>
  <c r="P227" i="33" s="1"/>
  <c r="K157" i="33"/>
  <c r="K225" i="33" s="1"/>
  <c r="O155" i="33"/>
  <c r="O223" i="33" s="1"/>
  <c r="P123" i="33"/>
  <c r="I154" i="33"/>
  <c r="I222" i="33" s="1"/>
  <c r="K160" i="33"/>
  <c r="K228" i="33" s="1"/>
  <c r="O158" i="33"/>
  <c r="O226" i="33" s="1"/>
  <c r="J157" i="33"/>
  <c r="J225" i="33" s="1"/>
  <c r="N155" i="33"/>
  <c r="N223" i="33" s="1"/>
  <c r="E154" i="33"/>
  <c r="E222" i="33" s="1"/>
  <c r="J160" i="33"/>
  <c r="J228" i="33" s="1"/>
  <c r="N158" i="33"/>
  <c r="N226" i="33" s="1"/>
  <c r="I157" i="33"/>
  <c r="I225" i="33" s="1"/>
  <c r="M155" i="33"/>
  <c r="M223" i="33" s="1"/>
  <c r="D154" i="33"/>
  <c r="D222" i="33" s="1"/>
  <c r="M160" i="33"/>
  <c r="M228" i="33" s="1"/>
  <c r="D159" i="33"/>
  <c r="D227" i="33" s="1"/>
  <c r="E157" i="33"/>
  <c r="E225" i="33" s="1"/>
  <c r="L155" i="33"/>
  <c r="L223" i="33" s="1"/>
  <c r="C154" i="33"/>
  <c r="C222" i="33" s="1"/>
  <c r="E120" i="33"/>
  <c r="L120" i="33"/>
  <c r="D120" i="33"/>
  <c r="I120" i="33"/>
  <c r="M120" i="33"/>
  <c r="C120" i="33"/>
  <c r="J120" i="33"/>
  <c r="N120" i="33"/>
  <c r="K120" i="33"/>
  <c r="O120" i="33"/>
  <c r="N185" i="33"/>
  <c r="N250" i="33" s="1"/>
  <c r="E185" i="33"/>
  <c r="E250" i="33" s="1"/>
  <c r="P250" i="33" s="1"/>
  <c r="L185" i="33"/>
  <c r="L250" i="33" s="1"/>
  <c r="P220" i="33"/>
  <c r="M153" i="33"/>
  <c r="M221" i="33" s="1"/>
  <c r="D157" i="33"/>
  <c r="D225" i="33" s="1"/>
  <c r="K155" i="33"/>
  <c r="K223" i="33" s="1"/>
  <c r="K158" i="33"/>
  <c r="K226" i="33" s="1"/>
  <c r="P126" i="33"/>
  <c r="C157" i="33"/>
  <c r="C225" i="33" s="1"/>
  <c r="P129" i="33"/>
  <c r="C160" i="33"/>
  <c r="C228" i="33" s="1"/>
  <c r="P228" i="33" s="1"/>
  <c r="O161" i="33"/>
  <c r="O229" i="33" s="1"/>
  <c r="E155" i="33"/>
  <c r="E223" i="33" s="1"/>
  <c r="J35" i="33"/>
  <c r="I35" i="33" s="1"/>
  <c r="D195" i="33"/>
  <c r="D260" i="33" s="1"/>
  <c r="O195" i="33"/>
  <c r="O260" i="33" s="1"/>
  <c r="E195" i="33"/>
  <c r="E260" i="33" s="1"/>
  <c r="M195" i="33"/>
  <c r="M260" i="33" s="1"/>
  <c r="N195" i="33"/>
  <c r="N260" i="33" s="1"/>
  <c r="P69" i="33"/>
  <c r="C131" i="33"/>
  <c r="P152" i="33"/>
  <c r="P153" i="33"/>
  <c r="M23" i="33"/>
  <c r="K35" i="33"/>
  <c r="L195" i="33" l="1"/>
  <c r="L260" i="33" s="1"/>
  <c r="P223" i="33"/>
  <c r="J195" i="33"/>
  <c r="J260" i="33" s="1"/>
  <c r="K195" i="33"/>
  <c r="K260" i="33" s="1"/>
  <c r="P156" i="33"/>
  <c r="P159" i="33"/>
  <c r="I195" i="33"/>
  <c r="I260" i="33" s="1"/>
  <c r="P226" i="33"/>
  <c r="L189" i="33"/>
  <c r="L254" i="33" s="1"/>
  <c r="L194" i="33"/>
  <c r="L259" i="33" s="1"/>
  <c r="C190" i="33"/>
  <c r="C255" i="33" s="1"/>
  <c r="P255" i="33" s="1"/>
  <c r="O186" i="33"/>
  <c r="O251" i="33" s="1"/>
  <c r="E186" i="33"/>
  <c r="E251" i="33" s="1"/>
  <c r="E194" i="33"/>
  <c r="E259" i="33" s="1"/>
  <c r="O192" i="33"/>
  <c r="O257" i="33" s="1"/>
  <c r="M192" i="33"/>
  <c r="M257" i="33" s="1"/>
  <c r="C191" i="33"/>
  <c r="C256" i="33" s="1"/>
  <c r="K190" i="33"/>
  <c r="K255" i="33" s="1"/>
  <c r="O187" i="33"/>
  <c r="O252" i="33" s="1"/>
  <c r="J187" i="33"/>
  <c r="J252" i="33" s="1"/>
  <c r="P158" i="33"/>
  <c r="K186" i="33"/>
  <c r="K251" i="33" s="1"/>
  <c r="P222" i="33"/>
  <c r="N186" i="33"/>
  <c r="N251" i="33" s="1"/>
  <c r="J194" i="33"/>
  <c r="J259" i="33" s="1"/>
  <c r="O188" i="33"/>
  <c r="O253" i="33" s="1"/>
  <c r="C192" i="33"/>
  <c r="C257" i="33" s="1"/>
  <c r="P257" i="33" s="1"/>
  <c r="C189" i="33"/>
  <c r="C254" i="33" s="1"/>
  <c r="I191" i="33"/>
  <c r="I256" i="33" s="1"/>
  <c r="K189" i="33"/>
  <c r="K254" i="33" s="1"/>
  <c r="L192" i="33"/>
  <c r="L257" i="33" s="1"/>
  <c r="C188" i="33"/>
  <c r="C253" i="33" s="1"/>
  <c r="E191" i="33"/>
  <c r="E256" i="33" s="1"/>
  <c r="P161" i="33"/>
  <c r="J188" i="33"/>
  <c r="J253" i="33" s="1"/>
  <c r="P225" i="33"/>
  <c r="J186" i="33"/>
  <c r="J251" i="33" s="1"/>
  <c r="C186" i="33"/>
  <c r="C251" i="33" s="1"/>
  <c r="N187" i="33"/>
  <c r="N252" i="33" s="1"/>
  <c r="D188" i="33"/>
  <c r="D253" i="33" s="1"/>
  <c r="N151" i="33"/>
  <c r="N219" i="33" s="1"/>
  <c r="N231" i="33" s="1"/>
  <c r="P160" i="33"/>
  <c r="P157" i="33"/>
  <c r="E188" i="33"/>
  <c r="E253" i="33" s="1"/>
  <c r="M191" i="33"/>
  <c r="M256" i="33" s="1"/>
  <c r="O194" i="33"/>
  <c r="O259" i="33" s="1"/>
  <c r="O189" i="33"/>
  <c r="O254" i="33" s="1"/>
  <c r="C193" i="33"/>
  <c r="C258" i="33" s="1"/>
  <c r="D193" i="33"/>
  <c r="D258" i="33" s="1"/>
  <c r="K188" i="33"/>
  <c r="K253" i="33" s="1"/>
  <c r="L191" i="33"/>
  <c r="L256" i="33" s="1"/>
  <c r="N194" i="33"/>
  <c r="N259" i="33" s="1"/>
  <c r="J151" i="33"/>
  <c r="J219" i="33" s="1"/>
  <c r="J231" i="33" s="1"/>
  <c r="D151" i="33"/>
  <c r="D219" i="33" s="1"/>
  <c r="D231" i="33" s="1"/>
  <c r="C187" i="33"/>
  <c r="C252" i="33" s="1"/>
  <c r="E190" i="33"/>
  <c r="E255" i="33" s="1"/>
  <c r="M193" i="33"/>
  <c r="M258" i="33" s="1"/>
  <c r="M188" i="33"/>
  <c r="M253" i="33" s="1"/>
  <c r="N191" i="33"/>
  <c r="N256" i="33" s="1"/>
  <c r="E187" i="33"/>
  <c r="E252" i="33" s="1"/>
  <c r="J190" i="33"/>
  <c r="J255" i="33" s="1"/>
  <c r="K193" i="33"/>
  <c r="K258" i="33" s="1"/>
  <c r="L193" i="33"/>
  <c r="L258" i="33" s="1"/>
  <c r="K192" i="33"/>
  <c r="K257" i="33" s="1"/>
  <c r="K187" i="33"/>
  <c r="K252" i="33" s="1"/>
  <c r="M190" i="33"/>
  <c r="M255" i="33" s="1"/>
  <c r="N193" i="33"/>
  <c r="N258" i="33" s="1"/>
  <c r="E189" i="33"/>
  <c r="E254" i="33" s="1"/>
  <c r="I192" i="33"/>
  <c r="I257" i="33" s="1"/>
  <c r="M187" i="33"/>
  <c r="M252" i="33" s="1"/>
  <c r="O190" i="33"/>
  <c r="O255" i="33" s="1"/>
  <c r="K194" i="33"/>
  <c r="K259" i="33" s="1"/>
  <c r="O151" i="33"/>
  <c r="O219" i="33" s="1"/>
  <c r="O231" i="33" s="1"/>
  <c r="L151" i="33"/>
  <c r="L219" i="33" s="1"/>
  <c r="L231" i="33" s="1"/>
  <c r="C194" i="33"/>
  <c r="C259" i="33" s="1"/>
  <c r="J189" i="33"/>
  <c r="J254" i="33" s="1"/>
  <c r="D191" i="33"/>
  <c r="D256" i="33" s="1"/>
  <c r="I194" i="33"/>
  <c r="I259" i="33" s="1"/>
  <c r="M189" i="33"/>
  <c r="M254" i="33" s="1"/>
  <c r="N192" i="33"/>
  <c r="N257" i="33" s="1"/>
  <c r="I186" i="33"/>
  <c r="I251" i="33" s="1"/>
  <c r="C151" i="33"/>
  <c r="C184" i="33" s="1"/>
  <c r="C249" i="33" s="1"/>
  <c r="P120" i="33"/>
  <c r="P154" i="33"/>
  <c r="P155" i="33"/>
  <c r="N189" i="33"/>
  <c r="N254" i="33" s="1"/>
  <c r="I193" i="33"/>
  <c r="I258" i="33" s="1"/>
  <c r="I188" i="33"/>
  <c r="I253" i="33" s="1"/>
  <c r="J191" i="33"/>
  <c r="J256" i="33" s="1"/>
  <c r="K191" i="33"/>
  <c r="K256" i="33" s="1"/>
  <c r="M194" i="33"/>
  <c r="M259" i="33" s="1"/>
  <c r="D190" i="33"/>
  <c r="D255" i="33" s="1"/>
  <c r="E193" i="33"/>
  <c r="E258" i="33" s="1"/>
  <c r="M186" i="33"/>
  <c r="M251" i="33" s="1"/>
  <c r="K151" i="33"/>
  <c r="K219" i="33" s="1"/>
  <c r="K231" i="33" s="1"/>
  <c r="M151" i="33"/>
  <c r="M219" i="33" s="1"/>
  <c r="M231" i="33" s="1"/>
  <c r="E151" i="33"/>
  <c r="E219" i="33" s="1"/>
  <c r="E231" i="33" s="1"/>
  <c r="L188" i="33"/>
  <c r="L253" i="33" s="1"/>
  <c r="D192" i="33"/>
  <c r="D257" i="33" s="1"/>
  <c r="D187" i="33"/>
  <c r="D252" i="33" s="1"/>
  <c r="I190" i="33"/>
  <c r="I255" i="33" s="1"/>
  <c r="J193" i="33"/>
  <c r="J258" i="33" s="1"/>
  <c r="N188" i="33"/>
  <c r="N253" i="33" s="1"/>
  <c r="O191" i="33"/>
  <c r="O256" i="33" s="1"/>
  <c r="I187" i="33"/>
  <c r="I252" i="33" s="1"/>
  <c r="L190" i="33"/>
  <c r="L255" i="33" s="1"/>
  <c r="D194" i="33"/>
  <c r="D259" i="33" s="1"/>
  <c r="P259" i="33" s="1"/>
  <c r="D189" i="33"/>
  <c r="D254" i="33" s="1"/>
  <c r="E192" i="33"/>
  <c r="E257" i="33" s="1"/>
  <c r="L187" i="33"/>
  <c r="L252" i="33" s="1"/>
  <c r="N190" i="33"/>
  <c r="N255" i="33" s="1"/>
  <c r="O193" i="33"/>
  <c r="O258" i="33" s="1"/>
  <c r="P258" i="33" s="1"/>
  <c r="I189" i="33"/>
  <c r="I254" i="33" s="1"/>
  <c r="J192" i="33"/>
  <c r="J257" i="33" s="1"/>
  <c r="L186" i="33"/>
  <c r="L251" i="33" s="1"/>
  <c r="D186" i="33"/>
  <c r="D251" i="33" s="1"/>
  <c r="I151" i="33"/>
  <c r="I219" i="33" s="1"/>
  <c r="I231" i="33" s="1"/>
  <c r="C162" i="33"/>
  <c r="C230" i="33" s="1"/>
  <c r="P131" i="33"/>
  <c r="P253" i="33"/>
  <c r="P185" i="33"/>
  <c r="M35" i="33"/>
  <c r="P188" i="33" l="1"/>
  <c r="P191" i="33"/>
  <c r="P192" i="33"/>
  <c r="P187" i="33"/>
  <c r="M184" i="33"/>
  <c r="M249" i="33" s="1"/>
  <c r="M261" i="33" s="1"/>
  <c r="P189" i="33"/>
  <c r="P193" i="33"/>
  <c r="P254" i="33"/>
  <c r="P252" i="33"/>
  <c r="D184" i="33"/>
  <c r="D249" i="33" s="1"/>
  <c r="D261" i="33" s="1"/>
  <c r="J184" i="33"/>
  <c r="J249" i="33" s="1"/>
  <c r="J261" i="33" s="1"/>
  <c r="P190" i="33"/>
  <c r="I184" i="33"/>
  <c r="I249" i="33" s="1"/>
  <c r="I261" i="33" s="1"/>
  <c r="C219" i="33"/>
  <c r="P219" i="33" s="1"/>
  <c r="P151" i="33"/>
  <c r="Q152" i="33" s="1"/>
  <c r="Q153" i="33" s="1"/>
  <c r="Q154" i="33" s="1"/>
  <c r="Q155" i="33" s="1"/>
  <c r="Q156" i="33" s="1"/>
  <c r="Q157" i="33" s="1"/>
  <c r="Q158" i="33" s="1"/>
  <c r="Q159" i="33" s="1"/>
  <c r="Q160" i="33" s="1"/>
  <c r="Q161" i="33" s="1"/>
  <c r="O184" i="33"/>
  <c r="O249" i="33" s="1"/>
  <c r="O261" i="33" s="1"/>
  <c r="P186" i="33"/>
  <c r="E184" i="33"/>
  <c r="K184" i="33"/>
  <c r="K249" i="33" s="1"/>
  <c r="K261" i="33" s="1"/>
  <c r="L184" i="33"/>
  <c r="L249" i="33" s="1"/>
  <c r="L261" i="33" s="1"/>
  <c r="N184" i="33"/>
  <c r="N249" i="33" s="1"/>
  <c r="N261" i="33" s="1"/>
  <c r="P230" i="33"/>
  <c r="P231" i="33" s="1"/>
  <c r="F124" i="35" s="1"/>
  <c r="C195" i="33"/>
  <c r="C260" i="33" s="1"/>
  <c r="P256" i="33"/>
  <c r="P251" i="33"/>
  <c r="M163" i="33"/>
  <c r="L163" i="33"/>
  <c r="D163" i="33"/>
  <c r="N163" i="33"/>
  <c r="O163" i="33"/>
  <c r="C163" i="33"/>
  <c r="E163" i="33"/>
  <c r="K163" i="33"/>
  <c r="I163" i="33"/>
  <c r="J163" i="33"/>
  <c r="C231" i="33" l="1"/>
  <c r="E249" i="33"/>
  <c r="P184" i="33"/>
  <c r="Q185" i="33" s="1"/>
  <c r="Q186" i="33" s="1"/>
  <c r="Q187" i="33" s="1"/>
  <c r="Q188" i="33" s="1"/>
  <c r="Q189" i="33" s="1"/>
  <c r="Q190" i="33" s="1"/>
  <c r="Q191" i="33" s="1"/>
  <c r="Q192" i="33" s="1"/>
  <c r="Q193" i="33" s="1"/>
  <c r="F114" i="35"/>
  <c r="P260" i="33"/>
  <c r="C261" i="33"/>
  <c r="F125" i="35"/>
  <c r="F126" i="35" s="1"/>
  <c r="G129" i="35"/>
  <c r="E43" i="35" s="1"/>
  <c r="P162" i="33"/>
  <c r="Q162" i="33" s="1"/>
  <c r="E261" i="33" l="1"/>
  <c r="P249" i="33"/>
  <c r="P261" i="33" s="1"/>
  <c r="D15" i="49" s="1"/>
  <c r="D17" i="49" s="1"/>
  <c r="P163" i="33"/>
  <c r="P194" i="33"/>
  <c r="C143" i="35"/>
  <c r="F163" i="35" s="1"/>
  <c r="Q194" i="33" l="1"/>
  <c r="F153" i="35"/>
  <c r="D10" i="42" l="1"/>
  <c r="D8" i="42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F309" i="35" l="1"/>
  <c r="F280" i="35"/>
  <c r="E241" i="35" l="1"/>
  <c r="E208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C74" i="33" l="1"/>
  <c r="D74" i="33"/>
  <c r="E74" i="33"/>
  <c r="I74" i="33"/>
  <c r="J74" i="33"/>
  <c r="K74" i="33"/>
  <c r="L74" i="33"/>
  <c r="M74" i="33"/>
  <c r="N74" i="33"/>
  <c r="O74" i="33"/>
  <c r="C75" i="33"/>
  <c r="D75" i="33"/>
  <c r="E75" i="33"/>
  <c r="I75" i="33"/>
  <c r="J75" i="33"/>
  <c r="K75" i="33"/>
  <c r="L75" i="33"/>
  <c r="M75" i="33"/>
  <c r="N75" i="33"/>
  <c r="O75" i="33"/>
  <c r="C76" i="33"/>
  <c r="D76" i="33"/>
  <c r="E76" i="33"/>
  <c r="I76" i="33"/>
  <c r="J76" i="33"/>
  <c r="K76" i="33"/>
  <c r="L76" i="33"/>
  <c r="M76" i="33"/>
  <c r="N76" i="33"/>
  <c r="O76" i="33"/>
  <c r="C77" i="33"/>
  <c r="D77" i="33"/>
  <c r="E77" i="33"/>
  <c r="I77" i="33"/>
  <c r="J77" i="33"/>
  <c r="K77" i="33"/>
  <c r="L77" i="33"/>
  <c r="M77" i="33"/>
  <c r="N77" i="33"/>
  <c r="O77" i="33"/>
  <c r="C78" i="33"/>
  <c r="D78" i="33"/>
  <c r="E78" i="33"/>
  <c r="I78" i="33"/>
  <c r="J78" i="33"/>
  <c r="K78" i="33"/>
  <c r="L78" i="33"/>
  <c r="M78" i="33"/>
  <c r="N78" i="33"/>
  <c r="O78" i="33"/>
  <c r="C79" i="33"/>
  <c r="D79" i="33"/>
  <c r="E79" i="33"/>
  <c r="I79" i="33"/>
  <c r="J79" i="33"/>
  <c r="K79" i="33"/>
  <c r="L79" i="33"/>
  <c r="M79" i="33"/>
  <c r="N79" i="33"/>
  <c r="O79" i="33"/>
  <c r="C80" i="33"/>
  <c r="D80" i="33"/>
  <c r="E80" i="33"/>
  <c r="I80" i="33"/>
  <c r="J80" i="33"/>
  <c r="K80" i="33"/>
  <c r="L80" i="33"/>
  <c r="M80" i="33"/>
  <c r="N80" i="33"/>
  <c r="O80" i="33"/>
  <c r="C81" i="33"/>
  <c r="D81" i="33"/>
  <c r="E81" i="33"/>
  <c r="I81" i="33"/>
  <c r="J81" i="33"/>
  <c r="K81" i="33"/>
  <c r="L81" i="33"/>
  <c r="M81" i="33"/>
  <c r="N81" i="33"/>
  <c r="O81" i="33"/>
  <c r="C82" i="33"/>
  <c r="D82" i="33"/>
  <c r="E82" i="33"/>
  <c r="I82" i="33"/>
  <c r="J82" i="33"/>
  <c r="K82" i="33"/>
  <c r="L82" i="33"/>
  <c r="M82" i="33"/>
  <c r="N82" i="33"/>
  <c r="O82" i="33"/>
  <c r="C83" i="33"/>
  <c r="D83" i="33"/>
  <c r="E83" i="33"/>
  <c r="I83" i="33"/>
  <c r="J83" i="33"/>
  <c r="K83" i="33"/>
  <c r="L83" i="33"/>
  <c r="M83" i="33"/>
  <c r="N83" i="33"/>
  <c r="O83" i="33"/>
  <c r="C84" i="33"/>
  <c r="D84" i="33"/>
  <c r="E84" i="33"/>
  <c r="I84" i="33"/>
  <c r="J84" i="33"/>
  <c r="K84" i="33"/>
  <c r="L84" i="33"/>
  <c r="M84" i="33"/>
  <c r="N84" i="33"/>
  <c r="O84" i="33"/>
  <c r="L20" i="33"/>
  <c r="L19" i="33"/>
  <c r="L18" i="33"/>
  <c r="L17" i="33"/>
  <c r="L16" i="33"/>
  <c r="L15" i="33"/>
  <c r="L14" i="33"/>
  <c r="L13" i="33"/>
  <c r="L12" i="33"/>
  <c r="D20" i="33"/>
  <c r="D19" i="33"/>
  <c r="D18" i="33"/>
  <c r="P12" i="40" l="1"/>
  <c r="F8" i="42" s="1"/>
  <c r="G8" i="42" s="1"/>
  <c r="G10" i="40" l="1"/>
  <c r="G14" i="40" s="1"/>
  <c r="G16" i="40" s="1"/>
  <c r="G18" i="40" s="1"/>
  <c r="H10" i="40"/>
  <c r="H14" i="40" s="1"/>
  <c r="H16" i="40" s="1"/>
  <c r="H18" i="40" s="1"/>
  <c r="I10" i="40"/>
  <c r="I14" i="40" s="1"/>
  <c r="I16" i="40" s="1"/>
  <c r="I18" i="40" s="1"/>
  <c r="J10" i="40"/>
  <c r="J14" i="40" s="1"/>
  <c r="J16" i="40" s="1"/>
  <c r="J18" i="40" s="1"/>
  <c r="K10" i="40"/>
  <c r="K14" i="40" s="1"/>
  <c r="K16" i="40" s="1"/>
  <c r="K18" i="40" s="1"/>
  <c r="L10" i="40"/>
  <c r="L14" i="40" s="1"/>
  <c r="L16" i="40" s="1"/>
  <c r="L18" i="40" s="1"/>
  <c r="M10" i="40"/>
  <c r="M14" i="40" s="1"/>
  <c r="M16" i="40" s="1"/>
  <c r="M18" i="40" s="1"/>
  <c r="N10" i="40"/>
  <c r="N14" i="40" s="1"/>
  <c r="N16" i="40" s="1"/>
  <c r="N18" i="40" s="1"/>
  <c r="Z37" i="36"/>
  <c r="X35" i="36"/>
  <c r="Y33" i="36" s="1"/>
  <c r="N57" i="33" s="1"/>
  <c r="V35" i="36"/>
  <c r="W34" i="36" s="1"/>
  <c r="O56" i="33" s="1"/>
  <c r="T35" i="36"/>
  <c r="U33" i="36" s="1"/>
  <c r="N55" i="33" s="1"/>
  <c r="R35" i="36"/>
  <c r="S34" i="36" s="1"/>
  <c r="O54" i="33" s="1"/>
  <c r="P35" i="36"/>
  <c r="P39" i="36" s="1"/>
  <c r="C16" i="33" s="1"/>
  <c r="N35" i="36"/>
  <c r="O34" i="36" s="1"/>
  <c r="O52" i="33" s="1"/>
  <c r="Z26" i="36"/>
  <c r="Z27" i="36"/>
  <c r="Z28" i="36"/>
  <c r="Z29" i="36"/>
  <c r="Z30" i="36"/>
  <c r="Z31" i="36"/>
  <c r="Z32" i="36"/>
  <c r="Z33" i="36"/>
  <c r="Z34" i="36"/>
  <c r="Z25" i="36"/>
  <c r="F208" i="35"/>
  <c r="E16" i="33" l="1"/>
  <c r="G16" i="33"/>
  <c r="Y34" i="36"/>
  <c r="O57" i="33" s="1"/>
  <c r="X39" i="36"/>
  <c r="Y26" i="36"/>
  <c r="D57" i="33" s="1"/>
  <c r="Y27" i="36"/>
  <c r="E57" i="33" s="1"/>
  <c r="Y30" i="36"/>
  <c r="J57" i="33" s="1"/>
  <c r="Y31" i="36"/>
  <c r="L57" i="33" s="1"/>
  <c r="Y28" i="36"/>
  <c r="I57" i="33" s="1"/>
  <c r="Y32" i="36"/>
  <c r="M57" i="33" s="1"/>
  <c r="Y25" i="36"/>
  <c r="C57" i="33" s="1"/>
  <c r="Y29" i="36"/>
  <c r="K57" i="33" s="1"/>
  <c r="V39" i="36"/>
  <c r="W27" i="36"/>
  <c r="E56" i="33" s="1"/>
  <c r="W31" i="36"/>
  <c r="L56" i="33" s="1"/>
  <c r="U27" i="36"/>
  <c r="E55" i="33" s="1"/>
  <c r="U30" i="36"/>
  <c r="J55" i="33" s="1"/>
  <c r="U31" i="36"/>
  <c r="L55" i="33" s="1"/>
  <c r="U26" i="36"/>
  <c r="D55" i="33" s="1"/>
  <c r="U34" i="36"/>
  <c r="O55" i="33" s="1"/>
  <c r="T39" i="36"/>
  <c r="U28" i="36"/>
  <c r="I55" i="33" s="1"/>
  <c r="U32" i="36"/>
  <c r="M55" i="33" s="1"/>
  <c r="U25" i="36"/>
  <c r="C55" i="33" s="1"/>
  <c r="U29" i="36"/>
  <c r="K55" i="33" s="1"/>
  <c r="S27" i="36"/>
  <c r="E54" i="33" s="1"/>
  <c r="R39" i="36"/>
  <c r="S31" i="36"/>
  <c r="L54" i="33" s="1"/>
  <c r="Q34" i="36"/>
  <c r="O53" i="33" s="1"/>
  <c r="Q25" i="36"/>
  <c r="C53" i="33" s="1"/>
  <c r="Q26" i="36"/>
  <c r="D53" i="33" s="1"/>
  <c r="Q28" i="36"/>
  <c r="I53" i="33" s="1"/>
  <c r="Q27" i="36"/>
  <c r="E53" i="33" s="1"/>
  <c r="Q29" i="36"/>
  <c r="K53" i="33" s="1"/>
  <c r="Q30" i="36"/>
  <c r="J53" i="33" s="1"/>
  <c r="Q31" i="36"/>
  <c r="L53" i="33" s="1"/>
  <c r="Q32" i="36"/>
  <c r="M53" i="33" s="1"/>
  <c r="Q33" i="36"/>
  <c r="N53" i="33" s="1"/>
  <c r="O27" i="36"/>
  <c r="E52" i="33" s="1"/>
  <c r="O31" i="36"/>
  <c r="L52" i="33" s="1"/>
  <c r="N39" i="36"/>
  <c r="C15" i="33" s="1"/>
  <c r="E15" i="33" s="1"/>
  <c r="O28" i="36"/>
  <c r="I52" i="33" s="1"/>
  <c r="O32" i="36"/>
  <c r="M52" i="33" s="1"/>
  <c r="S28" i="36"/>
  <c r="I54" i="33" s="1"/>
  <c r="S32" i="36"/>
  <c r="M54" i="33" s="1"/>
  <c r="W28" i="36"/>
  <c r="I56" i="33" s="1"/>
  <c r="W32" i="36"/>
  <c r="M56" i="33" s="1"/>
  <c r="O25" i="36"/>
  <c r="O29" i="36"/>
  <c r="K52" i="33" s="1"/>
  <c r="O33" i="36"/>
  <c r="N52" i="33" s="1"/>
  <c r="S25" i="36"/>
  <c r="C54" i="33" s="1"/>
  <c r="S29" i="36"/>
  <c r="K54" i="33" s="1"/>
  <c r="S33" i="36"/>
  <c r="N54" i="33" s="1"/>
  <c r="W25" i="36"/>
  <c r="C56" i="33" s="1"/>
  <c r="W29" i="36"/>
  <c r="K56" i="33" s="1"/>
  <c r="W33" i="36"/>
  <c r="N56" i="33" s="1"/>
  <c r="O26" i="36"/>
  <c r="D52" i="33" s="1"/>
  <c r="O30" i="36"/>
  <c r="J52" i="33" s="1"/>
  <c r="S26" i="36"/>
  <c r="D54" i="33" s="1"/>
  <c r="S30" i="36"/>
  <c r="J54" i="33" s="1"/>
  <c r="W26" i="36"/>
  <c r="D56" i="33" s="1"/>
  <c r="W30" i="36"/>
  <c r="J56" i="33" s="1"/>
  <c r="C210" i="35"/>
  <c r="F230" i="35" s="1"/>
  <c r="F220" i="35" s="1"/>
  <c r="C20" i="33" l="1"/>
  <c r="X40" i="36"/>
  <c r="C19" i="33"/>
  <c r="V40" i="36"/>
  <c r="C18" i="33"/>
  <c r="T40" i="36"/>
  <c r="C17" i="33"/>
  <c r="R40" i="36"/>
  <c r="H16" i="33"/>
  <c r="M16" i="33" s="1"/>
  <c r="M15" i="33"/>
  <c r="R15" i="33"/>
  <c r="P56" i="33"/>
  <c r="P55" i="33"/>
  <c r="P54" i="33"/>
  <c r="P53" i="33"/>
  <c r="P57" i="33"/>
  <c r="E111" i="33"/>
  <c r="L111" i="33"/>
  <c r="I111" i="33"/>
  <c r="M111" i="33"/>
  <c r="N111" i="33"/>
  <c r="K111" i="33"/>
  <c r="C111" i="33"/>
  <c r="J111" i="33"/>
  <c r="D111" i="33"/>
  <c r="O111" i="33"/>
  <c r="Y35" i="36"/>
  <c r="W35" i="36"/>
  <c r="U35" i="36"/>
  <c r="S35" i="36"/>
  <c r="Q35" i="36"/>
  <c r="O35" i="36"/>
  <c r="C52" i="33"/>
  <c r="P52" i="33" s="1"/>
  <c r="I110" i="33"/>
  <c r="M110" i="33"/>
  <c r="E110" i="33"/>
  <c r="J110" i="33"/>
  <c r="N110" i="33"/>
  <c r="L110" i="33"/>
  <c r="D110" i="33"/>
  <c r="K110" i="33"/>
  <c r="O110" i="33"/>
  <c r="E20" i="33" l="1"/>
  <c r="G20" i="33"/>
  <c r="E19" i="33"/>
  <c r="G19" i="33"/>
  <c r="E18" i="33"/>
  <c r="G18" i="33"/>
  <c r="E17" i="33"/>
  <c r="G17" i="33"/>
  <c r="R16" i="33"/>
  <c r="P111" i="33"/>
  <c r="C110" i="33"/>
  <c r="H20" i="33" l="1"/>
  <c r="J20" i="33" s="1"/>
  <c r="H19" i="33"/>
  <c r="J19" i="33" s="1"/>
  <c r="H18" i="33"/>
  <c r="H17" i="33"/>
  <c r="P110" i="33"/>
  <c r="F283" i="35"/>
  <c r="R20" i="33" l="1"/>
  <c r="L115" i="33"/>
  <c r="O115" i="33"/>
  <c r="I115" i="33"/>
  <c r="D115" i="33"/>
  <c r="E115" i="33"/>
  <c r="K115" i="33"/>
  <c r="J115" i="33"/>
  <c r="C115" i="33"/>
  <c r="M115" i="33"/>
  <c r="M20" i="33"/>
  <c r="N115" i="33"/>
  <c r="R19" i="33"/>
  <c r="C114" i="33"/>
  <c r="L114" i="33"/>
  <c r="K114" i="33"/>
  <c r="J114" i="33"/>
  <c r="O114" i="33"/>
  <c r="N114" i="33"/>
  <c r="M114" i="33"/>
  <c r="M19" i="33"/>
  <c r="E114" i="33"/>
  <c r="D114" i="33"/>
  <c r="I114" i="33"/>
  <c r="R18" i="33"/>
  <c r="N113" i="33"/>
  <c r="E113" i="33"/>
  <c r="C113" i="33"/>
  <c r="P113" i="33" s="1"/>
  <c r="K113" i="33"/>
  <c r="I113" i="33"/>
  <c r="J113" i="33"/>
  <c r="M18" i="33"/>
  <c r="D113" i="33"/>
  <c r="L113" i="33"/>
  <c r="O113" i="33"/>
  <c r="M113" i="33"/>
  <c r="R17" i="33"/>
  <c r="N112" i="33"/>
  <c r="L112" i="33"/>
  <c r="D112" i="33"/>
  <c r="K112" i="33"/>
  <c r="O112" i="33"/>
  <c r="M17" i="33"/>
  <c r="I112" i="33"/>
  <c r="E112" i="33"/>
  <c r="J112" i="33"/>
  <c r="M112" i="33"/>
  <c r="C112" i="33"/>
  <c r="F363" i="35"/>
  <c r="F362" i="35"/>
  <c r="C364" i="35"/>
  <c r="C338" i="35"/>
  <c r="F351" i="35" s="1"/>
  <c r="G352" i="35" s="1"/>
  <c r="F337" i="35"/>
  <c r="F336" i="35"/>
  <c r="P115" i="33" l="1"/>
  <c r="P114" i="33"/>
  <c r="P112" i="33"/>
  <c r="F258" i="35"/>
  <c r="F259" i="35" s="1"/>
  <c r="F364" i="35"/>
  <c r="F368" i="35" s="1"/>
  <c r="F338" i="35"/>
  <c r="F342" i="35" s="1"/>
  <c r="F370" i="35"/>
  <c r="F377" i="35"/>
  <c r="G378" i="35" s="1"/>
  <c r="F344" i="35"/>
  <c r="D12" i="42" l="1"/>
  <c r="D14" i="42" s="1"/>
  <c r="C14" i="42"/>
  <c r="G372" i="35"/>
  <c r="F227" i="35"/>
  <c r="F228" i="35" s="1"/>
  <c r="G231" i="35"/>
  <c r="E142" i="35" s="1"/>
  <c r="G346" i="35"/>
  <c r="G354" i="35" s="1"/>
  <c r="G380" i="35"/>
  <c r="F142" i="35" l="1"/>
  <c r="E75" i="35"/>
  <c r="F75" i="35" s="1"/>
  <c r="D15" i="48"/>
  <c r="J35" i="36"/>
  <c r="D17" i="48" l="1"/>
  <c r="K31" i="36"/>
  <c r="L50" i="33" s="1"/>
  <c r="K27" i="36"/>
  <c r="E50" i="33" s="1"/>
  <c r="K28" i="36"/>
  <c r="I50" i="33" s="1"/>
  <c r="K34" i="36"/>
  <c r="O50" i="33" s="1"/>
  <c r="K30" i="36"/>
  <c r="J50" i="33" s="1"/>
  <c r="K26" i="36"/>
  <c r="D50" i="33" s="1"/>
  <c r="K32" i="36"/>
  <c r="M50" i="33" s="1"/>
  <c r="K33" i="36"/>
  <c r="N50" i="33" s="1"/>
  <c r="K29" i="36"/>
  <c r="K50" i="33" s="1"/>
  <c r="K25" i="36"/>
  <c r="C50" i="33" s="1"/>
  <c r="H8" i="42" l="1"/>
  <c r="P50" i="33"/>
  <c r="J73" i="33"/>
  <c r="K73" i="33"/>
  <c r="L73" i="33"/>
  <c r="M73" i="33"/>
  <c r="N73" i="33"/>
  <c r="O73" i="33"/>
  <c r="D73" i="33"/>
  <c r="E73" i="33"/>
  <c r="I73" i="33"/>
  <c r="C73" i="33"/>
  <c r="L11" i="33"/>
  <c r="L10" i="33"/>
  <c r="L9" i="33"/>
  <c r="I132" i="33" l="1"/>
  <c r="I196" i="33"/>
  <c r="J132" i="33"/>
  <c r="J196" i="33"/>
  <c r="K132" i="33"/>
  <c r="K196" i="33"/>
  <c r="E132" i="33"/>
  <c r="E196" i="33"/>
  <c r="M132" i="33"/>
  <c r="M196" i="33"/>
  <c r="C196" i="33"/>
  <c r="O132" i="33"/>
  <c r="O196" i="33"/>
  <c r="N132" i="33"/>
  <c r="N196" i="33"/>
  <c r="D132" i="33"/>
  <c r="D196" i="33"/>
  <c r="L132" i="33"/>
  <c r="L196" i="33"/>
  <c r="C132" i="33"/>
  <c r="F406" i="35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P195" i="33" l="1"/>
  <c r="P132" i="33"/>
  <c r="B20" i="36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P196" i="33" l="1"/>
  <c r="Q195" i="33"/>
  <c r="P133" i="33"/>
  <c r="O133" i="33"/>
  <c r="E133" i="33"/>
  <c r="D133" i="33"/>
  <c r="J133" i="33"/>
  <c r="K133" i="33"/>
  <c r="N133" i="33"/>
  <c r="I133" i="33"/>
  <c r="L133" i="33"/>
  <c r="M133" i="33"/>
  <c r="C133" i="33"/>
  <c r="AC16" i="36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277" i="35"/>
  <c r="F275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H35" i="36"/>
  <c r="F35" i="36"/>
  <c r="D35" i="36"/>
  <c r="B35" i="36"/>
  <c r="M13" i="33" l="1"/>
  <c r="R13" i="33"/>
  <c r="C108" i="33"/>
  <c r="J108" i="33"/>
  <c r="N108" i="33"/>
  <c r="M108" i="33"/>
  <c r="D108" i="33"/>
  <c r="K108" i="33"/>
  <c r="O108" i="33"/>
  <c r="E108" i="33"/>
  <c r="L108" i="33"/>
  <c r="I108" i="33"/>
  <c r="M33" i="36"/>
  <c r="N51" i="33" s="1"/>
  <c r="M29" i="36"/>
  <c r="K51" i="33" s="1"/>
  <c r="M25" i="36"/>
  <c r="C51" i="33" s="1"/>
  <c r="M32" i="36"/>
  <c r="M51" i="33" s="1"/>
  <c r="M28" i="36"/>
  <c r="I51" i="33" s="1"/>
  <c r="M30" i="36"/>
  <c r="J51" i="33" s="1"/>
  <c r="M31" i="36"/>
  <c r="L51" i="33" s="1"/>
  <c r="M27" i="36"/>
  <c r="E51" i="33" s="1"/>
  <c r="M26" i="36"/>
  <c r="D51" i="33" s="1"/>
  <c r="M34" i="36"/>
  <c r="O51" i="33" s="1"/>
  <c r="F39" i="36"/>
  <c r="E11" i="33" s="1"/>
  <c r="H11" i="33" s="1"/>
  <c r="G31" i="36"/>
  <c r="L48" i="33" s="1"/>
  <c r="G27" i="36"/>
  <c r="E48" i="33" s="1"/>
  <c r="G32" i="36"/>
  <c r="M48" i="33" s="1"/>
  <c r="G34" i="36"/>
  <c r="O48" i="33" s="1"/>
  <c r="G30" i="36"/>
  <c r="J48" i="33" s="1"/>
  <c r="G26" i="36"/>
  <c r="D48" i="33" s="1"/>
  <c r="G28" i="36"/>
  <c r="I48" i="33" s="1"/>
  <c r="G33" i="36"/>
  <c r="N48" i="33" s="1"/>
  <c r="G29" i="36"/>
  <c r="K48" i="33" s="1"/>
  <c r="G25" i="36"/>
  <c r="C48" i="33" s="1"/>
  <c r="H39" i="36"/>
  <c r="E12" i="33" s="1"/>
  <c r="H12" i="33" s="1"/>
  <c r="I33" i="36"/>
  <c r="N49" i="33" s="1"/>
  <c r="I29" i="36"/>
  <c r="K49" i="33" s="1"/>
  <c r="I25" i="36"/>
  <c r="C49" i="33" s="1"/>
  <c r="I32" i="36"/>
  <c r="M49" i="33" s="1"/>
  <c r="I28" i="36"/>
  <c r="I49" i="33" s="1"/>
  <c r="I30" i="36"/>
  <c r="J49" i="33" s="1"/>
  <c r="I31" i="36"/>
  <c r="L49" i="33" s="1"/>
  <c r="I27" i="36"/>
  <c r="E49" i="33" s="1"/>
  <c r="I34" i="36"/>
  <c r="O49" i="33" s="1"/>
  <c r="I26" i="36"/>
  <c r="D49" i="33" s="1"/>
  <c r="D39" i="36"/>
  <c r="E10" i="33" s="1"/>
  <c r="H10" i="33" s="1"/>
  <c r="E33" i="36"/>
  <c r="N47" i="33" s="1"/>
  <c r="E29" i="36"/>
  <c r="K47" i="33" s="1"/>
  <c r="E25" i="36"/>
  <c r="C47" i="33" s="1"/>
  <c r="E32" i="36"/>
  <c r="M47" i="33" s="1"/>
  <c r="E28" i="36"/>
  <c r="I47" i="33" s="1"/>
  <c r="E30" i="36"/>
  <c r="J47" i="33" s="1"/>
  <c r="E31" i="36"/>
  <c r="L47" i="33" s="1"/>
  <c r="E27" i="36"/>
  <c r="E47" i="33" s="1"/>
  <c r="E34" i="36"/>
  <c r="O47" i="33" s="1"/>
  <c r="E26" i="36"/>
  <c r="D47" i="33" s="1"/>
  <c r="B39" i="36"/>
  <c r="E9" i="33" s="1"/>
  <c r="H9" i="33" s="1"/>
  <c r="C31" i="36"/>
  <c r="L46" i="33" s="1"/>
  <c r="C27" i="36"/>
  <c r="E46" i="33" s="1"/>
  <c r="C32" i="36"/>
  <c r="M46" i="33" s="1"/>
  <c r="C34" i="36"/>
  <c r="O46" i="33" s="1"/>
  <c r="C30" i="36"/>
  <c r="J46" i="33" s="1"/>
  <c r="C26" i="36"/>
  <c r="D46" i="33" s="1"/>
  <c r="C33" i="36"/>
  <c r="N46" i="33" s="1"/>
  <c r="C29" i="36"/>
  <c r="K46" i="33" s="1"/>
  <c r="C25" i="36"/>
  <c r="C46" i="33" s="1"/>
  <c r="C28" i="36"/>
  <c r="I46" i="33" s="1"/>
  <c r="Z35" i="36"/>
  <c r="L39" i="36"/>
  <c r="C14" i="33" s="1"/>
  <c r="E14" i="33" s="1"/>
  <c r="H21" i="33" l="1"/>
  <c r="M14" i="33"/>
  <c r="R14" i="33"/>
  <c r="AA29" i="36"/>
  <c r="AA50" i="36"/>
  <c r="AA51" i="36"/>
  <c r="AA53" i="36"/>
  <c r="AA47" i="36"/>
  <c r="AA44" i="36"/>
  <c r="AA46" i="36"/>
  <c r="AA48" i="36"/>
  <c r="AA52" i="36"/>
  <c r="AA49" i="36"/>
  <c r="AA45" i="36"/>
  <c r="P47" i="33"/>
  <c r="P48" i="33"/>
  <c r="P51" i="33"/>
  <c r="C109" i="33"/>
  <c r="J109" i="33"/>
  <c r="N109" i="33"/>
  <c r="D109" i="33"/>
  <c r="K109" i="33"/>
  <c r="O109" i="33"/>
  <c r="M109" i="33"/>
  <c r="E109" i="33"/>
  <c r="L109" i="33"/>
  <c r="I109" i="33"/>
  <c r="P108" i="33"/>
  <c r="P49" i="33"/>
  <c r="AA31" i="36"/>
  <c r="AA30" i="36"/>
  <c r="AA25" i="36"/>
  <c r="P46" i="33"/>
  <c r="AA28" i="36"/>
  <c r="AA33" i="36"/>
  <c r="AA32" i="36"/>
  <c r="AA27" i="36"/>
  <c r="AA34" i="36"/>
  <c r="AA26" i="36"/>
  <c r="Z39" i="36"/>
  <c r="Z40" i="36" s="1"/>
  <c r="AA54" i="36" l="1"/>
  <c r="P109" i="33"/>
  <c r="F10" i="40"/>
  <c r="E10" i="40"/>
  <c r="D10" i="40"/>
  <c r="C10" i="40"/>
  <c r="L21" i="33" l="1"/>
  <c r="C393" i="35" l="1"/>
  <c r="F399" i="35" s="1"/>
  <c r="E35" i="36" l="1"/>
  <c r="K35" i="36"/>
  <c r="C35" i="36"/>
  <c r="M35" i="36"/>
  <c r="I35" i="36"/>
  <c r="G35" i="36"/>
  <c r="AA35" i="36" l="1"/>
  <c r="C487" i="35" l="1"/>
  <c r="C459" i="35"/>
  <c r="F459" i="35" l="1"/>
  <c r="F312" i="35"/>
  <c r="C25" i="40"/>
  <c r="C176" i="35" s="1"/>
  <c r="F194" i="35" s="1"/>
  <c r="P21" i="40"/>
  <c r="F14" i="40"/>
  <c r="F16" i="40" s="1"/>
  <c r="F18" i="40" s="1"/>
  <c r="I12" i="33" s="1"/>
  <c r="E14" i="40"/>
  <c r="E16" i="40" s="1"/>
  <c r="E18" i="40" s="1"/>
  <c r="D14" i="40"/>
  <c r="D16" i="40" s="1"/>
  <c r="D18" i="40" s="1"/>
  <c r="I10" i="33" s="1"/>
  <c r="C14" i="40"/>
  <c r="C16" i="40" s="1"/>
  <c r="C18" i="40" s="1"/>
  <c r="I9" i="33" s="1"/>
  <c r="R9" i="33" l="1"/>
  <c r="M12" i="33"/>
  <c r="R12" i="33"/>
  <c r="M10" i="33"/>
  <c r="R10" i="33"/>
  <c r="M9" i="33"/>
  <c r="C243" i="35"/>
  <c r="F261" i="35" s="1"/>
  <c r="F241" i="35"/>
  <c r="C105" i="33"/>
  <c r="J105" i="33"/>
  <c r="N105" i="33"/>
  <c r="M105" i="33"/>
  <c r="D105" i="33"/>
  <c r="K105" i="33"/>
  <c r="O105" i="33"/>
  <c r="E105" i="33"/>
  <c r="L105" i="33"/>
  <c r="I105" i="33"/>
  <c r="I11" i="33"/>
  <c r="F10" i="42" s="1"/>
  <c r="J107" i="33"/>
  <c r="C107" i="33"/>
  <c r="K107" i="33"/>
  <c r="N107" i="33"/>
  <c r="D107" i="33"/>
  <c r="E107" i="33"/>
  <c r="I107" i="33"/>
  <c r="L107" i="33"/>
  <c r="M107" i="33"/>
  <c r="O107" i="33"/>
  <c r="C422" i="35"/>
  <c r="F487" i="35"/>
  <c r="M11" i="33" l="1"/>
  <c r="R11" i="33"/>
  <c r="E106" i="33"/>
  <c r="L106" i="33"/>
  <c r="I106" i="33"/>
  <c r="M106" i="33"/>
  <c r="D106" i="33"/>
  <c r="O106" i="33"/>
  <c r="C106" i="33"/>
  <c r="J106" i="33"/>
  <c r="N106" i="33"/>
  <c r="K106" i="33"/>
  <c r="P105" i="33"/>
  <c r="F251" i="35"/>
  <c r="G262" i="35"/>
  <c r="E175" i="35" s="1"/>
  <c r="P25" i="40"/>
  <c r="C43" i="35" s="1"/>
  <c r="P107" i="33"/>
  <c r="C306" i="35"/>
  <c r="F304" i="35"/>
  <c r="F428" i="35"/>
  <c r="C44" i="35" l="1"/>
  <c r="F62" i="35" s="1"/>
  <c r="F52" i="35" s="1"/>
  <c r="F43" i="35"/>
  <c r="F175" i="35"/>
  <c r="E108" i="35"/>
  <c r="F108" i="35" s="1"/>
  <c r="P106" i="33"/>
  <c r="C482" i="35"/>
  <c r="C454" i="35"/>
  <c r="F462" i="35" l="1"/>
  <c r="F469" i="35"/>
  <c r="F490" i="35"/>
  <c r="F497" i="35"/>
  <c r="C538" i="35" l="1"/>
  <c r="F544" i="35" s="1"/>
  <c r="C512" i="35"/>
  <c r="F518" i="35" l="1"/>
  <c r="F525" i="35"/>
  <c r="F551" i="35"/>
  <c r="C592" i="35" l="1"/>
  <c r="F598" i="35" l="1"/>
  <c r="F605" i="35"/>
  <c r="C566" i="35"/>
  <c r="F579" i="35" s="1"/>
  <c r="F572" i="35" l="1"/>
  <c r="F712" i="35" l="1"/>
  <c r="G714" i="35" s="1"/>
  <c r="C700" i="35"/>
  <c r="F706" i="35" s="1"/>
  <c r="G708" i="35" s="1"/>
  <c r="F699" i="35"/>
  <c r="F698" i="35"/>
  <c r="E644" i="35"/>
  <c r="F686" i="35"/>
  <c r="G688" i="35" s="1"/>
  <c r="E619" i="35" s="1"/>
  <c r="E564" i="35" s="1"/>
  <c r="F564" i="35" s="1"/>
  <c r="C674" i="35"/>
  <c r="F673" i="35"/>
  <c r="F672" i="35"/>
  <c r="E618" i="35"/>
  <c r="F700" i="35" l="1"/>
  <c r="F674" i="35"/>
  <c r="F678" i="35" s="1"/>
  <c r="G716" i="35"/>
  <c r="E645" i="35"/>
  <c r="E590" i="35" s="1"/>
  <c r="F590" i="35" s="1"/>
  <c r="F680" i="35"/>
  <c r="G682" i="35" l="1"/>
  <c r="G691" i="35" s="1"/>
  <c r="D21" i="33"/>
  <c r="F645" i="35" l="1"/>
  <c r="F618" i="35"/>
  <c r="C620" i="35"/>
  <c r="F633" i="35" s="1"/>
  <c r="F619" i="35"/>
  <c r="F620" i="35" l="1"/>
  <c r="C646" i="35"/>
  <c r="F644" i="35"/>
  <c r="F646" i="35" s="1"/>
  <c r="F626" i="35"/>
  <c r="F652" i="35" l="1"/>
  <c r="F659" i="35"/>
  <c r="J104" i="33" l="1"/>
  <c r="K104" i="33"/>
  <c r="O104" i="33"/>
  <c r="M104" i="33"/>
  <c r="D104" i="33"/>
  <c r="N104" i="33"/>
  <c r="C104" i="33"/>
  <c r="L104" i="33"/>
  <c r="I104" i="33"/>
  <c r="E104" i="33"/>
  <c r="P104" i="33" l="1"/>
  <c r="Q105" i="33" s="1"/>
  <c r="Q106" i="33" s="1"/>
  <c r="Q107" i="33" s="1"/>
  <c r="Q108" i="33" s="1"/>
  <c r="Q109" i="33" s="1"/>
  <c r="Q110" i="33" s="1"/>
  <c r="Q111" i="33" s="1"/>
  <c r="Q112" i="33" s="1"/>
  <c r="Q113" i="33" s="1"/>
  <c r="Q114" i="33" s="1"/>
  <c r="Q115" i="33" s="1"/>
  <c r="F319" i="35" l="1"/>
  <c r="F320" i="35" s="1"/>
  <c r="G323" i="35"/>
  <c r="E242" i="35" s="1"/>
  <c r="G436" i="35"/>
  <c r="G600" i="35"/>
  <c r="F604" i="35"/>
  <c r="G606" i="35" s="1"/>
  <c r="E537" i="35" s="1"/>
  <c r="F242" i="35" l="1"/>
  <c r="F243" i="35" s="1"/>
  <c r="E174" i="35"/>
  <c r="F174" i="35" s="1"/>
  <c r="F176" i="35" s="1"/>
  <c r="F290" i="35"/>
  <c r="F291" i="35" s="1"/>
  <c r="F305" i="35"/>
  <c r="F306" i="35" s="1"/>
  <c r="F310" i="35" s="1"/>
  <c r="F537" i="35"/>
  <c r="E480" i="35"/>
  <c r="F480" i="35" s="1"/>
  <c r="G608" i="35"/>
  <c r="F578" i="35"/>
  <c r="G580" i="35" s="1"/>
  <c r="E511" i="35" s="1"/>
  <c r="G574" i="35"/>
  <c r="F658" i="35"/>
  <c r="G660" i="35" s="1"/>
  <c r="E591" i="35" s="1"/>
  <c r="F650" i="35"/>
  <c r="G654" i="35" s="1"/>
  <c r="F511" i="35" l="1"/>
  <c r="E452" i="35"/>
  <c r="F452" i="35" s="1"/>
  <c r="F591" i="35"/>
  <c r="F592" i="35" s="1"/>
  <c r="E536" i="35"/>
  <c r="F536" i="35" s="1"/>
  <c r="F538" i="35" s="1"/>
  <c r="G583" i="35"/>
  <c r="F624" i="35"/>
  <c r="G628" i="35" s="1"/>
  <c r="F632" i="35"/>
  <c r="G634" i="35" s="1"/>
  <c r="E565" i="35" s="1"/>
  <c r="G662" i="35"/>
  <c r="F565" i="35" l="1"/>
  <c r="F566" i="35" s="1"/>
  <c r="E510" i="35"/>
  <c r="F510" i="35" s="1"/>
  <c r="F512" i="35" s="1"/>
  <c r="G637" i="35"/>
  <c r="C21" i="33" l="1"/>
  <c r="E21" i="33" l="1"/>
  <c r="J21" i="33" l="1"/>
  <c r="J116" i="33" l="1"/>
  <c r="K116" i="33"/>
  <c r="O116" i="33"/>
  <c r="K21" i="33"/>
  <c r="R21" i="33" s="1"/>
  <c r="B135" i="33" s="1"/>
  <c r="E116" i="33"/>
  <c r="C116" i="33"/>
  <c r="L145" i="33" l="1"/>
  <c r="I145" i="33"/>
  <c r="I143" i="33"/>
  <c r="J146" i="33"/>
  <c r="E145" i="33"/>
  <c r="M143" i="33"/>
  <c r="N147" i="33"/>
  <c r="N146" i="33"/>
  <c r="K143" i="33"/>
  <c r="D143" i="33"/>
  <c r="L147" i="33"/>
  <c r="J144" i="33"/>
  <c r="N144" i="33"/>
  <c r="K146" i="33"/>
  <c r="O144" i="33"/>
  <c r="C146" i="33"/>
  <c r="I147" i="33"/>
  <c r="K142" i="33"/>
  <c r="J142" i="33"/>
  <c r="E142" i="33"/>
  <c r="N142" i="33"/>
  <c r="M142" i="33"/>
  <c r="E147" i="33"/>
  <c r="K145" i="33"/>
  <c r="E144" i="33"/>
  <c r="M146" i="33"/>
  <c r="J145" i="33"/>
  <c r="D142" i="33"/>
  <c r="E146" i="33"/>
  <c r="J147" i="33"/>
  <c r="M145" i="33"/>
  <c r="D147" i="33"/>
  <c r="N143" i="33"/>
  <c r="L146" i="33"/>
  <c r="N145" i="33"/>
  <c r="L144" i="33"/>
  <c r="M147" i="33"/>
  <c r="I142" i="33"/>
  <c r="J143" i="33"/>
  <c r="D144" i="33"/>
  <c r="D146" i="33"/>
  <c r="C143" i="33"/>
  <c r="L143" i="33"/>
  <c r="K147" i="33"/>
  <c r="O145" i="33"/>
  <c r="I146" i="33"/>
  <c r="E143" i="33"/>
  <c r="D145" i="33"/>
  <c r="M144" i="33"/>
  <c r="K144" i="33"/>
  <c r="L142" i="33"/>
  <c r="O143" i="33"/>
  <c r="O147" i="33"/>
  <c r="O146" i="33"/>
  <c r="I144" i="33"/>
  <c r="O142" i="33"/>
  <c r="C142" i="33"/>
  <c r="C147" i="33"/>
  <c r="C145" i="33"/>
  <c r="C144" i="33"/>
  <c r="I140" i="33"/>
  <c r="L140" i="33"/>
  <c r="M140" i="33"/>
  <c r="K140" i="33"/>
  <c r="N140" i="33"/>
  <c r="J140" i="33"/>
  <c r="O140" i="33"/>
  <c r="E140" i="33"/>
  <c r="D140" i="33"/>
  <c r="C140" i="33"/>
  <c r="K141" i="33"/>
  <c r="E141" i="33"/>
  <c r="M141" i="33"/>
  <c r="L141" i="33"/>
  <c r="O141" i="33"/>
  <c r="J141" i="33"/>
  <c r="D141" i="33"/>
  <c r="N141" i="33"/>
  <c r="I141" i="33"/>
  <c r="C141" i="33"/>
  <c r="O137" i="33"/>
  <c r="C137" i="33"/>
  <c r="J137" i="33"/>
  <c r="L139" i="33"/>
  <c r="M139" i="33"/>
  <c r="N137" i="33"/>
  <c r="E137" i="33"/>
  <c r="N139" i="33"/>
  <c r="I139" i="33"/>
  <c r="D139" i="33"/>
  <c r="D137" i="33"/>
  <c r="L137" i="33"/>
  <c r="I137" i="33"/>
  <c r="K139" i="33"/>
  <c r="J139" i="33"/>
  <c r="M137" i="33"/>
  <c r="K137" i="33"/>
  <c r="C139" i="33"/>
  <c r="E139" i="33"/>
  <c r="O139" i="33"/>
  <c r="D138" i="33"/>
  <c r="C138" i="33"/>
  <c r="L138" i="33"/>
  <c r="M138" i="33"/>
  <c r="K138" i="33"/>
  <c r="N138" i="33"/>
  <c r="O138" i="33"/>
  <c r="J138" i="33"/>
  <c r="E138" i="33"/>
  <c r="I138" i="33"/>
  <c r="L136" i="33"/>
  <c r="K136" i="33"/>
  <c r="D136" i="33"/>
  <c r="E136" i="33"/>
  <c r="O136" i="33"/>
  <c r="M136" i="33"/>
  <c r="J136" i="33"/>
  <c r="C136" i="33"/>
  <c r="N136" i="33"/>
  <c r="I136" i="33"/>
  <c r="M21" i="33"/>
  <c r="G10" i="42"/>
  <c r="H10" i="42" s="1"/>
  <c r="I116" i="33"/>
  <c r="N116" i="33"/>
  <c r="D116" i="33"/>
  <c r="L116" i="33"/>
  <c r="M116" i="33"/>
  <c r="P116" i="33"/>
  <c r="M148" i="33" l="1"/>
  <c r="D148" i="33"/>
  <c r="C148" i="33"/>
  <c r="J148" i="33"/>
  <c r="I205" i="33"/>
  <c r="I168" i="33"/>
  <c r="O208" i="33"/>
  <c r="O171" i="33"/>
  <c r="O238" i="33" s="1"/>
  <c r="J210" i="33"/>
  <c r="J173" i="33"/>
  <c r="J240" i="33" s="1"/>
  <c r="O212" i="33"/>
  <c r="O175" i="33"/>
  <c r="O242" i="33" s="1"/>
  <c r="D179" i="33"/>
  <c r="D246" i="33" s="1"/>
  <c r="D216" i="33"/>
  <c r="J213" i="33"/>
  <c r="J176" i="33"/>
  <c r="J243" i="33" s="1"/>
  <c r="O205" i="33"/>
  <c r="O168" i="33"/>
  <c r="O235" i="33" s="1"/>
  <c r="O207" i="33"/>
  <c r="O170" i="33"/>
  <c r="O237" i="33" s="1"/>
  <c r="L207" i="33"/>
  <c r="L170" i="33"/>
  <c r="L237" i="33" s="1"/>
  <c r="E208" i="33"/>
  <c r="E171" i="33"/>
  <c r="E238" i="33" s="1"/>
  <c r="J208" i="33"/>
  <c r="J171" i="33"/>
  <c r="J238" i="33" s="1"/>
  <c r="D206" i="33"/>
  <c r="D169" i="33"/>
  <c r="D236" i="33" s="1"/>
  <c r="E206" i="33"/>
  <c r="E169" i="33"/>
  <c r="E236" i="33" s="1"/>
  <c r="J206" i="33"/>
  <c r="J169" i="33"/>
  <c r="J236" i="33" s="1"/>
  <c r="I210" i="33"/>
  <c r="I173" i="33"/>
  <c r="I240" i="33" s="1"/>
  <c r="O210" i="33"/>
  <c r="O173" i="33"/>
  <c r="O240" i="33" s="1"/>
  <c r="K210" i="33"/>
  <c r="K173" i="33"/>
  <c r="K240" i="33" s="1"/>
  <c r="O209" i="33"/>
  <c r="O172" i="33"/>
  <c r="O239" i="33" s="1"/>
  <c r="M209" i="33"/>
  <c r="M172" i="33"/>
  <c r="M239" i="33" s="1"/>
  <c r="C177" i="33"/>
  <c r="C214" i="33"/>
  <c r="P145" i="33"/>
  <c r="I213" i="33"/>
  <c r="I176" i="33"/>
  <c r="I243" i="33" s="1"/>
  <c r="L211" i="33"/>
  <c r="L174" i="33"/>
  <c r="L241" i="33" s="1"/>
  <c r="E212" i="33"/>
  <c r="E175" i="33"/>
  <c r="E242" i="33" s="1"/>
  <c r="L212" i="33"/>
  <c r="L175" i="33"/>
  <c r="L242" i="33" s="1"/>
  <c r="J212" i="33"/>
  <c r="J175" i="33"/>
  <c r="J242" i="33" s="1"/>
  <c r="N214" i="33"/>
  <c r="N177" i="33"/>
  <c r="N244" i="33" s="1"/>
  <c r="M177" i="33"/>
  <c r="M244" i="33" s="1"/>
  <c r="M214" i="33"/>
  <c r="J214" i="33"/>
  <c r="J177" i="33"/>
  <c r="J244" i="33" s="1"/>
  <c r="E216" i="33"/>
  <c r="E179" i="33"/>
  <c r="E246" i="33" s="1"/>
  <c r="J211" i="33"/>
  <c r="J174" i="33"/>
  <c r="J241" i="33" s="1"/>
  <c r="O213" i="33"/>
  <c r="O176" i="33"/>
  <c r="O243" i="33" s="1"/>
  <c r="L216" i="33"/>
  <c r="L179" i="33"/>
  <c r="L246" i="33" s="1"/>
  <c r="N179" i="33"/>
  <c r="N246" i="33" s="1"/>
  <c r="N216" i="33"/>
  <c r="I212" i="33"/>
  <c r="I175" i="33"/>
  <c r="I242" i="33" s="1"/>
  <c r="K205" i="33"/>
  <c r="K168" i="33"/>
  <c r="K235" i="33" s="1"/>
  <c r="M207" i="33"/>
  <c r="M170" i="33"/>
  <c r="M237" i="33" s="1"/>
  <c r="L206" i="33"/>
  <c r="L169" i="33"/>
  <c r="L236" i="33" s="1"/>
  <c r="L208" i="33"/>
  <c r="L171" i="33"/>
  <c r="L238" i="33" s="1"/>
  <c r="E210" i="33"/>
  <c r="E173" i="33"/>
  <c r="E240" i="33" s="1"/>
  <c r="K209" i="33"/>
  <c r="K172" i="33"/>
  <c r="K239" i="33" s="1"/>
  <c r="O211" i="33"/>
  <c r="O174" i="33"/>
  <c r="O241" i="33" s="1"/>
  <c r="K179" i="33"/>
  <c r="K246" i="33" s="1"/>
  <c r="K216" i="33"/>
  <c r="L213" i="33"/>
  <c r="L176" i="33"/>
  <c r="L243" i="33" s="1"/>
  <c r="K177" i="33"/>
  <c r="K244" i="33" s="1"/>
  <c r="K214" i="33"/>
  <c r="C178" i="33"/>
  <c r="C215" i="33"/>
  <c r="P146" i="33"/>
  <c r="N178" i="33"/>
  <c r="N245" i="33" s="1"/>
  <c r="N215" i="33"/>
  <c r="L205" i="33"/>
  <c r="L168" i="33"/>
  <c r="I148" i="33"/>
  <c r="P136" i="33"/>
  <c r="C205" i="33"/>
  <c r="C168" i="33"/>
  <c r="E205" i="33"/>
  <c r="E168" i="33"/>
  <c r="E235" i="33" s="1"/>
  <c r="I207" i="33"/>
  <c r="I170" i="33"/>
  <c r="I237" i="33" s="1"/>
  <c r="N207" i="33"/>
  <c r="N170" i="33"/>
  <c r="N237" i="33" s="1"/>
  <c r="C170" i="33"/>
  <c r="P138" i="33"/>
  <c r="C207" i="33"/>
  <c r="P139" i="33"/>
  <c r="C171" i="33"/>
  <c r="C208" i="33"/>
  <c r="K208" i="33"/>
  <c r="K171" i="33"/>
  <c r="K238" i="33" s="1"/>
  <c r="D208" i="33"/>
  <c r="D171" i="33"/>
  <c r="D238" i="33" s="1"/>
  <c r="N206" i="33"/>
  <c r="N169" i="33"/>
  <c r="N236" i="33" s="1"/>
  <c r="C206" i="33"/>
  <c r="C169" i="33"/>
  <c r="P137" i="33"/>
  <c r="N210" i="33"/>
  <c r="N173" i="33"/>
  <c r="N240" i="33" s="1"/>
  <c r="L210" i="33"/>
  <c r="L173" i="33"/>
  <c r="L240" i="33" s="1"/>
  <c r="C172" i="33"/>
  <c r="P140" i="33"/>
  <c r="C209" i="33"/>
  <c r="J209" i="33"/>
  <c r="J172" i="33"/>
  <c r="J239" i="33" s="1"/>
  <c r="L209" i="33"/>
  <c r="L172" i="33"/>
  <c r="L239" i="33" s="1"/>
  <c r="C216" i="33"/>
  <c r="C179" i="33"/>
  <c r="P147" i="33"/>
  <c r="O215" i="33"/>
  <c r="O178" i="33"/>
  <c r="O245" i="33" s="1"/>
  <c r="K213" i="33"/>
  <c r="K176" i="33"/>
  <c r="K243" i="33" s="1"/>
  <c r="I178" i="33"/>
  <c r="I245" i="33" s="1"/>
  <c r="I215" i="33"/>
  <c r="C175" i="33"/>
  <c r="C212" i="33"/>
  <c r="P143" i="33"/>
  <c r="I211" i="33"/>
  <c r="I174" i="33"/>
  <c r="I241" i="33" s="1"/>
  <c r="L178" i="33"/>
  <c r="L245" i="33" s="1"/>
  <c r="L215" i="33"/>
  <c r="J179" i="33"/>
  <c r="J246" i="33" s="1"/>
  <c r="J216" i="33"/>
  <c r="M178" i="33"/>
  <c r="M245" i="33" s="1"/>
  <c r="M215" i="33"/>
  <c r="M211" i="33"/>
  <c r="M174" i="33"/>
  <c r="M241" i="33" s="1"/>
  <c r="K211" i="33"/>
  <c r="K174" i="33"/>
  <c r="K241" i="33" s="1"/>
  <c r="K215" i="33"/>
  <c r="K178" i="33"/>
  <c r="K245" i="33" s="1"/>
  <c r="D212" i="33"/>
  <c r="D175" i="33"/>
  <c r="D242" i="33" s="1"/>
  <c r="M212" i="33"/>
  <c r="M175" i="33"/>
  <c r="M242" i="33" s="1"/>
  <c r="I177" i="33"/>
  <c r="I244" i="33" s="1"/>
  <c r="I214" i="33"/>
  <c r="M205" i="33"/>
  <c r="M168" i="33"/>
  <c r="J207" i="33"/>
  <c r="J170" i="33"/>
  <c r="J237" i="33" s="1"/>
  <c r="M206" i="33"/>
  <c r="M169" i="33"/>
  <c r="M236" i="33" s="1"/>
  <c r="N208" i="33"/>
  <c r="N171" i="33"/>
  <c r="N238" i="33" s="1"/>
  <c r="P141" i="33"/>
  <c r="C173" i="33"/>
  <c r="C210" i="33"/>
  <c r="E209" i="33"/>
  <c r="E172" i="33"/>
  <c r="E239" i="33" s="1"/>
  <c r="C176" i="33"/>
  <c r="P144" i="33"/>
  <c r="C213" i="33"/>
  <c r="D214" i="33"/>
  <c r="D177" i="33"/>
  <c r="D244" i="33" s="1"/>
  <c r="D213" i="33"/>
  <c r="D176" i="33"/>
  <c r="D243" i="33" s="1"/>
  <c r="D211" i="33"/>
  <c r="D174" i="33"/>
  <c r="D241" i="33" s="1"/>
  <c r="E211" i="33"/>
  <c r="E174" i="33"/>
  <c r="E241" i="33" s="1"/>
  <c r="J178" i="33"/>
  <c r="J245" i="33" s="1"/>
  <c r="J215" i="33"/>
  <c r="N205" i="33"/>
  <c r="N168" i="33"/>
  <c r="N235" i="33" s="1"/>
  <c r="L148" i="33"/>
  <c r="N148" i="33"/>
  <c r="J205" i="33"/>
  <c r="J168" i="33"/>
  <c r="J235" i="33" s="1"/>
  <c r="D205" i="33"/>
  <c r="D168" i="33"/>
  <c r="E207" i="33"/>
  <c r="E170" i="33"/>
  <c r="E237" i="33" s="1"/>
  <c r="K207" i="33"/>
  <c r="K170" i="33"/>
  <c r="K237" i="33" s="1"/>
  <c r="D207" i="33"/>
  <c r="D170" i="33"/>
  <c r="D237" i="33" s="1"/>
  <c r="K206" i="33"/>
  <c r="K169" i="33"/>
  <c r="K236" i="33" s="1"/>
  <c r="I169" i="33"/>
  <c r="I236" i="33" s="1"/>
  <c r="I206" i="33"/>
  <c r="I208" i="33"/>
  <c r="I171" i="33"/>
  <c r="I238" i="33" s="1"/>
  <c r="M208" i="33"/>
  <c r="M171" i="33"/>
  <c r="M238" i="33" s="1"/>
  <c r="O206" i="33"/>
  <c r="O169" i="33"/>
  <c r="O236" i="33" s="1"/>
  <c r="D210" i="33"/>
  <c r="D173" i="33"/>
  <c r="D240" i="33" s="1"/>
  <c r="M210" i="33"/>
  <c r="M173" i="33"/>
  <c r="M240" i="33" s="1"/>
  <c r="D209" i="33"/>
  <c r="D172" i="33"/>
  <c r="D239" i="33" s="1"/>
  <c r="N209" i="33"/>
  <c r="N172" i="33"/>
  <c r="N239" i="33" s="1"/>
  <c r="I209" i="33"/>
  <c r="I172" i="33"/>
  <c r="I239" i="33" s="1"/>
  <c r="C174" i="33"/>
  <c r="C211" i="33"/>
  <c r="P142" i="33"/>
  <c r="O179" i="33"/>
  <c r="O246" i="33" s="1"/>
  <c r="O216" i="33"/>
  <c r="M213" i="33"/>
  <c r="M176" i="33"/>
  <c r="M243" i="33" s="1"/>
  <c r="O177" i="33"/>
  <c r="O244" i="33" s="1"/>
  <c r="O214" i="33"/>
  <c r="D215" i="33"/>
  <c r="D178" i="33"/>
  <c r="D245" i="33" s="1"/>
  <c r="M216" i="33"/>
  <c r="M179" i="33"/>
  <c r="M246" i="33" s="1"/>
  <c r="N212" i="33"/>
  <c r="N175" i="33"/>
  <c r="N242" i="33" s="1"/>
  <c r="E178" i="33"/>
  <c r="E245" i="33" s="1"/>
  <c r="E215" i="33"/>
  <c r="E213" i="33"/>
  <c r="E176" i="33"/>
  <c r="E243" i="33" s="1"/>
  <c r="N211" i="33"/>
  <c r="N174" i="33"/>
  <c r="N241" i="33" s="1"/>
  <c r="I216" i="33"/>
  <c r="I179" i="33"/>
  <c r="I246" i="33" s="1"/>
  <c r="N213" i="33"/>
  <c r="N176" i="33"/>
  <c r="N243" i="33" s="1"/>
  <c r="K212" i="33"/>
  <c r="K175" i="33"/>
  <c r="K242" i="33" s="1"/>
  <c r="E177" i="33"/>
  <c r="E244" i="33" s="1"/>
  <c r="E214" i="33"/>
  <c r="L214" i="33"/>
  <c r="L177" i="33"/>
  <c r="L244" i="33" s="1"/>
  <c r="P117" i="33"/>
  <c r="K148" i="33"/>
  <c r="O148" i="33"/>
  <c r="M117" i="33"/>
  <c r="N117" i="33"/>
  <c r="O117" i="33"/>
  <c r="L117" i="33"/>
  <c r="E148" i="33"/>
  <c r="D117" i="33"/>
  <c r="J117" i="33"/>
  <c r="I117" i="33"/>
  <c r="C117" i="33"/>
  <c r="K117" i="33"/>
  <c r="E117" i="33"/>
  <c r="P215" i="33" l="1"/>
  <c r="P216" i="33"/>
  <c r="P214" i="33"/>
  <c r="P213" i="33"/>
  <c r="P212" i="33"/>
  <c r="P211" i="33"/>
  <c r="P210" i="33"/>
  <c r="K180" i="33"/>
  <c r="J217" i="33"/>
  <c r="J247" i="33"/>
  <c r="N217" i="33"/>
  <c r="O217" i="33"/>
  <c r="P206" i="33"/>
  <c r="N247" i="33"/>
  <c r="P208" i="33"/>
  <c r="P148" i="33"/>
  <c r="K217" i="33"/>
  <c r="P209" i="33"/>
  <c r="E217" i="33"/>
  <c r="C180" i="33"/>
  <c r="C217" i="33"/>
  <c r="E180" i="33"/>
  <c r="C236" i="33"/>
  <c r="P236" i="33" s="1"/>
  <c r="P169" i="33"/>
  <c r="L235" i="33"/>
  <c r="L247" i="33" s="1"/>
  <c r="L180" i="33"/>
  <c r="P171" i="33"/>
  <c r="C238" i="33"/>
  <c r="P238" i="33" s="1"/>
  <c r="P170" i="33"/>
  <c r="C237" i="33"/>
  <c r="P237" i="33" s="1"/>
  <c r="P205" i="33"/>
  <c r="L217" i="33"/>
  <c r="K247" i="33"/>
  <c r="C244" i="33"/>
  <c r="P244" i="33" s="1"/>
  <c r="P177" i="33"/>
  <c r="C235" i="33"/>
  <c r="P168" i="33"/>
  <c r="O180" i="33"/>
  <c r="D235" i="33"/>
  <c r="D247" i="33" s="1"/>
  <c r="D180" i="33"/>
  <c r="C243" i="33"/>
  <c r="P243" i="33" s="1"/>
  <c r="P176" i="33"/>
  <c r="C240" i="33"/>
  <c r="P240" i="33" s="1"/>
  <c r="P173" i="33"/>
  <c r="M235" i="33"/>
  <c r="M247" i="33" s="1"/>
  <c r="M180" i="33"/>
  <c r="P175" i="33"/>
  <c r="C242" i="33"/>
  <c r="P242" i="33" s="1"/>
  <c r="P179" i="33"/>
  <c r="C246" i="33"/>
  <c r="P246" i="33" s="1"/>
  <c r="C239" i="33"/>
  <c r="P239" i="33" s="1"/>
  <c r="P172" i="33"/>
  <c r="E247" i="33"/>
  <c r="Q137" i="33"/>
  <c r="Q138" i="33" s="1"/>
  <c r="Q139" i="33" s="1"/>
  <c r="Q140" i="33" s="1"/>
  <c r="Q141" i="33" s="1"/>
  <c r="Q142" i="33" s="1"/>
  <c r="Q143" i="33" s="1"/>
  <c r="Q144" i="33" s="1"/>
  <c r="Q145" i="33" s="1"/>
  <c r="Q146" i="33" s="1"/>
  <c r="Q147" i="33" s="1"/>
  <c r="C245" i="33"/>
  <c r="P245" i="33" s="1"/>
  <c r="P178" i="33"/>
  <c r="O247" i="33"/>
  <c r="I235" i="33"/>
  <c r="I247" i="33" s="1"/>
  <c r="I180" i="33"/>
  <c r="N180" i="33"/>
  <c r="C241" i="33"/>
  <c r="P241" i="33" s="1"/>
  <c r="P174" i="33"/>
  <c r="D217" i="33"/>
  <c r="M217" i="33"/>
  <c r="P207" i="33"/>
  <c r="I217" i="33"/>
  <c r="H9" i="48"/>
  <c r="F93" i="35"/>
  <c r="F81" i="35"/>
  <c r="J180" i="33"/>
  <c r="J264" i="33" l="1"/>
  <c r="K264" i="33"/>
  <c r="N264" i="33"/>
  <c r="P217" i="33"/>
  <c r="F46" i="35" s="1"/>
  <c r="E264" i="33"/>
  <c r="Q206" i="33"/>
  <c r="Q207" i="33" s="1"/>
  <c r="Q208" i="33" s="1"/>
  <c r="Q209" i="33" s="1"/>
  <c r="Q210" i="33" s="1"/>
  <c r="Q211" i="33" s="1"/>
  <c r="Q212" i="33" s="1"/>
  <c r="Q213" i="33" s="1"/>
  <c r="Q214" i="33" s="1"/>
  <c r="Q215" i="33" s="1"/>
  <c r="Q216" i="33" s="1"/>
  <c r="Q219" i="33" s="1"/>
  <c r="Q220" i="33" s="1"/>
  <c r="Q221" i="33" s="1"/>
  <c r="Q222" i="33" s="1"/>
  <c r="Q223" i="33" s="1"/>
  <c r="Q224" i="33" s="1"/>
  <c r="Q225" i="33" s="1"/>
  <c r="Q226" i="33" s="1"/>
  <c r="Q227" i="33" s="1"/>
  <c r="Q228" i="33" s="1"/>
  <c r="Q229" i="33" s="1"/>
  <c r="Q230" i="33" s="1"/>
  <c r="M264" i="33"/>
  <c r="Q169" i="33"/>
  <c r="Q170" i="33" s="1"/>
  <c r="Q171" i="33" s="1"/>
  <c r="Q172" i="33" s="1"/>
  <c r="Q173" i="33" s="1"/>
  <c r="Q174" i="33" s="1"/>
  <c r="Q175" i="33" s="1"/>
  <c r="Q176" i="33" s="1"/>
  <c r="Q177" i="33" s="1"/>
  <c r="Q178" i="33" s="1"/>
  <c r="Q179" i="33" s="1"/>
  <c r="I264" i="33"/>
  <c r="P180" i="33"/>
  <c r="L264" i="33"/>
  <c r="C247" i="33"/>
  <c r="C264" i="33" s="1"/>
  <c r="D264" i="33"/>
  <c r="P235" i="33"/>
  <c r="Q236" i="33" s="1"/>
  <c r="Q237" i="33" s="1"/>
  <c r="Q238" i="33" s="1"/>
  <c r="O264" i="33"/>
  <c r="F190" i="35"/>
  <c r="G98" i="35"/>
  <c r="E10" i="35" s="1"/>
  <c r="F10" i="35" s="1"/>
  <c r="F94" i="35"/>
  <c r="F95" i="35" s="1"/>
  <c r="F247" i="35"/>
  <c r="F249" i="35" s="1"/>
  <c r="G253" i="35" s="1"/>
  <c r="G264" i="35" s="1"/>
  <c r="G314" i="35"/>
  <c r="G325" i="35" s="1"/>
  <c r="F468" i="35"/>
  <c r="G470" i="35" s="1"/>
  <c r="F542" i="35"/>
  <c r="G546" i="35" s="1"/>
  <c r="F496" i="35"/>
  <c r="G498" i="35" s="1"/>
  <c r="F421" i="35" s="1"/>
  <c r="F550" i="35"/>
  <c r="G552" i="35" s="1"/>
  <c r="F58" i="35" l="1"/>
  <c r="F48" i="35"/>
  <c r="P247" i="33"/>
  <c r="Q239" i="33"/>
  <c r="Q240" i="33" s="1"/>
  <c r="Q241" i="33" s="1"/>
  <c r="Q242" i="33" s="1"/>
  <c r="F180" i="35"/>
  <c r="F182" i="35" s="1"/>
  <c r="G186" i="35" s="1"/>
  <c r="H12" i="48"/>
  <c r="F191" i="35"/>
  <c r="F192" i="35" s="1"/>
  <c r="G195" i="35"/>
  <c r="F214" i="35"/>
  <c r="F392" i="35"/>
  <c r="G554" i="35"/>
  <c r="E481" i="35"/>
  <c r="F516" i="35"/>
  <c r="G520" i="35" s="1"/>
  <c r="F524" i="35"/>
  <c r="G526" i="35" s="1"/>
  <c r="E453" i="35" s="1"/>
  <c r="F59" i="35" l="1"/>
  <c r="F60" i="35" s="1"/>
  <c r="G63" i="35"/>
  <c r="P264" i="33"/>
  <c r="F13" i="35"/>
  <c r="Q243" i="33"/>
  <c r="Q244" i="33" s="1"/>
  <c r="Q245" i="33" s="1"/>
  <c r="Q246" i="33" s="1"/>
  <c r="F17" i="48"/>
  <c r="H15" i="48"/>
  <c r="H17" i="48" s="1"/>
  <c r="G197" i="35"/>
  <c r="F147" i="35"/>
  <c r="F159" i="35"/>
  <c r="F481" i="35"/>
  <c r="F482" i="35" s="1"/>
  <c r="F486" i="35" s="1"/>
  <c r="F488" i="35" s="1"/>
  <c r="G492" i="35" s="1"/>
  <c r="G500" i="35" s="1"/>
  <c r="F420" i="35"/>
  <c r="F422" i="35" s="1"/>
  <c r="F426" i="35" s="1"/>
  <c r="F453" i="35"/>
  <c r="F454" i="35" s="1"/>
  <c r="F458" i="35" s="1"/>
  <c r="F460" i="35" s="1"/>
  <c r="G464" i="35" s="1"/>
  <c r="G473" i="35" s="1"/>
  <c r="F391" i="35"/>
  <c r="F393" i="35" s="1"/>
  <c r="F397" i="35" s="1"/>
  <c r="G401" i="35" s="1"/>
  <c r="G529" i="35"/>
  <c r="Q249" i="33" l="1"/>
  <c r="Q250" i="33" s="1"/>
  <c r="Q251" i="33" s="1"/>
  <c r="Q252" i="33" s="1"/>
  <c r="Q253" i="33" s="1"/>
  <c r="Q254" i="33" s="1"/>
  <c r="Q255" i="33" s="1"/>
  <c r="Q256" i="33" s="1"/>
  <c r="Q257" i="33" s="1"/>
  <c r="Q258" i="33" s="1"/>
  <c r="Q259" i="33" s="1"/>
  <c r="Q260" i="33" s="1"/>
  <c r="F12" i="42"/>
  <c r="G12" i="42" s="1"/>
  <c r="H12" i="42" s="1"/>
  <c r="F15" i="35"/>
  <c r="F19" i="35" s="1"/>
  <c r="F27" i="35"/>
  <c r="F109" i="35"/>
  <c r="F110" i="35" s="1"/>
  <c r="F116" i="35" s="1"/>
  <c r="G120" i="35" s="1"/>
  <c r="G131" i="35" s="1"/>
  <c r="E42" i="35"/>
  <c r="F42" i="35" s="1"/>
  <c r="F44" i="35" s="1"/>
  <c r="F50" i="35" s="1"/>
  <c r="G54" i="35" s="1"/>
  <c r="G65" i="35" s="1"/>
  <c r="F160" i="35"/>
  <c r="F161" i="35" s="1"/>
  <c r="G164" i="35"/>
  <c r="G294" i="35"/>
  <c r="G407" i="35"/>
  <c r="G430" i="35"/>
  <c r="G438" i="35" s="1"/>
  <c r="F14" i="42" l="1"/>
  <c r="G14" i="42" s="1"/>
  <c r="H14" i="42" s="1"/>
  <c r="F28" i="35"/>
  <c r="F29" i="35" s="1"/>
  <c r="G32" i="35"/>
  <c r="F76" i="35"/>
  <c r="F77" i="35" s="1"/>
  <c r="F85" i="35" s="1"/>
  <c r="G89" i="35" s="1"/>
  <c r="G100" i="35" s="1"/>
  <c r="E9" i="35"/>
  <c r="F9" i="35" s="1"/>
  <c r="F11" i="35" s="1"/>
  <c r="G23" i="35" s="1"/>
  <c r="F276" i="35"/>
  <c r="E209" i="35"/>
  <c r="G409" i="35"/>
  <c r="G442" i="35"/>
  <c r="G34" i="35" l="1"/>
  <c r="F209" i="35"/>
  <c r="F210" i="35" s="1"/>
  <c r="E214" i="35" s="1"/>
  <c r="G214" i="35" s="1"/>
  <c r="E141" i="35"/>
  <c r="F141" i="35" s="1"/>
  <c r="F143" i="35" s="1"/>
  <c r="F151" i="35" s="1"/>
  <c r="G155" i="35" s="1"/>
  <c r="G166" i="35" s="1"/>
  <c r="F218" i="35"/>
  <c r="G222" i="35" s="1"/>
  <c r="G233" i="35" s="1"/>
  <c r="F277" i="35"/>
  <c r="F281" i="35" s="1"/>
  <c r="G413" i="35"/>
  <c r="G285" i="35" l="1"/>
  <c r="G296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1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  <comment ref="B150" authorId="0" shapeId="0" xr:uid="{7AAB619D-748D-44C1-B030-AA9AD499406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<sst xmlns="http://schemas.openxmlformats.org/spreadsheetml/2006/main" count="992" uniqueCount="198">
  <si>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</si>
  <si>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</si>
  <si>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</si>
  <si>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</si>
  <si>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</si>
  <si>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</si>
  <si>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</si>
  <si>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</si>
  <si>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</si>
  <si>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</si>
  <si>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</si>
  <si>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</si>
  <si>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</si>
  <si>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</si>
  <si>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</si>
  <si>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</si>
  <si>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</si>
  <si>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</si>
  <si>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</si>
  <si>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</si>
  <si>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</si>
  <si>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</si>
  <si>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</si>
  <si>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</si>
  <si>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</si>
  <si>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</si>
  <si>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</si>
  <si>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</si>
  <si>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</si>
  <si>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</si>
  <si>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</si>
  <si>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</si>
  <si>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</si>
  <si>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</si>
  <si>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</si>
  <si>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</si>
  <si>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</si>
  <si>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</si>
  <si>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</si>
  <si>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</si>
  <si>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</si>
  <si>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</si>
  <si>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</si>
  <si>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</si>
  <si>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</si>
  <si>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</si>
  <si>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</si>
  <si>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</si>
  <si>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</si>
  <si>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</si>
  <si>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</si>
  <si>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</si>
  <si>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</si>
  <si>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</si>
  <si>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</si>
  <si>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</si>
  <si>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</si>
  <si>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</si>
  <si>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</si>
  <si>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</si>
  <si>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</si>
  <si>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</si>
  <si>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</si>
  <si>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</si>
  <si>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</si>
  <si>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</si>
  <si>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</si>
  <si>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</si>
  <si>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</si>
  <si>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</si>
  <si>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</si>
  <si>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</si>
  <si>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</si>
  <si>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</si>
  <si>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</si>
  <si>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</si>
  <si>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</si>
  <si>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</si>
  <si>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</si>
  <si>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</si>
  <si>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</si>
  <si>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</si>
  <si>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</si>
  <si>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</si>
  <si>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</si>
  <si>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</si>
  <si>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</si>
  <si>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</si>
  <si>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</si>
  <si>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</si>
  <si>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</si>
  <si>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</si>
  <si>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</si>
  <si>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</si>
  <si>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</si>
  <si>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</si>
  <si>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</si>
  <si>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</si>
  <si>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</si>
  <si>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</si>
  <si>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</si>
  <si>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</si>
  <si>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</si>
  <si>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</si>
  <si>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</si>
  <si>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</si>
  <si>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</si>
  <si>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</si>
  <si>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</si>
  <si>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</si>
  <si>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</si>
  <si>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Tasks As Outlined In RSA</t>
  </si>
  <si>
    <t>Total RSA Task Fees (excluding capital)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</si>
  <si>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</si>
  <si>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</si>
  <si>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</si>
  <si>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</si>
  <si>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</si>
  <si>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</si>
  <si>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</si>
  <si>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</si>
  <si>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</si>
  <si>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</si>
  <si>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</si>
  <si>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</si>
  <si>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</si>
  <si>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</si>
  <si>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</si>
  <si>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</si>
  <si>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</si>
  <si>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</si>
  <si>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</si>
  <si>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</si>
  <si>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</si>
  <si>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</si>
  <si>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</si>
  <si>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</si>
  <si>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</si>
  <si>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</si>
  <si>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</si>
  <si>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</si>
  <si>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</si>
  <si>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</si>
  <si>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</si>
  <si>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</si>
  <si>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</si>
  <si>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</si>
  <si>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</si>
  <si>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</si>
  <si>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</si>
  <si>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</si>
  <si>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</si>
  <si>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</si>
  <si>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</si>
  <si>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</si>
  <si>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</si>
  <si>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</si>
  <si>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</si>
  <si>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Revenue less 50% retention</t>
  </si>
  <si>
    <t>Add: Amount underspent (net of incentive)</t>
  </si>
  <si>
    <t>Total Two Year Projected Commodity Revenue (based on most recent 6 months average commodity values )</t>
  </si>
  <si>
    <t>Task 1 - Knowledge Sharing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</si>
  <si>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</si>
  <si>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</si>
  <si>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</si>
  <si>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</si>
  <si>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</si>
  <si>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</si>
  <si>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2022 - 2023 Rebate Calculation</t>
  </si>
  <si>
    <r>
      <t>Projected Revenue June 2022 - May</t>
    </r>
    <r>
      <rPr>
        <b/>
        <u/>
        <sz val="12"/>
        <color rgb="FF0070C0"/>
        <rFont val="Arial"/>
        <family val="2"/>
      </rPr>
      <t xml:space="preserve"> 2023</t>
    </r>
    <r>
      <rPr>
        <b/>
        <u/>
        <sz val="12"/>
        <rFont val="Arial"/>
        <family val="2"/>
      </rPr>
      <t xml:space="preserve"> (based on most recent 12 months average)</t>
    </r>
  </si>
  <si>
    <t>Projected Revenue June 2022 - May 2022</t>
  </si>
  <si>
    <t>Actual/projected</t>
  </si>
  <si>
    <t>Diff</t>
  </si>
  <si>
    <t xml:space="preserve">Total Two Year Projected Commodity Revenue </t>
  </si>
  <si>
    <t>August 1 2022 - July 31, 2024</t>
  </si>
  <si>
    <t>Task 2 - Equitable Outreach</t>
  </si>
  <si>
    <t>Task 3 - Community Events - Reducing Contamination and Waste</t>
  </si>
  <si>
    <t>Task 4 - Focused Education for Younger Minds</t>
  </si>
  <si>
    <t>Task 5 - Multifamily recycling and Reduction of Contamination</t>
  </si>
  <si>
    <t>Total RSA Budgeted Expenses</t>
  </si>
  <si>
    <t>2023 - 2024 Rebate Calculation</t>
  </si>
  <si>
    <t>Jun. 2022</t>
  </si>
  <si>
    <t>Jan. 2023</t>
  </si>
  <si>
    <t>Jun. 2023</t>
  </si>
  <si>
    <t>Jan. 2024</t>
  </si>
  <si>
    <t>(8/22-7/24)</t>
  </si>
  <si>
    <t>Per Enspire</t>
  </si>
  <si>
    <t>Smart Composition</t>
  </si>
  <si>
    <t>MF Tons</t>
  </si>
  <si>
    <t>MF</t>
  </si>
  <si>
    <t xml:space="preserve"> </t>
  </si>
  <si>
    <t>Projected Revenue June 2023 - May 2023</t>
  </si>
  <si>
    <r>
      <t>Projected Revenue June 2023 - May</t>
    </r>
    <r>
      <rPr>
        <b/>
        <u/>
        <sz val="12"/>
        <color rgb="FF0070C0"/>
        <rFont val="Arial"/>
        <family val="2"/>
      </rPr>
      <t xml:space="preserve"> 2024</t>
    </r>
    <r>
      <rPr>
        <b/>
        <u/>
        <sz val="12"/>
        <rFont val="Arial"/>
        <family val="2"/>
      </rPr>
      <t xml:space="preserve"> (based on most recent 12 months average)</t>
    </r>
  </si>
  <si>
    <t>n/a</t>
  </si>
  <si>
    <t>Spokane</t>
  </si>
  <si>
    <t>Net SS</t>
  </si>
  <si>
    <t>WM</t>
  </si>
  <si>
    <t>Total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</si>
</sst>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4" borderId="6" xfId="7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49" fillId="2" borderId="0" xfId="7" applyNumberFormat="1" applyFont="1" applyFill="1" applyBorder="1"/>
    <xf numFmtId="0" fontId="50" fillId="2" borderId="5" xfId="0" applyFont="1" applyFill="1" applyBorder="1"/>
    <xf numFmtId="41" fontId="50" fillId="2" borderId="0" xfId="0" applyNumberFormat="1" applyFont="1" applyFill="1" applyBorder="1"/>
    <xf numFmtId="165" fontId="50" fillId="2" borderId="0" xfId="3" applyNumberFormat="1" applyFont="1" applyFill="1" applyBorder="1"/>
    <xf numFmtId="43" fontId="34" fillId="0" borderId="0" xfId="1" applyFont="1"/>
    <xf numFmtId="44" fontId="43" fillId="4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1" fillId="0" borderId="0" xfId="0" applyFont="1" applyBorder="1"/>
    <xf numFmtId="0" fontId="51" fillId="0" borderId="0" xfId="0" applyFont="1" applyBorder="1" applyAlignment="1">
      <alignment horizontal="center"/>
    </xf>
    <xf numFmtId="164" fontId="52" fillId="0" borderId="0" xfId="0" applyNumberFormat="1" applyFont="1" applyBorder="1" applyAlignment="1">
      <alignment horizontal="center"/>
    </xf>
    <xf numFmtId="166" fontId="53" fillId="0" borderId="0" xfId="4" applyNumberFormat="1" applyFont="1" applyAlignment="1"/>
    <xf numFmtId="0" fontId="54" fillId="0" borderId="0" xfId="0" applyFont="1" applyFill="1" applyBorder="1"/>
    <xf numFmtId="164" fontId="52" fillId="0" borderId="0" xfId="0" applyNumberFormat="1" applyFont="1" applyBorder="1" applyAlignment="1"/>
    <xf numFmtId="0" fontId="54" fillId="0" borderId="0" xfId="0" applyFont="1" applyAlignment="1">
      <alignment wrapText="1"/>
    </xf>
    <xf numFmtId="165" fontId="5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8" fillId="0" borderId="0" xfId="4" applyNumberFormat="1" applyFont="1" applyAlignment="1">
      <alignment horizontal="center" wrapText="1"/>
    </xf>
    <xf numFmtId="165" fontId="54" fillId="0" borderId="0" xfId="3" applyNumberFormat="1" applyFont="1" applyAlignment="1">
      <alignment horizontal="right"/>
    </xf>
    <xf numFmtId="0" fontId="54" fillId="0" borderId="0" xfId="0" applyFont="1" applyBorder="1" applyAlignment="1">
      <alignment wrapText="1"/>
    </xf>
    <xf numFmtId="9" fontId="48" fillId="0" borderId="0" xfId="4" applyFont="1" applyAlignment="1">
      <alignment horizontal="center" wrapText="1"/>
    </xf>
    <xf numFmtId="165" fontId="51" fillId="0" borderId="0" xfId="3" applyNumberFormat="1" applyFont="1" applyBorder="1" applyAlignment="1">
      <alignment horizontal="center"/>
    </xf>
    <xf numFmtId="165" fontId="52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5" fillId="0" borderId="0" xfId="3" applyNumberFormat="1" applyFont="1" applyAlignment="1">
      <alignment horizontal="right"/>
    </xf>
    <xf numFmtId="0" fontId="51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8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58" fillId="2" borderId="0" xfId="3" applyNumberFormat="1" applyFont="1" applyFill="1" applyBorder="1"/>
    <xf numFmtId="41" fontId="58" fillId="2" borderId="0" xfId="0" applyNumberFormat="1" applyFont="1" applyFill="1" applyBorder="1"/>
    <xf numFmtId="41" fontId="59" fillId="2" borderId="0" xfId="0" applyNumberFormat="1" applyFont="1" applyFill="1" applyBorder="1"/>
    <xf numFmtId="0" fontId="56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57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6" fillId="2" borderId="0" xfId="3" applyNumberFormat="1" applyFont="1" applyFill="1"/>
    <xf numFmtId="0" fontId="50" fillId="2" borderId="0" xfId="0" applyFont="1" applyFill="1" applyBorder="1"/>
    <xf numFmtId="0" fontId="50" fillId="2" borderId="6" xfId="0" applyFont="1" applyFill="1" applyBorder="1"/>
    <xf numFmtId="0" fontId="60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4" borderId="0" xfId="3" applyNumberFormat="1" applyFont="1" applyFill="1"/>
    <xf numFmtId="164" fontId="4" fillId="0" borderId="0" xfId="1" applyNumberFormat="1" applyFont="1" applyAlignment="1">
      <alignment horizontal="left"/>
    </xf>
    <xf numFmtId="164" fontId="61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167" fontId="0" fillId="0" borderId="0" xfId="1" applyNumberFormat="1" applyFont="1"/>
    <xf numFmtId="0" fontId="16" fillId="0" borderId="0" xfId="0" applyFont="1"/>
    <xf numFmtId="0" fontId="38" fillId="0" borderId="0" xfId="0" applyFont="1"/>
    <xf numFmtId="0" fontId="51" fillId="0" borderId="0" xfId="0" applyFont="1" applyAlignment="1">
      <alignment horizontal="center"/>
    </xf>
    <xf numFmtId="0" fontId="51" fillId="0" borderId="0" xfId="0" applyFont="1"/>
    <xf numFmtId="0" fontId="54" fillId="0" borderId="0" xfId="0" applyFont="1"/>
    <xf numFmtId="164" fontId="52" fillId="0" borderId="0" xfId="0" applyNumberFormat="1" applyFont="1" applyAlignment="1">
      <alignment horizontal="center"/>
    </xf>
    <xf numFmtId="164" fontId="52" fillId="0" borderId="0" xfId="0" applyNumberFormat="1" applyFont="1"/>
    <xf numFmtId="165" fontId="3" fillId="0" borderId="0" xfId="3" applyNumberFormat="1" applyFont="1"/>
    <xf numFmtId="165" fontId="2" fillId="0" borderId="0" xfId="3" applyNumberFormat="1" applyFont="1"/>
    <xf numFmtId="166" fontId="62" fillId="0" borderId="0" xfId="4" applyNumberFormat="1" applyFont="1"/>
    <xf numFmtId="166" fontId="28" fillId="0" borderId="0" xfId="4" applyNumberFormat="1" applyFont="1"/>
    <xf numFmtId="43" fontId="2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16" fillId="0" borderId="0" xfId="3" applyFont="1"/>
    <xf numFmtId="44" fontId="34" fillId="0" borderId="0" xfId="3" applyFont="1" applyFill="1" applyBorder="1" applyProtection="1">
      <protection locked="0"/>
    </xf>
    <xf numFmtId="43" fontId="6" fillId="0" borderId="0" xfId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3" fontId="0" fillId="4" borderId="0" xfId="0" applyNumberFormat="1" applyFill="1"/>
    <xf numFmtId="43" fontId="0" fillId="4" borderId="0" xfId="1" applyFont="1" applyFill="1"/>
    <xf numFmtId="166" fontId="0" fillId="4" borderId="0" xfId="4" applyNumberFormat="1" applyFont="1" applyFill="1"/>
    <xf numFmtId="43" fontId="6" fillId="4" borderId="0" xfId="0" applyNumberFormat="1" applyFont="1" applyFill="1"/>
    <xf numFmtId="43" fontId="7" fillId="4" borderId="0" xfId="1" applyFont="1" applyFill="1"/>
    <xf numFmtId="0" fontId="0" fillId="4" borderId="0" xfId="0" applyFill="1"/>
    <xf numFmtId="0" fontId="2" fillId="4" borderId="0" xfId="5" applyFill="1"/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0" fontId="0" fillId="4" borderId="0" xfId="0" applyNumberFormat="1" applyFill="1"/>
    <xf numFmtId="44" fontId="0" fillId="4" borderId="0" xfId="0" applyNumberFormat="1" applyFill="1"/>
    <xf numFmtId="0" fontId="2" fillId="4" borderId="0" xfId="0" applyFont="1" applyFill="1"/>
    <xf numFmtId="43" fontId="6" fillId="4" borderId="0" xfId="1" applyFont="1" applyFill="1"/>
    <xf numFmtId="10" fontId="25" fillId="4" borderId="0" xfId="4" applyNumberFormat="1" applyFont="1" applyFill="1"/>
    <xf numFmtId="10" fontId="25" fillId="4" borderId="0" xfId="1" applyNumberFormat="1" applyFont="1" applyFill="1"/>
    <xf numFmtId="165" fontId="0" fillId="4" borderId="0" xfId="3" applyNumberFormat="1" applyFont="1" applyFill="1"/>
    <xf numFmtId="165" fontId="6" fillId="4" borderId="0" xfId="3" applyNumberFormat="1" applyFont="1" applyFill="1"/>
    <xf numFmtId="165" fontId="7" fillId="4" borderId="0" xfId="3" applyNumberFormat="1" applyFont="1" applyFill="1"/>
    <xf numFmtId="44" fontId="26" fillId="4" borderId="0" xfId="3" applyFont="1" applyFill="1"/>
    <xf numFmtId="166" fontId="7" fillId="4" borderId="0" xfId="4" applyNumberFormat="1" applyFont="1" applyFill="1"/>
    <xf numFmtId="166" fontId="6" fillId="4" borderId="0" xfId="4" applyNumberFormat="1" applyFont="1" applyFill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2</xdr:row>
      <xdr:rowOff>19050</xdr:rowOff>
    </xdr:from>
    <xdr:to>
      <xdr:col>2</xdr:col>
      <xdr:colOff>409575</xdr:colOff>
      <xdr:row>11</xdr:row>
      <xdr:rowOff>133350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323850"/>
          <a:ext cx="409575" cy="1476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19</xdr:row>
      <xdr:rowOff>0</xdr:rowOff>
    </xdr:from>
    <xdr:to>
      <xdr:col>2</xdr:col>
      <xdr:colOff>409575</xdr:colOff>
      <xdr:row>33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F1ADE75-E796-4044-8C63-B186C67AE951}"/>
            </a:ext>
          </a:extLst>
        </xdr:cNvPr>
        <xdr:cNvSpPr>
          <a:spLocks noChangeShapeType="1"/>
        </xdr:cNvSpPr>
      </xdr:nvSpPr>
      <xdr:spPr bwMode="auto">
        <a:xfrm>
          <a:off x="1181100" y="609600"/>
          <a:ext cx="409575" cy="2114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19</xdr:row>
      <xdr:rowOff>0</xdr:rowOff>
    </xdr:from>
    <xdr:to>
      <xdr:col>9</xdr:col>
      <xdr:colOff>457200</xdr:colOff>
      <xdr:row>32</xdr:row>
      <xdr:rowOff>76200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743E2E0-B509-436F-8CC8-97C68EFAB38A}"/>
            </a:ext>
          </a:extLst>
        </xdr:cNvPr>
        <xdr:cNvSpPr>
          <a:spLocks noChangeShapeType="1"/>
        </xdr:cNvSpPr>
      </xdr:nvSpPr>
      <xdr:spPr bwMode="auto">
        <a:xfrm>
          <a:off x="5819775" y="609600"/>
          <a:ext cx="590550" cy="20383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7"/>
  <sheetViews>
    <sheetView topLeftCell="A23" zoomScale="115" zoomScaleNormal="115" workbookViewId="0">
      <selection activeCell="F114" sqref="F114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56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180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292" t="s">
        <v>21</v>
      </c>
      <c r="B4" s="293"/>
      <c r="C4" s="293"/>
      <c r="D4" s="293"/>
      <c r="E4" s="293"/>
      <c r="F4" s="293"/>
      <c r="G4" s="294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191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144</v>
      </c>
      <c r="B9" s="38"/>
      <c r="C9" s="47">
        <f>'Res''l &amp; MF Customers'!C12+'Res''l &amp; MF Customers'!D12</f>
        <v>53986</v>
      </c>
      <c r="D9" s="47"/>
      <c r="E9" s="48">
        <f>+E76</f>
        <v>1.45</v>
      </c>
      <c r="F9" s="131">
        <f>C9*E9</f>
        <v>78279.7</v>
      </c>
      <c r="G9" s="39"/>
    </row>
    <row r="10" spans="1:7" ht="17.25" x14ac:dyDescent="0.35">
      <c r="A10" s="49" t="s">
        <v>145</v>
      </c>
      <c r="B10" s="50"/>
      <c r="C10" s="51">
        <f>SUM('Res''l &amp; MF Customers'!E12:N12)</f>
        <v>270026</v>
      </c>
      <c r="D10" s="51"/>
      <c r="E10" s="48">
        <f>+G98</f>
        <v>2.72</v>
      </c>
      <c r="F10" s="132">
        <f>C10*E10</f>
        <v>734470.72000000009</v>
      </c>
      <c r="G10" s="39"/>
    </row>
    <row r="11" spans="1:7" ht="18" x14ac:dyDescent="0.4">
      <c r="A11" s="175" t="s">
        <v>137</v>
      </c>
      <c r="B11" s="38"/>
      <c r="C11" s="226">
        <f>SUM(C9:C10)</f>
        <v>324012</v>
      </c>
      <c r="D11" s="227"/>
      <c r="E11" s="228"/>
      <c r="F11" s="225">
        <f>SUM(F9:F10)</f>
        <v>812750.42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131</v>
      </c>
      <c r="B13" s="38"/>
      <c r="C13" s="38"/>
      <c r="D13" s="38"/>
      <c r="E13" s="38"/>
      <c r="F13" s="225">
        <f>+'Tons &amp; Revenue'!P247</f>
        <v>498154.54968408984</v>
      </c>
      <c r="G13" s="39"/>
    </row>
    <row r="14" spans="1:7" ht="18" x14ac:dyDescent="0.4">
      <c r="A14" s="35"/>
      <c r="B14" s="38"/>
      <c r="C14" s="38"/>
      <c r="D14" s="38"/>
      <c r="E14" s="38"/>
      <c r="F14" s="225"/>
      <c r="G14" s="39"/>
    </row>
    <row r="15" spans="1:7" ht="17.25" x14ac:dyDescent="0.35">
      <c r="A15" s="49" t="s">
        <v>158</v>
      </c>
      <c r="B15" s="220"/>
      <c r="C15" s="220"/>
      <c r="D15" s="220"/>
      <c r="E15" s="242"/>
      <c r="F15" s="237">
        <f>+F13*50%</f>
        <v>249077.27484204492</v>
      </c>
      <c r="G15" s="243"/>
    </row>
    <row r="16" spans="1:7" ht="17.25" x14ac:dyDescent="0.35">
      <c r="A16" s="49"/>
      <c r="B16" s="220"/>
      <c r="C16" s="220"/>
      <c r="D16" s="220"/>
      <c r="E16" s="220"/>
      <c r="F16" s="237"/>
      <c r="G16" s="39"/>
    </row>
    <row r="17" spans="1:7" ht="15" x14ac:dyDescent="0.2">
      <c r="A17" s="49" t="s">
        <v>159</v>
      </c>
      <c r="B17" s="220"/>
      <c r="C17" s="220"/>
      <c r="D17" s="220"/>
      <c r="E17" s="220" t="s">
        <v>193</v>
      </c>
      <c r="F17" s="221"/>
      <c r="G17" s="39"/>
    </row>
    <row r="18" spans="1:7" ht="17.25" x14ac:dyDescent="0.35">
      <c r="A18" s="49"/>
      <c r="B18" s="220"/>
      <c r="C18" s="220"/>
      <c r="D18" s="220"/>
      <c r="E18" s="220"/>
      <c r="F18" s="224"/>
      <c r="G18" s="39"/>
    </row>
    <row r="19" spans="1:7" ht="15.75" x14ac:dyDescent="0.25">
      <c r="A19" s="175" t="s">
        <v>24</v>
      </c>
      <c r="B19" s="238"/>
      <c r="C19" s="238"/>
      <c r="D19" s="238"/>
      <c r="E19" s="238"/>
      <c r="F19" s="177">
        <f>F13-F11-F15</f>
        <v>-563673.14515795512</v>
      </c>
      <c r="G19" s="239"/>
    </row>
    <row r="20" spans="1:7" ht="15" x14ac:dyDescent="0.2">
      <c r="A20" s="42"/>
      <c r="B20" s="38"/>
      <c r="C20" s="38"/>
      <c r="D20" s="38"/>
      <c r="E20" s="38"/>
      <c r="F20" s="223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324012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-1.74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0" t="s">
        <v>192</v>
      </c>
      <c r="B27" s="36"/>
      <c r="C27" s="38"/>
      <c r="D27" s="38"/>
      <c r="E27" s="38"/>
      <c r="F27" s="162">
        <f>+F13</f>
        <v>498154.54968408984</v>
      </c>
      <c r="G27" s="52"/>
    </row>
    <row r="28" spans="1:7" ht="17.25" x14ac:dyDescent="0.35">
      <c r="A28" s="49" t="s">
        <v>136</v>
      </c>
      <c r="B28" s="36"/>
      <c r="C28" s="38"/>
      <c r="D28" s="38"/>
      <c r="E28" s="172">
        <v>0.5</v>
      </c>
      <c r="F28" s="173">
        <f>-F27*E28</f>
        <v>-249077.27484204492</v>
      </c>
      <c r="G28" s="52"/>
    </row>
    <row r="29" spans="1:7" ht="20.25" x14ac:dyDescent="0.55000000000000004">
      <c r="A29" s="49"/>
      <c r="B29" s="36"/>
      <c r="C29" s="38"/>
      <c r="D29" s="38"/>
      <c r="E29" s="172"/>
      <c r="F29" s="174">
        <f>+F28+F27</f>
        <v>249077.27484204492</v>
      </c>
      <c r="G29" s="52"/>
    </row>
    <row r="30" spans="1:7" ht="17.25" x14ac:dyDescent="0.35">
      <c r="A30" s="49"/>
      <c r="B30" s="36"/>
      <c r="C30" s="38"/>
      <c r="D30" s="38"/>
      <c r="E30" s="172"/>
      <c r="F30" s="173"/>
      <c r="G30" s="52"/>
    </row>
    <row r="31" spans="1:7" ht="17.25" x14ac:dyDescent="0.35">
      <c r="A31" s="42" t="s">
        <v>138</v>
      </c>
      <c r="B31" s="38"/>
      <c r="C31" s="38"/>
      <c r="D31" s="38"/>
      <c r="E31" s="38"/>
      <c r="F31" s="163">
        <f>+C11</f>
        <v>324012</v>
      </c>
      <c r="G31" s="52"/>
    </row>
    <row r="32" spans="1:7" ht="17.25" x14ac:dyDescent="0.35">
      <c r="A32" s="42" t="s">
        <v>103</v>
      </c>
      <c r="B32" s="38"/>
      <c r="C32" s="38"/>
      <c r="D32" s="38"/>
      <c r="E32" s="38"/>
      <c r="F32" s="38"/>
      <c r="G32" s="55">
        <f>ROUND(+F27/F31,2)</f>
        <v>1.54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79">
        <f>SUM(G23:G32)</f>
        <v>-0.19999999999999996</v>
      </c>
    </row>
    <row r="35" spans="1:7" ht="15.75" x14ac:dyDescent="0.25">
      <c r="A35" s="35"/>
      <c r="B35" s="36"/>
      <c r="C35" s="38"/>
      <c r="D35" s="38"/>
      <c r="E35" s="38"/>
      <c r="F35" s="38"/>
      <c r="G35" s="149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295" t="s">
        <v>29</v>
      </c>
      <c r="B37" s="296"/>
      <c r="C37" s="296"/>
      <c r="D37" s="296"/>
      <c r="E37" s="296"/>
      <c r="F37" s="296"/>
      <c r="G37" s="297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tr">
        <f>+A8</f>
        <v>Projected Revenue June 2023 - May 2023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144</v>
      </c>
      <c r="B42" s="50"/>
      <c r="C42" s="67">
        <f>+'Res''l &amp; MF Customers'!C25+'Res''l &amp; MF Customers'!D25</f>
        <v>4562.666666666667</v>
      </c>
      <c r="D42" s="67"/>
      <c r="E42" s="68">
        <f>+E109</f>
        <v>0.22</v>
      </c>
      <c r="F42" s="54">
        <f>E42*C42</f>
        <v>1003.7866666666667</v>
      </c>
      <c r="G42" s="64"/>
    </row>
    <row r="43" spans="1:7" ht="17.25" x14ac:dyDescent="0.35">
      <c r="A43" s="49" t="s">
        <v>145</v>
      </c>
      <c r="B43" s="50"/>
      <c r="C43" s="51">
        <f>+'Res''l &amp; MF Customers'!P25-C42</f>
        <v>20001.866666666665</v>
      </c>
      <c r="D43" s="51"/>
      <c r="E43" s="68">
        <f>+G129</f>
        <v>0.44</v>
      </c>
      <c r="F43" s="132">
        <f>E43*C43</f>
        <v>8800.8213333333333</v>
      </c>
      <c r="G43" s="64"/>
    </row>
    <row r="44" spans="1:7" ht="18" x14ac:dyDescent="0.4">
      <c r="A44" s="42" t="s">
        <v>3</v>
      </c>
      <c r="B44" s="50"/>
      <c r="C44" s="229">
        <f>SUM(C42:C43)</f>
        <v>24564.533333333333</v>
      </c>
      <c r="D44" s="229"/>
      <c r="E44" s="230"/>
      <c r="F44" s="231">
        <f>SUM(F42:F43)</f>
        <v>9804.6080000000002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131</v>
      </c>
      <c r="B46" s="38"/>
      <c r="C46" s="38"/>
      <c r="D46" s="38"/>
      <c r="E46" s="38"/>
      <c r="F46" s="225">
        <f>+'Tons &amp; Revenue'!P217</f>
        <v>12933.578840361561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158</v>
      </c>
      <c r="B48" s="38"/>
      <c r="C48" s="38"/>
      <c r="D48" s="38"/>
      <c r="E48" s="38"/>
      <c r="F48" s="232">
        <f>F46*50%</f>
        <v>6466.7894201807803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-3337.8185798192198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24564.533333333333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-0.14000000000000001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0" t="str">
        <f>+A27</f>
        <v>Projected Revenue June 2023 - May 2024 (based on most recent 12 months average)</v>
      </c>
      <c r="B58" s="50"/>
      <c r="C58" s="50"/>
      <c r="D58" s="50"/>
      <c r="E58" s="50"/>
      <c r="F58" s="164">
        <f>+F46</f>
        <v>12933.578840361561</v>
      </c>
      <c r="G58" s="64"/>
    </row>
    <row r="59" spans="1:7" ht="17.25" x14ac:dyDescent="0.35">
      <c r="A59" s="49" t="s">
        <v>136</v>
      </c>
      <c r="B59" s="36"/>
      <c r="C59" s="38"/>
      <c r="D59" s="38"/>
      <c r="E59" s="172">
        <v>0.5</v>
      </c>
      <c r="F59" s="173">
        <f>-F58*E59</f>
        <v>-6466.7894201807803</v>
      </c>
      <c r="G59" s="52"/>
    </row>
    <row r="60" spans="1:7" ht="20.25" x14ac:dyDescent="0.55000000000000004">
      <c r="A60" s="49"/>
      <c r="B60" s="36"/>
      <c r="C60" s="38"/>
      <c r="D60" s="38"/>
      <c r="E60" s="172"/>
      <c r="F60" s="174">
        <f>+F59+F58</f>
        <v>6466.7894201807803</v>
      </c>
      <c r="G60" s="52"/>
    </row>
    <row r="61" spans="1:7" ht="17.25" x14ac:dyDescent="0.35">
      <c r="A61" s="49"/>
      <c r="B61" s="36"/>
      <c r="C61" s="38"/>
      <c r="D61" s="38"/>
      <c r="E61" s="172"/>
      <c r="F61" s="173"/>
      <c r="G61" s="52"/>
    </row>
    <row r="62" spans="1:7" ht="17.25" x14ac:dyDescent="0.35">
      <c r="A62" s="42" t="s">
        <v>138</v>
      </c>
      <c r="B62" s="38"/>
      <c r="C62" s="38"/>
      <c r="D62" s="38"/>
      <c r="E62" s="38"/>
      <c r="F62" s="163">
        <f>+C44</f>
        <v>24564.533333333333</v>
      </c>
      <c r="G62" s="52"/>
    </row>
    <row r="63" spans="1:7" ht="17.25" x14ac:dyDescent="0.35">
      <c r="A63" s="42" t="s">
        <v>103</v>
      </c>
      <c r="B63" s="38"/>
      <c r="C63" s="38"/>
      <c r="D63" s="38"/>
      <c r="E63" s="38"/>
      <c r="F63" s="38"/>
      <c r="G63" s="55">
        <f>ROUND(+F58/F62,2)</f>
        <v>0.53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117</v>
      </c>
      <c r="B65" s="36"/>
      <c r="C65" s="38"/>
      <c r="D65" s="38"/>
      <c r="E65" s="38"/>
      <c r="F65" s="38"/>
      <c r="G65" s="179">
        <f>SUM(G54:G63)</f>
        <v>0.39</v>
      </c>
    </row>
    <row r="66" spans="1:7" ht="16.5" thickBot="1" x14ac:dyDescent="0.3">
      <c r="A66" s="233"/>
      <c r="B66" s="234"/>
      <c r="C66" s="235"/>
      <c r="D66" s="235"/>
      <c r="E66" s="235"/>
      <c r="F66" s="235"/>
      <c r="G66" s="236"/>
    </row>
    <row r="67" spans="1:7" ht="23.25" x14ac:dyDescent="0.35">
      <c r="A67" s="31" t="s">
        <v>56</v>
      </c>
      <c r="B67" s="32"/>
      <c r="C67" s="33"/>
      <c r="D67" s="33"/>
      <c r="E67" s="33"/>
      <c r="F67" s="33"/>
      <c r="G67" s="34"/>
    </row>
    <row r="68" spans="1:7" ht="15.75" x14ac:dyDescent="0.25">
      <c r="A68" s="35" t="s">
        <v>168</v>
      </c>
      <c r="B68" s="36"/>
      <c r="C68" s="37"/>
      <c r="D68" s="37"/>
      <c r="E68" s="38"/>
      <c r="F68" s="38"/>
      <c r="G68" s="39"/>
    </row>
    <row r="69" spans="1:7" ht="15.75" x14ac:dyDescent="0.25">
      <c r="A69" s="40"/>
      <c r="B69" s="41"/>
      <c r="C69" s="38"/>
      <c r="D69" s="38"/>
      <c r="E69" s="38"/>
      <c r="F69" s="38"/>
      <c r="G69" s="39"/>
    </row>
    <row r="70" spans="1:7" ht="15" x14ac:dyDescent="0.2">
      <c r="A70" s="292" t="s">
        <v>21</v>
      </c>
      <c r="B70" s="293"/>
      <c r="C70" s="293"/>
      <c r="D70" s="293"/>
      <c r="E70" s="293"/>
      <c r="F70" s="293"/>
      <c r="G70" s="294"/>
    </row>
    <row r="71" spans="1:7" ht="15" x14ac:dyDescent="0.2">
      <c r="A71" s="42"/>
      <c r="B71" s="38"/>
      <c r="C71" s="38"/>
      <c r="D71" s="38"/>
      <c r="E71" s="38"/>
      <c r="F71" s="38"/>
      <c r="G71" s="39"/>
    </row>
    <row r="72" spans="1:7" ht="15.75" x14ac:dyDescent="0.25">
      <c r="A72" s="42"/>
      <c r="B72" s="38"/>
      <c r="C72" s="43"/>
      <c r="D72" s="43"/>
      <c r="E72" s="43" t="s">
        <v>13</v>
      </c>
      <c r="F72" s="43" t="s">
        <v>3</v>
      </c>
      <c r="G72" s="39"/>
    </row>
    <row r="73" spans="1:7" ht="15.75" x14ac:dyDescent="0.25">
      <c r="A73" s="42"/>
      <c r="B73" s="38"/>
      <c r="C73" s="44" t="s">
        <v>5</v>
      </c>
      <c r="D73" s="44"/>
      <c r="E73" s="44" t="s">
        <v>22</v>
      </c>
      <c r="F73" s="44" t="s">
        <v>6</v>
      </c>
      <c r="G73" s="39"/>
    </row>
    <row r="74" spans="1:7" ht="15.75" x14ac:dyDescent="0.25">
      <c r="A74" s="45" t="s">
        <v>170</v>
      </c>
      <c r="B74" s="36"/>
      <c r="C74" s="46"/>
      <c r="D74" s="46"/>
      <c r="E74" s="46"/>
      <c r="F74" s="46"/>
      <c r="G74" s="39"/>
    </row>
    <row r="75" spans="1:7" ht="15.75" x14ac:dyDescent="0.25">
      <c r="A75" s="42" t="s">
        <v>144</v>
      </c>
      <c r="B75" s="38"/>
      <c r="C75" s="47">
        <v>53091</v>
      </c>
      <c r="D75" s="47"/>
      <c r="E75" s="48">
        <f>+E142</f>
        <v>1.06</v>
      </c>
      <c r="F75" s="131">
        <f>C75*E75</f>
        <v>56276.460000000006</v>
      </c>
      <c r="G75" s="39"/>
    </row>
    <row r="76" spans="1:7" ht="17.25" x14ac:dyDescent="0.35">
      <c r="A76" s="49" t="s">
        <v>145</v>
      </c>
      <c r="B76" s="50"/>
      <c r="C76" s="51">
        <v>266532</v>
      </c>
      <c r="D76" s="51"/>
      <c r="E76" s="48">
        <v>1.45</v>
      </c>
      <c r="F76" s="132">
        <f>C76*E76</f>
        <v>386471.39999999997</v>
      </c>
      <c r="G76" s="39"/>
    </row>
    <row r="77" spans="1:7" ht="18" x14ac:dyDescent="0.4">
      <c r="A77" s="175" t="s">
        <v>137</v>
      </c>
      <c r="B77" s="38"/>
      <c r="C77" s="226">
        <f>SUM(C75:C76)</f>
        <v>319623</v>
      </c>
      <c r="D77" s="227"/>
      <c r="E77" s="228"/>
      <c r="F77" s="225">
        <f>SUM(F75:F76)</f>
        <v>442747.86</v>
      </c>
      <c r="G77" s="39"/>
    </row>
    <row r="78" spans="1:7" ht="15" x14ac:dyDescent="0.2">
      <c r="A78" s="42"/>
      <c r="B78" s="38"/>
      <c r="C78" s="38"/>
      <c r="D78" s="38"/>
      <c r="E78" s="38"/>
      <c r="F78" s="38"/>
      <c r="G78" s="39"/>
    </row>
    <row r="79" spans="1:7" ht="18" x14ac:dyDescent="0.4">
      <c r="A79" s="35" t="s">
        <v>131</v>
      </c>
      <c r="B79" s="38"/>
      <c r="C79" s="38"/>
      <c r="D79" s="38"/>
      <c r="E79" s="38"/>
      <c r="F79" s="225">
        <v>868265</v>
      </c>
      <c r="G79" s="39"/>
    </row>
    <row r="80" spans="1:7" ht="18" x14ac:dyDescent="0.4">
      <c r="A80" s="35"/>
      <c r="B80" s="38"/>
      <c r="C80" s="38"/>
      <c r="D80" s="38"/>
      <c r="E80" s="38"/>
      <c r="F80" s="225"/>
      <c r="G80" s="39"/>
    </row>
    <row r="81" spans="1:7" ht="17.25" x14ac:dyDescent="0.35">
      <c r="A81" s="49" t="s">
        <v>158</v>
      </c>
      <c r="B81" s="220"/>
      <c r="C81" s="220"/>
      <c r="D81" s="220"/>
      <c r="E81" s="242"/>
      <c r="F81" s="237">
        <f>+F79*50%</f>
        <v>434132.5</v>
      </c>
      <c r="G81" s="243"/>
    </row>
    <row r="82" spans="1:7" ht="17.25" x14ac:dyDescent="0.35">
      <c r="A82" s="49"/>
      <c r="B82" s="220"/>
      <c r="C82" s="220"/>
      <c r="D82" s="220"/>
      <c r="E82" s="220"/>
      <c r="F82" s="237"/>
      <c r="G82" s="39"/>
    </row>
    <row r="83" spans="1:7" ht="15" x14ac:dyDescent="0.2">
      <c r="A83" s="49" t="s">
        <v>159</v>
      </c>
      <c r="B83" s="220"/>
      <c r="C83" s="220"/>
      <c r="D83" s="220"/>
      <c r="E83" s="220"/>
      <c r="F83" s="221">
        <v>92</v>
      </c>
      <c r="G83" s="39"/>
    </row>
    <row r="84" spans="1:7" ht="17.25" x14ac:dyDescent="0.35">
      <c r="A84" s="49"/>
      <c r="B84" s="220"/>
      <c r="C84" s="220"/>
      <c r="D84" s="220"/>
      <c r="E84" s="220"/>
      <c r="F84" s="224"/>
      <c r="G84" s="39"/>
    </row>
    <row r="85" spans="1:7" ht="15.75" x14ac:dyDescent="0.25">
      <c r="A85" s="175" t="s">
        <v>24</v>
      </c>
      <c r="B85" s="238"/>
      <c r="C85" s="238"/>
      <c r="D85" s="238"/>
      <c r="E85" s="238"/>
      <c r="F85" s="177">
        <f>F79-F77-F81+F83</f>
        <v>-8523.359999999986</v>
      </c>
      <c r="G85" s="239"/>
    </row>
    <row r="86" spans="1:7" ht="15" x14ac:dyDescent="0.2">
      <c r="A86" s="42"/>
      <c r="B86" s="38"/>
      <c r="C86" s="38"/>
      <c r="D86" s="38"/>
      <c r="E86" s="38"/>
      <c r="F86" s="223"/>
      <c r="G86" s="39"/>
    </row>
    <row r="87" spans="1:7" ht="15" x14ac:dyDescent="0.2">
      <c r="A87" s="42" t="s">
        <v>25</v>
      </c>
      <c r="B87" s="38"/>
      <c r="C87" s="38"/>
      <c r="D87" s="38"/>
      <c r="E87" s="38"/>
      <c r="F87" s="47">
        <f>+F97</f>
        <v>319623</v>
      </c>
      <c r="G87" s="39"/>
    </row>
    <row r="88" spans="1:7" ht="15" x14ac:dyDescent="0.2">
      <c r="A88" s="42"/>
      <c r="B88" s="38"/>
      <c r="C88" s="38"/>
      <c r="D88" s="38"/>
      <c r="E88" s="38"/>
      <c r="F88" s="38"/>
      <c r="G88" s="39"/>
    </row>
    <row r="89" spans="1:7" ht="15" x14ac:dyDescent="0.2">
      <c r="A89" s="42" t="s">
        <v>26</v>
      </c>
      <c r="B89" s="38"/>
      <c r="C89" s="38"/>
      <c r="D89" s="38"/>
      <c r="E89" s="38"/>
      <c r="F89" s="61"/>
      <c r="G89" s="52">
        <f>ROUND(F85/F87,2)</f>
        <v>-0.03</v>
      </c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5" x14ac:dyDescent="0.2">
      <c r="A91" s="42"/>
      <c r="B91" s="38"/>
      <c r="C91" s="38"/>
      <c r="D91" s="38"/>
      <c r="E91" s="38"/>
      <c r="F91" s="38"/>
      <c r="G91" s="52"/>
    </row>
    <row r="92" spans="1:7" ht="15" x14ac:dyDescent="0.2">
      <c r="A92" s="42"/>
      <c r="B92" s="38"/>
      <c r="C92" s="38"/>
      <c r="D92" s="38"/>
      <c r="E92" s="38"/>
      <c r="F92" s="38"/>
      <c r="G92" s="52"/>
    </row>
    <row r="93" spans="1:7" ht="15.75" x14ac:dyDescent="0.25">
      <c r="A93" s="150" t="s">
        <v>169</v>
      </c>
      <c r="B93" s="36"/>
      <c r="C93" s="38"/>
      <c r="D93" s="38"/>
      <c r="E93" s="38"/>
      <c r="F93" s="162">
        <f>+F79</f>
        <v>868265</v>
      </c>
      <c r="G93" s="52"/>
    </row>
    <row r="94" spans="1:7" ht="17.25" x14ac:dyDescent="0.35">
      <c r="A94" s="49" t="s">
        <v>136</v>
      </c>
      <c r="B94" s="36"/>
      <c r="C94" s="38"/>
      <c r="D94" s="38"/>
      <c r="E94" s="172">
        <v>0.5</v>
      </c>
      <c r="F94" s="173">
        <f>-F93*E94</f>
        <v>-434132.5</v>
      </c>
      <c r="G94" s="52"/>
    </row>
    <row r="95" spans="1:7" ht="20.25" x14ac:dyDescent="0.55000000000000004">
      <c r="A95" s="49"/>
      <c r="B95" s="36"/>
      <c r="C95" s="38"/>
      <c r="D95" s="38"/>
      <c r="E95" s="172"/>
      <c r="F95" s="174">
        <f>+F94+F93</f>
        <v>434132.5</v>
      </c>
      <c r="G95" s="52"/>
    </row>
    <row r="96" spans="1:7" ht="17.25" x14ac:dyDescent="0.35">
      <c r="A96" s="49"/>
      <c r="B96" s="36"/>
      <c r="C96" s="38"/>
      <c r="D96" s="38"/>
      <c r="E96" s="172"/>
      <c r="F96" s="173"/>
      <c r="G96" s="52"/>
    </row>
    <row r="97" spans="1:7" ht="17.25" x14ac:dyDescent="0.35">
      <c r="A97" s="42" t="s">
        <v>138</v>
      </c>
      <c r="B97" s="38"/>
      <c r="C97" s="38"/>
      <c r="D97" s="38"/>
      <c r="E97" s="38"/>
      <c r="F97" s="163">
        <f>+C77</f>
        <v>319623</v>
      </c>
      <c r="G97" s="52"/>
    </row>
    <row r="98" spans="1:7" ht="17.25" x14ac:dyDescent="0.35">
      <c r="A98" s="42" t="s">
        <v>103</v>
      </c>
      <c r="B98" s="38"/>
      <c r="C98" s="38"/>
      <c r="D98" s="38"/>
      <c r="E98" s="38"/>
      <c r="F98" s="38"/>
      <c r="G98" s="55">
        <f>ROUND(+F93/F97,2)</f>
        <v>2.72</v>
      </c>
    </row>
    <row r="99" spans="1:7" ht="15" x14ac:dyDescent="0.2">
      <c r="A99" s="42"/>
      <c r="B99" s="38"/>
      <c r="C99" s="38"/>
      <c r="D99" s="38"/>
      <c r="E99" s="38"/>
      <c r="F99" s="38"/>
      <c r="G99" s="52"/>
    </row>
    <row r="100" spans="1:7" ht="18" x14ac:dyDescent="0.4">
      <c r="A100" s="35" t="s">
        <v>28</v>
      </c>
      <c r="B100" s="36"/>
      <c r="C100" s="38"/>
      <c r="D100" s="38"/>
      <c r="E100" s="38"/>
      <c r="F100" s="38"/>
      <c r="G100" s="179">
        <f>SUM(G89:G98)</f>
        <v>2.6900000000000004</v>
      </c>
    </row>
    <row r="101" spans="1:7" ht="15.75" x14ac:dyDescent="0.25">
      <c r="A101" s="35"/>
      <c r="B101" s="36"/>
      <c r="C101" s="38"/>
      <c r="D101" s="38"/>
      <c r="E101" s="38"/>
      <c r="F101" s="38"/>
      <c r="G101" s="149"/>
    </row>
    <row r="102" spans="1:7" ht="13.5" thickBot="1" x14ac:dyDescent="0.25">
      <c r="A102" s="19"/>
      <c r="B102" s="20"/>
      <c r="C102" s="20"/>
      <c r="D102" s="20"/>
      <c r="E102" s="20"/>
      <c r="F102" s="20"/>
      <c r="G102" s="21"/>
    </row>
    <row r="103" spans="1:7" ht="15" x14ac:dyDescent="0.2">
      <c r="A103" s="295" t="s">
        <v>29</v>
      </c>
      <c r="B103" s="296"/>
      <c r="C103" s="296"/>
      <c r="D103" s="296"/>
      <c r="E103" s="296"/>
      <c r="F103" s="296"/>
      <c r="G103" s="297"/>
    </row>
    <row r="104" spans="1:7" ht="15" x14ac:dyDescent="0.2">
      <c r="A104" s="49"/>
      <c r="B104" s="50"/>
      <c r="C104" s="50"/>
      <c r="D104" s="50"/>
      <c r="E104" s="50"/>
      <c r="F104" s="50"/>
      <c r="G104" s="64"/>
    </row>
    <row r="105" spans="1:7" ht="15.75" x14ac:dyDescent="0.25">
      <c r="A105" s="49"/>
      <c r="B105" s="50"/>
      <c r="C105" s="43"/>
      <c r="D105" s="43"/>
      <c r="E105" s="43" t="s">
        <v>13</v>
      </c>
      <c r="F105" s="43" t="s">
        <v>3</v>
      </c>
      <c r="G105" s="64"/>
    </row>
    <row r="106" spans="1:7" ht="15.75" x14ac:dyDescent="0.25">
      <c r="A106" s="49"/>
      <c r="B106" s="50"/>
      <c r="C106" s="65" t="s">
        <v>20</v>
      </c>
      <c r="D106" s="65"/>
      <c r="E106" s="65" t="s">
        <v>22</v>
      </c>
      <c r="F106" s="65" t="s">
        <v>6</v>
      </c>
      <c r="G106" s="64"/>
    </row>
    <row r="107" spans="1:7" ht="15.75" x14ac:dyDescent="0.25">
      <c r="A107" s="45" t="str">
        <f>+A74</f>
        <v>Projected Revenue June 2022 - May 2022</v>
      </c>
      <c r="B107" s="36"/>
      <c r="C107" s="66"/>
      <c r="D107" s="66"/>
      <c r="E107" s="66"/>
      <c r="F107" s="66"/>
      <c r="G107" s="64"/>
    </row>
    <row r="108" spans="1:7" ht="15.75" x14ac:dyDescent="0.25">
      <c r="A108" s="42" t="s">
        <v>144</v>
      </c>
      <c r="B108" s="50"/>
      <c r="C108" s="67">
        <v>4504</v>
      </c>
      <c r="D108" s="67"/>
      <c r="E108" s="68">
        <f>+E175</f>
        <v>0.17</v>
      </c>
      <c r="F108" s="54">
        <f>E108*C108</f>
        <v>765.68000000000006</v>
      </c>
      <c r="G108" s="64"/>
    </row>
    <row r="109" spans="1:7" ht="17.25" x14ac:dyDescent="0.35">
      <c r="A109" s="49" t="s">
        <v>145</v>
      </c>
      <c r="B109" s="50"/>
      <c r="C109" s="51">
        <v>22395</v>
      </c>
      <c r="D109" s="51"/>
      <c r="E109" s="68">
        <v>0.22</v>
      </c>
      <c r="F109" s="132">
        <f>E109*C109</f>
        <v>4926.8999999999996</v>
      </c>
      <c r="G109" s="64"/>
    </row>
    <row r="110" spans="1:7" ht="18" x14ac:dyDescent="0.4">
      <c r="A110" s="42" t="s">
        <v>3</v>
      </c>
      <c r="B110" s="50"/>
      <c r="C110" s="229">
        <f>SUM(C108:C109)</f>
        <v>26899</v>
      </c>
      <c r="D110" s="229"/>
      <c r="E110" s="230"/>
      <c r="F110" s="231">
        <f>SUM(F108:F109)</f>
        <v>5692.58</v>
      </c>
      <c r="G110" s="64"/>
    </row>
    <row r="111" spans="1:7" ht="15" x14ac:dyDescent="0.2">
      <c r="A111" s="42"/>
      <c r="B111" s="50"/>
      <c r="C111" s="50"/>
      <c r="D111" s="50"/>
      <c r="E111" s="50"/>
      <c r="F111" s="54"/>
      <c r="G111" s="64"/>
    </row>
    <row r="112" spans="1:7" ht="18" x14ac:dyDescent="0.4">
      <c r="A112" s="35" t="s">
        <v>131</v>
      </c>
      <c r="B112" s="38"/>
      <c r="C112" s="38"/>
      <c r="D112" s="38"/>
      <c r="E112" s="38"/>
      <c r="F112" s="225">
        <v>11882</v>
      </c>
      <c r="G112" s="64"/>
    </row>
    <row r="113" spans="1:7" ht="15.75" x14ac:dyDescent="0.25">
      <c r="A113" s="35"/>
      <c r="B113" s="38"/>
      <c r="C113" s="38"/>
      <c r="D113" s="38"/>
      <c r="E113" s="38"/>
      <c r="F113" s="131"/>
      <c r="G113" s="64"/>
    </row>
    <row r="114" spans="1:7" ht="20.25" x14ac:dyDescent="0.55000000000000004">
      <c r="A114" s="35" t="s">
        <v>158</v>
      </c>
      <c r="B114" s="38"/>
      <c r="C114" s="38"/>
      <c r="D114" s="38"/>
      <c r="E114" s="38"/>
      <c r="F114" s="232">
        <f>F112*50%</f>
        <v>5941</v>
      </c>
      <c r="G114" s="64"/>
    </row>
    <row r="115" spans="1:7" ht="17.25" x14ac:dyDescent="0.35">
      <c r="A115" s="35"/>
      <c r="B115" s="38"/>
      <c r="C115" s="38"/>
      <c r="D115" s="38"/>
      <c r="E115" s="38"/>
      <c r="F115" s="133"/>
      <c r="G115" s="64"/>
    </row>
    <row r="116" spans="1:7" ht="15" x14ac:dyDescent="0.2">
      <c r="A116" s="42" t="s">
        <v>24</v>
      </c>
      <c r="B116" s="38"/>
      <c r="C116" s="38"/>
      <c r="D116" s="38"/>
      <c r="E116" s="38"/>
      <c r="F116" s="47">
        <f>F114-F110</f>
        <v>248.42000000000007</v>
      </c>
      <c r="G116" s="64"/>
    </row>
    <row r="117" spans="1:7" ht="17.25" x14ac:dyDescent="0.35">
      <c r="A117" s="42"/>
      <c r="B117" s="38"/>
      <c r="C117" s="130"/>
      <c r="D117" s="38"/>
      <c r="E117" s="38"/>
      <c r="F117" s="133"/>
      <c r="G117" s="64"/>
    </row>
    <row r="118" spans="1:7" ht="15" x14ac:dyDescent="0.2">
      <c r="A118" s="42" t="s">
        <v>25</v>
      </c>
      <c r="B118" s="50"/>
      <c r="C118" s="50"/>
      <c r="D118" s="50"/>
      <c r="E118" s="50"/>
      <c r="F118" s="67">
        <f>+F128</f>
        <v>26899</v>
      </c>
      <c r="G118" s="64"/>
    </row>
    <row r="119" spans="1:7" ht="15" x14ac:dyDescent="0.2">
      <c r="A119" s="42"/>
      <c r="B119" s="50"/>
      <c r="C119" s="50"/>
      <c r="D119" s="50"/>
      <c r="E119" s="50"/>
      <c r="F119" s="50"/>
      <c r="G119" s="64"/>
    </row>
    <row r="120" spans="1:7" ht="15" x14ac:dyDescent="0.2">
      <c r="A120" s="42" t="s">
        <v>26</v>
      </c>
      <c r="B120" s="50"/>
      <c r="C120" s="50"/>
      <c r="D120" s="50"/>
      <c r="E120" s="50"/>
      <c r="F120" s="50"/>
      <c r="G120" s="52">
        <f>ROUND(F116/F118,2)</f>
        <v>0.01</v>
      </c>
    </row>
    <row r="121" spans="1:7" ht="15" x14ac:dyDescent="0.2">
      <c r="A121" s="42"/>
      <c r="B121" s="50"/>
      <c r="C121" s="50"/>
      <c r="D121" s="50"/>
      <c r="E121" s="50"/>
      <c r="F121" s="50"/>
      <c r="G121" s="70"/>
    </row>
    <row r="122" spans="1:7" ht="15" x14ac:dyDescent="0.2">
      <c r="A122" s="42"/>
      <c r="B122" s="50"/>
      <c r="C122" s="50"/>
      <c r="D122" s="50"/>
      <c r="E122" s="50"/>
      <c r="F122" s="67"/>
      <c r="G122" s="64"/>
    </row>
    <row r="123" spans="1:7" ht="15.75" x14ac:dyDescent="0.25">
      <c r="A123" s="42"/>
      <c r="B123" s="36"/>
      <c r="C123" s="50"/>
      <c r="D123" s="50"/>
      <c r="E123" s="50"/>
      <c r="F123" s="67"/>
      <c r="G123" s="64"/>
    </row>
    <row r="124" spans="1:7" ht="15.75" x14ac:dyDescent="0.25">
      <c r="A124" s="150" t="str">
        <f>+A93</f>
        <v>Projected Revenue June 2022 - May 2023 (based on most recent 12 months average)</v>
      </c>
      <c r="B124" s="50"/>
      <c r="C124" s="50"/>
      <c r="D124" s="50"/>
      <c r="E124" s="50"/>
      <c r="F124" s="164">
        <f>+F112</f>
        <v>11882</v>
      </c>
      <c r="G124" s="64"/>
    </row>
    <row r="125" spans="1:7" ht="17.25" x14ac:dyDescent="0.35">
      <c r="A125" s="49" t="s">
        <v>136</v>
      </c>
      <c r="B125" s="36"/>
      <c r="C125" s="38"/>
      <c r="D125" s="38"/>
      <c r="E125" s="172">
        <v>0.5</v>
      </c>
      <c r="F125" s="173">
        <f>-F124*E125</f>
        <v>-5941</v>
      </c>
      <c r="G125" s="52"/>
    </row>
    <row r="126" spans="1:7" ht="20.25" x14ac:dyDescent="0.55000000000000004">
      <c r="A126" s="49"/>
      <c r="B126" s="36"/>
      <c r="C126" s="38"/>
      <c r="D126" s="38"/>
      <c r="E126" s="172"/>
      <c r="F126" s="174">
        <f>+F125+F124</f>
        <v>5941</v>
      </c>
      <c r="G126" s="52"/>
    </row>
    <row r="127" spans="1:7" ht="17.25" x14ac:dyDescent="0.35">
      <c r="A127" s="49"/>
      <c r="B127" s="36"/>
      <c r="C127" s="38"/>
      <c r="D127" s="38"/>
      <c r="E127" s="172"/>
      <c r="F127" s="173"/>
      <c r="G127" s="52"/>
    </row>
    <row r="128" spans="1:7" ht="17.25" x14ac:dyDescent="0.35">
      <c r="A128" s="42" t="s">
        <v>138</v>
      </c>
      <c r="B128" s="38"/>
      <c r="C128" s="38"/>
      <c r="D128" s="38"/>
      <c r="E128" s="38"/>
      <c r="F128" s="163">
        <f>+C110</f>
        <v>26899</v>
      </c>
      <c r="G128" s="52"/>
    </row>
    <row r="129" spans="1:7" ht="17.25" x14ac:dyDescent="0.35">
      <c r="A129" s="42" t="s">
        <v>103</v>
      </c>
      <c r="B129" s="38"/>
      <c r="C129" s="38"/>
      <c r="D129" s="38"/>
      <c r="E129" s="38"/>
      <c r="F129" s="38"/>
      <c r="G129" s="55">
        <f>ROUND(+F124/F128,2)</f>
        <v>0.44</v>
      </c>
    </row>
    <row r="130" spans="1:7" ht="15" x14ac:dyDescent="0.2">
      <c r="A130" s="42"/>
      <c r="B130" s="38"/>
      <c r="C130" s="38"/>
      <c r="D130" s="38"/>
      <c r="E130" s="38"/>
      <c r="F130" s="38"/>
      <c r="G130" s="52"/>
    </row>
    <row r="131" spans="1:7" ht="18" x14ac:dyDescent="0.4">
      <c r="A131" s="35" t="s">
        <v>117</v>
      </c>
      <c r="B131" s="36"/>
      <c r="C131" s="38"/>
      <c r="D131" s="38"/>
      <c r="E131" s="38"/>
      <c r="F131" s="38"/>
      <c r="G131" s="179">
        <f>SUM(G120:G129)</f>
        <v>0.45</v>
      </c>
    </row>
    <row r="132" spans="1:7" ht="16.5" thickBot="1" x14ac:dyDescent="0.3">
      <c r="A132" s="233"/>
      <c r="B132" s="234"/>
      <c r="C132" s="235"/>
      <c r="D132" s="235"/>
      <c r="E132" s="235"/>
      <c r="F132" s="235"/>
      <c r="G132" s="236"/>
    </row>
    <row r="133" spans="1:7" ht="23.25" x14ac:dyDescent="0.35">
      <c r="A133" s="31" t="s">
        <v>56</v>
      </c>
      <c r="B133" s="32"/>
      <c r="C133" s="33"/>
      <c r="D133" s="33"/>
      <c r="E133" s="33"/>
      <c r="F133" s="33"/>
      <c r="G133" s="34"/>
    </row>
    <row r="134" spans="1:7" ht="15.75" x14ac:dyDescent="0.25">
      <c r="A134" s="35" t="s">
        <v>165</v>
      </c>
      <c r="B134" s="36"/>
      <c r="C134" s="37"/>
      <c r="D134" s="37"/>
      <c r="E134" s="38"/>
      <c r="F134" s="38"/>
      <c r="G134" s="39"/>
    </row>
    <row r="135" spans="1:7" ht="15.75" x14ac:dyDescent="0.25">
      <c r="A135" s="40"/>
      <c r="B135" s="41"/>
      <c r="C135" s="38"/>
      <c r="D135" s="38"/>
      <c r="E135" s="38"/>
      <c r="F135" s="38"/>
      <c r="G135" s="39"/>
    </row>
    <row r="136" spans="1:7" ht="15" x14ac:dyDescent="0.2">
      <c r="A136" s="292" t="s">
        <v>21</v>
      </c>
      <c r="B136" s="293"/>
      <c r="C136" s="293"/>
      <c r="D136" s="293"/>
      <c r="E136" s="293"/>
      <c r="F136" s="293"/>
      <c r="G136" s="294"/>
    </row>
    <row r="137" spans="1:7" ht="15" x14ac:dyDescent="0.2">
      <c r="A137" s="42"/>
      <c r="B137" s="38"/>
      <c r="C137" s="38"/>
      <c r="D137" s="38"/>
      <c r="E137" s="38"/>
      <c r="F137" s="38"/>
      <c r="G137" s="39"/>
    </row>
    <row r="138" spans="1:7" ht="15.75" x14ac:dyDescent="0.25">
      <c r="A138" s="42"/>
      <c r="B138" s="38"/>
      <c r="C138" s="43"/>
      <c r="D138" s="43"/>
      <c r="E138" s="43" t="s">
        <v>13</v>
      </c>
      <c r="F138" s="43" t="s">
        <v>3</v>
      </c>
      <c r="G138" s="39"/>
    </row>
    <row r="139" spans="1:7" ht="15.75" x14ac:dyDescent="0.25">
      <c r="A139" s="42"/>
      <c r="B139" s="38"/>
      <c r="C139" s="44" t="s">
        <v>5</v>
      </c>
      <c r="D139" s="44"/>
      <c r="E139" s="44" t="s">
        <v>22</v>
      </c>
      <c r="F139" s="44" t="s">
        <v>6</v>
      </c>
      <c r="G139" s="39"/>
    </row>
    <row r="140" spans="1:7" ht="15.75" x14ac:dyDescent="0.25">
      <c r="A140" s="45" t="s">
        <v>166</v>
      </c>
      <c r="B140" s="36"/>
      <c r="C140" s="46"/>
      <c r="D140" s="46"/>
      <c r="E140" s="46"/>
      <c r="F140" s="46"/>
      <c r="G140" s="39"/>
    </row>
    <row r="141" spans="1:7" ht="15.75" x14ac:dyDescent="0.25">
      <c r="A141" s="42" t="s">
        <v>144</v>
      </c>
      <c r="B141" s="38"/>
      <c r="C141" s="47">
        <v>51552</v>
      </c>
      <c r="D141" s="47"/>
      <c r="E141" s="48">
        <f>+E209</f>
        <v>1.08</v>
      </c>
      <c r="F141" s="131">
        <f>C141*E141</f>
        <v>55676.160000000003</v>
      </c>
      <c r="G141" s="39"/>
    </row>
    <row r="142" spans="1:7" ht="17.25" x14ac:dyDescent="0.35">
      <c r="A142" s="49" t="s">
        <v>145</v>
      </c>
      <c r="B142" s="50"/>
      <c r="C142" s="51">
        <v>260572</v>
      </c>
      <c r="D142" s="51"/>
      <c r="E142" s="48">
        <f>+G231</f>
        <v>1.06</v>
      </c>
      <c r="F142" s="132">
        <f>C142*E142</f>
        <v>276206.32</v>
      </c>
      <c r="G142" s="39"/>
    </row>
    <row r="143" spans="1:7" ht="18" x14ac:dyDescent="0.4">
      <c r="A143" s="175" t="s">
        <v>137</v>
      </c>
      <c r="B143" s="38"/>
      <c r="C143" s="226">
        <f>SUM(C141:C142)</f>
        <v>312124</v>
      </c>
      <c r="D143" s="227"/>
      <c r="E143" s="228"/>
      <c r="F143" s="225">
        <f>SUM(F141:F142)</f>
        <v>331882.48</v>
      </c>
      <c r="G143" s="39"/>
    </row>
    <row r="144" spans="1:7" ht="15" x14ac:dyDescent="0.2">
      <c r="A144" s="42"/>
      <c r="B144" s="38"/>
      <c r="C144" s="38"/>
      <c r="D144" s="38"/>
      <c r="E144" s="38"/>
      <c r="F144" s="38"/>
      <c r="G144" s="39"/>
    </row>
    <row r="145" spans="1:7" ht="18" x14ac:dyDescent="0.4">
      <c r="A145" s="35" t="s">
        <v>131</v>
      </c>
      <c r="B145" s="38"/>
      <c r="C145" s="38"/>
      <c r="D145" s="38"/>
      <c r="E145" s="38"/>
      <c r="F145" s="225">
        <v>454035</v>
      </c>
      <c r="G145" s="39"/>
    </row>
    <row r="146" spans="1:7" ht="18" x14ac:dyDescent="0.4">
      <c r="A146" s="35"/>
      <c r="B146" s="38"/>
      <c r="C146" s="38"/>
      <c r="D146" s="38"/>
      <c r="E146" s="38"/>
      <c r="F146" s="225"/>
      <c r="G146" s="39"/>
    </row>
    <row r="147" spans="1:7" ht="17.25" x14ac:dyDescent="0.35">
      <c r="A147" s="49" t="s">
        <v>158</v>
      </c>
      <c r="B147" s="220"/>
      <c r="C147" s="220"/>
      <c r="D147" s="220"/>
      <c r="E147" s="242"/>
      <c r="F147" s="237">
        <f>+F145*50%</f>
        <v>227017.5</v>
      </c>
      <c r="G147" s="243"/>
    </row>
    <row r="148" spans="1:7" ht="17.25" x14ac:dyDescent="0.35">
      <c r="A148" s="49"/>
      <c r="B148" s="220"/>
      <c r="C148" s="220"/>
      <c r="D148" s="220"/>
      <c r="E148" s="220"/>
      <c r="F148" s="237"/>
      <c r="G148" s="39"/>
    </row>
    <row r="149" spans="1:7" ht="15" x14ac:dyDescent="0.2">
      <c r="A149" s="49"/>
      <c r="B149" s="220"/>
      <c r="C149" s="220"/>
      <c r="D149" s="220"/>
      <c r="E149" s="220"/>
      <c r="F149" s="220"/>
      <c r="G149" s="39"/>
    </row>
    <row r="150" spans="1:7" ht="17.25" x14ac:dyDescent="0.35">
      <c r="A150" s="49"/>
      <c r="B150" s="220"/>
      <c r="C150" s="220"/>
      <c r="D150" s="220"/>
      <c r="E150" s="220"/>
      <c r="F150" s="224"/>
      <c r="G150" s="39"/>
    </row>
    <row r="151" spans="1:7" ht="15.75" x14ac:dyDescent="0.25">
      <c r="A151" s="175" t="s">
        <v>24</v>
      </c>
      <c r="B151" s="238"/>
      <c r="C151" s="238"/>
      <c r="D151" s="238"/>
      <c r="E151" s="238"/>
      <c r="F151" s="177">
        <f>F145-F143-F147</f>
        <v>-104864.97999999998</v>
      </c>
      <c r="G151" s="239"/>
    </row>
    <row r="152" spans="1:7" ht="15" x14ac:dyDescent="0.2">
      <c r="A152" s="42"/>
      <c r="B152" s="38"/>
      <c r="C152" s="38"/>
      <c r="D152" s="38"/>
      <c r="E152" s="38"/>
      <c r="F152" s="223"/>
      <c r="G152" s="39"/>
    </row>
    <row r="153" spans="1:7" ht="15" x14ac:dyDescent="0.2">
      <c r="A153" s="42" t="s">
        <v>25</v>
      </c>
      <c r="B153" s="38"/>
      <c r="C153" s="38"/>
      <c r="D153" s="38"/>
      <c r="E153" s="38"/>
      <c r="F153" s="47">
        <f>+F163</f>
        <v>312124</v>
      </c>
      <c r="G153" s="39"/>
    </row>
    <row r="154" spans="1:7" ht="15" x14ac:dyDescent="0.2">
      <c r="A154" s="42"/>
      <c r="B154" s="38"/>
      <c r="C154" s="38"/>
      <c r="D154" s="38"/>
      <c r="E154" s="38"/>
      <c r="F154" s="38"/>
      <c r="G154" s="39"/>
    </row>
    <row r="155" spans="1:7" ht="15" x14ac:dyDescent="0.2">
      <c r="A155" s="42" t="s">
        <v>26</v>
      </c>
      <c r="B155" s="38"/>
      <c r="C155" s="38"/>
      <c r="D155" s="38"/>
      <c r="E155" s="38"/>
      <c r="F155" s="61"/>
      <c r="G155" s="52">
        <f>ROUND(F151/F153,2)</f>
        <v>-0.34</v>
      </c>
    </row>
    <row r="156" spans="1:7" ht="15" x14ac:dyDescent="0.2">
      <c r="A156" s="42"/>
      <c r="B156" s="38"/>
      <c r="C156" s="38"/>
      <c r="D156" s="38"/>
      <c r="E156" s="38"/>
      <c r="F156" s="38"/>
      <c r="G156" s="52"/>
    </row>
    <row r="157" spans="1:7" ht="15" x14ac:dyDescent="0.2">
      <c r="A157" s="42"/>
      <c r="B157" s="38"/>
      <c r="C157" s="38"/>
      <c r="D157" s="38"/>
      <c r="E157" s="38"/>
      <c r="F157" s="38"/>
      <c r="G157" s="52"/>
    </row>
    <row r="158" spans="1:7" ht="15" x14ac:dyDescent="0.2">
      <c r="A158" s="42"/>
      <c r="B158" s="38"/>
      <c r="C158" s="38"/>
      <c r="D158" s="38"/>
      <c r="E158" s="38"/>
      <c r="F158" s="38"/>
      <c r="G158" s="52"/>
    </row>
    <row r="159" spans="1:7" ht="15.75" x14ac:dyDescent="0.25">
      <c r="A159" s="150" t="s">
        <v>167</v>
      </c>
      <c r="B159" s="36"/>
      <c r="C159" s="38"/>
      <c r="D159" s="38"/>
      <c r="E159" s="38"/>
      <c r="F159" s="162">
        <f>+F145</f>
        <v>454035</v>
      </c>
      <c r="G159" s="52"/>
    </row>
    <row r="160" spans="1:7" ht="17.25" x14ac:dyDescent="0.35">
      <c r="A160" s="49" t="s">
        <v>136</v>
      </c>
      <c r="B160" s="36"/>
      <c r="C160" s="38"/>
      <c r="D160" s="38"/>
      <c r="E160" s="172">
        <v>0.5</v>
      </c>
      <c r="F160" s="173">
        <f>-F159*E160</f>
        <v>-227017.5</v>
      </c>
      <c r="G160" s="52"/>
    </row>
    <row r="161" spans="1:7" ht="20.25" x14ac:dyDescent="0.55000000000000004">
      <c r="A161" s="49"/>
      <c r="B161" s="36"/>
      <c r="C161" s="38"/>
      <c r="D161" s="38"/>
      <c r="E161" s="172"/>
      <c r="F161" s="174">
        <f>+F160+F159</f>
        <v>227017.5</v>
      </c>
      <c r="G161" s="52"/>
    </row>
    <row r="162" spans="1:7" ht="17.25" x14ac:dyDescent="0.35">
      <c r="A162" s="49"/>
      <c r="B162" s="36"/>
      <c r="C162" s="38"/>
      <c r="D162" s="38"/>
      <c r="E162" s="172"/>
      <c r="F162" s="173"/>
      <c r="G162" s="52"/>
    </row>
    <row r="163" spans="1:7" ht="17.25" x14ac:dyDescent="0.35">
      <c r="A163" s="42" t="s">
        <v>138</v>
      </c>
      <c r="B163" s="38"/>
      <c r="C163" s="38"/>
      <c r="D163" s="38"/>
      <c r="E163" s="38"/>
      <c r="F163" s="163">
        <f>+C143</f>
        <v>312124</v>
      </c>
      <c r="G163" s="52"/>
    </row>
    <row r="164" spans="1:7" ht="17.25" x14ac:dyDescent="0.35">
      <c r="A164" s="42" t="s">
        <v>103</v>
      </c>
      <c r="B164" s="38"/>
      <c r="C164" s="38"/>
      <c r="D164" s="38"/>
      <c r="E164" s="38"/>
      <c r="F164" s="38"/>
      <c r="G164" s="55">
        <f>ROUND(+F159/F163,2)</f>
        <v>1.45</v>
      </c>
    </row>
    <row r="165" spans="1:7" ht="15" x14ac:dyDescent="0.2">
      <c r="A165" s="42"/>
      <c r="B165" s="38"/>
      <c r="C165" s="38"/>
      <c r="D165" s="38"/>
      <c r="E165" s="38"/>
      <c r="F165" s="38"/>
      <c r="G165" s="52"/>
    </row>
    <row r="166" spans="1:7" ht="18" x14ac:dyDescent="0.4">
      <c r="A166" s="35" t="s">
        <v>28</v>
      </c>
      <c r="B166" s="36"/>
      <c r="C166" s="38"/>
      <c r="D166" s="38"/>
      <c r="E166" s="38"/>
      <c r="F166" s="38"/>
      <c r="G166" s="179">
        <f>SUM(G155:G164)</f>
        <v>1.1099999999999999</v>
      </c>
    </row>
    <row r="167" spans="1:7" ht="15.75" x14ac:dyDescent="0.25">
      <c r="A167" s="35"/>
      <c r="B167" s="36"/>
      <c r="C167" s="38"/>
      <c r="D167" s="38"/>
      <c r="E167" s="38"/>
      <c r="F167" s="38"/>
      <c r="G167" s="149"/>
    </row>
    <row r="168" spans="1:7" ht="13.5" thickBot="1" x14ac:dyDescent="0.25">
      <c r="A168" s="19"/>
      <c r="B168" s="20"/>
      <c r="C168" s="20"/>
      <c r="D168" s="20"/>
      <c r="E168" s="20"/>
      <c r="F168" s="20"/>
      <c r="G168" s="21"/>
    </row>
    <row r="169" spans="1:7" ht="15" x14ac:dyDescent="0.2">
      <c r="A169" s="295" t="s">
        <v>29</v>
      </c>
      <c r="B169" s="296"/>
      <c r="C169" s="296"/>
      <c r="D169" s="296"/>
      <c r="E169" s="296"/>
      <c r="F169" s="296"/>
      <c r="G169" s="297"/>
    </row>
    <row r="170" spans="1:7" ht="15" x14ac:dyDescent="0.2">
      <c r="A170" s="49"/>
      <c r="B170" s="50"/>
      <c r="C170" s="50"/>
      <c r="D170" s="50"/>
      <c r="E170" s="50"/>
      <c r="F170" s="50"/>
      <c r="G170" s="64"/>
    </row>
    <row r="171" spans="1:7" ht="15.75" x14ac:dyDescent="0.25">
      <c r="A171" s="49"/>
      <c r="B171" s="50"/>
      <c r="C171" s="43"/>
      <c r="D171" s="43"/>
      <c r="E171" s="43" t="s">
        <v>13</v>
      </c>
      <c r="F171" s="43" t="s">
        <v>3</v>
      </c>
      <c r="G171" s="64"/>
    </row>
    <row r="172" spans="1:7" ht="15.75" x14ac:dyDescent="0.25">
      <c r="A172" s="49"/>
      <c r="B172" s="50"/>
      <c r="C172" s="65" t="s">
        <v>20</v>
      </c>
      <c r="D172" s="65"/>
      <c r="E172" s="65" t="s">
        <v>22</v>
      </c>
      <c r="F172" s="65" t="s">
        <v>6</v>
      </c>
      <c r="G172" s="64"/>
    </row>
    <row r="173" spans="1:7" ht="15.75" x14ac:dyDescent="0.25">
      <c r="A173" s="45" t="s">
        <v>143</v>
      </c>
      <c r="B173" s="36"/>
      <c r="C173" s="66"/>
      <c r="D173" s="66"/>
      <c r="E173" s="66"/>
      <c r="F173" s="66"/>
      <c r="G173" s="64"/>
    </row>
    <row r="174" spans="1:7" ht="15.75" x14ac:dyDescent="0.25">
      <c r="A174" s="42" t="s">
        <v>144</v>
      </c>
      <c r="B174" s="50"/>
      <c r="C174" s="67">
        <v>4247</v>
      </c>
      <c r="D174" s="67"/>
      <c r="E174" s="68">
        <f>+E242</f>
        <v>0.21</v>
      </c>
      <c r="F174" s="54">
        <f>E174*C174</f>
        <v>891.87</v>
      </c>
      <c r="G174" s="64"/>
    </row>
    <row r="175" spans="1:7" ht="17.25" x14ac:dyDescent="0.35">
      <c r="A175" s="49" t="s">
        <v>145</v>
      </c>
      <c r="B175" s="50"/>
      <c r="C175" s="51">
        <v>24496</v>
      </c>
      <c r="D175" s="51"/>
      <c r="E175" s="68">
        <f>+G262</f>
        <v>0.17</v>
      </c>
      <c r="F175" s="132">
        <f>E175*C175</f>
        <v>4164.3200000000006</v>
      </c>
      <c r="G175" s="64"/>
    </row>
    <row r="176" spans="1:7" ht="18" x14ac:dyDescent="0.4">
      <c r="A176" s="42" t="s">
        <v>3</v>
      </c>
      <c r="B176" s="50"/>
      <c r="C176" s="229">
        <f>SUM(C174:C175)</f>
        <v>28743</v>
      </c>
      <c r="D176" s="229"/>
      <c r="E176" s="230"/>
      <c r="F176" s="231">
        <f>SUM(F174:F175)</f>
        <v>5056.1900000000005</v>
      </c>
      <c r="G176" s="64"/>
    </row>
    <row r="177" spans="1:7" ht="15" x14ac:dyDescent="0.2">
      <c r="A177" s="42"/>
      <c r="B177" s="50"/>
      <c r="C177" s="50"/>
      <c r="D177" s="50"/>
      <c r="E177" s="50"/>
      <c r="F177" s="54"/>
      <c r="G177" s="64"/>
    </row>
    <row r="178" spans="1:7" ht="18" x14ac:dyDescent="0.4">
      <c r="A178" s="35" t="s">
        <v>131</v>
      </c>
      <c r="B178" s="38"/>
      <c r="C178" s="38"/>
      <c r="D178" s="38"/>
      <c r="E178" s="38"/>
      <c r="F178" s="225">
        <v>6213</v>
      </c>
      <c r="G178" s="64"/>
    </row>
    <row r="179" spans="1:7" ht="15.75" x14ac:dyDescent="0.25">
      <c r="A179" s="35"/>
      <c r="B179" s="38"/>
      <c r="C179" s="38"/>
      <c r="D179" s="38"/>
      <c r="E179" s="38"/>
      <c r="F179" s="131"/>
      <c r="G179" s="64"/>
    </row>
    <row r="180" spans="1:7" ht="20.25" x14ac:dyDescent="0.55000000000000004">
      <c r="A180" s="35" t="s">
        <v>158</v>
      </c>
      <c r="B180" s="38"/>
      <c r="C180" s="38"/>
      <c r="D180" s="38"/>
      <c r="E180" s="38"/>
      <c r="F180" s="232">
        <f>F178*50%</f>
        <v>3106.5</v>
      </c>
      <c r="G180" s="64"/>
    </row>
    <row r="181" spans="1:7" ht="17.25" x14ac:dyDescent="0.35">
      <c r="A181" s="35"/>
      <c r="B181" s="38"/>
      <c r="C181" s="38"/>
      <c r="D181" s="38"/>
      <c r="E181" s="38"/>
      <c r="F181" s="133"/>
      <c r="G181" s="64"/>
    </row>
    <row r="182" spans="1:7" ht="15" x14ac:dyDescent="0.2">
      <c r="A182" s="42" t="s">
        <v>24</v>
      </c>
      <c r="B182" s="38"/>
      <c r="C182" s="38"/>
      <c r="D182" s="38"/>
      <c r="E182" s="38"/>
      <c r="F182" s="47">
        <f>F180-F176</f>
        <v>-1949.6900000000005</v>
      </c>
      <c r="G182" s="64"/>
    </row>
    <row r="183" spans="1:7" ht="17.25" x14ac:dyDescent="0.35">
      <c r="A183" s="42"/>
      <c r="B183" s="38"/>
      <c r="C183" s="130"/>
      <c r="D183" s="38"/>
      <c r="E183" s="38"/>
      <c r="F183" s="133"/>
      <c r="G183" s="64"/>
    </row>
    <row r="184" spans="1:7" ht="15" x14ac:dyDescent="0.2">
      <c r="A184" s="42" t="s">
        <v>25</v>
      </c>
      <c r="B184" s="50"/>
      <c r="C184" s="50"/>
      <c r="D184" s="50"/>
      <c r="E184" s="50"/>
      <c r="F184" s="67">
        <v>28743</v>
      </c>
      <c r="G184" s="64"/>
    </row>
    <row r="185" spans="1:7" ht="15" x14ac:dyDescent="0.2">
      <c r="A185" s="42"/>
      <c r="B185" s="50"/>
      <c r="C185" s="50"/>
      <c r="D185" s="50"/>
      <c r="E185" s="50"/>
      <c r="F185" s="50"/>
      <c r="G185" s="64"/>
    </row>
    <row r="186" spans="1:7" ht="15" x14ac:dyDescent="0.2">
      <c r="A186" s="42" t="s">
        <v>26</v>
      </c>
      <c r="B186" s="50"/>
      <c r="C186" s="50"/>
      <c r="D186" s="50"/>
      <c r="E186" s="50"/>
      <c r="F186" s="50"/>
      <c r="G186" s="52">
        <f>ROUND(F182/F184,2)</f>
        <v>-7.0000000000000007E-2</v>
      </c>
    </row>
    <row r="187" spans="1:7" ht="15" x14ac:dyDescent="0.2">
      <c r="A187" s="42"/>
      <c r="B187" s="50"/>
      <c r="C187" s="50"/>
      <c r="D187" s="50"/>
      <c r="E187" s="50"/>
      <c r="F187" s="50"/>
      <c r="G187" s="70"/>
    </row>
    <row r="188" spans="1:7" ht="15" x14ac:dyDescent="0.2">
      <c r="A188" s="42"/>
      <c r="B188" s="50"/>
      <c r="C188" s="50"/>
      <c r="D188" s="50"/>
      <c r="E188" s="50"/>
      <c r="F188" s="67"/>
      <c r="G188" s="64"/>
    </row>
    <row r="189" spans="1:7" ht="15.75" x14ac:dyDescent="0.25">
      <c r="A189" s="42"/>
      <c r="B189" s="36"/>
      <c r="C189" s="50"/>
      <c r="D189" s="50"/>
      <c r="E189" s="50"/>
      <c r="F189" s="67"/>
      <c r="G189" s="64"/>
    </row>
    <row r="190" spans="1:7" ht="15.75" x14ac:dyDescent="0.25">
      <c r="A190" s="150" t="s">
        <v>167</v>
      </c>
      <c r="B190" s="50"/>
      <c r="C190" s="50"/>
      <c r="D190" s="50"/>
      <c r="E190" s="50"/>
      <c r="F190" s="164">
        <f>+F178</f>
        <v>6213</v>
      </c>
      <c r="G190" s="64"/>
    </row>
    <row r="191" spans="1:7" ht="17.25" x14ac:dyDescent="0.35">
      <c r="A191" s="49" t="s">
        <v>136</v>
      </c>
      <c r="B191" s="36"/>
      <c r="C191" s="38"/>
      <c r="D191" s="38"/>
      <c r="E191" s="172">
        <v>0.5</v>
      </c>
      <c r="F191" s="173">
        <f>-F190*E191</f>
        <v>-3106.5</v>
      </c>
      <c r="G191" s="52"/>
    </row>
    <row r="192" spans="1:7" ht="20.25" x14ac:dyDescent="0.55000000000000004">
      <c r="A192" s="49"/>
      <c r="B192" s="36"/>
      <c r="C192" s="38"/>
      <c r="D192" s="38"/>
      <c r="E192" s="172"/>
      <c r="F192" s="174">
        <f>+F191+F190</f>
        <v>3106.5</v>
      </c>
      <c r="G192" s="52"/>
    </row>
    <row r="193" spans="1:7" ht="17.25" x14ac:dyDescent="0.35">
      <c r="A193" s="49"/>
      <c r="B193" s="36"/>
      <c r="C193" s="38"/>
      <c r="D193" s="38"/>
      <c r="E193" s="172"/>
      <c r="F193" s="173"/>
      <c r="G193" s="52"/>
    </row>
    <row r="194" spans="1:7" ht="17.25" x14ac:dyDescent="0.35">
      <c r="A194" s="42" t="s">
        <v>138</v>
      </c>
      <c r="B194" s="38"/>
      <c r="C194" s="38"/>
      <c r="D194" s="38"/>
      <c r="E194" s="38"/>
      <c r="F194" s="163">
        <f>+C176</f>
        <v>28743</v>
      </c>
      <c r="G194" s="52"/>
    </row>
    <row r="195" spans="1:7" ht="17.25" x14ac:dyDescent="0.35">
      <c r="A195" s="42" t="s">
        <v>103</v>
      </c>
      <c r="B195" s="38"/>
      <c r="C195" s="38"/>
      <c r="D195" s="38"/>
      <c r="E195" s="38"/>
      <c r="F195" s="38"/>
      <c r="G195" s="55">
        <f>ROUND(+F190/F194,2)</f>
        <v>0.22</v>
      </c>
    </row>
    <row r="196" spans="1:7" ht="15" x14ac:dyDescent="0.2">
      <c r="A196" s="42"/>
      <c r="B196" s="38"/>
      <c r="C196" s="38"/>
      <c r="D196" s="38"/>
      <c r="E196" s="38"/>
      <c r="F196" s="38"/>
      <c r="G196" s="52"/>
    </row>
    <row r="197" spans="1:7" ht="18" x14ac:dyDescent="0.4">
      <c r="A197" s="35" t="s">
        <v>117</v>
      </c>
      <c r="B197" s="36"/>
      <c r="C197" s="38"/>
      <c r="D197" s="38"/>
      <c r="E197" s="38"/>
      <c r="F197" s="38"/>
      <c r="G197" s="179">
        <f>SUM(G186:G195)</f>
        <v>0.15</v>
      </c>
    </row>
    <row r="198" spans="1:7" ht="16.5" thickBot="1" x14ac:dyDescent="0.3">
      <c r="A198" s="233"/>
      <c r="B198" s="234"/>
      <c r="C198" s="235"/>
      <c r="D198" s="235"/>
      <c r="E198" s="235"/>
      <c r="F198" s="235"/>
      <c r="G198" s="236"/>
    </row>
    <row r="199" spans="1:7" ht="13.5" thickBot="1" x14ac:dyDescent="0.25"/>
    <row r="200" spans="1:7" ht="23.25" x14ac:dyDescent="0.35">
      <c r="A200" s="31" t="s">
        <v>56</v>
      </c>
      <c r="B200" s="32"/>
      <c r="C200" s="33"/>
      <c r="D200" s="33"/>
      <c r="E200" s="33"/>
      <c r="F200" s="33"/>
      <c r="G200" s="34"/>
    </row>
    <row r="201" spans="1:7" ht="15.75" x14ac:dyDescent="0.25">
      <c r="A201" s="35" t="s">
        <v>142</v>
      </c>
      <c r="B201" s="36"/>
      <c r="C201" s="37"/>
      <c r="D201" s="37"/>
      <c r="E201" s="38"/>
      <c r="F201" s="38"/>
      <c r="G201" s="39"/>
    </row>
    <row r="202" spans="1:7" ht="15.75" x14ac:dyDescent="0.25">
      <c r="A202" s="40"/>
      <c r="B202" s="41"/>
      <c r="C202" s="38"/>
      <c r="D202" s="38"/>
      <c r="E202" s="38"/>
      <c r="F202" s="38"/>
      <c r="G202" s="39"/>
    </row>
    <row r="203" spans="1:7" ht="15" x14ac:dyDescent="0.2">
      <c r="A203" s="292" t="s">
        <v>21</v>
      </c>
      <c r="B203" s="293"/>
      <c r="C203" s="293"/>
      <c r="D203" s="293"/>
      <c r="E203" s="293"/>
      <c r="F203" s="293"/>
      <c r="G203" s="294"/>
    </row>
    <row r="204" spans="1:7" ht="15" x14ac:dyDescent="0.2">
      <c r="A204" s="42"/>
      <c r="B204" s="38"/>
      <c r="C204" s="38"/>
      <c r="D204" s="38"/>
      <c r="E204" s="38"/>
      <c r="F204" s="38"/>
      <c r="G204" s="39"/>
    </row>
    <row r="205" spans="1:7" ht="15.75" x14ac:dyDescent="0.25">
      <c r="A205" s="42"/>
      <c r="B205" s="38"/>
      <c r="C205" s="43"/>
      <c r="D205" s="43"/>
      <c r="E205" s="43" t="s">
        <v>13</v>
      </c>
      <c r="F205" s="43" t="s">
        <v>3</v>
      </c>
      <c r="G205" s="39"/>
    </row>
    <row r="206" spans="1:7" ht="15.75" x14ac:dyDescent="0.25">
      <c r="A206" s="42"/>
      <c r="B206" s="38"/>
      <c r="C206" s="44" t="s">
        <v>5</v>
      </c>
      <c r="D206" s="44"/>
      <c r="E206" s="44" t="s">
        <v>22</v>
      </c>
      <c r="F206" s="44" t="s">
        <v>6</v>
      </c>
      <c r="G206" s="39"/>
    </row>
    <row r="207" spans="1:7" ht="15.75" x14ac:dyDescent="0.25">
      <c r="A207" s="45" t="s">
        <v>143</v>
      </c>
      <c r="B207" s="36"/>
      <c r="C207" s="46"/>
      <c r="D207" s="46"/>
      <c r="E207" s="46"/>
      <c r="F207" s="46"/>
      <c r="G207" s="39"/>
    </row>
    <row r="208" spans="1:7" ht="15.75" x14ac:dyDescent="0.25">
      <c r="A208" s="42" t="s">
        <v>144</v>
      </c>
      <c r="B208" s="38"/>
      <c r="C208" s="47">
        <v>49322</v>
      </c>
      <c r="D208" s="47"/>
      <c r="E208" s="48">
        <f>+E276</f>
        <v>0.97</v>
      </c>
      <c r="F208" s="131">
        <f>C208*E208</f>
        <v>47842.34</v>
      </c>
      <c r="G208" s="39"/>
    </row>
    <row r="209" spans="1:8" ht="17.25" x14ac:dyDescent="0.35">
      <c r="A209" s="49" t="s">
        <v>145</v>
      </c>
      <c r="B209" s="50"/>
      <c r="C209" s="51">
        <v>250128</v>
      </c>
      <c r="D209" s="51"/>
      <c r="E209" s="48">
        <f>+G294</f>
        <v>1.08</v>
      </c>
      <c r="F209" s="132">
        <f>C209*E209</f>
        <v>270138.23999999999</v>
      </c>
      <c r="G209" s="39"/>
    </row>
    <row r="210" spans="1:8" ht="18" x14ac:dyDescent="0.4">
      <c r="A210" s="175" t="s">
        <v>137</v>
      </c>
      <c r="B210" s="38"/>
      <c r="C210" s="226">
        <f>SUM(C208:C209)</f>
        <v>299450</v>
      </c>
      <c r="D210" s="227"/>
      <c r="E210" s="228"/>
      <c r="F210" s="225">
        <f>SUM(F208:F209)</f>
        <v>317980.57999999996</v>
      </c>
      <c r="G210" s="39"/>
    </row>
    <row r="211" spans="1:8" ht="15" x14ac:dyDescent="0.2">
      <c r="A211" s="42"/>
      <c r="B211" s="38"/>
      <c r="C211" s="38"/>
      <c r="D211" s="38"/>
      <c r="E211" s="38"/>
      <c r="F211" s="38"/>
      <c r="G211" s="39"/>
    </row>
    <row r="212" spans="1:8" ht="18" x14ac:dyDescent="0.4">
      <c r="A212" s="35" t="s">
        <v>131</v>
      </c>
      <c r="B212" s="38"/>
      <c r="C212" s="38"/>
      <c r="D212" s="38"/>
      <c r="E212" s="38"/>
      <c r="F212" s="225">
        <v>283604</v>
      </c>
      <c r="G212" s="39"/>
    </row>
    <row r="213" spans="1:8" ht="18" x14ac:dyDescent="0.4">
      <c r="A213" s="35"/>
      <c r="B213" s="38"/>
      <c r="C213" s="38"/>
      <c r="D213" s="38"/>
      <c r="E213" s="38"/>
      <c r="F213" s="225"/>
      <c r="G213" s="39"/>
    </row>
    <row r="214" spans="1:8" ht="17.25" x14ac:dyDescent="0.35">
      <c r="A214" s="49" t="s">
        <v>158</v>
      </c>
      <c r="B214" s="220"/>
      <c r="C214" s="220"/>
      <c r="D214" s="220"/>
      <c r="E214" s="242">
        <f>F212-F210</f>
        <v>-34376.579999999958</v>
      </c>
      <c r="F214" s="237">
        <f>+F212*50%</f>
        <v>141802</v>
      </c>
      <c r="G214" s="243">
        <f>E214-F214</f>
        <v>-176178.57999999996</v>
      </c>
    </row>
    <row r="215" spans="1:8" ht="17.25" x14ac:dyDescent="0.35">
      <c r="A215" s="49"/>
      <c r="B215" s="220"/>
      <c r="C215" s="220"/>
      <c r="D215" s="220"/>
      <c r="E215" s="220"/>
      <c r="F215" s="237"/>
      <c r="G215" s="39"/>
    </row>
    <row r="216" spans="1:8" ht="17.25" x14ac:dyDescent="0.35">
      <c r="A216" s="49" t="s">
        <v>159</v>
      </c>
      <c r="B216" s="220"/>
      <c r="C216" s="220"/>
      <c r="D216" s="220"/>
      <c r="E216" s="220"/>
      <c r="F216" s="244">
        <v>16886</v>
      </c>
      <c r="G216" s="39"/>
    </row>
    <row r="217" spans="1:8" ht="17.25" x14ac:dyDescent="0.35">
      <c r="A217" s="49"/>
      <c r="B217" s="220"/>
      <c r="C217" s="220"/>
      <c r="D217" s="220"/>
      <c r="E217" s="220"/>
      <c r="F217" s="224"/>
      <c r="G217" s="39"/>
    </row>
    <row r="218" spans="1:8" s="1" customFormat="1" ht="15.75" x14ac:dyDescent="0.25">
      <c r="A218" s="175" t="s">
        <v>24</v>
      </c>
      <c r="B218" s="238"/>
      <c r="C218" s="238"/>
      <c r="D218" s="238"/>
      <c r="E218" s="238"/>
      <c r="F218" s="177">
        <f>F212-F210-F214+F216</f>
        <v>-159292.57999999996</v>
      </c>
      <c r="G218" s="239"/>
      <c r="H218" s="241"/>
    </row>
    <row r="219" spans="1:8" ht="15" x14ac:dyDescent="0.2">
      <c r="A219" s="42"/>
      <c r="B219" s="38"/>
      <c r="C219" s="38"/>
      <c r="D219" s="38"/>
      <c r="E219" s="38"/>
      <c r="F219" s="223"/>
      <c r="G219" s="39"/>
    </row>
    <row r="220" spans="1:8" ht="15" x14ac:dyDescent="0.2">
      <c r="A220" s="42" t="s">
        <v>25</v>
      </c>
      <c r="B220" s="38"/>
      <c r="C220" s="38"/>
      <c r="D220" s="38"/>
      <c r="E220" s="38"/>
      <c r="F220" s="47">
        <f>+F230</f>
        <v>299450</v>
      </c>
      <c r="G220" s="39"/>
    </row>
    <row r="221" spans="1:8" ht="15" x14ac:dyDescent="0.2">
      <c r="A221" s="42"/>
      <c r="B221" s="38"/>
      <c r="C221" s="38"/>
      <c r="D221" s="38"/>
      <c r="E221" s="38"/>
      <c r="F221" s="38"/>
      <c r="G221" s="39"/>
    </row>
    <row r="222" spans="1:8" ht="15" x14ac:dyDescent="0.2">
      <c r="A222" s="42" t="s">
        <v>26</v>
      </c>
      <c r="B222" s="38"/>
      <c r="C222" s="38"/>
      <c r="D222" s="38"/>
      <c r="E222" s="38"/>
      <c r="F222" s="61"/>
      <c r="G222" s="52">
        <f>ROUND(F218/F220,2)</f>
        <v>-0.53</v>
      </c>
    </row>
    <row r="223" spans="1:8" ht="15" x14ac:dyDescent="0.2">
      <c r="A223" s="42"/>
      <c r="B223" s="38"/>
      <c r="C223" s="38"/>
      <c r="D223" s="38"/>
      <c r="E223" s="38"/>
      <c r="F223" s="38"/>
      <c r="G223" s="52"/>
    </row>
    <row r="224" spans="1:8" ht="15" x14ac:dyDescent="0.2">
      <c r="A224" s="42"/>
      <c r="B224" s="38"/>
      <c r="C224" s="38"/>
      <c r="D224" s="38"/>
      <c r="E224" s="38"/>
      <c r="F224" s="38"/>
      <c r="G224" s="52"/>
    </row>
    <row r="225" spans="1:7" ht="15" x14ac:dyDescent="0.2">
      <c r="A225" s="42"/>
      <c r="B225" s="38"/>
      <c r="C225" s="38"/>
      <c r="D225" s="38"/>
      <c r="E225" s="38"/>
      <c r="F225" s="38"/>
      <c r="G225" s="52"/>
    </row>
    <row r="226" spans="1:7" ht="15.75" x14ac:dyDescent="0.25">
      <c r="A226" s="150" t="s">
        <v>146</v>
      </c>
      <c r="B226" s="36"/>
      <c r="C226" s="38"/>
      <c r="D226" s="38"/>
      <c r="E226" s="38"/>
      <c r="F226" s="162">
        <v>318359</v>
      </c>
      <c r="G226" s="52"/>
    </row>
    <row r="227" spans="1:7" ht="17.25" x14ac:dyDescent="0.35">
      <c r="A227" s="49" t="s">
        <v>136</v>
      </c>
      <c r="B227" s="36"/>
      <c r="C227" s="38"/>
      <c r="D227" s="38"/>
      <c r="E227" s="172">
        <v>0.5</v>
      </c>
      <c r="F227" s="173">
        <f>-F226*E227</f>
        <v>-159179.5</v>
      </c>
      <c r="G227" s="52"/>
    </row>
    <row r="228" spans="1:7" ht="20.25" x14ac:dyDescent="0.55000000000000004">
      <c r="A228" s="49"/>
      <c r="B228" s="36"/>
      <c r="C228" s="38"/>
      <c r="D228" s="38"/>
      <c r="E228" s="172"/>
      <c r="F228" s="174">
        <f>+F227+F226</f>
        <v>159179.5</v>
      </c>
      <c r="G228" s="52"/>
    </row>
    <row r="229" spans="1:7" ht="17.25" x14ac:dyDescent="0.35">
      <c r="A229" s="49"/>
      <c r="B229" s="36"/>
      <c r="C229" s="38"/>
      <c r="D229" s="38"/>
      <c r="E229" s="172"/>
      <c r="F229" s="173"/>
      <c r="G229" s="52"/>
    </row>
    <row r="230" spans="1:7" ht="17.25" x14ac:dyDescent="0.35">
      <c r="A230" s="42" t="s">
        <v>138</v>
      </c>
      <c r="B230" s="38"/>
      <c r="C230" s="38"/>
      <c r="D230" s="38"/>
      <c r="E230" s="38"/>
      <c r="F230" s="163">
        <f>+C210</f>
        <v>299450</v>
      </c>
      <c r="G230" s="52"/>
    </row>
    <row r="231" spans="1:7" ht="17.25" x14ac:dyDescent="0.35">
      <c r="A231" s="42" t="s">
        <v>103</v>
      </c>
      <c r="B231" s="38"/>
      <c r="C231" s="38"/>
      <c r="D231" s="38"/>
      <c r="E231" s="38"/>
      <c r="F231" s="38"/>
      <c r="G231" s="55">
        <f>ROUND(+F226/F230,2)</f>
        <v>1.06</v>
      </c>
    </row>
    <row r="232" spans="1:7" ht="15" x14ac:dyDescent="0.2">
      <c r="A232" s="42"/>
      <c r="B232" s="38"/>
      <c r="C232" s="38"/>
      <c r="D232" s="38"/>
      <c r="E232" s="38"/>
      <c r="F232" s="38"/>
      <c r="G232" s="52"/>
    </row>
    <row r="233" spans="1:7" ht="18" x14ac:dyDescent="0.4">
      <c r="A233" s="35" t="s">
        <v>28</v>
      </c>
      <c r="B233" s="36"/>
      <c r="C233" s="38"/>
      <c r="D233" s="38"/>
      <c r="E233" s="38"/>
      <c r="F233" s="38"/>
      <c r="G233" s="179">
        <f>SUM(G222:G231)</f>
        <v>0.53</v>
      </c>
    </row>
    <row r="234" spans="1:7" ht="15.75" x14ac:dyDescent="0.25">
      <c r="A234" s="35"/>
      <c r="B234" s="36"/>
      <c r="C234" s="38"/>
      <c r="D234" s="38"/>
      <c r="E234" s="38"/>
      <c r="F234" s="38"/>
      <c r="G234" s="149"/>
    </row>
    <row r="235" spans="1:7" ht="13.5" thickBot="1" x14ac:dyDescent="0.25">
      <c r="A235" s="19"/>
      <c r="B235" s="20"/>
      <c r="C235" s="20"/>
      <c r="D235" s="20"/>
      <c r="E235" s="20"/>
      <c r="F235" s="20"/>
      <c r="G235" s="21"/>
    </row>
    <row r="236" spans="1:7" ht="15" x14ac:dyDescent="0.2">
      <c r="A236" s="295" t="s">
        <v>29</v>
      </c>
      <c r="B236" s="296"/>
      <c r="C236" s="296"/>
      <c r="D236" s="296"/>
      <c r="E236" s="296"/>
      <c r="F236" s="296"/>
      <c r="G236" s="297"/>
    </row>
    <row r="237" spans="1:7" ht="15" x14ac:dyDescent="0.2">
      <c r="A237" s="49"/>
      <c r="B237" s="50"/>
      <c r="C237" s="50"/>
      <c r="D237" s="50"/>
      <c r="E237" s="50"/>
      <c r="F237" s="50"/>
      <c r="G237" s="64"/>
    </row>
    <row r="238" spans="1:7" ht="15.75" x14ac:dyDescent="0.25">
      <c r="A238" s="49"/>
      <c r="B238" s="50"/>
      <c r="C238" s="43"/>
      <c r="D238" s="43"/>
      <c r="E238" s="43" t="s">
        <v>13</v>
      </c>
      <c r="F238" s="43" t="s">
        <v>3</v>
      </c>
      <c r="G238" s="64"/>
    </row>
    <row r="239" spans="1:7" ht="15.75" x14ac:dyDescent="0.25">
      <c r="A239" s="49"/>
      <c r="B239" s="50"/>
      <c r="C239" s="65" t="s">
        <v>20</v>
      </c>
      <c r="D239" s="65"/>
      <c r="E239" s="65" t="s">
        <v>22</v>
      </c>
      <c r="F239" s="65" t="s">
        <v>6</v>
      </c>
      <c r="G239" s="64"/>
    </row>
    <row r="240" spans="1:7" ht="15.75" x14ac:dyDescent="0.25">
      <c r="A240" s="45" t="s">
        <v>143</v>
      </c>
      <c r="B240" s="36"/>
      <c r="C240" s="66"/>
      <c r="D240" s="66"/>
      <c r="E240" s="66"/>
      <c r="F240" s="66"/>
      <c r="G240" s="64"/>
    </row>
    <row r="241" spans="1:7" ht="15.75" x14ac:dyDescent="0.25">
      <c r="A241" s="42" t="s">
        <v>144</v>
      </c>
      <c r="B241" s="50"/>
      <c r="C241" s="67">
        <v>4161.9615384615381</v>
      </c>
      <c r="D241" s="67"/>
      <c r="E241" s="68">
        <f>+E305</f>
        <v>0.18</v>
      </c>
      <c r="F241" s="54">
        <f>E241*C241</f>
        <v>749.15307692307681</v>
      </c>
      <c r="G241" s="64"/>
    </row>
    <row r="242" spans="1:7" ht="17.25" x14ac:dyDescent="0.35">
      <c r="A242" s="49" t="s">
        <v>145</v>
      </c>
      <c r="B242" s="50"/>
      <c r="C242" s="51">
        <v>20883.428571428576</v>
      </c>
      <c r="D242" s="51"/>
      <c r="E242" s="68">
        <f>+G323</f>
        <v>0.21</v>
      </c>
      <c r="F242" s="132">
        <f>E242*C242</f>
        <v>4385.5200000000004</v>
      </c>
      <c r="G242" s="64"/>
    </row>
    <row r="243" spans="1:7" ht="18" x14ac:dyDescent="0.4">
      <c r="A243" s="42" t="s">
        <v>3</v>
      </c>
      <c r="B243" s="50"/>
      <c r="C243" s="229">
        <f>SUM(C241:C242)</f>
        <v>25045.390109890115</v>
      </c>
      <c r="D243" s="229"/>
      <c r="E243" s="230"/>
      <c r="F243" s="231">
        <f>SUM(F241:F242)</f>
        <v>5134.6730769230771</v>
      </c>
      <c r="G243" s="64"/>
    </row>
    <row r="244" spans="1:7" ht="15" x14ac:dyDescent="0.2">
      <c r="A244" s="42"/>
      <c r="B244" s="50"/>
      <c r="C244" s="50"/>
      <c r="D244" s="50"/>
      <c r="E244" s="50"/>
      <c r="F244" s="54"/>
      <c r="G244" s="64"/>
    </row>
    <row r="245" spans="1:7" ht="18" x14ac:dyDescent="0.4">
      <c r="A245" s="35" t="s">
        <v>131</v>
      </c>
      <c r="B245" s="38"/>
      <c r="C245" s="38"/>
      <c r="D245" s="38"/>
      <c r="E245" s="38"/>
      <c r="F245" s="225">
        <v>3881</v>
      </c>
      <c r="G245" s="64"/>
    </row>
    <row r="246" spans="1:7" ht="15.75" x14ac:dyDescent="0.25">
      <c r="A246" s="35"/>
      <c r="B246" s="38"/>
      <c r="C246" s="38"/>
      <c r="D246" s="38"/>
      <c r="E246" s="38"/>
      <c r="F246" s="131"/>
      <c r="G246" s="64"/>
    </row>
    <row r="247" spans="1:7" ht="20.25" x14ac:dyDescent="0.55000000000000004">
      <c r="A247" s="35" t="s">
        <v>158</v>
      </c>
      <c r="B247" s="38"/>
      <c r="C247" s="38"/>
      <c r="D247" s="38"/>
      <c r="E247" s="38"/>
      <c r="F247" s="232">
        <f>F245*50%</f>
        <v>1940.5</v>
      </c>
      <c r="G247" s="64"/>
    </row>
    <row r="248" spans="1:7" ht="17.25" x14ac:dyDescent="0.35">
      <c r="A248" s="35"/>
      <c r="B248" s="38"/>
      <c r="C248" s="38"/>
      <c r="D248" s="38"/>
      <c r="E248" s="38"/>
      <c r="F248" s="133"/>
      <c r="G248" s="64"/>
    </row>
    <row r="249" spans="1:7" ht="15" x14ac:dyDescent="0.2">
      <c r="A249" s="42" t="s">
        <v>24</v>
      </c>
      <c r="B249" s="38"/>
      <c r="C249" s="38"/>
      <c r="D249" s="38"/>
      <c r="E249" s="38"/>
      <c r="F249" s="47">
        <f>F247-F243</f>
        <v>-3194.1730769230771</v>
      </c>
      <c r="G249" s="64"/>
    </row>
    <row r="250" spans="1:7" ht="17.25" x14ac:dyDescent="0.35">
      <c r="A250" s="42"/>
      <c r="B250" s="38"/>
      <c r="C250" s="130"/>
      <c r="D250" s="38"/>
      <c r="E250" s="38"/>
      <c r="F250" s="133"/>
      <c r="G250" s="64"/>
    </row>
    <row r="251" spans="1:7" ht="15" x14ac:dyDescent="0.2">
      <c r="A251" s="42" t="s">
        <v>25</v>
      </c>
      <c r="B251" s="50"/>
      <c r="C251" s="50"/>
      <c r="D251" s="50"/>
      <c r="E251" s="50"/>
      <c r="F251" s="67">
        <f>+F261</f>
        <v>25045.390109890115</v>
      </c>
      <c r="G251" s="64"/>
    </row>
    <row r="252" spans="1:7" ht="15" x14ac:dyDescent="0.2">
      <c r="A252" s="42"/>
      <c r="B252" s="50"/>
      <c r="C252" s="50"/>
      <c r="D252" s="50"/>
      <c r="E252" s="50"/>
      <c r="F252" s="50"/>
      <c r="G252" s="64"/>
    </row>
    <row r="253" spans="1:7" ht="15" x14ac:dyDescent="0.2">
      <c r="A253" s="42" t="s">
        <v>26</v>
      </c>
      <c r="B253" s="50"/>
      <c r="C253" s="50"/>
      <c r="D253" s="50"/>
      <c r="E253" s="50"/>
      <c r="F253" s="50"/>
      <c r="G253" s="52">
        <f>ROUND(F249/F251,2)</f>
        <v>-0.13</v>
      </c>
    </row>
    <row r="254" spans="1:7" ht="15" x14ac:dyDescent="0.2">
      <c r="A254" s="42"/>
      <c r="B254" s="50"/>
      <c r="C254" s="50"/>
      <c r="D254" s="50"/>
      <c r="E254" s="50"/>
      <c r="F254" s="50"/>
      <c r="G254" s="70"/>
    </row>
    <row r="255" spans="1:7" ht="15" x14ac:dyDescent="0.2">
      <c r="A255" s="42"/>
      <c r="B255" s="50"/>
      <c r="C255" s="50"/>
      <c r="D255" s="50"/>
      <c r="E255" s="50"/>
      <c r="F255" s="67"/>
      <c r="G255" s="64"/>
    </row>
    <row r="256" spans="1:7" ht="15.75" x14ac:dyDescent="0.25">
      <c r="A256" s="42"/>
      <c r="B256" s="36"/>
      <c r="C256" s="50"/>
      <c r="D256" s="50"/>
      <c r="E256" s="50"/>
      <c r="F256" s="67"/>
      <c r="G256" s="64"/>
    </row>
    <row r="257" spans="1:7" ht="15.75" x14ac:dyDescent="0.25">
      <c r="A257" s="150" t="s">
        <v>146</v>
      </c>
      <c r="B257" s="50"/>
      <c r="C257" s="50"/>
      <c r="D257" s="50"/>
      <c r="E257" s="50"/>
      <c r="F257" s="164">
        <v>4357</v>
      </c>
      <c r="G257" s="64"/>
    </row>
    <row r="258" spans="1:7" ht="17.25" x14ac:dyDescent="0.35">
      <c r="A258" s="49" t="s">
        <v>136</v>
      </c>
      <c r="B258" s="36"/>
      <c r="C258" s="38"/>
      <c r="D258" s="38"/>
      <c r="E258" s="172">
        <v>0.5</v>
      </c>
      <c r="F258" s="173">
        <f>-F257*E258</f>
        <v>-2178.5</v>
      </c>
      <c r="G258" s="52"/>
    </row>
    <row r="259" spans="1:7" ht="20.25" x14ac:dyDescent="0.55000000000000004">
      <c r="A259" s="49"/>
      <c r="B259" s="36"/>
      <c r="C259" s="38"/>
      <c r="D259" s="38"/>
      <c r="E259" s="172"/>
      <c r="F259" s="174">
        <f>+F258+F257</f>
        <v>2178.5</v>
      </c>
      <c r="G259" s="52"/>
    </row>
    <row r="260" spans="1:7" ht="17.25" x14ac:dyDescent="0.35">
      <c r="A260" s="49"/>
      <c r="B260" s="36"/>
      <c r="C260" s="38"/>
      <c r="D260" s="38"/>
      <c r="E260" s="172"/>
      <c r="F260" s="173"/>
      <c r="G260" s="52"/>
    </row>
    <row r="261" spans="1:7" ht="17.25" x14ac:dyDescent="0.35">
      <c r="A261" s="42" t="s">
        <v>138</v>
      </c>
      <c r="B261" s="38"/>
      <c r="C261" s="38"/>
      <c r="D261" s="38"/>
      <c r="E261" s="38"/>
      <c r="F261" s="163">
        <f>+C243</f>
        <v>25045.390109890115</v>
      </c>
      <c r="G261" s="52"/>
    </row>
    <row r="262" spans="1:7" ht="17.25" x14ac:dyDescent="0.35">
      <c r="A262" s="42" t="s">
        <v>103</v>
      </c>
      <c r="B262" s="38"/>
      <c r="C262" s="38"/>
      <c r="D262" s="38"/>
      <c r="E262" s="38"/>
      <c r="F262" s="38"/>
      <c r="G262" s="55">
        <f>ROUND(+F257/F261,2)</f>
        <v>0.17</v>
      </c>
    </row>
    <row r="263" spans="1:7" ht="15" x14ac:dyDescent="0.2">
      <c r="A263" s="42"/>
      <c r="B263" s="38"/>
      <c r="C263" s="38"/>
      <c r="D263" s="38"/>
      <c r="E263" s="38"/>
      <c r="F263" s="38"/>
      <c r="G263" s="52"/>
    </row>
    <row r="264" spans="1:7" ht="18" x14ac:dyDescent="0.4">
      <c r="A264" s="35" t="s">
        <v>117</v>
      </c>
      <c r="B264" s="36"/>
      <c r="C264" s="38"/>
      <c r="D264" s="38"/>
      <c r="E264" s="38"/>
      <c r="F264" s="38"/>
      <c r="G264" s="179">
        <f>SUM(G253:G262)</f>
        <v>4.0000000000000008E-2</v>
      </c>
    </row>
    <row r="265" spans="1:7" ht="16.5" thickBot="1" x14ac:dyDescent="0.3">
      <c r="A265" s="233"/>
      <c r="B265" s="234"/>
      <c r="C265" s="235"/>
      <c r="D265" s="235"/>
      <c r="E265" s="235"/>
      <c r="F265" s="235"/>
      <c r="G265" s="236"/>
    </row>
    <row r="266" spans="1:7" ht="13.5" thickBot="1" x14ac:dyDescent="0.25"/>
    <row r="267" spans="1:7" ht="23.25" x14ac:dyDescent="0.35">
      <c r="A267" s="31" t="s">
        <v>56</v>
      </c>
      <c r="B267" s="32"/>
      <c r="C267" s="33"/>
      <c r="D267" s="33"/>
      <c r="E267" s="33"/>
      <c r="F267" s="33"/>
      <c r="G267" s="34"/>
    </row>
    <row r="268" spans="1:7" ht="15.75" x14ac:dyDescent="0.25">
      <c r="A268" s="35" t="s">
        <v>102</v>
      </c>
      <c r="B268" s="36"/>
      <c r="C268" s="37"/>
      <c r="D268" s="37"/>
      <c r="E268" s="38"/>
      <c r="F268" s="38"/>
      <c r="G268" s="39"/>
    </row>
    <row r="269" spans="1:7" ht="15.75" x14ac:dyDescent="0.25">
      <c r="A269" s="40"/>
      <c r="B269" s="41"/>
      <c r="C269" s="38"/>
      <c r="D269" s="38"/>
      <c r="E269" s="38"/>
      <c r="F269" s="38"/>
      <c r="G269" s="39"/>
    </row>
    <row r="270" spans="1:7" ht="15" x14ac:dyDescent="0.2">
      <c r="A270" s="292" t="s">
        <v>21</v>
      </c>
      <c r="B270" s="293"/>
      <c r="C270" s="293"/>
      <c r="D270" s="293"/>
      <c r="E270" s="293"/>
      <c r="F270" s="293"/>
      <c r="G270" s="294"/>
    </row>
    <row r="271" spans="1:7" ht="15" x14ac:dyDescent="0.2">
      <c r="A271" s="42"/>
      <c r="B271" s="38"/>
      <c r="C271" s="38"/>
      <c r="D271" s="38"/>
      <c r="E271" s="38"/>
      <c r="F271" s="38"/>
      <c r="G271" s="39"/>
    </row>
    <row r="272" spans="1:7" ht="15.75" x14ac:dyDescent="0.25">
      <c r="A272" s="42"/>
      <c r="B272" s="38"/>
      <c r="C272" s="43"/>
      <c r="D272" s="43"/>
      <c r="E272" s="43" t="s">
        <v>13</v>
      </c>
      <c r="F272" s="43" t="s">
        <v>3</v>
      </c>
      <c r="G272" s="39"/>
    </row>
    <row r="273" spans="1:8" ht="15.75" x14ac:dyDescent="0.25">
      <c r="A273" s="42"/>
      <c r="B273" s="38"/>
      <c r="C273" s="44" t="s">
        <v>5</v>
      </c>
      <c r="D273" s="44"/>
      <c r="E273" s="44" t="s">
        <v>22</v>
      </c>
      <c r="F273" s="44" t="s">
        <v>6</v>
      </c>
      <c r="G273" s="39"/>
    </row>
    <row r="274" spans="1:8" ht="15.75" x14ac:dyDescent="0.25">
      <c r="A274" s="45" t="s">
        <v>135</v>
      </c>
      <c r="B274" s="36"/>
      <c r="C274" s="46"/>
      <c r="D274" s="46"/>
      <c r="E274" s="46"/>
      <c r="F274" s="46"/>
      <c r="G274" s="39"/>
    </row>
    <row r="275" spans="1:8" ht="15.75" x14ac:dyDescent="0.25">
      <c r="A275" s="42" t="s">
        <v>139</v>
      </c>
      <c r="B275" s="38"/>
      <c r="C275" s="47">
        <v>46369</v>
      </c>
      <c r="D275" s="47"/>
      <c r="E275" s="48">
        <v>1.7</v>
      </c>
      <c r="F275" s="131">
        <f>C275*E275</f>
        <v>78827.3</v>
      </c>
      <c r="G275" s="39"/>
    </row>
    <row r="276" spans="1:8" ht="17.25" x14ac:dyDescent="0.35">
      <c r="A276" s="49" t="s">
        <v>140</v>
      </c>
      <c r="B276" s="50"/>
      <c r="C276" s="51">
        <v>94573</v>
      </c>
      <c r="D276" s="51"/>
      <c r="E276" s="48">
        <v>0.97</v>
      </c>
      <c r="F276" s="132">
        <f>C276*E276</f>
        <v>91735.81</v>
      </c>
      <c r="G276" s="39"/>
      <c r="H276" s="63"/>
    </row>
    <row r="277" spans="1:8" ht="17.25" x14ac:dyDescent="0.35">
      <c r="A277" s="175" t="s">
        <v>137</v>
      </c>
      <c r="B277" s="38"/>
      <c r="C277" s="176">
        <f>SUM(C275:C276)</f>
        <v>140942</v>
      </c>
      <c r="D277" s="51"/>
      <c r="E277" s="38"/>
      <c r="F277" s="177">
        <f>SUM(F275:F276)</f>
        <v>170563.11</v>
      </c>
      <c r="G277" s="39"/>
      <c r="H277" s="157"/>
    </row>
    <row r="278" spans="1:8" ht="15" x14ac:dyDescent="0.2">
      <c r="A278" s="42"/>
      <c r="B278" s="38"/>
      <c r="C278" s="38"/>
      <c r="D278" s="38"/>
      <c r="E278" s="38"/>
      <c r="F278" s="38"/>
      <c r="G278" s="39"/>
    </row>
    <row r="279" spans="1:8" ht="15.75" x14ac:dyDescent="0.25">
      <c r="A279" s="35" t="s">
        <v>131</v>
      </c>
      <c r="B279" s="38"/>
      <c r="C279" s="38"/>
      <c r="D279" s="38"/>
      <c r="E279" s="38"/>
      <c r="F279" s="131">
        <v>159522</v>
      </c>
      <c r="G279" s="39"/>
    </row>
    <row r="280" spans="1:8" ht="15.75" x14ac:dyDescent="0.25">
      <c r="A280" s="35" t="s">
        <v>158</v>
      </c>
      <c r="B280" s="220"/>
      <c r="C280" s="220"/>
      <c r="D280" s="220"/>
      <c r="E280" s="220"/>
      <c r="F280" s="221">
        <f>F279*50%</f>
        <v>79761</v>
      </c>
      <c r="G280" s="39"/>
    </row>
    <row r="281" spans="1:8" ht="15" x14ac:dyDescent="0.2">
      <c r="A281" s="42" t="s">
        <v>24</v>
      </c>
      <c r="B281" s="38"/>
      <c r="C281" s="38"/>
      <c r="D281" s="38"/>
      <c r="E281" s="38"/>
      <c r="F281" s="47">
        <f>F279-F277-F280</f>
        <v>-90802.109999999986</v>
      </c>
      <c r="G281" s="39"/>
    </row>
    <row r="282" spans="1:8" ht="17.25" x14ac:dyDescent="0.35">
      <c r="A282" s="42"/>
      <c r="B282" s="38"/>
      <c r="C282" s="130"/>
      <c r="D282" s="38"/>
      <c r="E282" s="38"/>
      <c r="F282" s="133"/>
      <c r="G282" s="39"/>
    </row>
    <row r="283" spans="1:8" ht="15" x14ac:dyDescent="0.2">
      <c r="A283" s="42" t="s">
        <v>25</v>
      </c>
      <c r="B283" s="38"/>
      <c r="C283" s="38"/>
      <c r="D283" s="38"/>
      <c r="E283" s="38"/>
      <c r="F283" s="47">
        <f>+F293</f>
        <v>294660</v>
      </c>
      <c r="G283" s="39"/>
    </row>
    <row r="284" spans="1:8" ht="15" x14ac:dyDescent="0.2">
      <c r="A284" s="42"/>
      <c r="B284" s="38"/>
      <c r="C284" s="38"/>
      <c r="D284" s="38"/>
      <c r="E284" s="38"/>
      <c r="F284" s="38"/>
      <c r="G284" s="39"/>
    </row>
    <row r="285" spans="1:8" ht="15" x14ac:dyDescent="0.2">
      <c r="A285" s="42" t="s">
        <v>26</v>
      </c>
      <c r="B285" s="38"/>
      <c r="C285" s="38"/>
      <c r="D285" s="38"/>
      <c r="E285" s="38"/>
      <c r="F285" s="61"/>
      <c r="G285" s="52">
        <f>ROUND(F281/F283,2)</f>
        <v>-0.31</v>
      </c>
    </row>
    <row r="286" spans="1:8" ht="15" x14ac:dyDescent="0.2">
      <c r="A286" s="42"/>
      <c r="B286" s="38"/>
      <c r="C286" s="38"/>
      <c r="D286" s="38"/>
      <c r="E286" s="38"/>
      <c r="F286" s="38"/>
      <c r="G286" s="52"/>
    </row>
    <row r="287" spans="1:8" ht="15" x14ac:dyDescent="0.2">
      <c r="A287" s="42"/>
      <c r="B287" s="38"/>
      <c r="C287" s="38"/>
      <c r="D287" s="38"/>
      <c r="E287" s="38"/>
      <c r="F287" s="38"/>
      <c r="G287" s="52"/>
    </row>
    <row r="288" spans="1:8" ht="15" x14ac:dyDescent="0.2">
      <c r="A288" s="42"/>
      <c r="B288" s="38"/>
      <c r="C288" s="38"/>
      <c r="D288" s="38"/>
      <c r="E288" s="38"/>
      <c r="F288" s="38"/>
      <c r="G288" s="52"/>
    </row>
    <row r="289" spans="1:9" ht="15.75" x14ac:dyDescent="0.25">
      <c r="A289" s="150" t="s">
        <v>141</v>
      </c>
      <c r="B289" s="36"/>
      <c r="C289" s="38"/>
      <c r="D289" s="38"/>
      <c r="E289" s="38"/>
      <c r="F289" s="162">
        <v>319043.89435762784</v>
      </c>
      <c r="G289" s="52"/>
    </row>
    <row r="290" spans="1:9" ht="17.25" x14ac:dyDescent="0.35">
      <c r="A290" s="49" t="s">
        <v>136</v>
      </c>
      <c r="B290" s="36"/>
      <c r="C290" s="38"/>
      <c r="D290" s="38"/>
      <c r="E290" s="172">
        <v>0.5</v>
      </c>
      <c r="F290" s="173">
        <f>-F289*E290</f>
        <v>-159521.94717881392</v>
      </c>
      <c r="G290" s="52"/>
    </row>
    <row r="291" spans="1:9" ht="20.25" x14ac:dyDescent="0.55000000000000004">
      <c r="A291" s="49"/>
      <c r="B291" s="36"/>
      <c r="C291" s="38"/>
      <c r="D291" s="38"/>
      <c r="E291" s="172"/>
      <c r="F291" s="174">
        <f>+F290+F289</f>
        <v>159521.94717881392</v>
      </c>
      <c r="G291" s="52"/>
    </row>
    <row r="292" spans="1:9" ht="17.25" x14ac:dyDescent="0.35">
      <c r="A292" s="49"/>
      <c r="B292" s="36"/>
      <c r="C292" s="38"/>
      <c r="D292" s="38"/>
      <c r="E292" s="172"/>
      <c r="F292" s="173"/>
      <c r="G292" s="52"/>
    </row>
    <row r="293" spans="1:9" ht="17.25" x14ac:dyDescent="0.35">
      <c r="A293" s="42" t="s">
        <v>138</v>
      </c>
      <c r="B293" s="38"/>
      <c r="C293" s="38"/>
      <c r="D293" s="38"/>
      <c r="E293" s="38"/>
      <c r="F293" s="163">
        <v>294660</v>
      </c>
      <c r="G293" s="52"/>
    </row>
    <row r="294" spans="1:9" ht="17.25" x14ac:dyDescent="0.35">
      <c r="A294" s="42" t="s">
        <v>103</v>
      </c>
      <c r="B294" s="38"/>
      <c r="C294" s="38"/>
      <c r="D294" s="38"/>
      <c r="E294" s="38"/>
      <c r="F294" s="38"/>
      <c r="G294" s="55">
        <f>ROUND(+F289/F293,2)</f>
        <v>1.08</v>
      </c>
    </row>
    <row r="295" spans="1:9" ht="15" x14ac:dyDescent="0.2">
      <c r="A295" s="42"/>
      <c r="B295" s="38"/>
      <c r="C295" s="38"/>
      <c r="D295" s="38"/>
      <c r="E295" s="38"/>
      <c r="F295" s="38"/>
      <c r="G295" s="52"/>
    </row>
    <row r="296" spans="1:9" ht="18" x14ac:dyDescent="0.4">
      <c r="A296" s="35" t="s">
        <v>28</v>
      </c>
      <c r="B296" s="36"/>
      <c r="C296" s="38"/>
      <c r="D296" s="38"/>
      <c r="E296" s="38"/>
      <c r="F296" s="38"/>
      <c r="G296" s="179">
        <f>SUM(G285:G294)</f>
        <v>0.77</v>
      </c>
      <c r="I296" s="158"/>
    </row>
    <row r="297" spans="1:9" ht="15.75" x14ac:dyDescent="0.25">
      <c r="A297" s="35"/>
      <c r="B297" s="36"/>
      <c r="C297" s="38"/>
      <c r="D297" s="38"/>
      <c r="E297" s="38"/>
      <c r="F297" s="38"/>
      <c r="G297" s="149"/>
    </row>
    <row r="298" spans="1:9" ht="13.5" thickBot="1" x14ac:dyDescent="0.25">
      <c r="A298" s="19"/>
      <c r="B298" s="20"/>
      <c r="C298" s="20"/>
      <c r="D298" s="20"/>
      <c r="E298" s="20"/>
      <c r="F298" s="20"/>
      <c r="G298" s="21"/>
    </row>
    <row r="299" spans="1:9" ht="15" x14ac:dyDescent="0.2">
      <c r="A299" s="292" t="s">
        <v>29</v>
      </c>
      <c r="B299" s="293"/>
      <c r="C299" s="293"/>
      <c r="D299" s="293"/>
      <c r="E299" s="293"/>
      <c r="F299" s="293"/>
      <c r="G299" s="294"/>
    </row>
    <row r="300" spans="1:9" ht="15" x14ac:dyDescent="0.2">
      <c r="A300" s="49"/>
      <c r="B300" s="50"/>
      <c r="C300" s="50"/>
      <c r="D300" s="50"/>
      <c r="E300" s="50"/>
      <c r="F300" s="50"/>
      <c r="G300" s="64"/>
    </row>
    <row r="301" spans="1:9" ht="15.75" x14ac:dyDescent="0.25">
      <c r="A301" s="49"/>
      <c r="B301" s="50"/>
      <c r="C301" s="43"/>
      <c r="D301" s="43"/>
      <c r="E301" s="43" t="s">
        <v>13</v>
      </c>
      <c r="F301" s="43" t="s">
        <v>3</v>
      </c>
      <c r="G301" s="64"/>
    </row>
    <row r="302" spans="1:9" ht="15.75" x14ac:dyDescent="0.25">
      <c r="A302" s="49"/>
      <c r="B302" s="50"/>
      <c r="C302" s="65" t="s">
        <v>20</v>
      </c>
      <c r="D302" s="65"/>
      <c r="E302" s="65" t="s">
        <v>22</v>
      </c>
      <c r="F302" s="65" t="s">
        <v>6</v>
      </c>
      <c r="G302" s="64"/>
    </row>
    <row r="303" spans="1:9" ht="15.75" x14ac:dyDescent="0.25">
      <c r="A303" s="45" t="s">
        <v>135</v>
      </c>
      <c r="B303" s="36"/>
      <c r="C303" s="66"/>
      <c r="D303" s="66"/>
      <c r="E303" s="66"/>
      <c r="F303" s="66"/>
      <c r="G303" s="64"/>
    </row>
    <row r="304" spans="1:9" ht="15.75" x14ac:dyDescent="0.25">
      <c r="A304" s="42" t="s">
        <v>139</v>
      </c>
      <c r="B304" s="50"/>
      <c r="C304" s="67">
        <v>3428.8235294117644</v>
      </c>
      <c r="D304" s="67"/>
      <c r="E304" s="68">
        <v>0.3</v>
      </c>
      <c r="F304" s="54">
        <f>E304*C304</f>
        <v>1028.6470588235293</v>
      </c>
      <c r="G304" s="64"/>
    </row>
    <row r="305" spans="1:7" ht="17.25" x14ac:dyDescent="0.35">
      <c r="A305" s="49" t="s">
        <v>140</v>
      </c>
      <c r="B305" s="50"/>
      <c r="C305" s="51">
        <v>6962.5271493212667</v>
      </c>
      <c r="D305" s="51"/>
      <c r="E305" s="68">
        <v>0.18</v>
      </c>
      <c r="F305" s="132">
        <f>E305*C305</f>
        <v>1253.2548868778279</v>
      </c>
      <c r="G305" s="64"/>
    </row>
    <row r="306" spans="1:7" ht="15" x14ac:dyDescent="0.2">
      <c r="A306" s="42" t="s">
        <v>3</v>
      </c>
      <c r="B306" s="50"/>
      <c r="C306" s="67">
        <f>SUM(C304:C305)</f>
        <v>10391.350678733032</v>
      </c>
      <c r="D306" s="67"/>
      <c r="E306" s="50"/>
      <c r="F306" s="54">
        <f>SUM(F304:F305)</f>
        <v>2281.9019457013574</v>
      </c>
      <c r="G306" s="64"/>
    </row>
    <row r="307" spans="1:7" ht="15" x14ac:dyDescent="0.2">
      <c r="A307" s="42"/>
      <c r="B307" s="50"/>
      <c r="C307" s="50"/>
      <c r="D307" s="50"/>
      <c r="E307" s="50"/>
      <c r="F307" s="54"/>
      <c r="G307" s="64"/>
    </row>
    <row r="308" spans="1:7" ht="15.75" x14ac:dyDescent="0.25">
      <c r="A308" s="35" t="s">
        <v>131</v>
      </c>
      <c r="B308" s="50"/>
      <c r="C308" s="50"/>
      <c r="D308" s="50"/>
      <c r="E308" s="50"/>
      <c r="F308" s="54">
        <v>2183.0170166386092</v>
      </c>
      <c r="G308" s="64"/>
    </row>
    <row r="309" spans="1:7" ht="15.75" x14ac:dyDescent="0.25">
      <c r="A309" s="35" t="s">
        <v>158</v>
      </c>
      <c r="B309" s="222"/>
      <c r="C309" s="222"/>
      <c r="D309" s="222"/>
      <c r="E309" s="222"/>
      <c r="F309" s="221">
        <f>F308*50%</f>
        <v>1091.5085083193046</v>
      </c>
      <c r="G309" s="64"/>
    </row>
    <row r="310" spans="1:7" ht="15" x14ac:dyDescent="0.2">
      <c r="A310" s="42" t="s">
        <v>99</v>
      </c>
      <c r="B310" s="50"/>
      <c r="C310" s="50"/>
      <c r="D310" s="50"/>
      <c r="E310" s="50"/>
      <c r="F310" s="47">
        <f>F308-F306-F309</f>
        <v>-1190.3934373820528</v>
      </c>
      <c r="G310" s="64"/>
    </row>
    <row r="311" spans="1:7" ht="17.25" x14ac:dyDescent="0.35">
      <c r="A311" s="42"/>
      <c r="B311" s="50"/>
      <c r="C311" s="135"/>
      <c r="D311" s="50"/>
      <c r="E311" s="50"/>
      <c r="F311" s="133"/>
      <c r="G311" s="64"/>
    </row>
    <row r="312" spans="1:7" ht="15" x14ac:dyDescent="0.2">
      <c r="A312" s="42" t="s">
        <v>25</v>
      </c>
      <c r="B312" s="50"/>
      <c r="C312" s="50"/>
      <c r="D312" s="50"/>
      <c r="E312" s="50"/>
      <c r="F312" s="67">
        <f>+F322</f>
        <v>21101.999999999996</v>
      </c>
      <c r="G312" s="64"/>
    </row>
    <row r="313" spans="1:7" ht="15" x14ac:dyDescent="0.2">
      <c r="A313" s="42"/>
      <c r="B313" s="50"/>
      <c r="C313" s="50"/>
      <c r="D313" s="50"/>
      <c r="E313" s="50"/>
      <c r="F313" s="50"/>
      <c r="G313" s="64"/>
    </row>
    <row r="314" spans="1:7" ht="15" x14ac:dyDescent="0.2">
      <c r="A314" s="42" t="s">
        <v>26</v>
      </c>
      <c r="B314" s="50"/>
      <c r="C314" s="50"/>
      <c r="D314" s="50"/>
      <c r="E314" s="50"/>
      <c r="F314" s="50"/>
      <c r="G314" s="70">
        <f>ROUND(F310/F312,2)</f>
        <v>-0.06</v>
      </c>
    </row>
    <row r="315" spans="1:7" ht="15" x14ac:dyDescent="0.2">
      <c r="A315" s="42"/>
      <c r="B315" s="50"/>
      <c r="C315" s="50"/>
      <c r="D315" s="50"/>
      <c r="E315" s="50"/>
      <c r="F315" s="50"/>
      <c r="G315" s="70"/>
    </row>
    <row r="316" spans="1:7" ht="15" x14ac:dyDescent="0.2">
      <c r="A316" s="42"/>
      <c r="B316" s="50"/>
      <c r="C316" s="50"/>
      <c r="D316" s="50"/>
      <c r="E316" s="50"/>
      <c r="F316" s="67"/>
      <c r="G316" s="64"/>
    </row>
    <row r="317" spans="1:7" ht="15.75" x14ac:dyDescent="0.25">
      <c r="A317" s="42"/>
      <c r="B317" s="36"/>
      <c r="C317" s="50"/>
      <c r="D317" s="50"/>
      <c r="E317" s="50"/>
      <c r="F317" s="67"/>
      <c r="G317" s="64"/>
    </row>
    <row r="318" spans="1:7" ht="15.75" x14ac:dyDescent="0.25">
      <c r="A318" s="150" t="s">
        <v>141</v>
      </c>
      <c r="B318" s="50"/>
      <c r="C318" s="50"/>
      <c r="D318" s="50"/>
      <c r="E318" s="50"/>
      <c r="F318" s="164">
        <v>4366.0340332772184</v>
      </c>
      <c r="G318" s="64"/>
    </row>
    <row r="319" spans="1:7" ht="17.25" x14ac:dyDescent="0.35">
      <c r="A319" s="49" t="s">
        <v>136</v>
      </c>
      <c r="B319" s="36"/>
      <c r="C319" s="38"/>
      <c r="D319" s="38"/>
      <c r="E319" s="172">
        <v>0.5</v>
      </c>
      <c r="F319" s="173">
        <f>-F318*E319</f>
        <v>-2183.0170166386092</v>
      </c>
      <c r="G319" s="52"/>
    </row>
    <row r="320" spans="1:7" ht="20.25" x14ac:dyDescent="0.55000000000000004">
      <c r="A320" s="49"/>
      <c r="B320" s="36"/>
      <c r="C320" s="38"/>
      <c r="D320" s="38"/>
      <c r="E320" s="172"/>
      <c r="F320" s="174">
        <f>+F319+F318</f>
        <v>2183.0170166386092</v>
      </c>
      <c r="G320" s="52"/>
    </row>
    <row r="321" spans="1:7" ht="17.25" x14ac:dyDescent="0.35">
      <c r="A321" s="49"/>
      <c r="B321" s="36"/>
      <c r="C321" s="38"/>
      <c r="D321" s="38"/>
      <c r="E321" s="172"/>
      <c r="F321" s="173"/>
      <c r="G321" s="52"/>
    </row>
    <row r="322" spans="1:7" ht="17.25" x14ac:dyDescent="0.35">
      <c r="A322" s="42" t="s">
        <v>138</v>
      </c>
      <c r="B322" s="38"/>
      <c r="C322" s="38"/>
      <c r="D322" s="38"/>
      <c r="E322" s="38"/>
      <c r="F322" s="163">
        <v>21101.999999999996</v>
      </c>
      <c r="G322" s="52"/>
    </row>
    <row r="323" spans="1:7" ht="17.25" x14ac:dyDescent="0.35">
      <c r="A323" s="42" t="s">
        <v>103</v>
      </c>
      <c r="B323" s="38"/>
      <c r="C323" s="38"/>
      <c r="D323" s="38"/>
      <c r="E323" s="38"/>
      <c r="F323" s="38"/>
      <c r="G323" s="55">
        <f>ROUND(+F318/F322,2)</f>
        <v>0.21</v>
      </c>
    </row>
    <row r="324" spans="1:7" ht="15" x14ac:dyDescent="0.2">
      <c r="A324" s="42"/>
      <c r="B324" s="38"/>
      <c r="C324" s="38"/>
      <c r="D324" s="38"/>
      <c r="E324" s="38"/>
      <c r="F324" s="38"/>
      <c r="G324" s="52"/>
    </row>
    <row r="325" spans="1:7" ht="18" x14ac:dyDescent="0.4">
      <c r="A325" s="35" t="s">
        <v>117</v>
      </c>
      <c r="B325" s="36"/>
      <c r="C325" s="38"/>
      <c r="D325" s="38"/>
      <c r="E325" s="38"/>
      <c r="F325" s="38"/>
      <c r="G325" s="179">
        <f>SUM(G314:G323)</f>
        <v>0.15</v>
      </c>
    </row>
    <row r="326" spans="1:7" ht="15.75" x14ac:dyDescent="0.25">
      <c r="A326" s="35"/>
      <c r="B326" s="36"/>
      <c r="C326" s="38"/>
      <c r="D326" s="38"/>
      <c r="E326" s="38"/>
      <c r="F326" s="38"/>
      <c r="G326" s="149"/>
    </row>
    <row r="327" spans="1:7" ht="15.75" thickBot="1" x14ac:dyDescent="0.25">
      <c r="A327" s="72"/>
      <c r="B327" s="73"/>
      <c r="C327" s="73"/>
      <c r="D327" s="73"/>
      <c r="E327" s="73"/>
      <c r="F327" s="73"/>
      <c r="G327" s="74"/>
    </row>
    <row r="328" spans="1:7" ht="23.25" x14ac:dyDescent="0.35">
      <c r="A328" s="31" t="s">
        <v>56</v>
      </c>
      <c r="B328" s="32"/>
      <c r="C328" s="33"/>
      <c r="D328" s="33"/>
      <c r="E328" s="33"/>
      <c r="F328" s="33"/>
      <c r="G328" s="34"/>
    </row>
    <row r="329" spans="1:7" ht="15.75" x14ac:dyDescent="0.25">
      <c r="A329" s="35" t="s">
        <v>102</v>
      </c>
      <c r="B329" s="36"/>
      <c r="C329" s="37"/>
      <c r="D329" s="37"/>
      <c r="E329" s="38"/>
      <c r="F329" s="38"/>
      <c r="G329" s="39"/>
    </row>
    <row r="330" spans="1:7" ht="15.75" x14ac:dyDescent="0.25">
      <c r="A330" s="40"/>
      <c r="B330" s="41"/>
      <c r="C330" s="38"/>
      <c r="D330" s="38"/>
      <c r="E330" s="38"/>
      <c r="F330" s="38"/>
      <c r="G330" s="39"/>
    </row>
    <row r="331" spans="1:7" ht="15" x14ac:dyDescent="0.2">
      <c r="A331" s="292" t="s">
        <v>21</v>
      </c>
      <c r="B331" s="293"/>
      <c r="C331" s="293"/>
      <c r="D331" s="293"/>
      <c r="E331" s="293"/>
      <c r="F331" s="293"/>
      <c r="G331" s="294"/>
    </row>
    <row r="332" spans="1:7" ht="15" x14ac:dyDescent="0.2">
      <c r="A332" s="42"/>
      <c r="B332" s="38"/>
      <c r="C332" s="38"/>
      <c r="D332" s="38"/>
      <c r="E332" s="38"/>
      <c r="F332" s="38"/>
      <c r="G332" s="39"/>
    </row>
    <row r="333" spans="1:7" ht="15.75" x14ac:dyDescent="0.25">
      <c r="A333" s="42"/>
      <c r="B333" s="38"/>
      <c r="C333" s="43"/>
      <c r="D333" s="43"/>
      <c r="E333" s="43" t="s">
        <v>13</v>
      </c>
      <c r="F333" s="43" t="s">
        <v>3</v>
      </c>
      <c r="G333" s="39"/>
    </row>
    <row r="334" spans="1:7" ht="15.75" x14ac:dyDescent="0.25">
      <c r="A334" s="42"/>
      <c r="B334" s="38"/>
      <c r="C334" s="44" t="s">
        <v>5</v>
      </c>
      <c r="D334" s="44"/>
      <c r="E334" s="44" t="s">
        <v>22</v>
      </c>
      <c r="F334" s="44" t="s">
        <v>6</v>
      </c>
      <c r="G334" s="39"/>
    </row>
    <row r="335" spans="1:7" ht="15.75" x14ac:dyDescent="0.25">
      <c r="A335" s="45" t="s">
        <v>132</v>
      </c>
      <c r="B335" s="36"/>
      <c r="C335" s="46"/>
      <c r="D335" s="46"/>
      <c r="E335" s="46"/>
      <c r="F335" s="46"/>
      <c r="G335" s="39"/>
    </row>
    <row r="336" spans="1:7" ht="15.75" x14ac:dyDescent="0.25">
      <c r="A336" s="42" t="s">
        <v>122</v>
      </c>
      <c r="B336" s="38"/>
      <c r="C336" s="47">
        <v>46369</v>
      </c>
      <c r="D336" s="47"/>
      <c r="E336" s="48">
        <v>2.23</v>
      </c>
      <c r="F336" s="131">
        <f>C336*E336</f>
        <v>103402.87</v>
      </c>
      <c r="G336" s="39"/>
    </row>
    <row r="337" spans="1:7" ht="17.25" x14ac:dyDescent="0.35">
      <c r="A337" s="49" t="s">
        <v>133</v>
      </c>
      <c r="B337" s="50"/>
      <c r="C337" s="51">
        <v>94573</v>
      </c>
      <c r="D337" s="51"/>
      <c r="E337" s="48">
        <v>1.7</v>
      </c>
      <c r="F337" s="132">
        <f>C337*E337</f>
        <v>160774.1</v>
      </c>
      <c r="G337" s="39"/>
    </row>
    <row r="338" spans="1:7" ht="17.25" x14ac:dyDescent="0.35">
      <c r="A338" s="42" t="s">
        <v>3</v>
      </c>
      <c r="B338" s="38"/>
      <c r="C338" s="47">
        <f>SUM(C336:C337)</f>
        <v>140942</v>
      </c>
      <c r="D338" s="51"/>
      <c r="E338" s="38"/>
      <c r="F338" s="131">
        <f>SUM(F336:F337)</f>
        <v>264176.96999999997</v>
      </c>
      <c r="G338" s="39"/>
    </row>
    <row r="339" spans="1:7" ht="15" x14ac:dyDescent="0.2">
      <c r="A339" s="42"/>
      <c r="B339" s="38"/>
      <c r="C339" s="38"/>
      <c r="D339" s="38"/>
      <c r="E339" s="38"/>
      <c r="F339" s="38"/>
      <c r="G339" s="39"/>
    </row>
    <row r="340" spans="1:7" ht="15.75" x14ac:dyDescent="0.25">
      <c r="A340" s="35" t="s">
        <v>23</v>
      </c>
      <c r="B340" s="38"/>
      <c r="C340" s="38"/>
      <c r="D340" s="38"/>
      <c r="E340" s="38"/>
      <c r="F340" s="131">
        <v>261404</v>
      </c>
      <c r="G340" s="39"/>
    </row>
    <row r="341" spans="1:7" ht="15" x14ac:dyDescent="0.2">
      <c r="A341" s="42"/>
      <c r="B341" s="38"/>
      <c r="C341" s="38"/>
      <c r="D341" s="38"/>
      <c r="E341" s="38"/>
      <c r="F341" s="131"/>
      <c r="G341" s="39"/>
    </row>
    <row r="342" spans="1:7" ht="15" x14ac:dyDescent="0.2">
      <c r="A342" s="42" t="s">
        <v>24</v>
      </c>
      <c r="B342" s="38"/>
      <c r="C342" s="38"/>
      <c r="D342" s="38"/>
      <c r="E342" s="38"/>
      <c r="F342" s="47">
        <f>F340-F338</f>
        <v>-2772.9699999999721</v>
      </c>
      <c r="G342" s="39"/>
    </row>
    <row r="343" spans="1:7" ht="17.25" x14ac:dyDescent="0.35">
      <c r="A343" s="42"/>
      <c r="B343" s="38"/>
      <c r="C343" s="130"/>
      <c r="D343" s="38"/>
      <c r="E343" s="38"/>
      <c r="F343" s="133"/>
      <c r="G343" s="39"/>
    </row>
    <row r="344" spans="1:7" ht="15" x14ac:dyDescent="0.2">
      <c r="A344" s="42" t="s">
        <v>25</v>
      </c>
      <c r="B344" s="38"/>
      <c r="C344" s="38"/>
      <c r="D344" s="38"/>
      <c r="E344" s="38"/>
      <c r="F344" s="47">
        <f>+C338</f>
        <v>140942</v>
      </c>
      <c r="G344" s="39"/>
    </row>
    <row r="345" spans="1:7" ht="15" x14ac:dyDescent="0.2">
      <c r="A345" s="42"/>
      <c r="B345" s="38"/>
      <c r="C345" s="38"/>
      <c r="D345" s="38"/>
      <c r="E345" s="38"/>
      <c r="F345" s="38"/>
      <c r="G345" s="39"/>
    </row>
    <row r="346" spans="1:7" ht="15" x14ac:dyDescent="0.2">
      <c r="A346" s="42" t="s">
        <v>26</v>
      </c>
      <c r="B346" s="38"/>
      <c r="C346" s="38"/>
      <c r="D346" s="38"/>
      <c r="E346" s="38"/>
      <c r="F346" s="61"/>
      <c r="G346" s="52">
        <f>ROUND(F342/F344,2)</f>
        <v>-0.02</v>
      </c>
    </row>
    <row r="347" spans="1:7" ht="15" x14ac:dyDescent="0.2">
      <c r="A347" s="42"/>
      <c r="B347" s="38"/>
      <c r="C347" s="38"/>
      <c r="D347" s="38"/>
      <c r="E347" s="38"/>
      <c r="F347" s="38"/>
      <c r="G347" s="52"/>
    </row>
    <row r="348" spans="1:7" ht="15" x14ac:dyDescent="0.2">
      <c r="A348" s="42"/>
      <c r="B348" s="38"/>
      <c r="C348" s="38"/>
      <c r="D348" s="38"/>
      <c r="E348" s="38"/>
      <c r="F348" s="38"/>
      <c r="G348" s="52"/>
    </row>
    <row r="349" spans="1:7" ht="15" x14ac:dyDescent="0.2">
      <c r="A349" s="42"/>
      <c r="B349" s="38"/>
      <c r="C349" s="38"/>
      <c r="D349" s="38"/>
      <c r="E349" s="38"/>
      <c r="F349" s="38"/>
      <c r="G349" s="52"/>
    </row>
    <row r="350" spans="1:7" ht="15.75" x14ac:dyDescent="0.25">
      <c r="A350" s="150" t="s">
        <v>134</v>
      </c>
      <c r="B350" s="36"/>
      <c r="C350" s="38"/>
      <c r="D350" s="38"/>
      <c r="E350" s="38"/>
      <c r="F350" s="162">
        <v>130702</v>
      </c>
      <c r="G350" s="52"/>
    </row>
    <row r="351" spans="1:7" ht="17.25" x14ac:dyDescent="0.35">
      <c r="A351" s="42" t="s">
        <v>25</v>
      </c>
      <c r="B351" s="38"/>
      <c r="C351" s="38"/>
      <c r="D351" s="38"/>
      <c r="E351" s="38"/>
      <c r="F351" s="163">
        <f>+C338</f>
        <v>140942</v>
      </c>
      <c r="G351" s="52"/>
    </row>
    <row r="352" spans="1:7" ht="17.25" x14ac:dyDescent="0.35">
      <c r="A352" s="42" t="s">
        <v>103</v>
      </c>
      <c r="B352" s="38"/>
      <c r="C352" s="38"/>
      <c r="D352" s="38"/>
      <c r="E352" s="38"/>
      <c r="F352" s="38"/>
      <c r="G352" s="55">
        <f>ROUND(+F350/F351,2)</f>
        <v>0.93</v>
      </c>
    </row>
    <row r="353" spans="1:7" ht="15" x14ac:dyDescent="0.2">
      <c r="A353" s="42"/>
      <c r="B353" s="38"/>
      <c r="C353" s="38"/>
      <c r="D353" s="38"/>
      <c r="E353" s="38"/>
      <c r="F353" s="38"/>
      <c r="G353" s="52"/>
    </row>
    <row r="354" spans="1:7" ht="18" x14ac:dyDescent="0.4">
      <c r="A354" s="35" t="s">
        <v>28</v>
      </c>
      <c r="B354" s="36"/>
      <c r="C354" s="38"/>
      <c r="D354" s="38"/>
      <c r="E354" s="38"/>
      <c r="F354" s="38"/>
      <c r="G354" s="179">
        <f>SUM(G346:G352)</f>
        <v>0.91</v>
      </c>
    </row>
    <row r="355" spans="1:7" ht="15.75" x14ac:dyDescent="0.25">
      <c r="A355" s="35"/>
      <c r="B355" s="36"/>
      <c r="C355" s="38"/>
      <c r="D355" s="38"/>
      <c r="E355" s="38"/>
      <c r="F355" s="38"/>
      <c r="G355" s="149"/>
    </row>
    <row r="356" spans="1:7" ht="13.5" thickBot="1" x14ac:dyDescent="0.25">
      <c r="A356" s="19"/>
      <c r="B356" s="20"/>
      <c r="C356" s="20"/>
      <c r="D356" s="20"/>
      <c r="E356" s="20"/>
      <c r="F356" s="20"/>
      <c r="G356" s="21"/>
    </row>
    <row r="357" spans="1:7" ht="15" x14ac:dyDescent="0.2">
      <c r="A357" s="292" t="s">
        <v>29</v>
      </c>
      <c r="B357" s="293"/>
      <c r="C357" s="293"/>
      <c r="D357" s="293"/>
      <c r="E357" s="293"/>
      <c r="F357" s="293"/>
      <c r="G357" s="294"/>
    </row>
    <row r="358" spans="1:7" ht="15" x14ac:dyDescent="0.2">
      <c r="A358" s="49"/>
      <c r="B358" s="50"/>
      <c r="C358" s="50"/>
      <c r="D358" s="50"/>
      <c r="E358" s="50"/>
      <c r="F358" s="50"/>
      <c r="G358" s="64"/>
    </row>
    <row r="359" spans="1:7" ht="15.75" x14ac:dyDescent="0.25">
      <c r="A359" s="49"/>
      <c r="B359" s="50"/>
      <c r="C359" s="43"/>
      <c r="D359" s="43"/>
      <c r="E359" s="43" t="s">
        <v>13</v>
      </c>
      <c r="F359" s="43" t="s">
        <v>3</v>
      </c>
      <c r="G359" s="64"/>
    </row>
    <row r="360" spans="1:7" ht="15.75" x14ac:dyDescent="0.25">
      <c r="A360" s="49"/>
      <c r="B360" s="50"/>
      <c r="C360" s="65" t="s">
        <v>20</v>
      </c>
      <c r="D360" s="65"/>
      <c r="E360" s="65" t="s">
        <v>22</v>
      </c>
      <c r="F360" s="65" t="s">
        <v>6</v>
      </c>
      <c r="G360" s="64"/>
    </row>
    <row r="361" spans="1:7" ht="15.75" x14ac:dyDescent="0.25">
      <c r="A361" s="45" t="s">
        <v>132</v>
      </c>
      <c r="B361" s="36"/>
      <c r="C361" s="66"/>
      <c r="D361" s="66"/>
      <c r="E361" s="66"/>
      <c r="F361" s="66"/>
      <c r="G361" s="64"/>
    </row>
    <row r="362" spans="1:7" ht="15.75" x14ac:dyDescent="0.25">
      <c r="A362" s="42" t="s">
        <v>57</v>
      </c>
      <c r="B362" s="50"/>
      <c r="C362" s="67">
        <v>3064</v>
      </c>
      <c r="D362" s="67"/>
      <c r="E362" s="68">
        <v>0.24</v>
      </c>
      <c r="F362" s="54">
        <f>E362*C362</f>
        <v>735.36</v>
      </c>
      <c r="G362" s="64"/>
    </row>
    <row r="363" spans="1:7" ht="17.25" x14ac:dyDescent="0.35">
      <c r="A363" s="49" t="s">
        <v>58</v>
      </c>
      <c r="B363" s="50"/>
      <c r="C363" s="51">
        <v>6764</v>
      </c>
      <c r="D363" s="51"/>
      <c r="E363" s="68">
        <v>0.3</v>
      </c>
      <c r="F363" s="132">
        <f>E363*C363</f>
        <v>2029.1999999999998</v>
      </c>
      <c r="G363" s="64"/>
    </row>
    <row r="364" spans="1:7" ht="15" x14ac:dyDescent="0.2">
      <c r="A364" s="42" t="s">
        <v>3</v>
      </c>
      <c r="B364" s="50"/>
      <c r="C364" s="67">
        <f>SUM(C362:C363)</f>
        <v>9828</v>
      </c>
      <c r="D364" s="67"/>
      <c r="E364" s="50"/>
      <c r="F364" s="54">
        <f>SUM(F362:F363)</f>
        <v>2764.56</v>
      </c>
      <c r="G364" s="64"/>
    </row>
    <row r="365" spans="1:7" ht="15" x14ac:dyDescent="0.2">
      <c r="A365" s="42"/>
      <c r="B365" s="50"/>
      <c r="C365" s="50"/>
      <c r="D365" s="50"/>
      <c r="E365" s="50"/>
      <c r="F365" s="54"/>
      <c r="G365" s="64"/>
    </row>
    <row r="366" spans="1:7" ht="15.75" x14ac:dyDescent="0.25">
      <c r="A366" s="35" t="s">
        <v>23</v>
      </c>
      <c r="B366" s="50"/>
      <c r="C366" s="50"/>
      <c r="D366" s="50"/>
      <c r="E366" s="50"/>
      <c r="F366" s="54">
        <v>3577</v>
      </c>
      <c r="G366" s="64"/>
    </row>
    <row r="367" spans="1:7" ht="15" x14ac:dyDescent="0.2">
      <c r="A367" s="42"/>
      <c r="B367" s="50"/>
      <c r="C367" s="50"/>
      <c r="D367" s="50"/>
      <c r="E367" s="50"/>
      <c r="F367" s="54"/>
      <c r="G367" s="64"/>
    </row>
    <row r="368" spans="1:7" ht="15" x14ac:dyDescent="0.2">
      <c r="A368" s="42" t="s">
        <v>99</v>
      </c>
      <c r="B368" s="50"/>
      <c r="C368" s="50"/>
      <c r="D368" s="50"/>
      <c r="E368" s="50"/>
      <c r="F368" s="131">
        <f>F366-F364</f>
        <v>812.44</v>
      </c>
      <c r="G368" s="64"/>
    </row>
    <row r="369" spans="1:7" ht="17.25" x14ac:dyDescent="0.35">
      <c r="A369" s="42"/>
      <c r="B369" s="50"/>
      <c r="C369" s="135"/>
      <c r="D369" s="50"/>
      <c r="E369" s="50"/>
      <c r="F369" s="133"/>
      <c r="G369" s="64"/>
    </row>
    <row r="370" spans="1:7" ht="15" x14ac:dyDescent="0.2">
      <c r="A370" s="42" t="s">
        <v>25</v>
      </c>
      <c r="B370" s="50"/>
      <c r="C370" s="50"/>
      <c r="D370" s="50"/>
      <c r="E370" s="50"/>
      <c r="F370" s="67">
        <f>+C364</f>
        <v>9828</v>
      </c>
      <c r="G370" s="64"/>
    </row>
    <row r="371" spans="1:7" ht="15" x14ac:dyDescent="0.2">
      <c r="A371" s="42"/>
      <c r="B371" s="50"/>
      <c r="C371" s="50"/>
      <c r="D371" s="50"/>
      <c r="E371" s="50"/>
      <c r="F371" s="50"/>
      <c r="G371" s="64"/>
    </row>
    <row r="372" spans="1:7" ht="15" x14ac:dyDescent="0.2">
      <c r="A372" s="42" t="s">
        <v>26</v>
      </c>
      <c r="B372" s="50"/>
      <c r="C372" s="50"/>
      <c r="D372" s="50"/>
      <c r="E372" s="50"/>
      <c r="F372" s="50"/>
      <c r="G372" s="70">
        <f>ROUND(F368/F370,2)</f>
        <v>0.08</v>
      </c>
    </row>
    <row r="373" spans="1:7" ht="15" x14ac:dyDescent="0.2">
      <c r="A373" s="42"/>
      <c r="B373" s="50"/>
      <c r="C373" s="50"/>
      <c r="D373" s="50"/>
      <c r="E373" s="50"/>
      <c r="F373" s="50"/>
      <c r="G373" s="70"/>
    </row>
    <row r="374" spans="1:7" ht="15" x14ac:dyDescent="0.2">
      <c r="A374" s="42"/>
      <c r="B374" s="50"/>
      <c r="C374" s="50"/>
      <c r="D374" s="50"/>
      <c r="E374" s="50"/>
      <c r="F374" s="67"/>
      <c r="G374" s="64"/>
    </row>
    <row r="375" spans="1:7" ht="15.75" x14ac:dyDescent="0.25">
      <c r="A375" s="42"/>
      <c r="B375" s="36"/>
      <c r="C375" s="50"/>
      <c r="D375" s="50"/>
      <c r="E375" s="50"/>
      <c r="F375" s="67"/>
      <c r="G375" s="64"/>
    </row>
    <row r="376" spans="1:7" ht="15.75" x14ac:dyDescent="0.25">
      <c r="A376" s="150" t="s">
        <v>134</v>
      </c>
      <c r="B376" s="50"/>
      <c r="C376" s="50"/>
      <c r="D376" s="50"/>
      <c r="E376" s="50"/>
      <c r="F376" s="164">
        <v>1789</v>
      </c>
      <c r="G376" s="64"/>
    </row>
    <row r="377" spans="1:7" ht="17.25" x14ac:dyDescent="0.35">
      <c r="A377" s="49" t="s">
        <v>25</v>
      </c>
      <c r="B377" s="36"/>
      <c r="C377" s="139"/>
      <c r="D377" s="38"/>
      <c r="E377" s="38"/>
      <c r="F377" s="165">
        <f>+C364</f>
        <v>9828</v>
      </c>
      <c r="G377" s="64"/>
    </row>
    <row r="378" spans="1:7" ht="17.25" x14ac:dyDescent="0.35">
      <c r="A378" s="42" t="s">
        <v>103</v>
      </c>
      <c r="B378" s="38"/>
      <c r="C378" s="38"/>
      <c r="D378" s="38"/>
      <c r="E378" s="38"/>
      <c r="F378" s="38"/>
      <c r="G378" s="55">
        <f>ROUND(+F376/F377,2)</f>
        <v>0.18</v>
      </c>
    </row>
    <row r="379" spans="1:7" ht="15" x14ac:dyDescent="0.2">
      <c r="A379" s="42"/>
      <c r="B379" s="50"/>
      <c r="C379" s="50"/>
      <c r="D379" s="50"/>
      <c r="E379" s="50"/>
      <c r="F379" s="67"/>
      <c r="G379" s="64"/>
    </row>
    <row r="380" spans="1:7" ht="18" x14ac:dyDescent="0.4">
      <c r="A380" s="35" t="s">
        <v>117</v>
      </c>
      <c r="B380" s="36"/>
      <c r="C380" s="38"/>
      <c r="D380" s="38"/>
      <c r="E380" s="38"/>
      <c r="F380" s="38"/>
      <c r="G380" s="179">
        <f>SUM(G372:G378)</f>
        <v>0.26</v>
      </c>
    </row>
    <row r="381" spans="1:7" ht="17.25" x14ac:dyDescent="0.35">
      <c r="A381" s="42"/>
      <c r="B381" s="50"/>
      <c r="C381" s="50"/>
      <c r="D381" s="50"/>
      <c r="E381" s="50"/>
      <c r="F381" s="50"/>
      <c r="G381" s="55"/>
    </row>
    <row r="382" spans="1:7" ht="15.75" thickBot="1" x14ac:dyDescent="0.25">
      <c r="A382" s="72"/>
      <c r="B382" s="73"/>
      <c r="C382" s="73"/>
      <c r="D382" s="73"/>
      <c r="E382" s="73"/>
      <c r="F382" s="73"/>
      <c r="G382" s="74"/>
    </row>
    <row r="383" spans="1:7" ht="23.25" x14ac:dyDescent="0.35">
      <c r="A383" s="31" t="s">
        <v>56</v>
      </c>
      <c r="B383" s="32"/>
      <c r="C383" s="33"/>
      <c r="D383" s="33"/>
      <c r="E383" s="33"/>
      <c r="F383" s="33"/>
      <c r="G383" s="34"/>
    </row>
    <row r="384" spans="1:7" ht="15.75" x14ac:dyDescent="0.25">
      <c r="A384" s="35" t="s">
        <v>94</v>
      </c>
      <c r="B384" s="36"/>
      <c r="C384" s="37"/>
      <c r="D384" s="37"/>
      <c r="E384" s="38"/>
      <c r="F384" s="38"/>
      <c r="G384" s="39"/>
    </row>
    <row r="385" spans="1:7" ht="15.75" x14ac:dyDescent="0.25">
      <c r="A385" s="40"/>
      <c r="B385" s="41"/>
      <c r="C385" s="38"/>
      <c r="D385" s="38"/>
      <c r="E385" s="38"/>
      <c r="F385" s="38"/>
      <c r="G385" s="39"/>
    </row>
    <row r="386" spans="1:7" ht="15" x14ac:dyDescent="0.2">
      <c r="A386" s="292" t="s">
        <v>21</v>
      </c>
      <c r="B386" s="293"/>
      <c r="C386" s="293"/>
      <c r="D386" s="293"/>
      <c r="E386" s="293"/>
      <c r="F386" s="293"/>
      <c r="G386" s="294"/>
    </row>
    <row r="387" spans="1:7" ht="15" x14ac:dyDescent="0.2">
      <c r="A387" s="42"/>
      <c r="B387" s="38"/>
      <c r="C387" s="38"/>
      <c r="D387" s="38"/>
      <c r="E387" s="38"/>
      <c r="F387" s="38"/>
      <c r="G387" s="39"/>
    </row>
    <row r="388" spans="1:7" ht="15.75" x14ac:dyDescent="0.25">
      <c r="A388" s="42"/>
      <c r="B388" s="38"/>
      <c r="C388" s="43"/>
      <c r="D388" s="43"/>
      <c r="E388" s="43" t="s">
        <v>13</v>
      </c>
      <c r="F388" s="43" t="s">
        <v>3</v>
      </c>
      <c r="G388" s="39"/>
    </row>
    <row r="389" spans="1:7" ht="15.75" x14ac:dyDescent="0.25">
      <c r="A389" s="42"/>
      <c r="B389" s="38"/>
      <c r="C389" s="44" t="s">
        <v>5</v>
      </c>
      <c r="D389" s="44"/>
      <c r="E389" s="44" t="s">
        <v>22</v>
      </c>
      <c r="F389" s="44" t="s">
        <v>6</v>
      </c>
      <c r="G389" s="39"/>
    </row>
    <row r="390" spans="1:7" ht="15.75" x14ac:dyDescent="0.25">
      <c r="A390" s="45" t="s">
        <v>96</v>
      </c>
      <c r="B390" s="36"/>
      <c r="C390" s="46"/>
      <c r="D390" s="46"/>
      <c r="E390" s="46"/>
      <c r="F390" s="46"/>
      <c r="G390" s="39"/>
    </row>
    <row r="391" spans="1:7" ht="15.75" x14ac:dyDescent="0.25">
      <c r="A391" s="42" t="s">
        <v>57</v>
      </c>
      <c r="B391" s="38"/>
      <c r="C391" s="47">
        <v>44693</v>
      </c>
      <c r="D391" s="47"/>
      <c r="E391" s="48">
        <v>1.71</v>
      </c>
      <c r="F391" s="131">
        <f>C391*E391</f>
        <v>76425.03</v>
      </c>
      <c r="G391" s="39"/>
    </row>
    <row r="392" spans="1:7" ht="17.25" x14ac:dyDescent="0.35">
      <c r="A392" s="49" t="s">
        <v>58</v>
      </c>
      <c r="B392" s="50"/>
      <c r="C392" s="51">
        <v>225967</v>
      </c>
      <c r="D392" s="51"/>
      <c r="E392" s="48">
        <v>2.23</v>
      </c>
      <c r="F392" s="132">
        <f>C392*E392</f>
        <v>503906.41</v>
      </c>
      <c r="G392" s="39"/>
    </row>
    <row r="393" spans="1:7" ht="17.25" x14ac:dyDescent="0.35">
      <c r="A393" s="42" t="s">
        <v>3</v>
      </c>
      <c r="B393" s="38"/>
      <c r="C393" s="47">
        <f>SUM(C391:C392)</f>
        <v>270660</v>
      </c>
      <c r="D393" s="51"/>
      <c r="E393" s="38"/>
      <c r="F393" s="131">
        <f>SUM(F391:F392)</f>
        <v>580331.43999999994</v>
      </c>
      <c r="G393" s="39"/>
    </row>
    <row r="394" spans="1:7" ht="15" x14ac:dyDescent="0.2">
      <c r="A394" s="42"/>
      <c r="B394" s="38"/>
      <c r="C394" s="38"/>
      <c r="D394" s="38"/>
      <c r="E394" s="38"/>
      <c r="F394" s="38"/>
      <c r="G394" s="39"/>
    </row>
    <row r="395" spans="1:7" ht="15.75" x14ac:dyDescent="0.25">
      <c r="A395" s="35" t="s">
        <v>23</v>
      </c>
      <c r="B395" s="38"/>
      <c r="C395" s="38"/>
      <c r="D395" s="38"/>
      <c r="E395" s="38"/>
      <c r="F395" s="131">
        <v>519430</v>
      </c>
      <c r="G395" s="39"/>
    </row>
    <row r="396" spans="1:7" ht="15" x14ac:dyDescent="0.2">
      <c r="A396" s="42"/>
      <c r="B396" s="38"/>
      <c r="C396" s="38"/>
      <c r="D396" s="38"/>
      <c r="E396" s="38"/>
      <c r="F396" s="131"/>
      <c r="G396" s="39"/>
    </row>
    <row r="397" spans="1:7" ht="15" x14ac:dyDescent="0.2">
      <c r="A397" s="42" t="s">
        <v>24</v>
      </c>
      <c r="B397" s="38"/>
      <c r="C397" s="38"/>
      <c r="D397" s="38"/>
      <c r="E397" s="38"/>
      <c r="F397" s="47">
        <f>F395-F393</f>
        <v>-60901.439999999944</v>
      </c>
      <c r="G397" s="39"/>
    </row>
    <row r="398" spans="1:7" ht="17.25" x14ac:dyDescent="0.35">
      <c r="A398" s="42"/>
      <c r="B398" s="38"/>
      <c r="C398" s="130"/>
      <c r="D398" s="38"/>
      <c r="E398" s="38"/>
      <c r="F398" s="133"/>
      <c r="G398" s="39"/>
    </row>
    <row r="399" spans="1:7" ht="15" x14ac:dyDescent="0.2">
      <c r="A399" s="42" t="s">
        <v>25</v>
      </c>
      <c r="B399" s="38"/>
      <c r="C399" s="38"/>
      <c r="D399" s="38"/>
      <c r="E399" s="38"/>
      <c r="F399" s="47">
        <f>+C393</f>
        <v>270660</v>
      </c>
      <c r="G399" s="39"/>
    </row>
    <row r="400" spans="1:7" ht="15" x14ac:dyDescent="0.2">
      <c r="A400" s="42"/>
      <c r="B400" s="38"/>
      <c r="C400" s="38"/>
      <c r="D400" s="38"/>
      <c r="E400" s="38"/>
      <c r="F400" s="38"/>
      <c r="G400" s="39"/>
    </row>
    <row r="401" spans="1:8" ht="15" x14ac:dyDescent="0.2">
      <c r="A401" s="42" t="s">
        <v>26</v>
      </c>
      <c r="B401" s="38"/>
      <c r="C401" s="38"/>
      <c r="D401" s="38"/>
      <c r="E401" s="38"/>
      <c r="F401" s="61"/>
      <c r="G401" s="52">
        <f>ROUND(F397/F399,2)</f>
        <v>-0.23</v>
      </c>
    </row>
    <row r="402" spans="1:8" ht="15" x14ac:dyDescent="0.2">
      <c r="A402" s="42"/>
      <c r="B402" s="38"/>
      <c r="C402" s="38"/>
      <c r="D402" s="38"/>
      <c r="E402" s="38"/>
      <c r="F402" s="38"/>
      <c r="G402" s="52"/>
    </row>
    <row r="403" spans="1:8" ht="15" x14ac:dyDescent="0.2">
      <c r="A403" s="42"/>
      <c r="B403" s="38"/>
      <c r="C403" s="38"/>
      <c r="D403" s="38"/>
      <c r="E403" s="38"/>
      <c r="F403" s="38"/>
      <c r="G403" s="52"/>
    </row>
    <row r="404" spans="1:8" ht="15" x14ac:dyDescent="0.2">
      <c r="A404" s="42"/>
      <c r="B404" s="38"/>
      <c r="C404" s="38"/>
      <c r="D404" s="38"/>
      <c r="E404" s="38"/>
      <c r="F404" s="38"/>
      <c r="G404" s="52"/>
      <c r="H404" s="63"/>
    </row>
    <row r="405" spans="1:8" ht="15.75" x14ac:dyDescent="0.25">
      <c r="A405" s="150" t="s">
        <v>121</v>
      </c>
      <c r="B405" s="36"/>
      <c r="C405" s="38"/>
      <c r="D405" s="38"/>
      <c r="E405" s="38"/>
      <c r="F405" s="162">
        <v>115861</v>
      </c>
      <c r="G405" s="52"/>
      <c r="H405" s="159"/>
    </row>
    <row r="406" spans="1:8" ht="17.25" x14ac:dyDescent="0.35">
      <c r="A406" s="42" t="s">
        <v>25</v>
      </c>
      <c r="B406" s="38"/>
      <c r="C406" s="38"/>
      <c r="D406" s="38"/>
      <c r="E406" s="38"/>
      <c r="F406" s="163">
        <f>135817</f>
        <v>135817</v>
      </c>
      <c r="G406" s="52"/>
      <c r="H406" s="160"/>
    </row>
    <row r="407" spans="1:8" ht="17.25" x14ac:dyDescent="0.35">
      <c r="A407" s="42" t="s">
        <v>103</v>
      </c>
      <c r="B407" s="38"/>
      <c r="C407" s="38"/>
      <c r="D407" s="38"/>
      <c r="E407" s="38"/>
      <c r="F407" s="38"/>
      <c r="G407" s="55">
        <f>ROUND(+F405/F406,2)</f>
        <v>0.85</v>
      </c>
      <c r="H407" s="161"/>
    </row>
    <row r="408" spans="1:8" ht="15" x14ac:dyDescent="0.2">
      <c r="A408" s="42"/>
      <c r="B408" s="38"/>
      <c r="C408" s="38"/>
      <c r="D408" s="38"/>
      <c r="E408" s="38"/>
      <c r="F408" s="38"/>
      <c r="G408" s="52"/>
    </row>
    <row r="409" spans="1:8" ht="15.75" x14ac:dyDescent="0.25">
      <c r="A409" s="35" t="s">
        <v>28</v>
      </c>
      <c r="B409" s="36"/>
      <c r="C409" s="38"/>
      <c r="D409" s="38"/>
      <c r="E409" s="38"/>
      <c r="F409" s="38"/>
      <c r="G409" s="166">
        <f>SUM(G401:G407)</f>
        <v>0.62</v>
      </c>
      <c r="H409" s="158"/>
    </row>
    <row r="410" spans="1:8" ht="15.75" x14ac:dyDescent="0.25">
      <c r="A410" s="35"/>
      <c r="B410" s="36"/>
      <c r="C410" s="38"/>
      <c r="D410" s="38"/>
      <c r="E410" s="38"/>
      <c r="F410" s="38"/>
      <c r="G410" s="149"/>
    </row>
    <row r="411" spans="1:8" ht="20.25" x14ac:dyDescent="0.55000000000000004">
      <c r="A411" s="49"/>
      <c r="B411" s="38"/>
      <c r="C411" s="38"/>
      <c r="D411" s="38"/>
      <c r="E411" s="139"/>
      <c r="F411" s="38"/>
      <c r="G411" s="151"/>
      <c r="H411" s="161"/>
    </row>
    <row r="412" spans="1:8" ht="20.25" x14ac:dyDescent="0.55000000000000004">
      <c r="A412" s="49"/>
      <c r="B412" s="38"/>
      <c r="C412" s="38"/>
      <c r="D412" s="38"/>
      <c r="E412" s="139"/>
      <c r="F412" s="38"/>
      <c r="G412" s="151"/>
      <c r="H412" s="119"/>
    </row>
    <row r="413" spans="1:8" ht="18" x14ac:dyDescent="0.4">
      <c r="A413" s="35" t="s">
        <v>113</v>
      </c>
      <c r="B413" s="38"/>
      <c r="C413" s="38"/>
      <c r="D413" s="38"/>
      <c r="E413" s="139"/>
      <c r="F413" s="38"/>
      <c r="G413" s="152">
        <f>+G409+G411</f>
        <v>0.62</v>
      </c>
      <c r="H413" s="158"/>
    </row>
    <row r="414" spans="1:8" ht="13.5" thickBot="1" x14ac:dyDescent="0.25">
      <c r="A414" s="19"/>
      <c r="B414" s="20"/>
      <c r="C414" s="20"/>
      <c r="D414" s="20"/>
      <c r="E414" s="20"/>
      <c r="F414" s="20"/>
      <c r="G414" s="21"/>
    </row>
    <row r="415" spans="1:8" ht="15" x14ac:dyDescent="0.2">
      <c r="A415" s="292" t="s">
        <v>29</v>
      </c>
      <c r="B415" s="293"/>
      <c r="C415" s="293"/>
      <c r="D415" s="293"/>
      <c r="E415" s="293"/>
      <c r="F415" s="293"/>
      <c r="G415" s="294"/>
    </row>
    <row r="416" spans="1:8" ht="15" x14ac:dyDescent="0.2">
      <c r="A416" s="49"/>
      <c r="B416" s="50"/>
      <c r="C416" s="50"/>
      <c r="D416" s="50"/>
      <c r="E416" s="50"/>
      <c r="F416" s="50"/>
      <c r="G416" s="64"/>
    </row>
    <row r="417" spans="1:7" ht="15.75" x14ac:dyDescent="0.25">
      <c r="A417" s="49"/>
      <c r="B417" s="50"/>
      <c r="C417" s="43"/>
      <c r="D417" s="43"/>
      <c r="E417" s="43" t="s">
        <v>13</v>
      </c>
      <c r="F417" s="43" t="s">
        <v>3</v>
      </c>
      <c r="G417" s="64"/>
    </row>
    <row r="418" spans="1:7" ht="15.75" x14ac:dyDescent="0.25">
      <c r="A418" s="49"/>
      <c r="B418" s="50"/>
      <c r="C418" s="65" t="s">
        <v>20</v>
      </c>
      <c r="D418" s="65"/>
      <c r="E418" s="65" t="s">
        <v>22</v>
      </c>
      <c r="F418" s="65" t="s">
        <v>6</v>
      </c>
      <c r="G418" s="64"/>
    </row>
    <row r="419" spans="1:7" ht="15.75" x14ac:dyDescent="0.25">
      <c r="A419" s="45" t="s">
        <v>96</v>
      </c>
      <c r="B419" s="36"/>
      <c r="C419" s="66"/>
      <c r="D419" s="66"/>
      <c r="E419" s="66"/>
      <c r="F419" s="66"/>
      <c r="G419" s="64"/>
    </row>
    <row r="420" spans="1:7" ht="15.75" x14ac:dyDescent="0.25">
      <c r="A420" s="42" t="s">
        <v>57</v>
      </c>
      <c r="B420" s="50"/>
      <c r="C420" s="67">
        <v>3419</v>
      </c>
      <c r="D420" s="67"/>
      <c r="E420" s="68">
        <v>0.24</v>
      </c>
      <c r="F420" s="54">
        <f>E420*C420</f>
        <v>820.56</v>
      </c>
      <c r="G420" s="64"/>
    </row>
    <row r="421" spans="1:7" ht="17.25" x14ac:dyDescent="0.35">
      <c r="A421" s="49" t="s">
        <v>58</v>
      </c>
      <c r="B421" s="50"/>
      <c r="C421" s="51">
        <v>17388</v>
      </c>
      <c r="D421" s="51"/>
      <c r="E421" s="68">
        <v>0.34</v>
      </c>
      <c r="F421" s="132">
        <f>E421*C421</f>
        <v>5911.92</v>
      </c>
      <c r="G421" s="64"/>
    </row>
    <row r="422" spans="1:7" ht="15" x14ac:dyDescent="0.2">
      <c r="A422" s="42" t="s">
        <v>3</v>
      </c>
      <c r="B422" s="50"/>
      <c r="C422" s="67">
        <f>SUM(C420:C421)</f>
        <v>20807</v>
      </c>
      <c r="D422" s="67"/>
      <c r="E422" s="50"/>
      <c r="F422" s="54">
        <f>SUM(F420:F421)</f>
        <v>6732.48</v>
      </c>
      <c r="G422" s="64"/>
    </row>
    <row r="423" spans="1:7" ht="15" x14ac:dyDescent="0.2">
      <c r="A423" s="42"/>
      <c r="B423" s="50"/>
      <c r="C423" s="50"/>
      <c r="D423" s="50"/>
      <c r="E423" s="50"/>
      <c r="F423" s="54"/>
      <c r="G423" s="64"/>
    </row>
    <row r="424" spans="1:7" ht="15.75" x14ac:dyDescent="0.25">
      <c r="A424" s="35" t="s">
        <v>23</v>
      </c>
      <c r="B424" s="50"/>
      <c r="C424" s="50"/>
      <c r="D424" s="50"/>
      <c r="E424" s="50"/>
      <c r="F424" s="54">
        <v>7108</v>
      </c>
      <c r="G424" s="64"/>
    </row>
    <row r="425" spans="1:7" ht="15" x14ac:dyDescent="0.2">
      <c r="A425" s="42"/>
      <c r="B425" s="50"/>
      <c r="C425" s="50"/>
      <c r="D425" s="50"/>
      <c r="E425" s="50"/>
      <c r="F425" s="54"/>
      <c r="G425" s="64"/>
    </row>
    <row r="426" spans="1:7" ht="15" x14ac:dyDescent="0.2">
      <c r="A426" s="42" t="s">
        <v>99</v>
      </c>
      <c r="B426" s="50"/>
      <c r="C426" s="50"/>
      <c r="D426" s="50"/>
      <c r="E426" s="50"/>
      <c r="F426" s="131">
        <f>F424-F422</f>
        <v>375.52000000000044</v>
      </c>
      <c r="G426" s="64"/>
    </row>
    <row r="427" spans="1:7" ht="17.25" x14ac:dyDescent="0.35">
      <c r="A427" s="42"/>
      <c r="B427" s="50"/>
      <c r="C427" s="135"/>
      <c r="D427" s="50"/>
      <c r="E427" s="50"/>
      <c r="F427" s="133"/>
      <c r="G427" s="64"/>
    </row>
    <row r="428" spans="1:7" ht="15" x14ac:dyDescent="0.2">
      <c r="A428" s="42" t="s">
        <v>25</v>
      </c>
      <c r="B428" s="50"/>
      <c r="C428" s="50"/>
      <c r="D428" s="50"/>
      <c r="E428" s="50"/>
      <c r="F428" s="67">
        <f>+C422</f>
        <v>20807</v>
      </c>
      <c r="G428" s="64"/>
    </row>
    <row r="429" spans="1:7" ht="15" x14ac:dyDescent="0.2">
      <c r="A429" s="42"/>
      <c r="B429" s="50"/>
      <c r="C429" s="50"/>
      <c r="D429" s="50"/>
      <c r="E429" s="50"/>
      <c r="F429" s="50"/>
      <c r="G429" s="64"/>
    </row>
    <row r="430" spans="1:7" ht="15" x14ac:dyDescent="0.2">
      <c r="A430" s="42" t="s">
        <v>26</v>
      </c>
      <c r="B430" s="50"/>
      <c r="C430" s="50"/>
      <c r="D430" s="50"/>
      <c r="E430" s="50"/>
      <c r="F430" s="50"/>
      <c r="G430" s="70">
        <f>ROUND(F426/F428,2)</f>
        <v>0.02</v>
      </c>
    </row>
    <row r="431" spans="1:7" ht="15" x14ac:dyDescent="0.2">
      <c r="A431" s="42"/>
      <c r="B431" s="50"/>
      <c r="C431" s="50"/>
      <c r="D431" s="50"/>
      <c r="E431" s="50"/>
      <c r="F431" s="50"/>
      <c r="G431" s="70"/>
    </row>
    <row r="432" spans="1:7" ht="15" x14ac:dyDescent="0.2">
      <c r="A432" s="42"/>
      <c r="B432" s="50"/>
      <c r="C432" s="50"/>
      <c r="D432" s="50"/>
      <c r="E432" s="50"/>
      <c r="F432" s="67"/>
      <c r="G432" s="64"/>
    </row>
    <row r="433" spans="1:8" ht="15.75" x14ac:dyDescent="0.25">
      <c r="A433" s="42"/>
      <c r="B433" s="36"/>
      <c r="C433" s="50"/>
      <c r="D433" s="50"/>
      <c r="E433" s="50"/>
      <c r="F433" s="67"/>
      <c r="G433" s="64"/>
    </row>
    <row r="434" spans="1:8" ht="15.75" x14ac:dyDescent="0.25">
      <c r="A434" s="150" t="s">
        <v>121</v>
      </c>
      <c r="B434" s="50"/>
      <c r="C434" s="50"/>
      <c r="D434" s="50"/>
      <c r="E434" s="50"/>
      <c r="F434" s="164">
        <v>1586</v>
      </c>
      <c r="G434" s="64"/>
      <c r="H434" s="157"/>
    </row>
    <row r="435" spans="1:8" ht="17.25" x14ac:dyDescent="0.35">
      <c r="A435" s="49" t="s">
        <v>25</v>
      </c>
      <c r="B435" s="36"/>
      <c r="C435" s="139"/>
      <c r="D435" s="38"/>
      <c r="E435" s="38"/>
      <c r="F435" s="165">
        <v>10624</v>
      </c>
      <c r="G435" s="64"/>
    </row>
    <row r="436" spans="1:8" ht="17.25" x14ac:dyDescent="0.35">
      <c r="A436" s="42" t="s">
        <v>103</v>
      </c>
      <c r="B436" s="38"/>
      <c r="C436" s="38"/>
      <c r="D436" s="38"/>
      <c r="E436" s="38"/>
      <c r="F436" s="38"/>
      <c r="G436" s="55">
        <f>ROUND(+F434/F435,2)</f>
        <v>0.15</v>
      </c>
    </row>
    <row r="437" spans="1:8" ht="15" x14ac:dyDescent="0.2">
      <c r="A437" s="42"/>
      <c r="B437" s="50"/>
      <c r="C437" s="50"/>
      <c r="D437" s="50"/>
      <c r="E437" s="50"/>
      <c r="F437" s="67"/>
      <c r="G437" s="64"/>
    </row>
    <row r="438" spans="1:8" ht="15.75" x14ac:dyDescent="0.25">
      <c r="A438" s="35" t="s">
        <v>117</v>
      </c>
      <c r="B438" s="36"/>
      <c r="C438" s="38"/>
      <c r="D438" s="38"/>
      <c r="E438" s="38"/>
      <c r="F438" s="38"/>
      <c r="G438" s="166">
        <f>SUM(G430:G436)</f>
        <v>0.16999999999999998</v>
      </c>
      <c r="H438" s="158"/>
    </row>
    <row r="439" spans="1:8" ht="17.25" x14ac:dyDescent="0.35">
      <c r="A439" s="42"/>
      <c r="B439" s="50"/>
      <c r="C439" s="50"/>
      <c r="D439" s="50"/>
      <c r="E439" s="50"/>
      <c r="F439" s="50"/>
      <c r="G439" s="55"/>
    </row>
    <row r="440" spans="1:8" ht="20.25" x14ac:dyDescent="0.55000000000000004">
      <c r="A440" s="49"/>
      <c r="B440" s="38"/>
      <c r="C440" s="38"/>
      <c r="D440" s="38"/>
      <c r="E440" s="139"/>
      <c r="F440" s="38"/>
      <c r="G440" s="151"/>
    </row>
    <row r="441" spans="1:8" ht="20.25" x14ac:dyDescent="0.55000000000000004">
      <c r="A441" s="49"/>
      <c r="B441" s="38"/>
      <c r="C441" s="38"/>
      <c r="D441" s="38"/>
      <c r="E441" s="139"/>
      <c r="F441" s="38"/>
      <c r="G441" s="151"/>
      <c r="H441" s="119"/>
    </row>
    <row r="442" spans="1:8" ht="18" x14ac:dyDescent="0.4">
      <c r="A442" s="35" t="s">
        <v>113</v>
      </c>
      <c r="B442" s="38"/>
      <c r="C442" s="38"/>
      <c r="D442" s="38"/>
      <c r="E442" s="139"/>
      <c r="F442" s="38"/>
      <c r="G442" s="152">
        <f>+G438+G440</f>
        <v>0.16999999999999998</v>
      </c>
      <c r="H442" s="158"/>
    </row>
    <row r="443" spans="1:8" ht="15.75" thickBot="1" x14ac:dyDescent="0.25">
      <c r="A443" s="72"/>
      <c r="B443" s="73"/>
      <c r="C443" s="73"/>
      <c r="D443" s="73"/>
      <c r="E443" s="73"/>
      <c r="F443" s="73"/>
      <c r="G443" s="74"/>
    </row>
    <row r="444" spans="1:8" ht="23.25" x14ac:dyDescent="0.35">
      <c r="A444" s="31" t="s">
        <v>56</v>
      </c>
      <c r="B444" s="32"/>
      <c r="C444" s="33"/>
      <c r="D444" s="33"/>
      <c r="E444" s="33"/>
      <c r="F444" s="33"/>
      <c r="G444" s="34"/>
    </row>
    <row r="445" spans="1:8" ht="15.75" x14ac:dyDescent="0.25">
      <c r="A445" s="35" t="s">
        <v>94</v>
      </c>
      <c r="B445" s="36"/>
      <c r="C445" s="37"/>
      <c r="D445" s="37"/>
      <c r="E445" s="38"/>
      <c r="F445" s="38"/>
      <c r="G445" s="39"/>
    </row>
    <row r="446" spans="1:8" ht="15.75" x14ac:dyDescent="0.25">
      <c r="A446" s="40"/>
      <c r="B446" s="41"/>
      <c r="C446" s="38"/>
      <c r="D446" s="38"/>
      <c r="E446" s="38"/>
      <c r="F446" s="38"/>
      <c r="G446" s="39"/>
    </row>
    <row r="447" spans="1:8" ht="15" x14ac:dyDescent="0.2">
      <c r="A447" s="292" t="s">
        <v>21</v>
      </c>
      <c r="B447" s="293"/>
      <c r="C447" s="293"/>
      <c r="D447" s="293"/>
      <c r="E447" s="293"/>
      <c r="F447" s="293"/>
      <c r="G447" s="294"/>
    </row>
    <row r="448" spans="1:8" ht="15" x14ac:dyDescent="0.2">
      <c r="A448" s="42"/>
      <c r="B448" s="38"/>
      <c r="C448" s="38"/>
      <c r="D448" s="38"/>
      <c r="E448" s="38"/>
      <c r="F448" s="38"/>
      <c r="G448" s="39"/>
    </row>
    <row r="449" spans="1:7" ht="15.75" x14ac:dyDescent="0.25">
      <c r="A449" s="42"/>
      <c r="B449" s="38"/>
      <c r="C449" s="43"/>
      <c r="D449" s="43"/>
      <c r="E449" s="43" t="s">
        <v>13</v>
      </c>
      <c r="F449" s="43" t="s">
        <v>3</v>
      </c>
      <c r="G449" s="39"/>
    </row>
    <row r="450" spans="1:7" ht="15.75" x14ac:dyDescent="0.25">
      <c r="A450" s="42"/>
      <c r="B450" s="38"/>
      <c r="C450" s="44" t="s">
        <v>5</v>
      </c>
      <c r="D450" s="44"/>
      <c r="E450" s="44" t="s">
        <v>22</v>
      </c>
      <c r="F450" s="44" t="s">
        <v>6</v>
      </c>
      <c r="G450" s="39"/>
    </row>
    <row r="451" spans="1:7" ht="15.75" x14ac:dyDescent="0.25">
      <c r="A451" s="45" t="s">
        <v>83</v>
      </c>
      <c r="B451" s="36"/>
      <c r="C451" s="46"/>
      <c r="D451" s="46"/>
      <c r="E451" s="46"/>
      <c r="F451" s="46"/>
      <c r="G451" s="39"/>
    </row>
    <row r="452" spans="1:7" ht="15.75" x14ac:dyDescent="0.25">
      <c r="A452" s="42" t="s">
        <v>57</v>
      </c>
      <c r="B452" s="38"/>
      <c r="C452" s="47">
        <v>43420</v>
      </c>
      <c r="D452" s="47"/>
      <c r="E452" s="48">
        <f>+E511</f>
        <v>1.99</v>
      </c>
      <c r="F452" s="131">
        <f>C452*E452</f>
        <v>86405.8</v>
      </c>
      <c r="G452" s="39"/>
    </row>
    <row r="453" spans="1:7" ht="17.25" x14ac:dyDescent="0.35">
      <c r="A453" s="49" t="s">
        <v>58</v>
      </c>
      <c r="B453" s="50"/>
      <c r="C453" s="51">
        <v>219122</v>
      </c>
      <c r="D453" s="51"/>
      <c r="E453" s="48">
        <f>+G526</f>
        <v>1.71</v>
      </c>
      <c r="F453" s="132">
        <f>C453*E453</f>
        <v>374698.62</v>
      </c>
      <c r="G453" s="39"/>
    </row>
    <row r="454" spans="1:7" ht="17.25" x14ac:dyDescent="0.35">
      <c r="A454" s="42" t="s">
        <v>3</v>
      </c>
      <c r="B454" s="38"/>
      <c r="C454" s="47">
        <f>SUM(C452:C453)</f>
        <v>262542</v>
      </c>
      <c r="D454" s="51"/>
      <c r="E454" s="38"/>
      <c r="F454" s="131">
        <f>SUM(F452:F453)</f>
        <v>461104.42</v>
      </c>
      <c r="G454" s="39"/>
    </row>
    <row r="455" spans="1:7" ht="15" x14ac:dyDescent="0.2">
      <c r="A455" s="42"/>
      <c r="B455" s="38"/>
      <c r="C455" s="38"/>
      <c r="D455" s="38"/>
      <c r="E455" s="38"/>
      <c r="F455" s="38"/>
      <c r="G455" s="39"/>
    </row>
    <row r="456" spans="1:7" ht="15.75" x14ac:dyDescent="0.25">
      <c r="A456" s="35" t="s">
        <v>23</v>
      </c>
      <c r="B456" s="38"/>
      <c r="C456" s="38"/>
      <c r="D456" s="38"/>
      <c r="E456" s="38"/>
      <c r="F456" s="131">
        <v>585067</v>
      </c>
      <c r="G456" s="39"/>
    </row>
    <row r="457" spans="1:7" ht="15" x14ac:dyDescent="0.2">
      <c r="A457" s="42"/>
      <c r="B457" s="38"/>
      <c r="C457" s="38"/>
      <c r="D457" s="38"/>
      <c r="E457" s="38"/>
      <c r="F457" s="131"/>
      <c r="G457" s="39"/>
    </row>
    <row r="458" spans="1:7" ht="15" x14ac:dyDescent="0.2">
      <c r="A458" s="42" t="s">
        <v>99</v>
      </c>
      <c r="B458" s="38"/>
      <c r="C458" s="38"/>
      <c r="D458" s="38"/>
      <c r="E458" s="38"/>
      <c r="F458" s="131">
        <f>F456-F454</f>
        <v>123962.58000000002</v>
      </c>
      <c r="G458" s="39"/>
    </row>
    <row r="459" spans="1:7" ht="17.25" x14ac:dyDescent="0.35">
      <c r="A459" s="42" t="s">
        <v>100</v>
      </c>
      <c r="B459" s="38"/>
      <c r="C459" s="130">
        <f>-1.78+1.44</f>
        <v>-0.34000000000000008</v>
      </c>
      <c r="D459" s="38"/>
      <c r="E459" s="38"/>
      <c r="F459" s="133">
        <f>C459*C452</f>
        <v>-14762.800000000003</v>
      </c>
      <c r="G459" s="39"/>
    </row>
    <row r="460" spans="1:7" ht="15" x14ac:dyDescent="0.2">
      <c r="A460" s="134" t="s">
        <v>98</v>
      </c>
      <c r="B460" s="38"/>
      <c r="C460" s="38"/>
      <c r="D460" s="38"/>
      <c r="E460" s="38"/>
      <c r="F460" s="131">
        <f>SUM(F458:F459)</f>
        <v>109199.78000000001</v>
      </c>
      <c r="G460" s="39"/>
    </row>
    <row r="461" spans="1:7" ht="15" x14ac:dyDescent="0.2">
      <c r="A461" s="42"/>
      <c r="B461" s="38"/>
      <c r="C461" s="38"/>
      <c r="D461" s="38"/>
      <c r="E461" s="38"/>
      <c r="F461" s="38"/>
      <c r="G461" s="39"/>
    </row>
    <row r="462" spans="1:7" ht="15" x14ac:dyDescent="0.2">
      <c r="A462" s="42" t="s">
        <v>25</v>
      </c>
      <c r="B462" s="38"/>
      <c r="C462" s="38"/>
      <c r="D462" s="38"/>
      <c r="E462" s="38"/>
      <c r="F462" s="47">
        <f>+C454</f>
        <v>262542</v>
      </c>
      <c r="G462" s="39"/>
    </row>
    <row r="463" spans="1:7" ht="15" x14ac:dyDescent="0.2">
      <c r="A463" s="42"/>
      <c r="B463" s="38"/>
      <c r="C463" s="38"/>
      <c r="D463" s="38"/>
      <c r="E463" s="38"/>
      <c r="F463" s="38"/>
      <c r="G463" s="39"/>
    </row>
    <row r="464" spans="1:7" ht="15" x14ac:dyDescent="0.2">
      <c r="A464" s="42" t="s">
        <v>26</v>
      </c>
      <c r="B464" s="38"/>
      <c r="C464" s="38"/>
      <c r="D464" s="38"/>
      <c r="E464" s="38"/>
      <c r="F464" s="61"/>
      <c r="G464" s="52">
        <f>ROUND(F460/F462,2)</f>
        <v>0.42</v>
      </c>
    </row>
    <row r="465" spans="1:7" ht="15" x14ac:dyDescent="0.2">
      <c r="A465" s="42"/>
      <c r="B465" s="38"/>
      <c r="C465" s="38"/>
      <c r="D465" s="38"/>
      <c r="E465" s="38"/>
      <c r="F465" s="38"/>
      <c r="G465" s="52"/>
    </row>
    <row r="466" spans="1:7" ht="15" x14ac:dyDescent="0.2">
      <c r="A466" s="42"/>
      <c r="B466" s="38"/>
      <c r="C466" s="38"/>
      <c r="D466" s="38"/>
      <c r="E466" s="38"/>
      <c r="F466" s="38"/>
      <c r="G466" s="52"/>
    </row>
    <row r="467" spans="1:7" ht="15" x14ac:dyDescent="0.2">
      <c r="A467" s="42"/>
      <c r="B467" s="38"/>
      <c r="C467" s="38"/>
      <c r="D467" s="38"/>
      <c r="E467" s="38"/>
      <c r="F467" s="38"/>
      <c r="G467" s="52"/>
    </row>
    <row r="468" spans="1:7" ht="15.75" x14ac:dyDescent="0.25">
      <c r="A468" s="45" t="s">
        <v>96</v>
      </c>
      <c r="B468" s="36"/>
      <c r="C468" s="38"/>
      <c r="D468" s="38"/>
      <c r="E468" s="38"/>
      <c r="F468" s="53">
        <f>+F456</f>
        <v>585067</v>
      </c>
      <c r="G468" s="52"/>
    </row>
    <row r="469" spans="1:7" ht="15" x14ac:dyDescent="0.2">
      <c r="A469" s="42" t="s">
        <v>25</v>
      </c>
      <c r="B469" s="38"/>
      <c r="C469" s="38"/>
      <c r="D469" s="38"/>
      <c r="E469" s="38"/>
      <c r="F469" s="47">
        <f>+C454</f>
        <v>262542</v>
      </c>
      <c r="G469" s="52"/>
    </row>
    <row r="470" spans="1:7" ht="17.25" x14ac:dyDescent="0.35">
      <c r="A470" s="42" t="s">
        <v>27</v>
      </c>
      <c r="B470" s="38"/>
      <c r="C470" s="38"/>
      <c r="D470" s="38"/>
      <c r="E470" s="38"/>
      <c r="F470" s="38"/>
      <c r="G470" s="55">
        <f>ROUND(+F468/F469,2)</f>
        <v>2.23</v>
      </c>
    </row>
    <row r="471" spans="1:7" ht="15" x14ac:dyDescent="0.2">
      <c r="A471" s="42"/>
      <c r="B471" s="38"/>
      <c r="C471" s="38"/>
      <c r="D471" s="38"/>
      <c r="E471" s="38"/>
      <c r="F471" s="38"/>
      <c r="G471" s="52"/>
    </row>
    <row r="472" spans="1:7" ht="15" x14ac:dyDescent="0.2">
      <c r="A472" s="42"/>
      <c r="B472" s="38"/>
      <c r="C472" s="38"/>
      <c r="D472" s="38"/>
      <c r="E472" s="38"/>
      <c r="F472" s="38"/>
      <c r="G472" s="52"/>
    </row>
    <row r="473" spans="1:7" ht="16.5" thickBot="1" x14ac:dyDescent="0.3">
      <c r="A473" s="35" t="s">
        <v>28</v>
      </c>
      <c r="B473" s="36"/>
      <c r="C473" s="38"/>
      <c r="D473" s="38"/>
      <c r="E473" s="38"/>
      <c r="F473" s="38"/>
      <c r="G473" s="58">
        <f>SUM(G464:G470)</f>
        <v>2.65</v>
      </c>
    </row>
    <row r="474" spans="1:7" ht="14.25" thickTop="1" thickBot="1" x14ac:dyDescent="0.25">
      <c r="A474" s="19"/>
      <c r="B474" s="20"/>
      <c r="C474" s="20"/>
      <c r="D474" s="20"/>
      <c r="E474" s="20"/>
      <c r="F474" s="20"/>
      <c r="G474" s="21"/>
    </row>
    <row r="475" spans="1:7" ht="15" x14ac:dyDescent="0.2">
      <c r="A475" s="292" t="s">
        <v>29</v>
      </c>
      <c r="B475" s="293"/>
      <c r="C475" s="293"/>
      <c r="D475" s="293"/>
      <c r="E475" s="293"/>
      <c r="F475" s="293"/>
      <c r="G475" s="294"/>
    </row>
    <row r="476" spans="1:7" ht="15" x14ac:dyDescent="0.2">
      <c r="A476" s="49"/>
      <c r="B476" s="50"/>
      <c r="C476" s="50"/>
      <c r="D476" s="50"/>
      <c r="E476" s="50"/>
      <c r="F476" s="50"/>
      <c r="G476" s="64"/>
    </row>
    <row r="477" spans="1:7" ht="15.75" x14ac:dyDescent="0.25">
      <c r="A477" s="49"/>
      <c r="B477" s="50"/>
      <c r="C477" s="43"/>
      <c r="D477" s="43"/>
      <c r="E477" s="43" t="s">
        <v>13</v>
      </c>
      <c r="F477" s="43" t="s">
        <v>3</v>
      </c>
      <c r="G477" s="64"/>
    </row>
    <row r="478" spans="1:7" ht="15.75" x14ac:dyDescent="0.25">
      <c r="A478" s="49"/>
      <c r="B478" s="50"/>
      <c r="C478" s="65" t="s">
        <v>20</v>
      </c>
      <c r="D478" s="65"/>
      <c r="E478" s="65" t="s">
        <v>22</v>
      </c>
      <c r="F478" s="65" t="s">
        <v>6</v>
      </c>
      <c r="G478" s="64"/>
    </row>
    <row r="479" spans="1:7" ht="15.75" x14ac:dyDescent="0.25">
      <c r="A479" s="45" t="s">
        <v>83</v>
      </c>
      <c r="B479" s="36"/>
      <c r="C479" s="66"/>
      <c r="D479" s="66"/>
      <c r="E479" s="66"/>
      <c r="F479" s="66"/>
      <c r="G479" s="64"/>
    </row>
    <row r="480" spans="1:7" ht="15.75" x14ac:dyDescent="0.25">
      <c r="A480" s="42" t="s">
        <v>57</v>
      </c>
      <c r="B480" s="50"/>
      <c r="C480" s="67">
        <v>3165.2666666666669</v>
      </c>
      <c r="D480" s="67"/>
      <c r="E480" s="68">
        <f>+E537</f>
        <v>0.26</v>
      </c>
      <c r="F480" s="54">
        <f>E480*C480</f>
        <v>822.96933333333345</v>
      </c>
      <c r="G480" s="64"/>
    </row>
    <row r="481" spans="1:7" ht="17.25" x14ac:dyDescent="0.35">
      <c r="A481" s="49" t="s">
        <v>58</v>
      </c>
      <c r="B481" s="50"/>
      <c r="C481" s="51">
        <v>15187.712732919255</v>
      </c>
      <c r="D481" s="51"/>
      <c r="E481" s="68">
        <f>+G552</f>
        <v>0.24</v>
      </c>
      <c r="F481" s="132">
        <f>E481*C481</f>
        <v>3645.0510559006211</v>
      </c>
      <c r="G481" s="64"/>
    </row>
    <row r="482" spans="1:7" ht="15" x14ac:dyDescent="0.2">
      <c r="A482" s="42" t="s">
        <v>3</v>
      </c>
      <c r="B482" s="50"/>
      <c r="C482" s="67">
        <f>SUM(C480:C481)</f>
        <v>18352.979399585922</v>
      </c>
      <c r="D482" s="67"/>
      <c r="E482" s="50"/>
      <c r="F482" s="54">
        <f>SUM(F480:F481)</f>
        <v>4468.0203892339541</v>
      </c>
      <c r="G482" s="64"/>
    </row>
    <row r="483" spans="1:7" ht="15" x14ac:dyDescent="0.2">
      <c r="A483" s="42"/>
      <c r="B483" s="50"/>
      <c r="C483" s="50"/>
      <c r="D483" s="50"/>
      <c r="E483" s="50"/>
      <c r="F483" s="54"/>
      <c r="G483" s="64"/>
    </row>
    <row r="484" spans="1:7" ht="15.75" x14ac:dyDescent="0.25">
      <c r="A484" s="35" t="s">
        <v>23</v>
      </c>
      <c r="B484" s="50"/>
      <c r="C484" s="50"/>
      <c r="D484" s="50"/>
      <c r="E484" s="50"/>
      <c r="F484" s="54">
        <v>6208.3877211296831</v>
      </c>
      <c r="G484" s="64"/>
    </row>
    <row r="485" spans="1:7" ht="15" x14ac:dyDescent="0.2">
      <c r="A485" s="42"/>
      <c r="B485" s="50"/>
      <c r="C485" s="50"/>
      <c r="D485" s="50"/>
      <c r="E485" s="50"/>
      <c r="F485" s="54"/>
      <c r="G485" s="64"/>
    </row>
    <row r="486" spans="1:7" ht="15" x14ac:dyDescent="0.2">
      <c r="A486" s="42" t="s">
        <v>99</v>
      </c>
      <c r="B486" s="50"/>
      <c r="C486" s="50"/>
      <c r="D486" s="50"/>
      <c r="E486" s="50"/>
      <c r="F486" s="131">
        <f>F484-F482</f>
        <v>1740.367331895729</v>
      </c>
      <c r="G486" s="64"/>
    </row>
    <row r="487" spans="1:7" ht="17.25" x14ac:dyDescent="0.35">
      <c r="A487" s="42" t="s">
        <v>101</v>
      </c>
      <c r="B487" s="50"/>
      <c r="C487" s="135">
        <f>-0.28+0.23</f>
        <v>-5.0000000000000017E-2</v>
      </c>
      <c r="D487" s="50"/>
      <c r="E487" s="50"/>
      <c r="F487" s="133">
        <f>C487*C480</f>
        <v>-158.26333333333341</v>
      </c>
      <c r="G487" s="64"/>
    </row>
    <row r="488" spans="1:7" ht="15" x14ac:dyDescent="0.2">
      <c r="A488" s="134" t="s">
        <v>98</v>
      </c>
      <c r="B488" s="50"/>
      <c r="C488" s="50"/>
      <c r="D488" s="50"/>
      <c r="E488" s="50"/>
      <c r="F488" s="131">
        <f>SUM(F486:F487)</f>
        <v>1582.1039985623956</v>
      </c>
      <c r="G488" s="64"/>
    </row>
    <row r="489" spans="1:7" ht="15" x14ac:dyDescent="0.2">
      <c r="A489" s="42"/>
      <c r="B489" s="50"/>
      <c r="C489" s="50"/>
      <c r="D489" s="50"/>
      <c r="E489" s="50"/>
      <c r="F489" s="50"/>
      <c r="G489" s="64"/>
    </row>
    <row r="490" spans="1:7" ht="15" x14ac:dyDescent="0.2">
      <c r="A490" s="42" t="s">
        <v>25</v>
      </c>
      <c r="B490" s="50"/>
      <c r="C490" s="50"/>
      <c r="D490" s="50"/>
      <c r="E490" s="50"/>
      <c r="F490" s="67">
        <f>+C482</f>
        <v>18352.979399585922</v>
      </c>
      <c r="G490" s="64"/>
    </row>
    <row r="491" spans="1:7" ht="15" x14ac:dyDescent="0.2">
      <c r="A491" s="42"/>
      <c r="B491" s="50"/>
      <c r="C491" s="50"/>
      <c r="D491" s="50"/>
      <c r="E491" s="50"/>
      <c r="F491" s="50"/>
      <c r="G491" s="64"/>
    </row>
    <row r="492" spans="1:7" ht="15" x14ac:dyDescent="0.2">
      <c r="A492" s="42" t="s">
        <v>26</v>
      </c>
      <c r="B492" s="50"/>
      <c r="C492" s="50"/>
      <c r="D492" s="50"/>
      <c r="E492" s="50"/>
      <c r="F492" s="50"/>
      <c r="G492" s="70">
        <f>ROUND(F488/F490,2)</f>
        <v>0.09</v>
      </c>
    </row>
    <row r="493" spans="1:7" ht="15" x14ac:dyDescent="0.2">
      <c r="A493" s="42"/>
      <c r="B493" s="50"/>
      <c r="C493" s="50"/>
      <c r="D493" s="50"/>
      <c r="E493" s="50"/>
      <c r="F493" s="50"/>
      <c r="G493" s="70"/>
    </row>
    <row r="494" spans="1:7" ht="15" x14ac:dyDescent="0.2">
      <c r="A494" s="42"/>
      <c r="B494" s="50"/>
      <c r="C494" s="50"/>
      <c r="D494" s="50"/>
      <c r="E494" s="50"/>
      <c r="F494" s="67"/>
      <c r="G494" s="64"/>
    </row>
    <row r="495" spans="1:7" ht="15.75" x14ac:dyDescent="0.25">
      <c r="A495" s="42"/>
      <c r="B495" s="36"/>
      <c r="C495" s="50"/>
      <c r="D495" s="50"/>
      <c r="E495" s="50"/>
      <c r="F495" s="67"/>
      <c r="G495" s="64"/>
    </row>
    <row r="496" spans="1:7" ht="15.75" x14ac:dyDescent="0.25">
      <c r="A496" s="45" t="s">
        <v>96</v>
      </c>
      <c r="B496" s="50"/>
      <c r="C496" s="50"/>
      <c r="D496" s="50"/>
      <c r="E496" s="50"/>
      <c r="F496" s="54">
        <f>+F484</f>
        <v>6208.3877211296831</v>
      </c>
      <c r="G496" s="64"/>
    </row>
    <row r="497" spans="1:7" ht="15" x14ac:dyDescent="0.2">
      <c r="A497" s="42" t="s">
        <v>25</v>
      </c>
      <c r="B497" s="50"/>
      <c r="C497" s="50"/>
      <c r="D497" s="50"/>
      <c r="E497" s="50"/>
      <c r="F497" s="67">
        <f>+C482</f>
        <v>18352.979399585922</v>
      </c>
      <c r="G497" s="64"/>
    </row>
    <row r="498" spans="1:7" ht="17.25" x14ac:dyDescent="0.35">
      <c r="A498" s="42" t="s">
        <v>27</v>
      </c>
      <c r="B498" s="50"/>
      <c r="C498" s="50"/>
      <c r="D498" s="50"/>
      <c r="E498" s="50"/>
      <c r="F498" s="50"/>
      <c r="G498" s="57">
        <f>ROUND(+F496/F497,2)</f>
        <v>0.34</v>
      </c>
    </row>
    <row r="499" spans="1:7" ht="17.25" x14ac:dyDescent="0.35">
      <c r="A499" s="42"/>
      <c r="B499" s="50"/>
      <c r="C499" s="50"/>
      <c r="D499" s="50"/>
      <c r="E499" s="50"/>
      <c r="F499" s="50"/>
      <c r="G499" s="57"/>
    </row>
    <row r="500" spans="1:7" ht="16.5" thickBot="1" x14ac:dyDescent="0.3">
      <c r="A500" s="35" t="s">
        <v>30</v>
      </c>
      <c r="B500" s="36"/>
      <c r="C500" s="50"/>
      <c r="D500" s="50"/>
      <c r="E500" s="50"/>
      <c r="F500" s="50"/>
      <c r="G500" s="71">
        <f>+G498+G492+G493</f>
        <v>0.43000000000000005</v>
      </c>
    </row>
    <row r="501" spans="1:7" ht="16.5" thickTop="1" thickBot="1" x14ac:dyDescent="0.25">
      <c r="A501" s="72"/>
      <c r="B501" s="73"/>
      <c r="C501" s="73"/>
      <c r="D501" s="73"/>
      <c r="E501" s="73"/>
      <c r="F501" s="73"/>
      <c r="G501" s="74"/>
    </row>
    <row r="502" spans="1:7" ht="23.25" x14ac:dyDescent="0.35">
      <c r="A502" s="31" t="s">
        <v>56</v>
      </c>
      <c r="B502" s="32"/>
      <c r="C502" s="33"/>
      <c r="D502" s="33"/>
      <c r="E502" s="33"/>
      <c r="F502" s="33"/>
      <c r="G502" s="34"/>
    </row>
    <row r="503" spans="1:7" ht="15.75" x14ac:dyDescent="0.25">
      <c r="A503" s="35" t="s">
        <v>82</v>
      </c>
      <c r="B503" s="36"/>
      <c r="C503" s="37"/>
      <c r="D503" s="37"/>
      <c r="E503" s="38"/>
      <c r="F503" s="38"/>
      <c r="G503" s="39"/>
    </row>
    <row r="504" spans="1:7" ht="15.75" x14ac:dyDescent="0.25">
      <c r="A504" s="40"/>
      <c r="B504" s="41"/>
      <c r="C504" s="38"/>
      <c r="D504" s="38"/>
      <c r="E504" s="38"/>
      <c r="F504" s="38"/>
      <c r="G504" s="39"/>
    </row>
    <row r="505" spans="1:7" ht="15" x14ac:dyDescent="0.2">
      <c r="A505" s="292" t="s">
        <v>21</v>
      </c>
      <c r="B505" s="293"/>
      <c r="C505" s="293"/>
      <c r="D505" s="293"/>
      <c r="E505" s="293"/>
      <c r="F505" s="293"/>
      <c r="G505" s="294"/>
    </row>
    <row r="506" spans="1:7" ht="15" x14ac:dyDescent="0.2">
      <c r="A506" s="42"/>
      <c r="B506" s="38"/>
      <c r="C506" s="38"/>
      <c r="D506" s="38"/>
      <c r="E506" s="38"/>
      <c r="F506" s="38"/>
      <c r="G506" s="39"/>
    </row>
    <row r="507" spans="1:7" ht="15.75" x14ac:dyDescent="0.25">
      <c r="A507" s="42"/>
      <c r="B507" s="38"/>
      <c r="C507" s="43"/>
      <c r="D507" s="43"/>
      <c r="E507" s="43" t="s">
        <v>13</v>
      </c>
      <c r="F507" s="43" t="s">
        <v>3</v>
      </c>
      <c r="G507" s="39"/>
    </row>
    <row r="508" spans="1:7" ht="15.75" x14ac:dyDescent="0.25">
      <c r="A508" s="42"/>
      <c r="B508" s="38"/>
      <c r="C508" s="44" t="s">
        <v>5</v>
      </c>
      <c r="D508" s="44"/>
      <c r="E508" s="44" t="s">
        <v>22</v>
      </c>
      <c r="F508" s="44" t="s">
        <v>6</v>
      </c>
      <c r="G508" s="39"/>
    </row>
    <row r="509" spans="1:7" ht="15.75" x14ac:dyDescent="0.25">
      <c r="A509" s="45" t="s">
        <v>76</v>
      </c>
      <c r="B509" s="36"/>
      <c r="C509" s="46"/>
      <c r="D509" s="46"/>
      <c r="E509" s="46"/>
      <c r="F509" s="46"/>
      <c r="G509" s="39"/>
    </row>
    <row r="510" spans="1:7" ht="15.75" x14ac:dyDescent="0.25">
      <c r="A510" s="42" t="s">
        <v>57</v>
      </c>
      <c r="B510" s="38"/>
      <c r="C510" s="47">
        <v>42479</v>
      </c>
      <c r="D510" s="47"/>
      <c r="E510" s="48">
        <f>+E565</f>
        <v>1.96</v>
      </c>
      <c r="F510" s="47">
        <f>C510*E510</f>
        <v>83258.84</v>
      </c>
      <c r="G510" s="39"/>
    </row>
    <row r="511" spans="1:7" ht="17.25" x14ac:dyDescent="0.35">
      <c r="A511" s="49" t="s">
        <v>58</v>
      </c>
      <c r="B511" s="50"/>
      <c r="C511" s="51">
        <v>213820</v>
      </c>
      <c r="D511" s="51"/>
      <c r="E511" s="48">
        <f>+G580</f>
        <v>1.99</v>
      </c>
      <c r="F511" s="51">
        <f>C511*E511</f>
        <v>425501.8</v>
      </c>
      <c r="G511" s="39"/>
    </row>
    <row r="512" spans="1:7" ht="17.25" x14ac:dyDescent="0.35">
      <c r="A512" s="42" t="s">
        <v>3</v>
      </c>
      <c r="B512" s="38"/>
      <c r="C512" s="47">
        <f>SUM(C510:C511)</f>
        <v>256299</v>
      </c>
      <c r="D512" s="51"/>
      <c r="E512" s="38"/>
      <c r="F512" s="47">
        <f>SUM(F510:F511)</f>
        <v>508760.64</v>
      </c>
      <c r="G512" s="39"/>
    </row>
    <row r="513" spans="1:7" ht="15" x14ac:dyDescent="0.2">
      <c r="A513" s="42"/>
      <c r="B513" s="38"/>
      <c r="C513" s="38"/>
      <c r="D513" s="38"/>
      <c r="E513" s="38"/>
      <c r="F513" s="38"/>
      <c r="G513" s="39"/>
    </row>
    <row r="514" spans="1:7" ht="15.75" x14ac:dyDescent="0.25">
      <c r="A514" s="35" t="s">
        <v>23</v>
      </c>
      <c r="B514" s="38"/>
      <c r="C514" s="38"/>
      <c r="D514" s="38"/>
      <c r="E514" s="38"/>
      <c r="F514" s="47">
        <v>438426</v>
      </c>
      <c r="G514" s="39"/>
    </row>
    <row r="515" spans="1:7" ht="15" x14ac:dyDescent="0.2">
      <c r="A515" s="42"/>
      <c r="B515" s="38"/>
      <c r="C515" s="38"/>
      <c r="D515" s="38"/>
      <c r="E515" s="38"/>
      <c r="F515" s="38"/>
      <c r="G515" s="39"/>
    </row>
    <row r="516" spans="1:7" ht="15" x14ac:dyDescent="0.2">
      <c r="A516" s="42" t="s">
        <v>24</v>
      </c>
      <c r="B516" s="38"/>
      <c r="C516" s="38"/>
      <c r="D516" s="38"/>
      <c r="E516" s="38"/>
      <c r="F516" s="47">
        <f>F514-F512</f>
        <v>-70334.640000000014</v>
      </c>
      <c r="G516" s="39"/>
    </row>
    <row r="517" spans="1:7" ht="15" x14ac:dyDescent="0.2">
      <c r="A517" s="42"/>
      <c r="B517" s="38"/>
      <c r="C517" s="38"/>
      <c r="D517" s="38"/>
      <c r="E517" s="38"/>
      <c r="F517" s="38"/>
      <c r="G517" s="39"/>
    </row>
    <row r="518" spans="1:7" ht="15" x14ac:dyDescent="0.2">
      <c r="A518" s="42" t="s">
        <v>25</v>
      </c>
      <c r="B518" s="38"/>
      <c r="C518" s="38"/>
      <c r="D518" s="38"/>
      <c r="E518" s="38"/>
      <c r="F518" s="47">
        <f>+C512</f>
        <v>256299</v>
      </c>
      <c r="G518" s="39"/>
    </row>
    <row r="519" spans="1:7" ht="15" x14ac:dyDescent="0.2">
      <c r="A519" s="42"/>
      <c r="B519" s="38"/>
      <c r="C519" s="38"/>
      <c r="D519" s="38"/>
      <c r="E519" s="38"/>
      <c r="F519" s="38"/>
      <c r="G519" s="39"/>
    </row>
    <row r="520" spans="1:7" ht="15" x14ac:dyDescent="0.2">
      <c r="A520" s="42" t="s">
        <v>26</v>
      </c>
      <c r="B520" s="38"/>
      <c r="C520" s="38"/>
      <c r="D520" s="38"/>
      <c r="E520" s="38"/>
      <c r="F520" s="61"/>
      <c r="G520" s="52">
        <f>ROUND(F516/F518,2)</f>
        <v>-0.27</v>
      </c>
    </row>
    <row r="521" spans="1:7" ht="15" x14ac:dyDescent="0.2">
      <c r="A521" s="42"/>
      <c r="B521" s="38"/>
      <c r="C521" s="38"/>
      <c r="D521" s="38"/>
      <c r="E521" s="38"/>
      <c r="F521" s="38"/>
      <c r="G521" s="52"/>
    </row>
    <row r="522" spans="1:7" ht="15" x14ac:dyDescent="0.2">
      <c r="A522" s="42"/>
      <c r="B522" s="38"/>
      <c r="C522" s="38"/>
      <c r="D522" s="38"/>
      <c r="E522" s="38"/>
      <c r="F522" s="38"/>
      <c r="G522" s="52"/>
    </row>
    <row r="523" spans="1:7" ht="15" x14ac:dyDescent="0.2">
      <c r="A523" s="42"/>
      <c r="B523" s="38"/>
      <c r="C523" s="38"/>
      <c r="D523" s="38"/>
      <c r="E523" s="38"/>
      <c r="F523" s="38"/>
      <c r="G523" s="52"/>
    </row>
    <row r="524" spans="1:7" ht="15.75" x14ac:dyDescent="0.25">
      <c r="A524" s="45" t="s">
        <v>83</v>
      </c>
      <c r="B524" s="36"/>
      <c r="C524" s="38"/>
      <c r="D524" s="38"/>
      <c r="E524" s="38"/>
      <c r="F524" s="53">
        <f>+F514</f>
        <v>438426</v>
      </c>
      <c r="G524" s="52"/>
    </row>
    <row r="525" spans="1:7" ht="15" x14ac:dyDescent="0.2">
      <c r="A525" s="42" t="s">
        <v>25</v>
      </c>
      <c r="B525" s="38"/>
      <c r="C525" s="38"/>
      <c r="D525" s="38"/>
      <c r="E525" s="38"/>
      <c r="F525" s="47">
        <f>+C512</f>
        <v>256299</v>
      </c>
      <c r="G525" s="52"/>
    </row>
    <row r="526" spans="1:7" ht="17.25" x14ac:dyDescent="0.35">
      <c r="A526" s="42" t="s">
        <v>27</v>
      </c>
      <c r="B526" s="38"/>
      <c r="C526" s="38"/>
      <c r="D526" s="38"/>
      <c r="E526" s="38"/>
      <c r="F526" s="38"/>
      <c r="G526" s="55">
        <f>ROUND(+F524/F525,2)</f>
        <v>1.71</v>
      </c>
    </row>
    <row r="527" spans="1:7" ht="15" x14ac:dyDescent="0.2">
      <c r="A527" s="42"/>
      <c r="B527" s="38"/>
      <c r="C527" s="38"/>
      <c r="D527" s="38"/>
      <c r="E527" s="38"/>
      <c r="F527" s="38"/>
      <c r="G527" s="52"/>
    </row>
    <row r="528" spans="1:7" ht="15" x14ac:dyDescent="0.2">
      <c r="A528" s="42"/>
      <c r="B528" s="38"/>
      <c r="C528" s="38"/>
      <c r="D528" s="38"/>
      <c r="E528" s="38"/>
      <c r="F528" s="38"/>
      <c r="G528" s="52"/>
    </row>
    <row r="529" spans="1:8" ht="16.5" thickBot="1" x14ac:dyDescent="0.3">
      <c r="A529" s="35" t="s">
        <v>28</v>
      </c>
      <c r="B529" s="36"/>
      <c r="C529" s="38"/>
      <c r="D529" s="38"/>
      <c r="E529" s="38"/>
      <c r="F529" s="38"/>
      <c r="G529" s="58">
        <f>SUM(G520:G526)</f>
        <v>1.44</v>
      </c>
      <c r="H529" s="18"/>
    </row>
    <row r="530" spans="1:8" ht="14.25" thickTop="1" thickBot="1" x14ac:dyDescent="0.25">
      <c r="A530" s="19"/>
      <c r="B530" s="20"/>
      <c r="C530" s="20"/>
      <c r="D530" s="20"/>
      <c r="E530" s="20"/>
      <c r="F530" s="20"/>
      <c r="G530" s="21"/>
    </row>
    <row r="531" spans="1:8" ht="15" x14ac:dyDescent="0.2">
      <c r="A531" s="292" t="s">
        <v>29</v>
      </c>
      <c r="B531" s="293"/>
      <c r="C531" s="293"/>
      <c r="D531" s="293"/>
      <c r="E531" s="293"/>
      <c r="F531" s="293"/>
      <c r="G531" s="294"/>
    </row>
    <row r="532" spans="1:8" ht="15" x14ac:dyDescent="0.2">
      <c r="A532" s="49"/>
      <c r="B532" s="50"/>
      <c r="C532" s="50"/>
      <c r="D532" s="50"/>
      <c r="E532" s="50"/>
      <c r="F532" s="50"/>
      <c r="G532" s="64"/>
    </row>
    <row r="533" spans="1:8" ht="15.75" x14ac:dyDescent="0.25">
      <c r="A533" s="49"/>
      <c r="B533" s="50"/>
      <c r="C533" s="43"/>
      <c r="D533" s="43"/>
      <c r="E533" s="43" t="s">
        <v>13</v>
      </c>
      <c r="F533" s="43" t="s">
        <v>3</v>
      </c>
      <c r="G533" s="64"/>
    </row>
    <row r="534" spans="1:8" ht="15.75" x14ac:dyDescent="0.25">
      <c r="A534" s="49"/>
      <c r="B534" s="50"/>
      <c r="C534" s="65" t="s">
        <v>20</v>
      </c>
      <c r="D534" s="65"/>
      <c r="E534" s="65" t="s">
        <v>22</v>
      </c>
      <c r="F534" s="65" t="s">
        <v>6</v>
      </c>
      <c r="G534" s="64"/>
    </row>
    <row r="535" spans="1:8" ht="15.75" x14ac:dyDescent="0.25">
      <c r="A535" s="45" t="s">
        <v>76</v>
      </c>
      <c r="B535" s="36"/>
      <c r="C535" s="66"/>
      <c r="D535" s="66"/>
      <c r="E535" s="66"/>
      <c r="F535" s="66"/>
      <c r="G535" s="64"/>
    </row>
    <row r="536" spans="1:8" ht="15.75" x14ac:dyDescent="0.25">
      <c r="A536" s="42" t="s">
        <v>57</v>
      </c>
      <c r="B536" s="50"/>
      <c r="C536" s="67">
        <v>3158</v>
      </c>
      <c r="D536" s="67"/>
      <c r="E536" s="68">
        <f>+E591</f>
        <v>0.23</v>
      </c>
      <c r="F536" s="67">
        <f>E536*C536</f>
        <v>726.34</v>
      </c>
      <c r="G536" s="64"/>
    </row>
    <row r="537" spans="1:8" ht="17.25" x14ac:dyDescent="0.35">
      <c r="A537" s="49" t="s">
        <v>58</v>
      </c>
      <c r="B537" s="50"/>
      <c r="C537" s="51">
        <v>15916</v>
      </c>
      <c r="D537" s="51"/>
      <c r="E537" s="68">
        <f>+G606</f>
        <v>0.26</v>
      </c>
      <c r="F537" s="51">
        <f>E537*C537</f>
        <v>4138.16</v>
      </c>
      <c r="G537" s="64"/>
    </row>
    <row r="538" spans="1:8" ht="15" x14ac:dyDescent="0.2">
      <c r="A538" s="42" t="s">
        <v>3</v>
      </c>
      <c r="B538" s="50"/>
      <c r="C538" s="67">
        <f>SUM(C536:C537)</f>
        <v>19074</v>
      </c>
      <c r="D538" s="67"/>
      <c r="E538" s="50"/>
      <c r="F538" s="67">
        <f>SUM(F536:F537)</f>
        <v>4864.5</v>
      </c>
      <c r="G538" s="64"/>
    </row>
    <row r="539" spans="1:8" ht="15" x14ac:dyDescent="0.2">
      <c r="A539" s="42"/>
      <c r="B539" s="50"/>
      <c r="C539" s="50"/>
      <c r="D539" s="50"/>
      <c r="E539" s="50"/>
      <c r="F539" s="50"/>
      <c r="G539" s="64"/>
    </row>
    <row r="540" spans="1:8" ht="15.75" x14ac:dyDescent="0.25">
      <c r="A540" s="35" t="s">
        <v>23</v>
      </c>
      <c r="B540" s="50"/>
      <c r="C540" s="50"/>
      <c r="D540" s="50"/>
      <c r="E540" s="50"/>
      <c r="F540" s="69">
        <v>4652</v>
      </c>
      <c r="G540" s="64"/>
    </row>
    <row r="541" spans="1:8" ht="15" x14ac:dyDescent="0.2">
      <c r="A541" s="42"/>
      <c r="B541" s="50"/>
      <c r="C541" s="50"/>
      <c r="D541" s="50"/>
      <c r="E541" s="50"/>
      <c r="F541" s="50"/>
      <c r="G541" s="64"/>
    </row>
    <row r="542" spans="1:8" ht="15" x14ac:dyDescent="0.2">
      <c r="A542" s="42" t="s">
        <v>24</v>
      </c>
      <c r="B542" s="50"/>
      <c r="C542" s="50"/>
      <c r="D542" s="50"/>
      <c r="E542" s="50"/>
      <c r="F542" s="47">
        <f>F540-F538</f>
        <v>-212.5</v>
      </c>
      <c r="G542" s="64"/>
    </row>
    <row r="543" spans="1:8" ht="15" x14ac:dyDescent="0.2">
      <c r="A543" s="42"/>
      <c r="B543" s="50"/>
      <c r="C543" s="50"/>
      <c r="D543" s="50"/>
      <c r="E543" s="50"/>
      <c r="F543" s="50"/>
      <c r="G543" s="64"/>
    </row>
    <row r="544" spans="1:8" ht="15" x14ac:dyDescent="0.2">
      <c r="A544" s="42" t="s">
        <v>25</v>
      </c>
      <c r="B544" s="50"/>
      <c r="C544" s="50"/>
      <c r="D544" s="50"/>
      <c r="E544" s="50"/>
      <c r="F544" s="67">
        <f>+C538</f>
        <v>19074</v>
      </c>
      <c r="G544" s="64"/>
    </row>
    <row r="545" spans="1:8" ht="15" x14ac:dyDescent="0.2">
      <c r="A545" s="42"/>
      <c r="B545" s="50"/>
      <c r="C545" s="50"/>
      <c r="D545" s="50"/>
      <c r="E545" s="50"/>
      <c r="F545" s="50"/>
      <c r="G545" s="64"/>
    </row>
    <row r="546" spans="1:8" ht="15" x14ac:dyDescent="0.2">
      <c r="A546" s="42" t="s">
        <v>26</v>
      </c>
      <c r="B546" s="50"/>
      <c r="C546" s="50"/>
      <c r="D546" s="50"/>
      <c r="E546" s="50"/>
      <c r="F546" s="50"/>
      <c r="G546" s="70">
        <f>ROUND(F542/F544,2)</f>
        <v>-0.01</v>
      </c>
    </row>
    <row r="547" spans="1:8" ht="15" x14ac:dyDescent="0.2">
      <c r="A547" s="42"/>
      <c r="B547" s="50"/>
      <c r="C547" s="50"/>
      <c r="D547" s="50"/>
      <c r="E547" s="50"/>
      <c r="F547" s="50"/>
      <c r="G547" s="70"/>
    </row>
    <row r="548" spans="1:8" ht="15" x14ac:dyDescent="0.2">
      <c r="A548" s="42"/>
      <c r="B548" s="50"/>
      <c r="C548" s="50"/>
      <c r="D548" s="50"/>
      <c r="E548" s="50"/>
      <c r="F548" s="67"/>
      <c r="G548" s="64"/>
    </row>
    <row r="549" spans="1:8" ht="15.75" x14ac:dyDescent="0.25">
      <c r="A549" s="42"/>
      <c r="B549" s="36"/>
      <c r="C549" s="50"/>
      <c r="D549" s="50"/>
      <c r="E549" s="50"/>
      <c r="F549" s="67"/>
      <c r="G549" s="64"/>
    </row>
    <row r="550" spans="1:8" ht="15.75" x14ac:dyDescent="0.25">
      <c r="A550" s="45" t="s">
        <v>83</v>
      </c>
      <c r="B550" s="50"/>
      <c r="C550" s="50"/>
      <c r="D550" s="50"/>
      <c r="E550" s="50"/>
      <c r="F550" s="54">
        <f>+F540</f>
        <v>4652</v>
      </c>
      <c r="G550" s="64"/>
    </row>
    <row r="551" spans="1:8" ht="15" x14ac:dyDescent="0.2">
      <c r="A551" s="42" t="s">
        <v>25</v>
      </c>
      <c r="B551" s="50"/>
      <c r="C551" s="50"/>
      <c r="D551" s="50"/>
      <c r="E551" s="50"/>
      <c r="F551" s="67">
        <f>+C538</f>
        <v>19074</v>
      </c>
      <c r="G551" s="64"/>
    </row>
    <row r="552" spans="1:8" ht="17.25" x14ac:dyDescent="0.35">
      <c r="A552" s="42" t="s">
        <v>27</v>
      </c>
      <c r="B552" s="50"/>
      <c r="C552" s="50"/>
      <c r="D552" s="50"/>
      <c r="E552" s="50"/>
      <c r="F552" s="50"/>
      <c r="G552" s="57">
        <f>ROUND(+F550/F551,2)</f>
        <v>0.24</v>
      </c>
      <c r="H552" s="18"/>
    </row>
    <row r="553" spans="1:8" ht="17.25" x14ac:dyDescent="0.35">
      <c r="A553" s="42"/>
      <c r="B553" s="50"/>
      <c r="C553" s="50"/>
      <c r="D553" s="50"/>
      <c r="E553" s="50"/>
      <c r="F553" s="50"/>
      <c r="G553" s="57"/>
    </row>
    <row r="554" spans="1:8" ht="16.5" thickBot="1" x14ac:dyDescent="0.3">
      <c r="A554" s="35" t="s">
        <v>30</v>
      </c>
      <c r="B554" s="36"/>
      <c r="C554" s="50"/>
      <c r="D554" s="50"/>
      <c r="E554" s="50"/>
      <c r="F554" s="50"/>
      <c r="G554" s="71">
        <f>+G552+G546+G547</f>
        <v>0.22999999999999998</v>
      </c>
    </row>
    <row r="555" spans="1:8" ht="16.5" thickTop="1" thickBot="1" x14ac:dyDescent="0.25">
      <c r="A555" s="72"/>
      <c r="B555" s="73"/>
      <c r="C555" s="73"/>
      <c r="D555" s="73"/>
      <c r="E555" s="73"/>
      <c r="F555" s="73"/>
      <c r="G555" s="74"/>
    </row>
    <row r="556" spans="1:8" ht="23.25" x14ac:dyDescent="0.35">
      <c r="A556" s="31" t="s">
        <v>56</v>
      </c>
      <c r="B556" s="32"/>
      <c r="C556" s="33"/>
      <c r="D556" s="33"/>
      <c r="E556" s="33"/>
      <c r="F556" s="33"/>
      <c r="G556" s="34"/>
    </row>
    <row r="557" spans="1:8" ht="15.75" x14ac:dyDescent="0.25">
      <c r="A557" s="35" t="s">
        <v>77</v>
      </c>
      <c r="B557" s="36"/>
      <c r="C557" s="37"/>
      <c r="D557" s="37"/>
      <c r="E557" s="38"/>
      <c r="F557" s="38"/>
      <c r="G557" s="39"/>
    </row>
    <row r="558" spans="1:8" ht="15.75" x14ac:dyDescent="0.25">
      <c r="A558" s="40"/>
      <c r="B558" s="41"/>
      <c r="C558" s="38"/>
      <c r="D558" s="38"/>
      <c r="E558" s="38"/>
      <c r="F558" s="38"/>
      <c r="G558" s="39"/>
    </row>
    <row r="559" spans="1:8" ht="15" x14ac:dyDescent="0.2">
      <c r="A559" s="292" t="s">
        <v>21</v>
      </c>
      <c r="B559" s="293"/>
      <c r="C559" s="293"/>
      <c r="D559" s="293"/>
      <c r="E559" s="293"/>
      <c r="F559" s="293"/>
      <c r="G559" s="294"/>
    </row>
    <row r="560" spans="1:8" ht="15" x14ac:dyDescent="0.2">
      <c r="A560" s="42"/>
      <c r="B560" s="38"/>
      <c r="C560" s="38"/>
      <c r="D560" s="38"/>
      <c r="E560" s="38"/>
      <c r="F560" s="38"/>
      <c r="G560" s="39"/>
    </row>
    <row r="561" spans="1:7" ht="15.75" x14ac:dyDescent="0.25">
      <c r="A561" s="42"/>
      <c r="B561" s="38"/>
      <c r="C561" s="43"/>
      <c r="D561" s="43"/>
      <c r="E561" s="43" t="s">
        <v>13</v>
      </c>
      <c r="F561" s="43" t="s">
        <v>3</v>
      </c>
      <c r="G561" s="39"/>
    </row>
    <row r="562" spans="1:7" ht="15.75" x14ac:dyDescent="0.25">
      <c r="A562" s="42"/>
      <c r="B562" s="38"/>
      <c r="C562" s="44" t="s">
        <v>5</v>
      </c>
      <c r="D562" s="44"/>
      <c r="E562" s="44" t="s">
        <v>22</v>
      </c>
      <c r="F562" s="44" t="s">
        <v>6</v>
      </c>
      <c r="G562" s="39"/>
    </row>
    <row r="563" spans="1:7" ht="15.75" x14ac:dyDescent="0.25">
      <c r="A563" s="45" t="s">
        <v>60</v>
      </c>
      <c r="B563" s="36"/>
      <c r="C563" s="46"/>
      <c r="D563" s="46"/>
      <c r="E563" s="46"/>
      <c r="F563" s="46"/>
      <c r="G563" s="39"/>
    </row>
    <row r="564" spans="1:7" ht="15.75" x14ac:dyDescent="0.25">
      <c r="A564" s="42" t="s">
        <v>57</v>
      </c>
      <c r="B564" s="38"/>
      <c r="C564" s="47">
        <v>41334</v>
      </c>
      <c r="D564" s="47"/>
      <c r="E564" s="48">
        <f>+E619</f>
        <v>1.6641107756753206</v>
      </c>
      <c r="F564" s="47">
        <f>C564*E564</f>
        <v>68784.354801763708</v>
      </c>
      <c r="G564" s="39"/>
    </row>
    <row r="565" spans="1:7" ht="17.25" x14ac:dyDescent="0.35">
      <c r="A565" s="49" t="s">
        <v>58</v>
      </c>
      <c r="B565" s="50"/>
      <c r="C565" s="51">
        <v>206670</v>
      </c>
      <c r="D565" s="51"/>
      <c r="E565" s="48">
        <f>+G634</f>
        <v>1.96</v>
      </c>
      <c r="F565" s="51">
        <f>C565*E565</f>
        <v>405073.2</v>
      </c>
      <c r="G565" s="39"/>
    </row>
    <row r="566" spans="1:7" ht="17.25" x14ac:dyDescent="0.35">
      <c r="A566" s="42" t="s">
        <v>3</v>
      </c>
      <c r="B566" s="38"/>
      <c r="C566" s="47">
        <f>SUM(C564:C565)</f>
        <v>248004</v>
      </c>
      <c r="D566" s="51"/>
      <c r="E566" s="38"/>
      <c r="F566" s="47">
        <f>SUM(F564:F565)</f>
        <v>473857.55480176373</v>
      </c>
      <c r="G566" s="39"/>
    </row>
    <row r="567" spans="1:7" ht="15" x14ac:dyDescent="0.2">
      <c r="A567" s="42"/>
      <c r="B567" s="38"/>
      <c r="C567" s="38"/>
      <c r="D567" s="38"/>
      <c r="E567" s="38"/>
      <c r="F567" s="38"/>
      <c r="G567" s="39"/>
    </row>
    <row r="568" spans="1:7" ht="15.75" x14ac:dyDescent="0.25">
      <c r="A568" s="35" t="s">
        <v>23</v>
      </c>
      <c r="B568" s="38"/>
      <c r="C568" s="38"/>
      <c r="D568" s="38"/>
      <c r="E568" s="38"/>
      <c r="F568" s="47">
        <v>494632</v>
      </c>
      <c r="G568" s="39"/>
    </row>
    <row r="569" spans="1:7" ht="15" x14ac:dyDescent="0.2">
      <c r="A569" s="42"/>
      <c r="B569" s="38"/>
      <c r="C569" s="38"/>
      <c r="D569" s="38"/>
      <c r="E569" s="38"/>
      <c r="F569" s="38"/>
      <c r="G569" s="39"/>
    </row>
    <row r="570" spans="1:7" ht="15" x14ac:dyDescent="0.2">
      <c r="A570" s="42" t="s">
        <v>24</v>
      </c>
      <c r="B570" s="38"/>
      <c r="C570" s="38"/>
      <c r="D570" s="38"/>
      <c r="E570" s="38"/>
      <c r="F570" s="47">
        <v>20775</v>
      </c>
      <c r="G570" s="39"/>
    </row>
    <row r="571" spans="1:7" ht="15" x14ac:dyDescent="0.2">
      <c r="A571" s="42"/>
      <c r="B571" s="38"/>
      <c r="C571" s="38"/>
      <c r="D571" s="38"/>
      <c r="E571" s="38"/>
      <c r="F571" s="38"/>
      <c r="G571" s="39"/>
    </row>
    <row r="572" spans="1:7" ht="15" x14ac:dyDescent="0.2">
      <c r="A572" s="42" t="s">
        <v>25</v>
      </c>
      <c r="B572" s="38"/>
      <c r="C572" s="38"/>
      <c r="D572" s="38"/>
      <c r="E572" s="38"/>
      <c r="F572" s="47">
        <f>+C566</f>
        <v>248004</v>
      </c>
      <c r="G572" s="39"/>
    </row>
    <row r="573" spans="1:7" ht="15" x14ac:dyDescent="0.2">
      <c r="A573" s="42"/>
      <c r="B573" s="38"/>
      <c r="C573" s="38"/>
      <c r="D573" s="38"/>
      <c r="E573" s="38"/>
      <c r="F573" s="38"/>
      <c r="G573" s="39"/>
    </row>
    <row r="574" spans="1:7" ht="15" x14ac:dyDescent="0.2">
      <c r="A574" s="42" t="s">
        <v>26</v>
      </c>
      <c r="B574" s="38"/>
      <c r="C574" s="38"/>
      <c r="D574" s="38"/>
      <c r="E574" s="38"/>
      <c r="F574" s="61"/>
      <c r="G574" s="52">
        <f>ROUND(F570/F572,2)</f>
        <v>0.08</v>
      </c>
    </row>
    <row r="575" spans="1:7" ht="15" x14ac:dyDescent="0.2">
      <c r="A575" s="42"/>
      <c r="B575" s="38"/>
      <c r="C575" s="38"/>
      <c r="D575" s="38"/>
      <c r="E575" s="38"/>
      <c r="F575" s="38"/>
      <c r="G575" s="52"/>
    </row>
    <row r="576" spans="1:7" ht="15" x14ac:dyDescent="0.2">
      <c r="A576" s="42"/>
      <c r="B576" s="38"/>
      <c r="C576" s="38"/>
      <c r="D576" s="38"/>
      <c r="E576" s="38"/>
      <c r="F576" s="38"/>
      <c r="G576" s="52"/>
    </row>
    <row r="577" spans="1:7" ht="15" x14ac:dyDescent="0.2">
      <c r="A577" s="42"/>
      <c r="B577" s="38"/>
      <c r="C577" s="38"/>
      <c r="D577" s="38"/>
      <c r="E577" s="38"/>
      <c r="F577" s="38"/>
      <c r="G577" s="52"/>
    </row>
    <row r="578" spans="1:7" ht="15.75" x14ac:dyDescent="0.25">
      <c r="A578" s="45" t="s">
        <v>76</v>
      </c>
      <c r="B578" s="36"/>
      <c r="C578" s="38"/>
      <c r="D578" s="38"/>
      <c r="E578" s="38"/>
      <c r="F578" s="53">
        <f>+F568</f>
        <v>494632</v>
      </c>
      <c r="G578" s="52"/>
    </row>
    <row r="579" spans="1:7" ht="15" x14ac:dyDescent="0.2">
      <c r="A579" s="42" t="s">
        <v>25</v>
      </c>
      <c r="B579" s="38"/>
      <c r="C579" s="38"/>
      <c r="D579" s="38"/>
      <c r="E579" s="38"/>
      <c r="F579" s="47">
        <f>+C566</f>
        <v>248004</v>
      </c>
      <c r="G579" s="52"/>
    </row>
    <row r="580" spans="1:7" ht="17.25" x14ac:dyDescent="0.35">
      <c r="A580" s="42" t="s">
        <v>27</v>
      </c>
      <c r="B580" s="38"/>
      <c r="C580" s="38"/>
      <c r="D580" s="38"/>
      <c r="E580" s="38"/>
      <c r="F580" s="38"/>
      <c r="G580" s="55">
        <f>ROUND(+F578/F579,2)</f>
        <v>1.99</v>
      </c>
    </row>
    <row r="581" spans="1:7" ht="15" x14ac:dyDescent="0.2">
      <c r="A581" s="42"/>
      <c r="B581" s="38"/>
      <c r="C581" s="38"/>
      <c r="D581" s="38"/>
      <c r="E581" s="38"/>
      <c r="F581" s="38"/>
      <c r="G581" s="52"/>
    </row>
    <row r="582" spans="1:7" ht="15" x14ac:dyDescent="0.2">
      <c r="A582" s="42"/>
      <c r="B582" s="38"/>
      <c r="C582" s="38"/>
      <c r="D582" s="38"/>
      <c r="E582" s="38"/>
      <c r="F582" s="38"/>
      <c r="G582" s="52"/>
    </row>
    <row r="583" spans="1:7" ht="16.5" thickBot="1" x14ac:dyDescent="0.3">
      <c r="A583" s="35" t="s">
        <v>28</v>
      </c>
      <c r="B583" s="36"/>
      <c r="C583" s="38"/>
      <c r="D583" s="38"/>
      <c r="E583" s="38"/>
      <c r="F583" s="38"/>
      <c r="G583" s="58">
        <f>SUM(G574:G580)</f>
        <v>2.0699999999999998</v>
      </c>
    </row>
    <row r="584" spans="1:7" ht="14.25" thickTop="1" thickBot="1" x14ac:dyDescent="0.25">
      <c r="A584" s="19"/>
      <c r="B584" s="20"/>
      <c r="C584" s="20"/>
      <c r="D584" s="20"/>
      <c r="E584" s="20"/>
      <c r="F584" s="20"/>
      <c r="G584" s="21"/>
    </row>
    <row r="585" spans="1:7" ht="15" x14ac:dyDescent="0.2">
      <c r="A585" s="292" t="s">
        <v>29</v>
      </c>
      <c r="B585" s="293"/>
      <c r="C585" s="293"/>
      <c r="D585" s="293"/>
      <c r="E585" s="293"/>
      <c r="F585" s="293"/>
      <c r="G585" s="294"/>
    </row>
    <row r="586" spans="1:7" ht="15" x14ac:dyDescent="0.2">
      <c r="A586" s="49"/>
      <c r="B586" s="50"/>
      <c r="C586" s="50"/>
      <c r="D586" s="50"/>
      <c r="E586" s="50"/>
      <c r="F586" s="50"/>
      <c r="G586" s="64"/>
    </row>
    <row r="587" spans="1:7" ht="15.75" x14ac:dyDescent="0.25">
      <c r="A587" s="49"/>
      <c r="B587" s="50"/>
      <c r="C587" s="43"/>
      <c r="D587" s="43"/>
      <c r="E587" s="43" t="s">
        <v>13</v>
      </c>
      <c r="F587" s="43" t="s">
        <v>3</v>
      </c>
      <c r="G587" s="64"/>
    </row>
    <row r="588" spans="1:7" ht="15.75" x14ac:dyDescent="0.25">
      <c r="A588" s="49"/>
      <c r="B588" s="50"/>
      <c r="C588" s="65" t="s">
        <v>20</v>
      </c>
      <c r="D588" s="65"/>
      <c r="E588" s="65" t="s">
        <v>22</v>
      </c>
      <c r="F588" s="65" t="s">
        <v>6</v>
      </c>
      <c r="G588" s="64"/>
    </row>
    <row r="589" spans="1:7" ht="15.75" x14ac:dyDescent="0.25">
      <c r="A589" s="45" t="s">
        <v>60</v>
      </c>
      <c r="B589" s="36"/>
      <c r="C589" s="66"/>
      <c r="D589" s="66"/>
      <c r="E589" s="66"/>
      <c r="F589" s="66"/>
      <c r="G589" s="64"/>
    </row>
    <row r="590" spans="1:7" ht="15.75" x14ac:dyDescent="0.25">
      <c r="A590" s="42" t="s">
        <v>57</v>
      </c>
      <c r="B590" s="50"/>
      <c r="C590" s="67">
        <v>3534</v>
      </c>
      <c r="D590" s="67"/>
      <c r="E590" s="68">
        <f>+E645</f>
        <v>0.19</v>
      </c>
      <c r="F590" s="67">
        <f>E590*C590</f>
        <v>671.46</v>
      </c>
      <c r="G590" s="64"/>
    </row>
    <row r="591" spans="1:7" ht="17.25" x14ac:dyDescent="0.35">
      <c r="A591" s="49" t="s">
        <v>58</v>
      </c>
      <c r="B591" s="50"/>
      <c r="C591" s="51">
        <v>17099</v>
      </c>
      <c r="D591" s="51"/>
      <c r="E591" s="68">
        <f>+G660</f>
        <v>0.23</v>
      </c>
      <c r="F591" s="51">
        <f>E591*C591</f>
        <v>3932.77</v>
      </c>
      <c r="G591" s="64"/>
    </row>
    <row r="592" spans="1:7" ht="15" x14ac:dyDescent="0.2">
      <c r="A592" s="42" t="s">
        <v>3</v>
      </c>
      <c r="B592" s="50"/>
      <c r="C592" s="67">
        <f>SUM(C590:C591)</f>
        <v>20633</v>
      </c>
      <c r="D592" s="67"/>
      <c r="E592" s="50"/>
      <c r="F592" s="67">
        <f>SUM(F590:F591)</f>
        <v>4604.2299999999996</v>
      </c>
      <c r="G592" s="64"/>
    </row>
    <row r="593" spans="1:7" ht="15" x14ac:dyDescent="0.2">
      <c r="A593" s="42"/>
      <c r="B593" s="50"/>
      <c r="C593" s="50"/>
      <c r="D593" s="50"/>
      <c r="E593" s="50"/>
      <c r="F593" s="50"/>
      <c r="G593" s="64"/>
    </row>
    <row r="594" spans="1:7" ht="15.75" x14ac:dyDescent="0.25">
      <c r="A594" s="35" t="s">
        <v>23</v>
      </c>
      <c r="B594" s="50"/>
      <c r="C594" s="50"/>
      <c r="D594" s="50"/>
      <c r="E594" s="50"/>
      <c r="F594" s="69">
        <v>5419</v>
      </c>
      <c r="G594" s="64"/>
    </row>
    <row r="595" spans="1:7" ht="15" x14ac:dyDescent="0.2">
      <c r="A595" s="42"/>
      <c r="B595" s="50"/>
      <c r="C595" s="50"/>
      <c r="D595" s="50"/>
      <c r="E595" s="50"/>
      <c r="F595" s="50"/>
      <c r="G595" s="64"/>
    </row>
    <row r="596" spans="1:7" ht="15" x14ac:dyDescent="0.2">
      <c r="A596" s="42" t="s">
        <v>24</v>
      </c>
      <c r="B596" s="50"/>
      <c r="C596" s="50"/>
      <c r="D596" s="50"/>
      <c r="E596" s="50"/>
      <c r="F596" s="67">
        <v>814</v>
      </c>
      <c r="G596" s="64"/>
    </row>
    <row r="597" spans="1:7" ht="15" x14ac:dyDescent="0.2">
      <c r="A597" s="42"/>
      <c r="B597" s="50"/>
      <c r="C597" s="50"/>
      <c r="D597" s="50"/>
      <c r="E597" s="50"/>
      <c r="F597" s="50"/>
      <c r="G597" s="64"/>
    </row>
    <row r="598" spans="1:7" ht="15" x14ac:dyDescent="0.2">
      <c r="A598" s="42" t="s">
        <v>25</v>
      </c>
      <c r="B598" s="50"/>
      <c r="C598" s="50"/>
      <c r="D598" s="50"/>
      <c r="E598" s="50"/>
      <c r="F598" s="67">
        <f>+C592</f>
        <v>20633</v>
      </c>
      <c r="G598" s="64"/>
    </row>
    <row r="599" spans="1:7" ht="15" x14ac:dyDescent="0.2">
      <c r="A599" s="42"/>
      <c r="B599" s="50"/>
      <c r="C599" s="50"/>
      <c r="D599" s="50"/>
      <c r="E599" s="50"/>
      <c r="F599" s="50"/>
      <c r="G599" s="64"/>
    </row>
    <row r="600" spans="1:7" ht="15" x14ac:dyDescent="0.2">
      <c r="A600" s="42" t="s">
        <v>26</v>
      </c>
      <c r="B600" s="50"/>
      <c r="C600" s="50"/>
      <c r="D600" s="50"/>
      <c r="E600" s="50"/>
      <c r="F600" s="50"/>
      <c r="G600" s="70">
        <f>ROUND(F596/F598,2)</f>
        <v>0.04</v>
      </c>
    </row>
    <row r="601" spans="1:7" ht="15" x14ac:dyDescent="0.2">
      <c r="A601" s="42"/>
      <c r="B601" s="50"/>
      <c r="C601" s="50"/>
      <c r="D601" s="50"/>
      <c r="E601" s="50"/>
      <c r="F601" s="50"/>
      <c r="G601" s="70"/>
    </row>
    <row r="602" spans="1:7" ht="15" x14ac:dyDescent="0.2">
      <c r="A602" s="42"/>
      <c r="B602" s="50"/>
      <c r="C602" s="50"/>
      <c r="D602" s="50"/>
      <c r="E602" s="50"/>
      <c r="F602" s="67"/>
      <c r="G602" s="64"/>
    </row>
    <row r="603" spans="1:7" ht="15.75" x14ac:dyDescent="0.25">
      <c r="A603" s="42"/>
      <c r="B603" s="36"/>
      <c r="C603" s="50"/>
      <c r="D603" s="50"/>
      <c r="E603" s="50"/>
      <c r="F603" s="67"/>
      <c r="G603" s="64"/>
    </row>
    <row r="604" spans="1:7" ht="15.75" x14ac:dyDescent="0.25">
      <c r="A604" s="45" t="s">
        <v>76</v>
      </c>
      <c r="B604" s="50"/>
      <c r="C604" s="50"/>
      <c r="D604" s="50"/>
      <c r="E604" s="50"/>
      <c r="F604" s="54">
        <f>+F594</f>
        <v>5419</v>
      </c>
      <c r="G604" s="64"/>
    </row>
    <row r="605" spans="1:7" ht="15" x14ac:dyDescent="0.2">
      <c r="A605" s="42" t="s">
        <v>25</v>
      </c>
      <c r="B605" s="50"/>
      <c r="C605" s="50"/>
      <c r="D605" s="50"/>
      <c r="E605" s="50"/>
      <c r="F605" s="67">
        <f>+C592</f>
        <v>20633</v>
      </c>
      <c r="G605" s="64"/>
    </row>
    <row r="606" spans="1:7" ht="17.25" x14ac:dyDescent="0.35">
      <c r="A606" s="42" t="s">
        <v>27</v>
      </c>
      <c r="B606" s="50"/>
      <c r="C606" s="50"/>
      <c r="D606" s="50"/>
      <c r="E606" s="50"/>
      <c r="F606" s="50"/>
      <c r="G606" s="57">
        <f>ROUND(+F604/F605,2)</f>
        <v>0.26</v>
      </c>
    </row>
    <row r="607" spans="1:7" ht="17.25" x14ac:dyDescent="0.35">
      <c r="A607" s="42"/>
      <c r="B607" s="50"/>
      <c r="C607" s="50"/>
      <c r="D607" s="50"/>
      <c r="E607" s="50"/>
      <c r="F607" s="50"/>
      <c r="G607" s="57"/>
    </row>
    <row r="608" spans="1:7" ht="16.5" thickBot="1" x14ac:dyDescent="0.3">
      <c r="A608" s="35" t="s">
        <v>30</v>
      </c>
      <c r="B608" s="36"/>
      <c r="C608" s="50"/>
      <c r="D608" s="50"/>
      <c r="E608" s="50"/>
      <c r="F608" s="50"/>
      <c r="G608" s="71">
        <f>+G606+G600+G601</f>
        <v>0.3</v>
      </c>
    </row>
    <row r="609" spans="1:7" ht="16.5" thickTop="1" thickBot="1" x14ac:dyDescent="0.25">
      <c r="A609" s="72"/>
      <c r="B609" s="73"/>
      <c r="C609" s="73"/>
      <c r="D609" s="73"/>
      <c r="E609" s="73"/>
      <c r="F609" s="73"/>
      <c r="G609" s="74"/>
    </row>
    <row r="610" spans="1:7" ht="23.25" x14ac:dyDescent="0.35">
      <c r="A610" s="31" t="s">
        <v>56</v>
      </c>
      <c r="B610" s="32"/>
      <c r="C610" s="33"/>
      <c r="D610" s="33"/>
      <c r="E610" s="33"/>
      <c r="F610" s="33"/>
      <c r="G610" s="34"/>
    </row>
    <row r="611" spans="1:7" ht="15.75" x14ac:dyDescent="0.25">
      <c r="A611" s="35" t="s">
        <v>54</v>
      </c>
      <c r="B611" s="36"/>
      <c r="C611" s="37"/>
      <c r="D611" s="37"/>
      <c r="E611" s="38"/>
      <c r="F611" s="38"/>
      <c r="G611" s="39"/>
    </row>
    <row r="612" spans="1:7" ht="15.75" x14ac:dyDescent="0.25">
      <c r="A612" s="40"/>
      <c r="B612" s="41"/>
      <c r="C612" s="38"/>
      <c r="D612" s="38"/>
      <c r="E612" s="38"/>
      <c r="F612" s="38"/>
      <c r="G612" s="39"/>
    </row>
    <row r="613" spans="1:7" ht="15" x14ac:dyDescent="0.2">
      <c r="A613" s="292" t="s">
        <v>21</v>
      </c>
      <c r="B613" s="293"/>
      <c r="C613" s="293"/>
      <c r="D613" s="293"/>
      <c r="E613" s="293"/>
      <c r="F613" s="293"/>
      <c r="G613" s="294"/>
    </row>
    <row r="614" spans="1:7" ht="15" x14ac:dyDescent="0.2">
      <c r="A614" s="42"/>
      <c r="B614" s="38"/>
      <c r="C614" s="38"/>
      <c r="D614" s="38"/>
      <c r="E614" s="38"/>
      <c r="F614" s="38"/>
      <c r="G614" s="39"/>
    </row>
    <row r="615" spans="1:7" ht="15.75" x14ac:dyDescent="0.25">
      <c r="A615" s="42"/>
      <c r="B615" s="38"/>
      <c r="C615" s="43"/>
      <c r="D615" s="43"/>
      <c r="E615" s="43" t="s">
        <v>13</v>
      </c>
      <c r="F615" s="43" t="s">
        <v>3</v>
      </c>
      <c r="G615" s="39"/>
    </row>
    <row r="616" spans="1:7" ht="15.75" x14ac:dyDescent="0.25">
      <c r="A616" s="42"/>
      <c r="B616" s="38"/>
      <c r="C616" s="44" t="s">
        <v>5</v>
      </c>
      <c r="D616" s="44"/>
      <c r="E616" s="44" t="s">
        <v>22</v>
      </c>
      <c r="F616" s="44" t="s">
        <v>6</v>
      </c>
      <c r="G616" s="39"/>
    </row>
    <row r="617" spans="1:7" ht="15.75" x14ac:dyDescent="0.25">
      <c r="A617" s="45" t="s">
        <v>59</v>
      </c>
      <c r="B617" s="36"/>
      <c r="C617" s="46"/>
      <c r="D617" s="46"/>
      <c r="E617" s="46"/>
      <c r="F617" s="46"/>
      <c r="G617" s="39"/>
    </row>
    <row r="618" spans="1:7" ht="15.75" x14ac:dyDescent="0.25">
      <c r="A618" s="42" t="s">
        <v>57</v>
      </c>
      <c r="B618" s="38"/>
      <c r="C618" s="47">
        <v>90954</v>
      </c>
      <c r="D618" s="47"/>
      <c r="E618" s="48">
        <f>+E673</f>
        <v>0.91</v>
      </c>
      <c r="F618" s="47">
        <f>C618*E618</f>
        <v>82768.14</v>
      </c>
      <c r="G618" s="39"/>
    </row>
    <row r="619" spans="1:7" ht="17.25" x14ac:dyDescent="0.35">
      <c r="A619" s="49" t="s">
        <v>58</v>
      </c>
      <c r="B619" s="50"/>
      <c r="C619" s="51">
        <v>454770</v>
      </c>
      <c r="D619" s="51"/>
      <c r="E619" s="48">
        <f>+G688</f>
        <v>1.6641107756753206</v>
      </c>
      <c r="F619" s="51">
        <f>C619*E619</f>
        <v>756787.65745386551</v>
      </c>
      <c r="G619" s="39"/>
    </row>
    <row r="620" spans="1:7" ht="15" x14ac:dyDescent="0.2">
      <c r="A620" s="42" t="s">
        <v>3</v>
      </c>
      <c r="B620" s="38"/>
      <c r="C620" s="47">
        <f>SUM(C618:C619)</f>
        <v>545724</v>
      </c>
      <c r="D620" s="47"/>
      <c r="E620" s="38"/>
      <c r="F620" s="47">
        <f>SUM(F618:F619)</f>
        <v>839555.79745386553</v>
      </c>
      <c r="G620" s="39"/>
    </row>
    <row r="621" spans="1:7" ht="15" x14ac:dyDescent="0.2">
      <c r="A621" s="42"/>
      <c r="B621" s="38"/>
      <c r="C621" s="38"/>
      <c r="D621" s="38"/>
      <c r="E621" s="38"/>
      <c r="F621" s="38"/>
      <c r="G621" s="39"/>
    </row>
    <row r="622" spans="1:7" ht="15.75" x14ac:dyDescent="0.25">
      <c r="A622" s="35" t="s">
        <v>23</v>
      </c>
      <c r="B622" s="38"/>
      <c r="C622" s="38"/>
      <c r="D622" s="38"/>
      <c r="E622" s="38"/>
      <c r="F622" s="47">
        <v>1070318.8014882323</v>
      </c>
      <c r="G622" s="39"/>
    </row>
    <row r="623" spans="1:7" ht="15" x14ac:dyDescent="0.2">
      <c r="A623" s="42"/>
      <c r="B623" s="38"/>
      <c r="C623" s="38"/>
      <c r="D623" s="38"/>
      <c r="E623" s="38"/>
      <c r="F623" s="38"/>
      <c r="G623" s="39"/>
    </row>
    <row r="624" spans="1:7" ht="15" x14ac:dyDescent="0.2">
      <c r="A624" s="42" t="s">
        <v>24</v>
      </c>
      <c r="B624" s="38"/>
      <c r="C624" s="38"/>
      <c r="D624" s="38"/>
      <c r="E624" s="38"/>
      <c r="F624" s="47">
        <f>F622-F620</f>
        <v>230763.00403436681</v>
      </c>
      <c r="G624" s="39"/>
    </row>
    <row r="625" spans="1:7" ht="15" x14ac:dyDescent="0.2">
      <c r="A625" s="42"/>
      <c r="B625" s="38"/>
      <c r="C625" s="38"/>
      <c r="D625" s="38"/>
      <c r="E625" s="38"/>
      <c r="F625" s="38"/>
      <c r="G625" s="39"/>
    </row>
    <row r="626" spans="1:7" ht="15" x14ac:dyDescent="0.2">
      <c r="A626" s="42" t="s">
        <v>25</v>
      </c>
      <c r="B626" s="38"/>
      <c r="C626" s="38"/>
      <c r="D626" s="38"/>
      <c r="E626" s="38"/>
      <c r="F626" s="47">
        <f>+C620</f>
        <v>545724</v>
      </c>
      <c r="G626" s="39"/>
    </row>
    <row r="627" spans="1:7" ht="15" x14ac:dyDescent="0.2">
      <c r="A627" s="42"/>
      <c r="B627" s="38"/>
      <c r="C627" s="38"/>
      <c r="D627" s="38"/>
      <c r="E627" s="38"/>
      <c r="F627" s="38"/>
      <c r="G627" s="39"/>
    </row>
    <row r="628" spans="1:7" ht="15" x14ac:dyDescent="0.2">
      <c r="A628" s="42" t="s">
        <v>26</v>
      </c>
      <c r="B628" s="38"/>
      <c r="C628" s="38"/>
      <c r="D628" s="38"/>
      <c r="E628" s="38"/>
      <c r="F628" s="61"/>
      <c r="G628" s="52">
        <f>ROUND(F624/F626,2)</f>
        <v>0.42</v>
      </c>
    </row>
    <row r="629" spans="1:7" ht="15" x14ac:dyDescent="0.2">
      <c r="A629" s="42"/>
      <c r="B629" s="38"/>
      <c r="C629" s="38"/>
      <c r="D629" s="38"/>
      <c r="E629" s="38"/>
      <c r="F629" s="38"/>
      <c r="G629" s="52"/>
    </row>
    <row r="630" spans="1:7" ht="15" x14ac:dyDescent="0.2">
      <c r="A630" s="42"/>
      <c r="B630" s="38"/>
      <c r="C630" s="38"/>
      <c r="D630" s="38"/>
      <c r="E630" s="38"/>
      <c r="F630" s="38"/>
      <c r="G630" s="52"/>
    </row>
    <row r="631" spans="1:7" ht="15" x14ac:dyDescent="0.2">
      <c r="A631" s="42"/>
      <c r="B631" s="38"/>
      <c r="C631" s="38"/>
      <c r="D631" s="38"/>
      <c r="E631" s="38"/>
      <c r="F631" s="38"/>
      <c r="G631" s="52"/>
    </row>
    <row r="632" spans="1:7" ht="15.75" x14ac:dyDescent="0.25">
      <c r="A632" s="45" t="s">
        <v>60</v>
      </c>
      <c r="B632" s="36"/>
      <c r="C632" s="38"/>
      <c r="D632" s="38"/>
      <c r="E632" s="38"/>
      <c r="F632" s="53">
        <f>+F622</f>
        <v>1070318.8014882323</v>
      </c>
      <c r="G632" s="52"/>
    </row>
    <row r="633" spans="1:7" ht="15" x14ac:dyDescent="0.2">
      <c r="A633" s="42" t="s">
        <v>25</v>
      </c>
      <c r="B633" s="38"/>
      <c r="C633" s="38"/>
      <c r="D633" s="38"/>
      <c r="E633" s="38"/>
      <c r="F633" s="47">
        <f>+C620</f>
        <v>545724</v>
      </c>
      <c r="G633" s="52"/>
    </row>
    <row r="634" spans="1:7" ht="17.25" x14ac:dyDescent="0.35">
      <c r="A634" s="42" t="s">
        <v>27</v>
      </c>
      <c r="B634" s="38"/>
      <c r="C634" s="38"/>
      <c r="D634" s="38"/>
      <c r="E634" s="38"/>
      <c r="F634" s="38"/>
      <c r="G634" s="55">
        <f>ROUND(+F632/F633,2)</f>
        <v>1.96</v>
      </c>
    </row>
    <row r="635" spans="1:7" ht="15" x14ac:dyDescent="0.2">
      <c r="A635" s="42"/>
      <c r="B635" s="38"/>
      <c r="C635" s="38"/>
      <c r="D635" s="38"/>
      <c r="E635" s="38"/>
      <c r="F635" s="38"/>
      <c r="G635" s="52"/>
    </row>
    <row r="636" spans="1:7" ht="15" x14ac:dyDescent="0.2">
      <c r="A636" s="42"/>
      <c r="B636" s="38"/>
      <c r="C636" s="38"/>
      <c r="D636" s="38"/>
      <c r="E636" s="38"/>
      <c r="F636" s="38"/>
      <c r="G636" s="52"/>
    </row>
    <row r="637" spans="1:7" ht="16.5" thickBot="1" x14ac:dyDescent="0.3">
      <c r="A637" s="35" t="s">
        <v>28</v>
      </c>
      <c r="B637" s="36"/>
      <c r="C637" s="38"/>
      <c r="D637" s="38"/>
      <c r="E637" s="38"/>
      <c r="F637" s="38"/>
      <c r="G637" s="58">
        <f>SUM(G628:G634)</f>
        <v>2.38</v>
      </c>
    </row>
    <row r="638" spans="1:7" ht="14.25" thickTop="1" thickBot="1" x14ac:dyDescent="0.25">
      <c r="A638" s="19"/>
      <c r="B638" s="20"/>
      <c r="C638" s="20"/>
      <c r="D638" s="20"/>
      <c r="E638" s="20"/>
      <c r="F638" s="20"/>
      <c r="G638" s="21"/>
    </row>
    <row r="639" spans="1:7" ht="15" x14ac:dyDescent="0.2">
      <c r="A639" s="292" t="s">
        <v>29</v>
      </c>
      <c r="B639" s="293"/>
      <c r="C639" s="293"/>
      <c r="D639" s="293"/>
      <c r="E639" s="293"/>
      <c r="F639" s="293"/>
      <c r="G639" s="294"/>
    </row>
    <row r="640" spans="1:7" ht="15" x14ac:dyDescent="0.2">
      <c r="A640" s="49"/>
      <c r="B640" s="50"/>
      <c r="C640" s="50"/>
      <c r="D640" s="50"/>
      <c r="E640" s="50"/>
      <c r="F640" s="50"/>
      <c r="G640" s="64"/>
    </row>
    <row r="641" spans="1:7" ht="15.75" x14ac:dyDescent="0.25">
      <c r="A641" s="49"/>
      <c r="B641" s="50"/>
      <c r="C641" s="43"/>
      <c r="D641" s="43"/>
      <c r="E641" s="43" t="s">
        <v>13</v>
      </c>
      <c r="F641" s="43" t="s">
        <v>3</v>
      </c>
      <c r="G641" s="64"/>
    </row>
    <row r="642" spans="1:7" ht="15.75" x14ac:dyDescent="0.25">
      <c r="A642" s="49"/>
      <c r="B642" s="50"/>
      <c r="C642" s="65" t="s">
        <v>20</v>
      </c>
      <c r="D642" s="65"/>
      <c r="E642" s="65" t="s">
        <v>22</v>
      </c>
      <c r="F642" s="65" t="s">
        <v>6</v>
      </c>
      <c r="G642" s="64"/>
    </row>
    <row r="643" spans="1:7" ht="15.75" x14ac:dyDescent="0.25">
      <c r="A643" s="45" t="s">
        <v>59</v>
      </c>
      <c r="B643" s="36"/>
      <c r="C643" s="66"/>
      <c r="D643" s="66"/>
      <c r="E643" s="66"/>
      <c r="F643" s="66"/>
      <c r="G643" s="64"/>
    </row>
    <row r="644" spans="1:7" ht="15.75" x14ac:dyDescent="0.25">
      <c r="A644" s="42" t="s">
        <v>57</v>
      </c>
      <c r="B644" s="50"/>
      <c r="C644" s="67">
        <v>15544.573148514854</v>
      </c>
      <c r="D644" s="67"/>
      <c r="E644" s="68">
        <f>+E699</f>
        <v>0.23</v>
      </c>
      <c r="F644" s="67">
        <f>E644*C644</f>
        <v>3575.2518241584166</v>
      </c>
      <c r="G644" s="64"/>
    </row>
    <row r="645" spans="1:7" ht="17.25" x14ac:dyDescent="0.35">
      <c r="A645" s="49" t="s">
        <v>58</v>
      </c>
      <c r="B645" s="50"/>
      <c r="C645" s="51">
        <v>77722.865742574271</v>
      </c>
      <c r="D645" s="51"/>
      <c r="E645" s="68">
        <f>+G714</f>
        <v>0.19</v>
      </c>
      <c r="F645" s="51">
        <f>E645*C645</f>
        <v>14767.344491089112</v>
      </c>
      <c r="G645" s="64"/>
    </row>
    <row r="646" spans="1:7" ht="15" x14ac:dyDescent="0.2">
      <c r="A646" s="42" t="s">
        <v>3</v>
      </c>
      <c r="B646" s="50"/>
      <c r="C646" s="67">
        <f>SUM(C644:C645)</f>
        <v>93267.438891089128</v>
      </c>
      <c r="D646" s="67"/>
      <c r="E646" s="50"/>
      <c r="F646" s="67">
        <f>SUM(F644:F645)</f>
        <v>18342.596315247531</v>
      </c>
      <c r="G646" s="64"/>
    </row>
    <row r="647" spans="1:7" ht="15" x14ac:dyDescent="0.2">
      <c r="A647" s="42"/>
      <c r="B647" s="50"/>
      <c r="C647" s="50"/>
      <c r="D647" s="50"/>
      <c r="E647" s="50"/>
      <c r="F647" s="50"/>
      <c r="G647" s="64"/>
    </row>
    <row r="648" spans="1:7" ht="15.75" x14ac:dyDescent="0.25">
      <c r="A648" s="35" t="s">
        <v>23</v>
      </c>
      <c r="B648" s="50"/>
      <c r="C648" s="50"/>
      <c r="D648" s="50"/>
      <c r="E648" s="50"/>
      <c r="F648" s="69">
        <v>21605.51866847141</v>
      </c>
      <c r="G648" s="64"/>
    </row>
    <row r="649" spans="1:7" ht="15" x14ac:dyDescent="0.2">
      <c r="A649" s="42"/>
      <c r="B649" s="50"/>
      <c r="C649" s="50"/>
      <c r="D649" s="50"/>
      <c r="E649" s="50"/>
      <c r="F649" s="50"/>
      <c r="G649" s="64"/>
    </row>
    <row r="650" spans="1:7" ht="15" x14ac:dyDescent="0.2">
      <c r="A650" s="42" t="s">
        <v>24</v>
      </c>
      <c r="B650" s="50"/>
      <c r="C650" s="50"/>
      <c r="D650" s="50"/>
      <c r="E650" s="50"/>
      <c r="F650" s="67">
        <f>F648-F646</f>
        <v>3262.9223532238793</v>
      </c>
      <c r="G650" s="64"/>
    </row>
    <row r="651" spans="1:7" ht="15" x14ac:dyDescent="0.2">
      <c r="A651" s="42"/>
      <c r="B651" s="50"/>
      <c r="C651" s="50"/>
      <c r="D651" s="50"/>
      <c r="E651" s="50"/>
      <c r="F651" s="50"/>
      <c r="G651" s="64"/>
    </row>
    <row r="652" spans="1:7" ht="15" x14ac:dyDescent="0.2">
      <c r="A652" s="42" t="s">
        <v>25</v>
      </c>
      <c r="B652" s="50"/>
      <c r="C652" s="50"/>
      <c r="D652" s="50"/>
      <c r="E652" s="50"/>
      <c r="F652" s="67">
        <f>+C646</f>
        <v>93267.438891089128</v>
      </c>
      <c r="G652" s="64"/>
    </row>
    <row r="653" spans="1:7" ht="15" x14ac:dyDescent="0.2">
      <c r="A653" s="42"/>
      <c r="B653" s="50"/>
      <c r="C653" s="50"/>
      <c r="D653" s="50"/>
      <c r="E653" s="50"/>
      <c r="F653" s="50"/>
      <c r="G653" s="64"/>
    </row>
    <row r="654" spans="1:7" ht="15" x14ac:dyDescent="0.2">
      <c r="A654" s="42" t="s">
        <v>26</v>
      </c>
      <c r="B654" s="50"/>
      <c r="C654" s="50"/>
      <c r="D654" s="50"/>
      <c r="E654" s="50"/>
      <c r="F654" s="50"/>
      <c r="G654" s="70">
        <f>ROUND(F650/F652,2)</f>
        <v>0.03</v>
      </c>
    </row>
    <row r="655" spans="1:7" ht="15" x14ac:dyDescent="0.2">
      <c r="A655" s="42"/>
      <c r="B655" s="50"/>
      <c r="C655" s="50"/>
      <c r="D655" s="50"/>
      <c r="E655" s="50"/>
      <c r="F655" s="50"/>
      <c r="G655" s="70"/>
    </row>
    <row r="656" spans="1:7" ht="15" x14ac:dyDescent="0.2">
      <c r="A656" s="42"/>
      <c r="B656" s="50"/>
      <c r="C656" s="50"/>
      <c r="D656" s="50"/>
      <c r="E656" s="50"/>
      <c r="F656" s="67"/>
      <c r="G656" s="64"/>
    </row>
    <row r="657" spans="1:8" ht="15.75" x14ac:dyDescent="0.25">
      <c r="A657" s="42"/>
      <c r="B657" s="36"/>
      <c r="C657" s="50"/>
      <c r="D657" s="50"/>
      <c r="E657" s="50"/>
      <c r="F657" s="67"/>
      <c r="G657" s="64"/>
    </row>
    <row r="658" spans="1:8" ht="15.75" x14ac:dyDescent="0.25">
      <c r="A658" s="45" t="s">
        <v>60</v>
      </c>
      <c r="B658" s="50"/>
      <c r="C658" s="50"/>
      <c r="D658" s="50"/>
      <c r="E658" s="50"/>
      <c r="F658" s="54">
        <f>+F648</f>
        <v>21605.51866847141</v>
      </c>
      <c r="G658" s="64"/>
    </row>
    <row r="659" spans="1:8" ht="15" x14ac:dyDescent="0.2">
      <c r="A659" s="42" t="s">
        <v>25</v>
      </c>
      <c r="B659" s="50"/>
      <c r="C659" s="50"/>
      <c r="D659" s="50"/>
      <c r="E659" s="50"/>
      <c r="F659" s="67">
        <f>+C646</f>
        <v>93267.438891089128</v>
      </c>
      <c r="G659" s="64"/>
      <c r="H659" s="119"/>
    </row>
    <row r="660" spans="1:8" ht="17.25" x14ac:dyDescent="0.35">
      <c r="A660" s="42" t="s">
        <v>27</v>
      </c>
      <c r="B660" s="50"/>
      <c r="C660" s="50"/>
      <c r="D660" s="50"/>
      <c r="E660" s="50"/>
      <c r="F660" s="50"/>
      <c r="G660" s="57">
        <f>ROUND(+F658/F659,2)</f>
        <v>0.23</v>
      </c>
    </row>
    <row r="661" spans="1:8" ht="17.25" x14ac:dyDescent="0.35">
      <c r="A661" s="42"/>
      <c r="B661" s="50"/>
      <c r="C661" s="50"/>
      <c r="D661" s="50"/>
      <c r="E661" s="50"/>
      <c r="F661" s="50"/>
      <c r="G661" s="57"/>
    </row>
    <row r="662" spans="1:8" ht="16.5" thickBot="1" x14ac:dyDescent="0.3">
      <c r="A662" s="35" t="s">
        <v>30</v>
      </c>
      <c r="B662" s="36"/>
      <c r="C662" s="50"/>
      <c r="D662" s="50"/>
      <c r="E662" s="50"/>
      <c r="F662" s="50"/>
      <c r="G662" s="71">
        <f>+G660+G654+G655</f>
        <v>0.26</v>
      </c>
    </row>
    <row r="663" spans="1:8" ht="16.5" thickTop="1" thickBot="1" x14ac:dyDescent="0.25">
      <c r="A663" s="72"/>
      <c r="B663" s="73"/>
      <c r="C663" s="73"/>
      <c r="D663" s="73"/>
      <c r="E663" s="73"/>
      <c r="F663" s="73"/>
      <c r="G663" s="74"/>
    </row>
    <row r="664" spans="1:8" ht="23.25" x14ac:dyDescent="0.35">
      <c r="A664" s="31" t="s">
        <v>56</v>
      </c>
      <c r="B664" s="32"/>
      <c r="C664" s="33"/>
      <c r="D664" s="33"/>
      <c r="E664" s="33"/>
      <c r="F664" s="33"/>
      <c r="G664" s="34"/>
    </row>
    <row r="665" spans="1:8" ht="15.75" x14ac:dyDescent="0.25">
      <c r="A665" s="35" t="s">
        <v>55</v>
      </c>
      <c r="B665" s="36"/>
      <c r="C665" s="37"/>
      <c r="D665" s="37"/>
      <c r="E665" s="38"/>
      <c r="F665" s="38"/>
      <c r="G665" s="39"/>
    </row>
    <row r="666" spans="1:8" ht="15.75" x14ac:dyDescent="0.25">
      <c r="A666" s="40"/>
      <c r="B666" s="41"/>
      <c r="C666" s="38"/>
      <c r="D666" s="38"/>
      <c r="E666" s="38"/>
      <c r="F666" s="38"/>
      <c r="G666" s="39"/>
    </row>
    <row r="667" spans="1:8" ht="15" x14ac:dyDescent="0.2">
      <c r="A667" s="292" t="s">
        <v>21</v>
      </c>
      <c r="B667" s="293"/>
      <c r="C667" s="293"/>
      <c r="D667" s="293"/>
      <c r="E667" s="293"/>
      <c r="F667" s="293"/>
      <c r="G667" s="294"/>
    </row>
    <row r="668" spans="1:8" ht="15" x14ac:dyDescent="0.2">
      <c r="A668" s="42"/>
      <c r="B668" s="38"/>
      <c r="C668" s="38"/>
      <c r="D668" s="38"/>
      <c r="E668" s="38"/>
      <c r="F668" s="38"/>
      <c r="G668" s="39"/>
    </row>
    <row r="669" spans="1:8" ht="15.75" x14ac:dyDescent="0.25">
      <c r="A669" s="42"/>
      <c r="B669" s="38"/>
      <c r="C669" s="43"/>
      <c r="D669" s="43"/>
      <c r="E669" s="43" t="s">
        <v>13</v>
      </c>
      <c r="F669" s="43" t="s">
        <v>3</v>
      </c>
      <c r="G669" s="39"/>
    </row>
    <row r="670" spans="1:8" ht="15.75" x14ac:dyDescent="0.25">
      <c r="A670" s="42"/>
      <c r="B670" s="38"/>
      <c r="C670" s="44" t="s">
        <v>5</v>
      </c>
      <c r="D670" s="44"/>
      <c r="E670" s="44" t="s">
        <v>22</v>
      </c>
      <c r="F670" s="44" t="s">
        <v>6</v>
      </c>
      <c r="G670" s="39"/>
    </row>
    <row r="671" spans="1:8" ht="15.75" x14ac:dyDescent="0.25">
      <c r="A671" s="45" t="s">
        <v>59</v>
      </c>
      <c r="B671" s="36"/>
      <c r="C671" s="46"/>
      <c r="D671" s="46"/>
      <c r="E671" s="46"/>
      <c r="F671" s="46"/>
      <c r="G671" s="39"/>
    </row>
    <row r="672" spans="1:8" ht="15.75" x14ac:dyDescent="0.25">
      <c r="A672" s="42" t="s">
        <v>57</v>
      </c>
      <c r="B672" s="38"/>
      <c r="C672" s="47">
        <v>87362</v>
      </c>
      <c r="D672" s="47"/>
      <c r="E672" s="48">
        <v>0.73</v>
      </c>
      <c r="F672" s="47">
        <f>C672*E672</f>
        <v>63774.26</v>
      </c>
      <c r="G672" s="39"/>
    </row>
    <row r="673" spans="1:7" ht="17.25" x14ac:dyDescent="0.35">
      <c r="A673" s="49" t="s">
        <v>58</v>
      </c>
      <c r="B673" s="50"/>
      <c r="C673" s="51">
        <v>443080</v>
      </c>
      <c r="D673" s="51"/>
      <c r="E673" s="48">
        <v>0.91</v>
      </c>
      <c r="F673" s="51">
        <f>C673*E673</f>
        <v>403202.8</v>
      </c>
      <c r="G673" s="39"/>
    </row>
    <row r="674" spans="1:7" ht="15" x14ac:dyDescent="0.2">
      <c r="A674" s="42" t="s">
        <v>3</v>
      </c>
      <c r="B674" s="38"/>
      <c r="C674" s="47">
        <f>SUM(C672:C673)</f>
        <v>530442</v>
      </c>
      <c r="D674" s="47"/>
      <c r="E674" s="38"/>
      <c r="F674" s="47">
        <f>SUM(F672:F673)</f>
        <v>466977.06</v>
      </c>
      <c r="G674" s="39"/>
    </row>
    <row r="675" spans="1:7" ht="15" x14ac:dyDescent="0.2">
      <c r="A675" s="42"/>
      <c r="B675" s="38"/>
      <c r="C675" s="38"/>
      <c r="D675" s="38"/>
      <c r="E675" s="38"/>
      <c r="F675" s="38"/>
      <c r="G675" s="39"/>
    </row>
    <row r="676" spans="1:7" ht="15.75" x14ac:dyDescent="0.25">
      <c r="A676" s="35" t="s">
        <v>23</v>
      </c>
      <c r="B676" s="38"/>
      <c r="C676" s="38"/>
      <c r="D676" s="38"/>
      <c r="E676" s="38"/>
      <c r="F676" s="47">
        <v>894186.62775827409</v>
      </c>
      <c r="G676" s="39"/>
    </row>
    <row r="677" spans="1:7" ht="15" x14ac:dyDescent="0.2">
      <c r="A677" s="42"/>
      <c r="B677" s="38"/>
      <c r="C677" s="38"/>
      <c r="D677" s="38"/>
      <c r="E677" s="38"/>
      <c r="F677" s="38"/>
      <c r="G677" s="39"/>
    </row>
    <row r="678" spans="1:7" ht="15" x14ac:dyDescent="0.2">
      <c r="A678" s="42" t="s">
        <v>24</v>
      </c>
      <c r="B678" s="38"/>
      <c r="C678" s="38"/>
      <c r="D678" s="38"/>
      <c r="E678" s="38"/>
      <c r="F678" s="60">
        <f>F676-F674</f>
        <v>427209.56775827409</v>
      </c>
      <c r="G678" s="39"/>
    </row>
    <row r="679" spans="1:7" ht="15" x14ac:dyDescent="0.2">
      <c r="A679" s="42"/>
      <c r="B679" s="38"/>
      <c r="C679" s="38"/>
      <c r="D679" s="38"/>
      <c r="E679" s="38"/>
      <c r="F679" s="38"/>
      <c r="G679" s="39"/>
    </row>
    <row r="680" spans="1:7" ht="15" x14ac:dyDescent="0.2">
      <c r="A680" s="49" t="s">
        <v>25</v>
      </c>
      <c r="B680" s="38"/>
      <c r="C680" s="38"/>
      <c r="D680" s="38"/>
      <c r="E680" s="38"/>
      <c r="F680" s="47">
        <f>+C674</f>
        <v>530442</v>
      </c>
      <c r="G680" s="39"/>
    </row>
    <row r="681" spans="1:7" ht="15" x14ac:dyDescent="0.2">
      <c r="A681" s="42"/>
      <c r="B681" s="38"/>
      <c r="C681" s="38"/>
      <c r="D681" s="38"/>
      <c r="E681" s="38"/>
      <c r="F681" s="38"/>
      <c r="G681" s="39"/>
    </row>
    <row r="682" spans="1:7" ht="15" x14ac:dyDescent="0.2">
      <c r="A682" s="42" t="s">
        <v>26</v>
      </c>
      <c r="B682" s="38"/>
      <c r="C682" s="38"/>
      <c r="D682" s="38"/>
      <c r="E682" s="38"/>
      <c r="F682" s="38"/>
      <c r="G682" s="52">
        <f>ROUND(F678/F680,2)</f>
        <v>0.81</v>
      </c>
    </row>
    <row r="683" spans="1:7" ht="15" x14ac:dyDescent="0.2">
      <c r="A683" s="42"/>
      <c r="B683" s="38"/>
      <c r="C683" s="38"/>
      <c r="D683" s="38"/>
      <c r="E683" s="38"/>
      <c r="F683" s="38"/>
      <c r="G683" s="52"/>
    </row>
    <row r="684" spans="1:7" ht="15" x14ac:dyDescent="0.2">
      <c r="A684" s="42"/>
      <c r="B684" s="38"/>
      <c r="C684" s="38"/>
      <c r="D684" s="38"/>
      <c r="E684" s="38"/>
      <c r="F684" s="38"/>
      <c r="G684" s="52"/>
    </row>
    <row r="685" spans="1:7" ht="15" x14ac:dyDescent="0.2">
      <c r="A685" s="42"/>
      <c r="B685" s="38"/>
      <c r="C685" s="38"/>
      <c r="D685" s="38"/>
      <c r="E685" s="38"/>
      <c r="F685" s="38"/>
      <c r="G685" s="52"/>
    </row>
    <row r="686" spans="1:7" ht="15.75" x14ac:dyDescent="0.25">
      <c r="A686" s="45" t="s">
        <v>59</v>
      </c>
      <c r="B686" s="36"/>
      <c r="C686" s="38"/>
      <c r="D686" s="38"/>
      <c r="E686" s="38"/>
      <c r="F686" s="54">
        <f>+F676</f>
        <v>894186.62775827409</v>
      </c>
      <c r="G686" s="52"/>
    </row>
    <row r="687" spans="1:7" ht="15" x14ac:dyDescent="0.2">
      <c r="A687" s="42" t="s">
        <v>25</v>
      </c>
      <c r="B687" s="38"/>
      <c r="C687" s="38"/>
      <c r="D687" s="38"/>
      <c r="E687" s="38"/>
      <c r="F687" s="47">
        <v>537336</v>
      </c>
      <c r="G687" s="52"/>
    </row>
    <row r="688" spans="1:7" ht="17.25" x14ac:dyDescent="0.35">
      <c r="A688" s="42" t="s">
        <v>27</v>
      </c>
      <c r="B688" s="38"/>
      <c r="C688" s="38"/>
      <c r="D688" s="38"/>
      <c r="E688" s="38"/>
      <c r="F688" s="38"/>
      <c r="G688" s="56">
        <f>+F686/F687</f>
        <v>1.6641107756753206</v>
      </c>
    </row>
    <row r="689" spans="1:7" ht="17.25" x14ac:dyDescent="0.35">
      <c r="A689" s="42"/>
      <c r="B689" s="38"/>
      <c r="C689" s="38"/>
      <c r="D689" s="38"/>
      <c r="E689" s="38"/>
      <c r="F689" s="38"/>
      <c r="G689" s="57"/>
    </row>
    <row r="690" spans="1:7" ht="15" x14ac:dyDescent="0.2">
      <c r="A690" s="42"/>
      <c r="B690" s="38"/>
      <c r="C690" s="38"/>
      <c r="D690" s="38"/>
      <c r="E690" s="38"/>
      <c r="F690" s="38"/>
      <c r="G690" s="52"/>
    </row>
    <row r="691" spans="1:7" ht="16.5" thickBot="1" x14ac:dyDescent="0.3">
      <c r="A691" s="35" t="s">
        <v>28</v>
      </c>
      <c r="B691" s="36"/>
      <c r="C691" s="38"/>
      <c r="D691" s="38"/>
      <c r="E691" s="38"/>
      <c r="F691" s="38"/>
      <c r="G691" s="59">
        <f>+G688+G682+G683</f>
        <v>2.4741107756753209</v>
      </c>
    </row>
    <row r="692" spans="1:7" ht="14.25" thickTop="1" thickBot="1" x14ac:dyDescent="0.25">
      <c r="A692" s="19"/>
      <c r="B692" s="20"/>
      <c r="C692" s="20"/>
      <c r="D692" s="20"/>
      <c r="E692" s="20"/>
      <c r="F692" s="20"/>
      <c r="G692" s="21"/>
    </row>
    <row r="693" spans="1:7" ht="15" x14ac:dyDescent="0.2">
      <c r="A693" s="292" t="s">
        <v>29</v>
      </c>
      <c r="B693" s="293"/>
      <c r="C693" s="293"/>
      <c r="D693" s="293"/>
      <c r="E693" s="293"/>
      <c r="F693" s="293"/>
      <c r="G693" s="294"/>
    </row>
    <row r="694" spans="1:7" ht="15" x14ac:dyDescent="0.2">
      <c r="A694" s="49"/>
      <c r="B694" s="50"/>
      <c r="C694" s="50"/>
      <c r="D694" s="50"/>
      <c r="E694" s="50"/>
      <c r="F694" s="50"/>
      <c r="G694" s="64"/>
    </row>
    <row r="695" spans="1:7" ht="15.75" x14ac:dyDescent="0.25">
      <c r="A695" s="49"/>
      <c r="B695" s="50"/>
      <c r="C695" s="43"/>
      <c r="D695" s="43"/>
      <c r="E695" s="43" t="s">
        <v>13</v>
      </c>
      <c r="F695" s="43" t="s">
        <v>3</v>
      </c>
      <c r="G695" s="64"/>
    </row>
    <row r="696" spans="1:7" ht="15.75" x14ac:dyDescent="0.25">
      <c r="A696" s="49"/>
      <c r="B696" s="50"/>
      <c r="C696" s="65" t="s">
        <v>5</v>
      </c>
      <c r="D696" s="65"/>
      <c r="E696" s="65" t="s">
        <v>22</v>
      </c>
      <c r="F696" s="65" t="s">
        <v>6</v>
      </c>
      <c r="G696" s="64"/>
    </row>
    <row r="697" spans="1:7" ht="15.75" x14ac:dyDescent="0.25">
      <c r="A697" s="45" t="s">
        <v>59</v>
      </c>
      <c r="B697" s="36"/>
      <c r="C697" s="66"/>
      <c r="D697" s="66"/>
      <c r="E697" s="66"/>
      <c r="F697" s="66"/>
      <c r="G697" s="64"/>
    </row>
    <row r="698" spans="1:7" ht="15.75" x14ac:dyDescent="0.25">
      <c r="A698" s="42" t="s">
        <v>57</v>
      </c>
      <c r="B698" s="50"/>
      <c r="C698" s="67">
        <v>13606</v>
      </c>
      <c r="D698" s="67"/>
      <c r="E698" s="68">
        <v>0.21</v>
      </c>
      <c r="F698" s="67">
        <f>C698*E698</f>
        <v>2857.2599999999998</v>
      </c>
      <c r="G698" s="64"/>
    </row>
    <row r="699" spans="1:7" ht="17.25" x14ac:dyDescent="0.35">
      <c r="A699" s="49" t="s">
        <v>58</v>
      </c>
      <c r="B699" s="50"/>
      <c r="C699" s="51">
        <v>72828</v>
      </c>
      <c r="D699" s="51"/>
      <c r="E699" s="68">
        <v>0.23</v>
      </c>
      <c r="F699" s="51">
        <f>C699*E699</f>
        <v>16750.440000000002</v>
      </c>
      <c r="G699" s="64"/>
    </row>
    <row r="700" spans="1:7" ht="15" x14ac:dyDescent="0.2">
      <c r="A700" s="42" t="s">
        <v>3</v>
      </c>
      <c r="B700" s="50"/>
      <c r="C700" s="67">
        <f>+C699+C698</f>
        <v>86434</v>
      </c>
      <c r="D700" s="67"/>
      <c r="E700" s="50"/>
      <c r="F700" s="67">
        <f>+F699+F698</f>
        <v>19607.7</v>
      </c>
      <c r="G700" s="64"/>
    </row>
    <row r="701" spans="1:7" ht="15" x14ac:dyDescent="0.2">
      <c r="A701" s="42"/>
      <c r="B701" s="50"/>
      <c r="C701" s="50"/>
      <c r="D701" s="50"/>
      <c r="E701" s="50"/>
      <c r="F701" s="50"/>
      <c r="G701" s="64"/>
    </row>
    <row r="702" spans="1:7" ht="15.75" x14ac:dyDescent="0.25">
      <c r="A702" s="35" t="s">
        <v>23</v>
      </c>
      <c r="B702" s="50"/>
      <c r="C702" s="50"/>
      <c r="D702" s="50"/>
      <c r="E702" s="50"/>
      <c r="F702" s="69">
        <v>17896.735447015508</v>
      </c>
      <c r="G702" s="64"/>
    </row>
    <row r="703" spans="1:7" ht="15" x14ac:dyDescent="0.2">
      <c r="A703" s="42"/>
      <c r="B703" s="50"/>
      <c r="C703" s="50"/>
      <c r="D703" s="50"/>
      <c r="E703" s="50"/>
      <c r="F703" s="50"/>
      <c r="G703" s="64"/>
    </row>
    <row r="704" spans="1:7" ht="15" x14ac:dyDescent="0.2">
      <c r="A704" s="42" t="s">
        <v>24</v>
      </c>
      <c r="B704" s="50"/>
      <c r="C704" s="50"/>
      <c r="D704" s="50"/>
      <c r="E704" s="50"/>
      <c r="F704" s="67">
        <v>-1710.9364485785482</v>
      </c>
      <c r="G704" s="64"/>
    </row>
    <row r="705" spans="1:7" ht="15" x14ac:dyDescent="0.2">
      <c r="A705" s="42"/>
      <c r="B705" s="50"/>
      <c r="C705" s="50"/>
      <c r="D705" s="50"/>
      <c r="E705" s="50"/>
      <c r="F705" s="50"/>
      <c r="G705" s="64"/>
    </row>
    <row r="706" spans="1:7" ht="15" x14ac:dyDescent="0.2">
      <c r="A706" s="49" t="s">
        <v>25</v>
      </c>
      <c r="B706" s="50"/>
      <c r="C706" s="50"/>
      <c r="D706" s="50"/>
      <c r="E706" s="50"/>
      <c r="F706" s="67">
        <f>+C700</f>
        <v>86434</v>
      </c>
      <c r="G706" s="64"/>
    </row>
    <row r="707" spans="1:7" ht="15" x14ac:dyDescent="0.2">
      <c r="A707" s="42"/>
      <c r="B707" s="50"/>
      <c r="C707" s="50"/>
      <c r="D707" s="50"/>
      <c r="E707" s="50"/>
      <c r="F707" s="50"/>
      <c r="G707" s="64"/>
    </row>
    <row r="708" spans="1:7" ht="15" x14ac:dyDescent="0.2">
      <c r="A708" s="42" t="s">
        <v>26</v>
      </c>
      <c r="B708" s="50"/>
      <c r="C708" s="50"/>
      <c r="D708" s="50"/>
      <c r="E708" s="50"/>
      <c r="F708" s="50"/>
      <c r="G708" s="70">
        <f>ROUND(F704/F706,2)</f>
        <v>-0.02</v>
      </c>
    </row>
    <row r="709" spans="1:7" ht="15" x14ac:dyDescent="0.2">
      <c r="A709" s="42"/>
      <c r="B709" s="50"/>
      <c r="C709" s="50"/>
      <c r="D709" s="50"/>
      <c r="E709" s="50"/>
      <c r="F709" s="50"/>
      <c r="G709" s="70"/>
    </row>
    <row r="710" spans="1:7" ht="15" x14ac:dyDescent="0.2">
      <c r="A710" s="42"/>
      <c r="B710" s="50"/>
      <c r="C710" s="50"/>
      <c r="D710" s="50"/>
      <c r="E710" s="50"/>
      <c r="F710" s="67"/>
      <c r="G710" s="64"/>
    </row>
    <row r="711" spans="1:7" ht="15.75" x14ac:dyDescent="0.25">
      <c r="A711" s="42"/>
      <c r="B711" s="36"/>
      <c r="C711" s="50"/>
      <c r="D711" s="50"/>
      <c r="E711" s="50"/>
      <c r="F711" s="67"/>
      <c r="G711" s="64"/>
    </row>
    <row r="712" spans="1:7" ht="15.75" x14ac:dyDescent="0.25">
      <c r="A712" s="45" t="s">
        <v>59</v>
      </c>
      <c r="B712" s="50"/>
      <c r="C712" s="50"/>
      <c r="D712" s="50"/>
      <c r="E712" s="50"/>
      <c r="F712" s="54">
        <f>+F702</f>
        <v>17896.735447015508</v>
      </c>
      <c r="G712" s="64"/>
    </row>
    <row r="713" spans="1:7" ht="15" x14ac:dyDescent="0.2">
      <c r="A713" s="42" t="s">
        <v>25</v>
      </c>
      <c r="B713" s="50"/>
      <c r="C713" s="50"/>
      <c r="D713" s="50"/>
      <c r="E713" s="50"/>
      <c r="F713" s="67">
        <v>91907</v>
      </c>
      <c r="G713" s="64"/>
    </row>
    <row r="714" spans="1:7" ht="17.25" x14ac:dyDescent="0.35">
      <c r="A714" s="42" t="s">
        <v>27</v>
      </c>
      <c r="B714" s="50"/>
      <c r="C714" s="50"/>
      <c r="D714" s="50"/>
      <c r="E714" s="50"/>
      <c r="F714" s="50"/>
      <c r="G714" s="57">
        <f>ROUND(+F712/F713,2)</f>
        <v>0.19</v>
      </c>
    </row>
    <row r="715" spans="1:7" ht="17.25" x14ac:dyDescent="0.35">
      <c r="A715" s="42"/>
      <c r="B715" s="50"/>
      <c r="C715" s="50"/>
      <c r="D715" s="50"/>
      <c r="E715" s="50"/>
      <c r="F715" s="50"/>
      <c r="G715" s="57"/>
    </row>
    <row r="716" spans="1:7" ht="16.5" thickBot="1" x14ac:dyDescent="0.3">
      <c r="A716" s="35" t="s">
        <v>30</v>
      </c>
      <c r="B716" s="36"/>
      <c r="C716" s="50"/>
      <c r="D716" s="50"/>
      <c r="E716" s="50"/>
      <c r="F716" s="50"/>
      <c r="G716" s="71">
        <f>+G714+G708</f>
        <v>0.17</v>
      </c>
    </row>
    <row r="717" spans="1:7" ht="16.5" thickTop="1" thickBot="1" x14ac:dyDescent="0.25">
      <c r="A717" s="72"/>
      <c r="B717" s="73"/>
      <c r="C717" s="73"/>
      <c r="D717" s="73"/>
      <c r="E717" s="73"/>
      <c r="F717" s="73"/>
      <c r="G717" s="74"/>
    </row>
  </sheetData>
  <mergeCells count="24">
    <mergeCell ref="A136:G136"/>
    <mergeCell ref="A169:G169"/>
    <mergeCell ref="A203:G203"/>
    <mergeCell ref="A357:G357"/>
    <mergeCell ref="A236:G236"/>
    <mergeCell ref="A270:G270"/>
    <mergeCell ref="A299:G299"/>
    <mergeCell ref="A331:G331"/>
    <mergeCell ref="A386:G386"/>
    <mergeCell ref="A4:G4"/>
    <mergeCell ref="A37:G37"/>
    <mergeCell ref="A475:G475"/>
    <mergeCell ref="A693:G693"/>
    <mergeCell ref="A559:G559"/>
    <mergeCell ref="A585:G585"/>
    <mergeCell ref="A505:G505"/>
    <mergeCell ref="A531:G531"/>
    <mergeCell ref="A613:G613"/>
    <mergeCell ref="A667:G667"/>
    <mergeCell ref="A639:G639"/>
    <mergeCell ref="A70:G70"/>
    <mergeCell ref="A103:G103"/>
    <mergeCell ref="A415:G415"/>
    <mergeCell ref="A447:G447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D14" sqref="D14"/>
    </sheetView>
  </sheetViews>
  <sheetFormatPr defaultRowHeight="12.75" x14ac:dyDescent="0.2"/>
  <cols>
    <col min="1" max="1" width="18.28515625" bestFit="1" customWidth="1"/>
    <col min="3" max="3" width="11.28515625" style="154" bestFit="1" customWidth="1"/>
    <col min="4" max="4" width="9.7109375" style="154" customWidth="1"/>
    <col min="5" max="5" width="5.42578125" style="154" customWidth="1"/>
    <col min="6" max="6" width="11.28515625" bestFit="1" customWidth="1"/>
    <col min="7" max="7" width="11.425781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67"/>
      <c r="D1" s="167"/>
      <c r="E1" s="167"/>
    </row>
    <row r="2" spans="1:10" s="1" customFormat="1" x14ac:dyDescent="0.2">
      <c r="A2" s="1" t="s">
        <v>129</v>
      </c>
      <c r="C2" s="167"/>
      <c r="D2" s="167"/>
      <c r="E2" s="167"/>
    </row>
    <row r="3" spans="1:10" s="1" customFormat="1" x14ac:dyDescent="0.2">
      <c r="C3" s="167"/>
      <c r="D3" s="167"/>
      <c r="E3" s="167"/>
    </row>
    <row r="4" spans="1:10" s="1" customFormat="1" x14ac:dyDescent="0.2">
      <c r="C4" s="167"/>
      <c r="D4" s="168" t="s">
        <v>163</v>
      </c>
      <c r="E4" s="168"/>
      <c r="H4" s="4"/>
    </row>
    <row r="5" spans="1:10" s="1" customFormat="1" x14ac:dyDescent="0.2">
      <c r="C5" s="168" t="s">
        <v>3</v>
      </c>
      <c r="D5" s="168" t="s">
        <v>104</v>
      </c>
      <c r="E5" s="168"/>
      <c r="F5" s="4"/>
      <c r="G5" s="4" t="s">
        <v>125</v>
      </c>
      <c r="H5" s="4" t="s">
        <v>4</v>
      </c>
    </row>
    <row r="6" spans="1:10" s="3" customFormat="1" x14ac:dyDescent="0.2">
      <c r="C6" s="169" t="s">
        <v>104</v>
      </c>
      <c r="D6" s="246">
        <v>12</v>
      </c>
      <c r="E6" s="245" t="s">
        <v>164</v>
      </c>
      <c r="F6" s="101" t="s">
        <v>124</v>
      </c>
      <c r="G6" s="101" t="s">
        <v>126</v>
      </c>
      <c r="H6" s="101" t="s">
        <v>127</v>
      </c>
    </row>
    <row r="7" spans="1:10" s="3" customFormat="1" x14ac:dyDescent="0.2">
      <c r="C7" s="169"/>
      <c r="D7" s="169"/>
      <c r="E7" s="245"/>
      <c r="F7" s="101"/>
      <c r="G7" s="101"/>
      <c r="H7" s="101"/>
    </row>
    <row r="8" spans="1:10" s="3" customFormat="1" x14ac:dyDescent="0.2">
      <c r="A8" s="63" t="s">
        <v>5</v>
      </c>
      <c r="C8" s="170">
        <f>+'2022-2024 Budget'!D6</f>
        <v>26635</v>
      </c>
      <c r="D8" s="170">
        <f>+C8</f>
        <v>26635</v>
      </c>
      <c r="E8" s="170"/>
      <c r="F8" s="170">
        <f>+'Res''l &amp; MF Customers'!P12</f>
        <v>27001</v>
      </c>
      <c r="G8" s="154">
        <f>+F8-D8</f>
        <v>366</v>
      </c>
      <c r="H8" s="113">
        <f>+G8/C8</f>
        <v>1.37413178149052E-2</v>
      </c>
    </row>
    <row r="9" spans="1:10" s="3" customFormat="1" x14ac:dyDescent="0.2">
      <c r="C9" s="169"/>
      <c r="D9" s="169"/>
      <c r="E9" s="169"/>
      <c r="F9" s="101"/>
      <c r="G9" s="101"/>
      <c r="H9" s="113"/>
    </row>
    <row r="10" spans="1:10" x14ac:dyDescent="0.2">
      <c r="A10" t="s">
        <v>123</v>
      </c>
      <c r="C10" s="250">
        <f>+'2022-2024 Budget'!D9</f>
        <v>10409</v>
      </c>
      <c r="D10" s="250">
        <f>+C10/24*D6</f>
        <v>5204.5</v>
      </c>
      <c r="E10" s="250"/>
      <c r="F10" s="250">
        <f>SUM('Tons &amp; Revenue'!K9:K20)</f>
        <v>4896.4815466366917</v>
      </c>
      <c r="G10" s="250">
        <f>+F10-D10</f>
        <v>-308.01845336330825</v>
      </c>
      <c r="H10" s="113">
        <f>+G10/C10</f>
        <v>-2.9591550904343188E-2</v>
      </c>
      <c r="J10" s="6"/>
    </row>
    <row r="11" spans="1:10" x14ac:dyDescent="0.2">
      <c r="F11" s="154"/>
      <c r="G11" s="154"/>
      <c r="H11" s="113"/>
    </row>
    <row r="12" spans="1:10" x14ac:dyDescent="0.2">
      <c r="A12" s="63" t="s">
        <v>130</v>
      </c>
      <c r="C12" s="9">
        <f>+'2022-2024 Budget'!D12</f>
        <v>1736530</v>
      </c>
      <c r="D12" s="9">
        <f>+C12/24*D6</f>
        <v>868265</v>
      </c>
      <c r="E12" s="9"/>
      <c r="F12" s="9">
        <f>+'Tons &amp; Revenue'!Q246</f>
        <v>498154.54968408984</v>
      </c>
      <c r="G12" s="9">
        <f>+F12-D12</f>
        <v>-370110.45031591016</v>
      </c>
      <c r="H12" s="113">
        <f>+G12/C12</f>
        <v>-0.2131321948459918</v>
      </c>
    </row>
    <row r="13" spans="1:10" x14ac:dyDescent="0.2">
      <c r="F13" s="154"/>
      <c r="G13" s="154"/>
      <c r="H13" s="113"/>
    </row>
    <row r="14" spans="1:10" x14ac:dyDescent="0.2">
      <c r="A14" s="63" t="s">
        <v>128</v>
      </c>
      <c r="C14" s="76">
        <f>+C12/C10</f>
        <v>166.8296666346431</v>
      </c>
      <c r="D14" s="76">
        <f>+D12/D10</f>
        <v>166.8296666346431</v>
      </c>
      <c r="E14" s="76"/>
      <c r="F14" s="76">
        <f t="shared" ref="F14" si="0">+F12/F10</f>
        <v>101.73724641651383</v>
      </c>
      <c r="G14" s="76">
        <f>+F14-C14</f>
        <v>-65.092420218129277</v>
      </c>
      <c r="H14" s="113">
        <f>+G14/C14</f>
        <v>-0.39017293225599764</v>
      </c>
    </row>
    <row r="15" spans="1:10" x14ac:dyDescent="0.2">
      <c r="F15" s="154"/>
      <c r="G15" s="154"/>
    </row>
    <row r="16" spans="1:10" x14ac:dyDescent="0.2">
      <c r="F16" s="154"/>
      <c r="G16" s="154"/>
    </row>
    <row r="17" spans="6:7" x14ac:dyDescent="0.2">
      <c r="F17" s="154"/>
      <c r="G17" s="154"/>
    </row>
    <row r="18" spans="6:7" x14ac:dyDescent="0.2">
      <c r="F18" s="154"/>
      <c r="G18" s="154"/>
    </row>
    <row r="19" spans="6:7" x14ac:dyDescent="0.2">
      <c r="F19" s="154"/>
      <c r="G19" s="154"/>
    </row>
    <row r="20" spans="6:7" x14ac:dyDescent="0.2">
      <c r="F20" s="154"/>
      <c r="G20" s="154"/>
    </row>
    <row r="21" spans="6:7" x14ac:dyDescent="0.2">
      <c r="F21" s="154"/>
      <c r="G21" s="154"/>
    </row>
    <row r="22" spans="6:7" x14ac:dyDescent="0.2">
      <c r="F22" s="154"/>
      <c r="G22" s="154"/>
    </row>
    <row r="23" spans="6:7" x14ac:dyDescent="0.2">
      <c r="F23" s="154"/>
      <c r="G23" s="154"/>
    </row>
    <row r="24" spans="6:7" x14ac:dyDescent="0.2">
      <c r="F24" s="154"/>
      <c r="G24" s="154"/>
    </row>
    <row r="25" spans="6:7" x14ac:dyDescent="0.2">
      <c r="F25" s="154"/>
      <c r="G25" s="154"/>
    </row>
    <row r="26" spans="6:7" x14ac:dyDescent="0.2">
      <c r="F26" s="154"/>
      <c r="G26" s="154"/>
    </row>
    <row r="27" spans="6:7" x14ac:dyDescent="0.2">
      <c r="F27" s="154"/>
      <c r="G27" s="154"/>
    </row>
    <row r="28" spans="6:7" x14ac:dyDescent="0.2">
      <c r="F28" s="154"/>
      <c r="G28" s="154"/>
    </row>
    <row r="29" spans="6:7" x14ac:dyDescent="0.2">
      <c r="F29" s="154"/>
      <c r="G29" s="154"/>
    </row>
    <row r="30" spans="6:7" x14ac:dyDescent="0.2">
      <c r="F30" s="154"/>
      <c r="G30" s="154"/>
    </row>
    <row r="31" spans="6:7" x14ac:dyDescent="0.2">
      <c r="F31" s="154"/>
      <c r="G31" s="154"/>
    </row>
    <row r="32" spans="6:7" x14ac:dyDescent="0.2">
      <c r="F32" s="154"/>
      <c r="G32" s="154"/>
    </row>
    <row r="33" spans="6:7" x14ac:dyDescent="0.2">
      <c r="F33" s="154"/>
      <c r="G33" s="154"/>
    </row>
    <row r="34" spans="6:7" x14ac:dyDescent="0.2">
      <c r="F34" s="154"/>
      <c r="G34" s="154"/>
    </row>
    <row r="35" spans="6:7" x14ac:dyDescent="0.2">
      <c r="F35" s="154"/>
      <c r="G35" s="154"/>
    </row>
    <row r="36" spans="6:7" x14ac:dyDescent="0.2">
      <c r="F36" s="154"/>
      <c r="G36" s="154"/>
    </row>
    <row r="37" spans="6:7" x14ac:dyDescent="0.2">
      <c r="F37" s="154"/>
      <c r="G37" s="154"/>
    </row>
    <row r="38" spans="6:7" x14ac:dyDescent="0.2">
      <c r="F38" s="154"/>
      <c r="G38" s="1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6"/>
  <sheetViews>
    <sheetView zoomScale="115" zoomScaleNormal="115" workbookViewId="0">
      <selection activeCell="M21" sqref="M21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6" width="10.28515625" style="276" bestFit="1" customWidth="1"/>
    <col min="7" max="7" width="9" style="276" bestFit="1" customWidth="1"/>
    <col min="8" max="8" width="10.42578125" style="276" customWidth="1"/>
    <col min="9" max="9" width="13.140625" bestFit="1" customWidth="1"/>
    <col min="10" max="10" width="10.85546875" bestFit="1" customWidth="1"/>
    <col min="11" max="11" width="10.42578125" bestFit="1" customWidth="1"/>
    <col min="12" max="12" width="11.28515625" bestFit="1" customWidth="1"/>
    <col min="13" max="14" width="10.28515625" bestFit="1" customWidth="1"/>
    <col min="15" max="15" width="9.42578125" bestFit="1" customWidth="1"/>
    <col min="16" max="16" width="12.42578125" bestFit="1" customWidth="1"/>
    <col min="17" max="18" width="12.28515625" bestFit="1" customWidth="1"/>
    <col min="19" max="19" width="10.28515625" bestFit="1" customWidth="1"/>
    <col min="22" max="22" width="10.28515625" bestFit="1" customWidth="1"/>
  </cols>
  <sheetData>
    <row r="1" spans="1:19" s="4" customFormat="1" ht="23.25" x14ac:dyDescent="0.35">
      <c r="A1" s="22" t="s">
        <v>31</v>
      </c>
      <c r="C1" s="27"/>
      <c r="F1" s="269"/>
      <c r="G1" s="269"/>
      <c r="H1" s="269"/>
    </row>
    <row r="2" spans="1:19" s="4" customFormat="1" x14ac:dyDescent="0.2">
      <c r="A2" s="1" t="s">
        <v>63</v>
      </c>
      <c r="C2" s="27"/>
      <c r="F2" s="269"/>
      <c r="G2" s="269"/>
      <c r="H2" s="269"/>
    </row>
    <row r="3" spans="1:19" s="4" customFormat="1" x14ac:dyDescent="0.2">
      <c r="A3" s="4" t="s">
        <v>186</v>
      </c>
      <c r="C3" s="27"/>
      <c r="F3" s="269"/>
      <c r="G3" s="269"/>
      <c r="H3" s="269"/>
    </row>
    <row r="4" spans="1:19" s="4" customFormat="1" x14ac:dyDescent="0.2">
      <c r="C4" s="27"/>
      <c r="F4" s="269"/>
      <c r="G4" s="269"/>
      <c r="H4" s="269"/>
    </row>
    <row r="5" spans="1:19" s="4" customFormat="1" x14ac:dyDescent="0.2">
      <c r="C5" s="27" t="s">
        <v>62</v>
      </c>
      <c r="F5" s="269" t="s">
        <v>62</v>
      </c>
      <c r="G5" s="269"/>
      <c r="H5" s="269"/>
    </row>
    <row r="6" spans="1:19" s="4" customFormat="1" x14ac:dyDescent="0.2">
      <c r="C6" s="27" t="s">
        <v>197</v>
      </c>
      <c r="F6" s="269" t="s">
        <v>196</v>
      </c>
      <c r="G6" s="269"/>
      <c r="H6" s="269" t="s">
        <v>196</v>
      </c>
      <c r="I6" s="4" t="s">
        <v>56</v>
      </c>
      <c r="J6" s="4" t="s">
        <v>14</v>
      </c>
      <c r="K6" s="4" t="s">
        <v>16</v>
      </c>
      <c r="M6" s="4" t="s">
        <v>115</v>
      </c>
      <c r="O6" s="4" t="s">
        <v>186</v>
      </c>
    </row>
    <row r="7" spans="1:19" s="4" customFormat="1" x14ac:dyDescent="0.2">
      <c r="C7" s="27" t="s">
        <v>32</v>
      </c>
      <c r="D7" s="4" t="s">
        <v>14</v>
      </c>
      <c r="E7" s="4" t="s">
        <v>46</v>
      </c>
      <c r="F7" s="269" t="s">
        <v>194</v>
      </c>
      <c r="G7" s="269" t="s">
        <v>4</v>
      </c>
      <c r="H7" s="269" t="s">
        <v>194</v>
      </c>
      <c r="I7" s="4" t="s">
        <v>4</v>
      </c>
      <c r="J7" s="4" t="s">
        <v>15</v>
      </c>
      <c r="K7" s="27" t="s">
        <v>33</v>
      </c>
      <c r="L7" s="4" t="s">
        <v>32</v>
      </c>
      <c r="M7" s="4" t="s">
        <v>116</v>
      </c>
      <c r="P7" s="4" t="s">
        <v>14</v>
      </c>
      <c r="Q7" s="4" t="s">
        <v>46</v>
      </c>
    </row>
    <row r="8" spans="1:19" s="5" customFormat="1" x14ac:dyDescent="0.2">
      <c r="A8" s="5" t="s">
        <v>61</v>
      </c>
      <c r="C8" s="16" t="s">
        <v>12</v>
      </c>
      <c r="D8" s="101" t="s">
        <v>45</v>
      </c>
      <c r="E8" s="5" t="s">
        <v>33</v>
      </c>
      <c r="F8" s="270" t="s">
        <v>33</v>
      </c>
      <c r="G8" s="270" t="s">
        <v>194</v>
      </c>
      <c r="H8" s="270" t="s">
        <v>195</v>
      </c>
      <c r="I8" s="5" t="s">
        <v>15</v>
      </c>
      <c r="J8" s="101" t="s">
        <v>12</v>
      </c>
      <c r="K8" s="5" t="s">
        <v>12</v>
      </c>
      <c r="L8" s="5" t="s">
        <v>5</v>
      </c>
      <c r="M8" s="5" t="s">
        <v>61</v>
      </c>
      <c r="N8" s="101"/>
      <c r="O8" s="101" t="s">
        <v>188</v>
      </c>
      <c r="P8" s="101" t="s">
        <v>45</v>
      </c>
      <c r="Q8" s="101" t="s">
        <v>189</v>
      </c>
      <c r="R8" s="5" t="s">
        <v>4</v>
      </c>
    </row>
    <row r="9" spans="1:19" x14ac:dyDescent="0.2">
      <c r="A9" t="s">
        <v>181</v>
      </c>
      <c r="C9" s="2">
        <f>+Composition!B39</f>
        <v>1785.1199999999997</v>
      </c>
      <c r="D9" s="6">
        <f>-C9*Composition!B$40</f>
        <v>-315.79000000000002</v>
      </c>
      <c r="E9" s="6">
        <f t="shared" ref="E9:E20" si="0">+D9+C9</f>
        <v>1469.3299999999997</v>
      </c>
      <c r="F9" s="271">
        <v>1189.6600000000001</v>
      </c>
      <c r="G9" s="273">
        <f t="shared" ref="G9:G20" si="1">+F9/C9</f>
        <v>0.66643138836604843</v>
      </c>
      <c r="H9" s="272">
        <f t="shared" ref="H9:H15" si="2">+E9*G9</f>
        <v>979.20763186788577</v>
      </c>
      <c r="I9" s="113">
        <f>+'Res''l &amp; MF Customers'!C18</f>
        <v>0.54722968435191399</v>
      </c>
      <c r="J9" s="6">
        <f t="shared" ref="J9:J14" si="3">-H9*I9</f>
        <v>-535.85148330204834</v>
      </c>
      <c r="K9" s="6">
        <f>+H9+J9</f>
        <v>443.35614856583743</v>
      </c>
      <c r="L9" s="154">
        <f>+'Res''l &amp; MF Customers'!C12</f>
        <v>26967</v>
      </c>
      <c r="M9" s="6">
        <f>+K9*2000/L9</f>
        <v>32.881384548955197</v>
      </c>
      <c r="N9" s="4"/>
      <c r="O9" s="262">
        <v>12.76</v>
      </c>
      <c r="P9" s="262">
        <f>-O9*Composition!B$40</f>
        <v>-2.2572602402079416</v>
      </c>
      <c r="Q9" s="264">
        <f>+O9+P9</f>
        <v>10.502739759792059</v>
      </c>
      <c r="R9" s="113">
        <f>+Q9/(K9+Q9)</f>
        <v>2.3140980665903966E-2</v>
      </c>
      <c r="S9" t="s">
        <v>181</v>
      </c>
    </row>
    <row r="10" spans="1:19" x14ac:dyDescent="0.2">
      <c r="A10" t="s">
        <v>148</v>
      </c>
      <c r="C10" s="2">
        <f>+Composition!D39</f>
        <v>1549.0400000000002</v>
      </c>
      <c r="D10" s="6">
        <f>-C10*Composition!D$40</f>
        <v>-258.69</v>
      </c>
      <c r="E10" s="6">
        <f t="shared" si="0"/>
        <v>1290.3500000000001</v>
      </c>
      <c r="F10" s="271">
        <v>1042.17</v>
      </c>
      <c r="G10" s="273">
        <f t="shared" si="1"/>
        <v>0.67278443423023293</v>
      </c>
      <c r="H10" s="272">
        <f t="shared" si="2"/>
        <v>868.12739470898111</v>
      </c>
      <c r="I10" s="145">
        <f>+'Res''l &amp; MF Customers'!D18</f>
        <v>0.54691194472858995</v>
      </c>
      <c r="J10" s="6">
        <f t="shared" si="3"/>
        <v>-474.78924171245308</v>
      </c>
      <c r="K10" s="6">
        <f t="shared" ref="K10:K20" si="4">+H10+J10</f>
        <v>393.33815299652804</v>
      </c>
      <c r="L10" s="154">
        <f>+'Res''l &amp; MF Customers'!D$12</f>
        <v>27019</v>
      </c>
      <c r="M10" s="6">
        <f t="shared" ref="M10:M20" si="5">+K10*2000/L10</f>
        <v>29.115670675933824</v>
      </c>
      <c r="N10" s="4"/>
      <c r="O10" s="262">
        <v>10.61</v>
      </c>
      <c r="P10" s="262">
        <f>-O10*Composition!D$40</f>
        <v>-1.7718721918091203</v>
      </c>
      <c r="Q10" s="264">
        <f t="shared" ref="Q10:Q12" si="6">+O10+P10</f>
        <v>8.8381278081908796</v>
      </c>
      <c r="R10" s="113">
        <f t="shared" ref="R10:R21" si="7">+Q10/(K10+Q10)</f>
        <v>2.1975755980702224E-2</v>
      </c>
      <c r="S10" t="s">
        <v>148</v>
      </c>
    </row>
    <row r="11" spans="1:19" x14ac:dyDescent="0.2">
      <c r="A11" t="s">
        <v>149</v>
      </c>
      <c r="C11" s="2">
        <f>+Composition!F39</f>
        <v>1626.7800000000002</v>
      </c>
      <c r="D11" s="6">
        <f>-C11*Composition!F$40</f>
        <v>-241.39000000000001</v>
      </c>
      <c r="E11" s="6">
        <f t="shared" si="0"/>
        <v>1385.39</v>
      </c>
      <c r="F11" s="271">
        <v>1082.5899999999999</v>
      </c>
      <c r="G11" s="273">
        <f t="shared" si="1"/>
        <v>0.66548027391534181</v>
      </c>
      <c r="H11" s="272">
        <f t="shared" si="2"/>
        <v>921.94971667957543</v>
      </c>
      <c r="I11" s="145">
        <f>+'Res''l &amp; MF Customers'!E$18</f>
        <v>0.54771832872812531</v>
      </c>
      <c r="J11" s="6">
        <f t="shared" si="3"/>
        <v>-504.96875799110569</v>
      </c>
      <c r="K11" s="6">
        <f t="shared" si="4"/>
        <v>416.98095868846974</v>
      </c>
      <c r="L11" s="154">
        <f>+'Res''l &amp; MF Customers'!E$12</f>
        <v>27008</v>
      </c>
      <c r="M11" s="6">
        <f t="shared" si="5"/>
        <v>30.878329286764643</v>
      </c>
      <c r="N11" s="4"/>
      <c r="O11" s="262">
        <v>12.01</v>
      </c>
      <c r="P11" s="262">
        <f>-O11*Composition!F$40</f>
        <v>-1.7821056934557837</v>
      </c>
      <c r="Q11" s="264">
        <f t="shared" si="6"/>
        <v>10.227894306544217</v>
      </c>
      <c r="R11" s="113">
        <f t="shared" si="7"/>
        <v>2.3941204014944862E-2</v>
      </c>
      <c r="S11" t="s">
        <v>149</v>
      </c>
    </row>
    <row r="12" spans="1:19" x14ac:dyDescent="0.2">
      <c r="A12" t="s">
        <v>150</v>
      </c>
      <c r="C12" s="2">
        <f>+Composition!H39</f>
        <v>1618.3599999999997</v>
      </c>
      <c r="D12" s="6">
        <f>-C12*Composition!H$40</f>
        <v>-234.95999999999998</v>
      </c>
      <c r="E12" s="6">
        <f t="shared" si="0"/>
        <v>1383.3999999999996</v>
      </c>
      <c r="F12" s="271">
        <v>1055.6600000000001</v>
      </c>
      <c r="G12" s="273">
        <f t="shared" si="1"/>
        <v>0.65230233075459121</v>
      </c>
      <c r="H12" s="272">
        <f t="shared" si="2"/>
        <v>902.39504436590119</v>
      </c>
      <c r="I12" s="145">
        <f>+'Res''l &amp; MF Customers'!F$18</f>
        <v>0.54760111786066901</v>
      </c>
      <c r="J12" s="6">
        <f t="shared" si="3"/>
        <v>-494.1525350466955</v>
      </c>
      <c r="K12" s="6">
        <f t="shared" si="4"/>
        <v>408.24250931920568</v>
      </c>
      <c r="L12" s="154">
        <f>+'Res''l &amp; MF Customers'!F$12</f>
        <v>27034</v>
      </c>
      <c r="M12" s="6">
        <f t="shared" si="5"/>
        <v>30.202153534009444</v>
      </c>
      <c r="N12" s="4"/>
      <c r="O12" s="262">
        <v>13.02</v>
      </c>
      <c r="P12" s="262">
        <f>-O12*Composition!H$40</f>
        <v>-1.8902958550631506</v>
      </c>
      <c r="Q12" s="264">
        <f t="shared" si="6"/>
        <v>11.129704144936849</v>
      </c>
      <c r="R12" s="113">
        <f t="shared" si="7"/>
        <v>2.6538964165036337E-2</v>
      </c>
      <c r="S12" t="s">
        <v>150</v>
      </c>
    </row>
    <row r="13" spans="1:19" x14ac:dyDescent="0.2">
      <c r="A13" t="s">
        <v>151</v>
      </c>
      <c r="C13" s="2">
        <f>+Composition!J39</f>
        <v>1520.57</v>
      </c>
      <c r="D13" s="6">
        <f>-Composition!J37</f>
        <v>-228.26000000000002</v>
      </c>
      <c r="E13" s="6">
        <f t="shared" si="0"/>
        <v>1292.31</v>
      </c>
      <c r="F13" s="271">
        <v>1020.73</v>
      </c>
      <c r="G13" s="273">
        <f t="shared" si="1"/>
        <v>0.67128116430022955</v>
      </c>
      <c r="H13" s="272">
        <f t="shared" si="2"/>
        <v>867.50336143682966</v>
      </c>
      <c r="I13" s="145">
        <f>+'Res''l &amp; MF Customers'!G$18</f>
        <v>0.54737424732896134</v>
      </c>
      <c r="J13" s="6">
        <f t="shared" si="3"/>
        <v>-474.84899952182855</v>
      </c>
      <c r="K13" s="6">
        <f t="shared" si="4"/>
        <v>392.65436191500112</v>
      </c>
      <c r="L13" s="154">
        <f>+'Res''l &amp; MF Customers'!G$12</f>
        <v>26986</v>
      </c>
      <c r="M13" s="6">
        <f t="shared" si="5"/>
        <v>29.100597488697925</v>
      </c>
      <c r="N13" s="4"/>
      <c r="O13" s="262">
        <v>10.24</v>
      </c>
      <c r="P13" s="262">
        <f>-O13*Composition!J$40</f>
        <v>-1.537175138270517</v>
      </c>
      <c r="Q13" s="264">
        <f t="shared" ref="Q13:Q16" si="8">+O13+P13</f>
        <v>8.7028248617294839</v>
      </c>
      <c r="R13" s="113">
        <f t="shared" ref="R13:R16" si="9">+Q13/(K13+Q13)</f>
        <v>2.1683490786900357E-2</v>
      </c>
      <c r="S13" t="s">
        <v>151</v>
      </c>
    </row>
    <row r="14" spans="1:19" x14ac:dyDescent="0.2">
      <c r="A14" t="s">
        <v>152</v>
      </c>
      <c r="C14" s="2">
        <f>+Composition!L39</f>
        <v>1506.08</v>
      </c>
      <c r="D14" s="6">
        <f>-Composition!L37</f>
        <v>-268.83000000000004</v>
      </c>
      <c r="E14" s="6">
        <f t="shared" si="0"/>
        <v>1237.25</v>
      </c>
      <c r="F14" s="271">
        <v>986.25</v>
      </c>
      <c r="G14" s="273">
        <f t="shared" si="1"/>
        <v>0.65484569212790822</v>
      </c>
      <c r="H14" s="272">
        <f t="shared" si="2"/>
        <v>810.20783258525444</v>
      </c>
      <c r="I14" s="145">
        <f>+'Res''l &amp; MF Customers'!H$18</f>
        <v>0.5473265532171987</v>
      </c>
      <c r="J14" s="6">
        <f t="shared" si="3"/>
        <v>-443.44826039846447</v>
      </c>
      <c r="K14" s="6">
        <f t="shared" si="4"/>
        <v>366.75957218678997</v>
      </c>
      <c r="L14" s="154">
        <f>+'Res''l &amp; MF Customers'!H$12</f>
        <v>26973</v>
      </c>
      <c r="M14" s="6">
        <f t="shared" si="5"/>
        <v>27.194570287827823</v>
      </c>
      <c r="N14" s="4"/>
      <c r="O14" s="262">
        <v>11.41</v>
      </c>
      <c r="P14" s="262">
        <f>-O14*Composition!L$40</f>
        <v>-2.0366449989376396</v>
      </c>
      <c r="Q14" s="264">
        <f t="shared" si="8"/>
        <v>9.373355001062361</v>
      </c>
      <c r="R14" s="113">
        <f t="shared" si="9"/>
        <v>2.4920325564533784E-2</v>
      </c>
      <c r="S14" t="s">
        <v>152</v>
      </c>
    </row>
    <row r="15" spans="1:19" x14ac:dyDescent="0.2">
      <c r="A15" t="s">
        <v>7</v>
      </c>
      <c r="C15" s="2">
        <f>+Composition!N39</f>
        <v>1627.8099999999997</v>
      </c>
      <c r="D15" s="6">
        <f>-Composition!N37</f>
        <v>-344.90000000000003</v>
      </c>
      <c r="E15" s="6">
        <f t="shared" si="0"/>
        <v>1282.9099999999996</v>
      </c>
      <c r="F15" s="271">
        <v>1149.6400000000001</v>
      </c>
      <c r="G15" s="273">
        <f t="shared" si="1"/>
        <v>0.70624950086312299</v>
      </c>
      <c r="H15" s="272">
        <f t="shared" si="2"/>
        <v>906.05454715230883</v>
      </c>
      <c r="I15" s="145">
        <f>+'Res''l &amp; MF Customers'!I$18</f>
        <v>0.54748772449048233</v>
      </c>
      <c r="J15" s="6">
        <f>-H15*I15</f>
        <v>-496.05374228467201</v>
      </c>
      <c r="K15" s="6">
        <f t="shared" si="4"/>
        <v>410.00080486763682</v>
      </c>
      <c r="L15" s="154">
        <f>+'Res''l &amp; MF Customers'!I$12</f>
        <v>26910</v>
      </c>
      <c r="M15" s="6">
        <f t="shared" si="5"/>
        <v>30.472003334644135</v>
      </c>
      <c r="N15" s="4"/>
      <c r="O15" s="262">
        <v>13.65</v>
      </c>
      <c r="P15" s="262">
        <f>-O15*Composition!N$40</f>
        <v>-2.8921587900307784</v>
      </c>
      <c r="Q15" s="264">
        <f t="shared" si="8"/>
        <v>10.757841209969222</v>
      </c>
      <c r="R15" s="113">
        <f t="shared" si="9"/>
        <v>2.5567724657011591E-2</v>
      </c>
      <c r="S15" t="s">
        <v>7</v>
      </c>
    </row>
    <row r="16" spans="1:19" x14ac:dyDescent="0.2">
      <c r="A16" t="s">
        <v>182</v>
      </c>
      <c r="C16" s="2">
        <f>+Composition!P39</f>
        <v>1812.8199999999997</v>
      </c>
      <c r="D16" s="6">
        <f>-Composition!P37</f>
        <v>-321.05</v>
      </c>
      <c r="E16" s="6">
        <f t="shared" si="0"/>
        <v>1491.7699999999998</v>
      </c>
      <c r="F16" s="272">
        <v>1179.17</v>
      </c>
      <c r="G16" s="273">
        <f>+F16/C16</f>
        <v>0.65046171158747157</v>
      </c>
      <c r="H16" s="272">
        <f>+E16*G16</f>
        <v>970.33926749484226</v>
      </c>
      <c r="I16" s="145">
        <f>+'Res''l &amp; MF Customers'!J$18</f>
        <v>0.54717584489026527</v>
      </c>
      <c r="J16" s="6">
        <f t="shared" ref="J16:J20" si="10">-H16*I16</f>
        <v>-530.94620852169146</v>
      </c>
      <c r="K16" s="6">
        <f t="shared" si="4"/>
        <v>439.3930589731508</v>
      </c>
      <c r="L16" s="154">
        <f>+'Res''l &amp; MF Customers'!J$12</f>
        <v>26905</v>
      </c>
      <c r="M16" s="6">
        <f t="shared" si="5"/>
        <v>32.662557812536761</v>
      </c>
      <c r="N16" s="4"/>
      <c r="O16" s="262">
        <v>13.41</v>
      </c>
      <c r="P16" s="262">
        <f>-O16*Composition!P$40</f>
        <v>-2.3749078783332052</v>
      </c>
      <c r="Q16" s="264">
        <f t="shared" si="8"/>
        <v>11.035092121666795</v>
      </c>
      <c r="R16" s="113">
        <f t="shared" si="9"/>
        <v>2.4499117328356874E-2</v>
      </c>
      <c r="S16" t="s">
        <v>182</v>
      </c>
    </row>
    <row r="17" spans="1:19" x14ac:dyDescent="0.2">
      <c r="A17" t="s">
        <v>10</v>
      </c>
      <c r="C17" s="2">
        <f>+Composition!R39</f>
        <v>1308.8273750000001</v>
      </c>
      <c r="D17" s="6">
        <f>-Composition!R37</f>
        <v>-203.654775</v>
      </c>
      <c r="E17" s="6">
        <f t="shared" si="0"/>
        <v>1105.1726000000001</v>
      </c>
      <c r="F17" s="271">
        <v>911.11</v>
      </c>
      <c r="G17" s="273">
        <f t="shared" si="1"/>
        <v>0.69612694340229553</v>
      </c>
      <c r="H17" s="272">
        <f t="shared" ref="H17:H20" si="11">+E17*G17</f>
        <v>769.3404239699679</v>
      </c>
      <c r="I17" s="145">
        <f>+'Res''l &amp; MF Customers'!K$18</f>
        <v>0.54891158290782049</v>
      </c>
      <c r="J17" s="6">
        <f t="shared" si="10"/>
        <v>-422.29986991632882</v>
      </c>
      <c r="K17" s="6">
        <f t="shared" si="4"/>
        <v>347.04055405363908</v>
      </c>
      <c r="L17" s="154">
        <f>+'Res''l &amp; MF Customers'!K$12</f>
        <v>26856</v>
      </c>
      <c r="M17" s="6">
        <f t="shared" si="5"/>
        <v>25.844545282517057</v>
      </c>
      <c r="N17" s="4"/>
      <c r="O17" s="262">
        <v>12.21</v>
      </c>
      <c r="P17" s="262">
        <f>-O17*Composition!P$40</f>
        <v>-2.1623881576769897</v>
      </c>
      <c r="Q17" s="264">
        <f t="shared" ref="Q17:Q20" si="12">+O17+P17</f>
        <v>10.047611842323011</v>
      </c>
      <c r="R17" s="113">
        <f t="shared" ref="R17:R20" si="13">+Q17/(K17+Q17)</f>
        <v>2.8137622027077733E-2</v>
      </c>
      <c r="S17" t="s">
        <v>10</v>
      </c>
    </row>
    <row r="18" spans="1:19" x14ac:dyDescent="0.2">
      <c r="A18" t="s">
        <v>8</v>
      </c>
      <c r="C18" s="2">
        <f>+Composition!T39</f>
        <v>1573.9873200000002</v>
      </c>
      <c r="D18" s="6">
        <f>-Composition!T37</f>
        <v>-274.25071600000001</v>
      </c>
      <c r="E18" s="6">
        <f t="shared" si="0"/>
        <v>1299.7366040000002</v>
      </c>
      <c r="F18" s="271">
        <v>1077.81</v>
      </c>
      <c r="G18" s="273">
        <f t="shared" si="1"/>
        <v>0.68476409327109433</v>
      </c>
      <c r="H18" s="272">
        <f t="shared" si="11"/>
        <v>890.01295712931153</v>
      </c>
      <c r="I18" s="145">
        <f>+'Res''l &amp; MF Customers'!L$18</f>
        <v>0.54905263860164122</v>
      </c>
      <c r="J18" s="6">
        <f t="shared" si="10"/>
        <v>-488.66396250149791</v>
      </c>
      <c r="K18" s="6">
        <f t="shared" si="4"/>
        <v>401.34899462781362</v>
      </c>
      <c r="L18" s="154">
        <f>+'Res''l &amp; MF Customers'!L$12</f>
        <v>27037</v>
      </c>
      <c r="M18" s="6">
        <f t="shared" si="5"/>
        <v>29.688870409277186</v>
      </c>
      <c r="N18" s="4"/>
      <c r="O18" s="262">
        <v>14.71</v>
      </c>
      <c r="P18" s="262">
        <f>-O18*Composition!P$40</f>
        <v>-2.6051375757107715</v>
      </c>
      <c r="Q18" s="264">
        <f t="shared" si="12"/>
        <v>12.10486242428923</v>
      </c>
      <c r="R18" s="113">
        <f t="shared" si="13"/>
        <v>2.9277420485555639E-2</v>
      </c>
      <c r="S18" t="s">
        <v>8</v>
      </c>
    </row>
    <row r="19" spans="1:19" x14ac:dyDescent="0.2">
      <c r="A19" t="s">
        <v>9</v>
      </c>
      <c r="C19" s="2">
        <f>+Composition!V39</f>
        <v>1996.0600000000004</v>
      </c>
      <c r="D19" s="6">
        <f>-Composition!V37</f>
        <v>-362.12</v>
      </c>
      <c r="E19" s="6">
        <f t="shared" si="0"/>
        <v>1633.9400000000005</v>
      </c>
      <c r="F19" s="271">
        <v>1325.17</v>
      </c>
      <c r="G19" s="273">
        <f t="shared" si="1"/>
        <v>0.66389286895183497</v>
      </c>
      <c r="H19" s="272">
        <f t="shared" si="11"/>
        <v>1084.7611142951616</v>
      </c>
      <c r="I19" s="145">
        <f>+'Res''l &amp; MF Customers'!M$18</f>
        <v>0.54784581255316667</v>
      </c>
      <c r="J19" s="6">
        <f t="shared" si="10"/>
        <v>-594.28183408711129</v>
      </c>
      <c r="K19" s="6">
        <f t="shared" si="4"/>
        <v>490.47928020805034</v>
      </c>
      <c r="L19" s="154">
        <f>+'Res''l &amp; MF Customers'!M$12</f>
        <v>27108</v>
      </c>
      <c r="M19" s="6">
        <f t="shared" si="5"/>
        <v>36.187050332599256</v>
      </c>
      <c r="N19" s="4"/>
      <c r="O19" s="262">
        <v>13.51</v>
      </c>
      <c r="P19" s="262">
        <f>-O19*Composition!P$40</f>
        <v>-2.392617855054556</v>
      </c>
      <c r="Q19" s="264">
        <f t="shared" si="12"/>
        <v>11.117382144945443</v>
      </c>
      <c r="R19" s="113">
        <f t="shared" si="13"/>
        <v>2.2163987481084252E-2</v>
      </c>
      <c r="S19" t="s">
        <v>9</v>
      </c>
    </row>
    <row r="20" spans="1:19" ht="15" x14ac:dyDescent="0.35">
      <c r="A20" t="s">
        <v>2</v>
      </c>
      <c r="C20" s="12">
        <f>+Composition!X39</f>
        <v>1601.7082009999999</v>
      </c>
      <c r="D20" s="7">
        <f>-Composition!X37</f>
        <v>-295.51369600000004</v>
      </c>
      <c r="E20" s="7">
        <f t="shared" si="0"/>
        <v>1306.1945049999999</v>
      </c>
      <c r="F20" s="274">
        <v>1051.2</v>
      </c>
      <c r="G20" s="291">
        <f t="shared" si="1"/>
        <v>0.65629931803040076</v>
      </c>
      <c r="H20" s="283">
        <f t="shared" si="11"/>
        <v>857.25456284655684</v>
      </c>
      <c r="I20" s="148">
        <f>+'Res''l &amp; MF Customers'!N$18</f>
        <v>0.54869047421586026</v>
      </c>
      <c r="J20" s="7">
        <f t="shared" si="10"/>
        <v>-470.36741261198728</v>
      </c>
      <c r="K20" s="7">
        <f t="shared" si="4"/>
        <v>386.88715023456956</v>
      </c>
      <c r="L20" s="155">
        <f>+'Res''l &amp; MF Customers'!N$12</f>
        <v>27209</v>
      </c>
      <c r="M20" s="7">
        <f t="shared" si="5"/>
        <v>28.438174885851708</v>
      </c>
      <c r="N20" s="4"/>
      <c r="O20" s="267">
        <v>16.149999999999999</v>
      </c>
      <c r="P20" s="267">
        <f>-O20*Composition!P$40</f>
        <v>-2.8601612404982295</v>
      </c>
      <c r="Q20" s="268">
        <f t="shared" si="12"/>
        <v>13.28983875950177</v>
      </c>
      <c r="R20" s="113">
        <f t="shared" si="13"/>
        <v>3.3209902430693383E-2</v>
      </c>
      <c r="S20" t="s">
        <v>2</v>
      </c>
    </row>
    <row r="21" spans="1:19" ht="15" x14ac:dyDescent="0.35">
      <c r="C21" s="15">
        <f>SUM(C9:C20)</f>
        <v>19527.162896000002</v>
      </c>
      <c r="D21" s="15">
        <f>SUM(D9:D20)</f>
        <v>-3349.4091870000002</v>
      </c>
      <c r="E21" s="15">
        <f>SUM(E9:E20)</f>
        <v>16177.753708999999</v>
      </c>
      <c r="F21" s="275">
        <f t="shared" ref="F21:H21" si="14">SUM(F9:F20)</f>
        <v>13071.16</v>
      </c>
      <c r="G21" s="290">
        <f>+F21/C21</f>
        <v>0.66938346700008999</v>
      </c>
      <c r="H21" s="275">
        <f t="shared" si="14"/>
        <v>10827.153854532575</v>
      </c>
      <c r="I21" s="100"/>
      <c r="J21" s="15">
        <f>SUM(J9:J20)</f>
        <v>-5930.6723078958839</v>
      </c>
      <c r="K21" s="15">
        <f>SUM(K9:K20)</f>
        <v>4896.4815466366917</v>
      </c>
      <c r="L21" s="156">
        <f>SUM(L9:L20)</f>
        <v>324012</v>
      </c>
      <c r="M21" s="8">
        <f>+K21*2000/L21</f>
        <v>30.22407532212814</v>
      </c>
      <c r="N21" s="4" t="s">
        <v>190</v>
      </c>
      <c r="O21" s="263">
        <f>SUM(O9:O20)</f>
        <v>153.69</v>
      </c>
      <c r="P21" s="263">
        <f t="shared" ref="P21:Q21" si="15">SUM(P9:P20)</f>
        <v>-26.562725615048681</v>
      </c>
      <c r="Q21" s="263">
        <f t="shared" si="15"/>
        <v>127.12727438495131</v>
      </c>
      <c r="R21" s="113">
        <f t="shared" si="7"/>
        <v>2.5305966072234429E-2</v>
      </c>
    </row>
    <row r="22" spans="1:19" x14ac:dyDescent="0.2">
      <c r="L22" s="6"/>
    </row>
    <row r="23" spans="1:19" x14ac:dyDescent="0.2">
      <c r="A23" t="s">
        <v>183</v>
      </c>
      <c r="C23" s="2">
        <f>+Composition!B58</f>
        <v>0</v>
      </c>
      <c r="D23" s="6">
        <f>-Composition!B56</f>
        <v>0</v>
      </c>
      <c r="E23" s="6">
        <f t="shared" ref="E23:E34" si="16">+D23+C23</f>
        <v>0</v>
      </c>
      <c r="F23" s="271"/>
      <c r="G23" s="271"/>
      <c r="H23" s="271"/>
      <c r="I23" s="113" t="e">
        <f>+'Res''l &amp; MF Customers'!C49</f>
        <v>#DIV/0!</v>
      </c>
      <c r="J23" s="6" t="e">
        <f t="shared" ref="J23:J34" si="17">-I23*E23</f>
        <v>#DIV/0!</v>
      </c>
      <c r="K23" s="6" t="e">
        <f t="shared" ref="K23:K34" si="18">+J23+E23</f>
        <v>#DIV/0!</v>
      </c>
      <c r="L23" s="154">
        <f>+'Res''l &amp; MF Customers'!C43</f>
        <v>0</v>
      </c>
      <c r="M23" s="6" t="e">
        <f>+K23*2000/L23</f>
        <v>#DIV/0!</v>
      </c>
    </row>
    <row r="24" spans="1:19" x14ac:dyDescent="0.2">
      <c r="A24" t="s">
        <v>148</v>
      </c>
      <c r="C24" s="2">
        <f>+Composition!D58</f>
        <v>0</v>
      </c>
      <c r="D24" s="6">
        <f>-Composition!D56</f>
        <v>0</v>
      </c>
      <c r="E24" s="6">
        <f t="shared" si="16"/>
        <v>0</v>
      </c>
      <c r="F24" s="271"/>
      <c r="G24" s="271"/>
      <c r="H24" s="271"/>
      <c r="I24" s="145" t="e">
        <f>+'Res''l &amp; MF Customers'!D49</f>
        <v>#DIV/0!</v>
      </c>
      <c r="J24" s="6" t="e">
        <f t="shared" si="17"/>
        <v>#DIV/0!</v>
      </c>
      <c r="K24" s="6" t="e">
        <f t="shared" si="18"/>
        <v>#DIV/0!</v>
      </c>
      <c r="L24" s="154">
        <f>+'Res''l &amp; MF Customers'!D43</f>
        <v>0</v>
      </c>
      <c r="M24" s="6" t="e">
        <f t="shared" ref="M24:M34" si="19">+K24*2000/L24</f>
        <v>#DIV/0!</v>
      </c>
    </row>
    <row r="25" spans="1:19" x14ac:dyDescent="0.2">
      <c r="A25" t="s">
        <v>149</v>
      </c>
      <c r="C25" s="2">
        <f>+Composition!F58</f>
        <v>0</v>
      </c>
      <c r="D25" s="6">
        <f>-Composition!F56</f>
        <v>0</v>
      </c>
      <c r="E25" s="6">
        <f t="shared" si="16"/>
        <v>0</v>
      </c>
      <c r="F25" s="271"/>
      <c r="G25" s="271"/>
      <c r="H25" s="271"/>
      <c r="I25" s="145" t="e">
        <f>+'Res''l &amp; MF Customers'!E49</f>
        <v>#DIV/0!</v>
      </c>
      <c r="J25" s="6" t="e">
        <f t="shared" si="17"/>
        <v>#DIV/0!</v>
      </c>
      <c r="K25" s="6" t="e">
        <f t="shared" si="18"/>
        <v>#DIV/0!</v>
      </c>
      <c r="L25" s="154">
        <f>+'Res''l &amp; MF Customers'!E$43</f>
        <v>0</v>
      </c>
      <c r="M25" s="6" t="e">
        <f t="shared" si="19"/>
        <v>#DIV/0!</v>
      </c>
    </row>
    <row r="26" spans="1:19" x14ac:dyDescent="0.2">
      <c r="A26" t="s">
        <v>150</v>
      </c>
      <c r="C26" s="2">
        <f>+Composition!H58</f>
        <v>0</v>
      </c>
      <c r="D26" s="6">
        <f>-Composition!H56</f>
        <v>0</v>
      </c>
      <c r="E26" s="6">
        <f t="shared" si="16"/>
        <v>0</v>
      </c>
      <c r="F26" s="271"/>
      <c r="G26" s="271"/>
      <c r="H26" s="271"/>
      <c r="I26" s="145" t="e">
        <f>+'Res''l &amp; MF Customers'!F49</f>
        <v>#DIV/0!</v>
      </c>
      <c r="J26" s="6" t="e">
        <f t="shared" si="17"/>
        <v>#DIV/0!</v>
      </c>
      <c r="K26" s="6" t="e">
        <f t="shared" si="18"/>
        <v>#DIV/0!</v>
      </c>
      <c r="L26" s="154">
        <f>+'Res''l &amp; MF Customers'!F$43</f>
        <v>0</v>
      </c>
      <c r="M26" s="6" t="e">
        <f t="shared" si="19"/>
        <v>#DIV/0!</v>
      </c>
    </row>
    <row r="27" spans="1:19" x14ac:dyDescent="0.2">
      <c r="A27" t="s">
        <v>151</v>
      </c>
      <c r="C27" s="2">
        <f>+Composition!J58</f>
        <v>0</v>
      </c>
      <c r="D27" s="6">
        <f>-Composition!J56</f>
        <v>0</v>
      </c>
      <c r="E27" s="6">
        <f t="shared" si="16"/>
        <v>0</v>
      </c>
      <c r="F27" s="271"/>
      <c r="G27" s="271"/>
      <c r="H27" s="271"/>
      <c r="I27" s="145" t="e">
        <f>+'Res''l &amp; MF Customers'!G$49</f>
        <v>#DIV/0!</v>
      </c>
      <c r="J27" s="6" t="e">
        <f t="shared" si="17"/>
        <v>#DIV/0!</v>
      </c>
      <c r="K27" s="6" t="e">
        <f t="shared" si="18"/>
        <v>#DIV/0!</v>
      </c>
      <c r="L27" s="154">
        <f>+'Res''l &amp; MF Customers'!G$43</f>
        <v>0</v>
      </c>
      <c r="M27" s="6" t="e">
        <f t="shared" si="19"/>
        <v>#DIV/0!</v>
      </c>
    </row>
    <row r="28" spans="1:19" x14ac:dyDescent="0.2">
      <c r="A28" t="s">
        <v>152</v>
      </c>
      <c r="C28" s="2">
        <f>+Composition!L58</f>
        <v>0</v>
      </c>
      <c r="D28" s="6">
        <f>-Composition!L56</f>
        <v>0</v>
      </c>
      <c r="E28" s="6">
        <f t="shared" si="16"/>
        <v>0</v>
      </c>
      <c r="F28" s="271"/>
      <c r="G28" s="271"/>
      <c r="H28" s="271"/>
      <c r="I28" s="145" t="e">
        <f>+'Res''l &amp; MF Customers'!H$49</f>
        <v>#DIV/0!</v>
      </c>
      <c r="J28" s="6" t="e">
        <f t="shared" si="17"/>
        <v>#DIV/0!</v>
      </c>
      <c r="K28" s="6" t="e">
        <f t="shared" si="18"/>
        <v>#DIV/0!</v>
      </c>
      <c r="L28" s="154">
        <f>+'Res''l &amp; MF Customers'!H$43</f>
        <v>0</v>
      </c>
      <c r="M28" s="6" t="e">
        <f t="shared" si="19"/>
        <v>#DIV/0!</v>
      </c>
    </row>
    <row r="29" spans="1:19" x14ac:dyDescent="0.2">
      <c r="A29" t="s">
        <v>7</v>
      </c>
      <c r="C29" s="2">
        <f>+Composition!N58</f>
        <v>0</v>
      </c>
      <c r="D29" s="6">
        <f>-Composition!N56</f>
        <v>0</v>
      </c>
      <c r="E29" s="6">
        <f t="shared" si="16"/>
        <v>0</v>
      </c>
      <c r="F29" s="271"/>
      <c r="G29" s="271"/>
      <c r="H29" s="271"/>
      <c r="I29" s="145" t="e">
        <f>+'Res''l &amp; MF Customers'!I$49</f>
        <v>#DIV/0!</v>
      </c>
      <c r="J29" s="6" t="e">
        <f t="shared" si="17"/>
        <v>#DIV/0!</v>
      </c>
      <c r="K29" s="6" t="e">
        <f t="shared" si="18"/>
        <v>#DIV/0!</v>
      </c>
      <c r="L29" s="154">
        <f>+'Res''l &amp; MF Customers'!I$43</f>
        <v>0</v>
      </c>
      <c r="M29" s="6" t="e">
        <f t="shared" si="19"/>
        <v>#DIV/0!</v>
      </c>
    </row>
    <row r="30" spans="1:19" x14ac:dyDescent="0.2">
      <c r="A30" t="s">
        <v>184</v>
      </c>
      <c r="C30" s="2">
        <f>+Composition!P58</f>
        <v>0</v>
      </c>
      <c r="D30" s="6">
        <f>-Composition!P56</f>
        <v>0</v>
      </c>
      <c r="E30" s="6">
        <f t="shared" si="16"/>
        <v>0</v>
      </c>
      <c r="F30" s="271"/>
      <c r="G30" s="271"/>
      <c r="H30" s="271"/>
      <c r="I30" s="145" t="e">
        <f>+'Res''l &amp; MF Customers'!J$49</f>
        <v>#DIV/0!</v>
      </c>
      <c r="J30" s="6" t="e">
        <f t="shared" si="17"/>
        <v>#DIV/0!</v>
      </c>
      <c r="K30" s="6" t="e">
        <f t="shared" si="18"/>
        <v>#DIV/0!</v>
      </c>
      <c r="L30" s="154">
        <f>+'Res''l &amp; MF Customers'!J$43</f>
        <v>0</v>
      </c>
      <c r="M30" s="6" t="e">
        <f t="shared" si="19"/>
        <v>#DIV/0!</v>
      </c>
    </row>
    <row r="31" spans="1:19" x14ac:dyDescent="0.2">
      <c r="A31" t="s">
        <v>10</v>
      </c>
      <c r="C31" s="2">
        <f>+Composition!R58</f>
        <v>0</v>
      </c>
      <c r="D31" s="6">
        <f>-Composition!R56</f>
        <v>0</v>
      </c>
      <c r="E31" s="6">
        <f t="shared" si="16"/>
        <v>0</v>
      </c>
      <c r="F31" s="271"/>
      <c r="G31" s="271"/>
      <c r="H31" s="271"/>
      <c r="I31" s="145" t="e">
        <f>+'Res''l &amp; MF Customers'!K$49</f>
        <v>#DIV/0!</v>
      </c>
      <c r="J31" s="6" t="e">
        <f t="shared" si="17"/>
        <v>#DIV/0!</v>
      </c>
      <c r="K31" s="6" t="e">
        <f t="shared" si="18"/>
        <v>#DIV/0!</v>
      </c>
      <c r="L31" s="154">
        <f>+'Res''l &amp; MF Customers'!K$43</f>
        <v>0</v>
      </c>
      <c r="M31" s="6" t="e">
        <f t="shared" si="19"/>
        <v>#DIV/0!</v>
      </c>
    </row>
    <row r="32" spans="1:19" x14ac:dyDescent="0.2">
      <c r="A32" t="s">
        <v>8</v>
      </c>
      <c r="C32" s="2">
        <f>+Composition!T58</f>
        <v>0</v>
      </c>
      <c r="D32" s="6">
        <f>-Composition!T56</f>
        <v>0</v>
      </c>
      <c r="E32" s="6">
        <f t="shared" si="16"/>
        <v>0</v>
      </c>
      <c r="F32" s="271"/>
      <c r="G32" s="271"/>
      <c r="H32" s="271"/>
      <c r="I32" s="145" t="e">
        <f>+'Res''l &amp; MF Customers'!L$49</f>
        <v>#DIV/0!</v>
      </c>
      <c r="J32" s="6" t="e">
        <f t="shared" si="17"/>
        <v>#DIV/0!</v>
      </c>
      <c r="K32" s="6" t="e">
        <f t="shared" si="18"/>
        <v>#DIV/0!</v>
      </c>
      <c r="L32" s="154">
        <f>+'Res''l &amp; MF Customers'!L$43</f>
        <v>0</v>
      </c>
      <c r="M32" s="6" t="e">
        <f t="shared" si="19"/>
        <v>#DIV/0!</v>
      </c>
    </row>
    <row r="33" spans="1:31" x14ac:dyDescent="0.2">
      <c r="A33" t="s">
        <v>9</v>
      </c>
      <c r="C33" s="2">
        <f>+Composition!V58</f>
        <v>0</v>
      </c>
      <c r="D33" s="6">
        <f>-Composition!V56</f>
        <v>0</v>
      </c>
      <c r="E33" s="6">
        <f t="shared" si="16"/>
        <v>0</v>
      </c>
      <c r="F33" s="271"/>
      <c r="G33" s="271"/>
      <c r="H33" s="271"/>
      <c r="I33" s="145" t="e">
        <f>+'Res''l &amp; MF Customers'!M$49</f>
        <v>#DIV/0!</v>
      </c>
      <c r="J33" s="6" t="e">
        <f t="shared" si="17"/>
        <v>#DIV/0!</v>
      </c>
      <c r="K33" s="6" t="e">
        <f t="shared" si="18"/>
        <v>#DIV/0!</v>
      </c>
      <c r="L33" s="154">
        <f>+'Res''l &amp; MF Customers'!M$43</f>
        <v>0</v>
      </c>
      <c r="M33" s="6" t="e">
        <f t="shared" si="19"/>
        <v>#DIV/0!</v>
      </c>
    </row>
    <row r="34" spans="1:31" ht="15" x14ac:dyDescent="0.35">
      <c r="A34" t="s">
        <v>2</v>
      </c>
      <c r="C34" s="12">
        <f>+Composition!X58</f>
        <v>0</v>
      </c>
      <c r="D34" s="7">
        <f>-Composition!X56</f>
        <v>0</v>
      </c>
      <c r="E34" s="7">
        <f t="shared" si="16"/>
        <v>0</v>
      </c>
      <c r="F34" s="274"/>
      <c r="G34" s="274"/>
      <c r="H34" s="274"/>
      <c r="I34" s="148" t="e">
        <f>+'Res''l &amp; MF Customers'!N$49</f>
        <v>#DIV/0!</v>
      </c>
      <c r="J34" s="7" t="e">
        <f t="shared" si="17"/>
        <v>#DIV/0!</v>
      </c>
      <c r="K34" s="7" t="e">
        <f t="shared" si="18"/>
        <v>#DIV/0!</v>
      </c>
      <c r="L34" s="155">
        <f>+'Res''l &amp; MF Customers'!N$43</f>
        <v>0</v>
      </c>
      <c r="M34" s="7" t="e">
        <f t="shared" si="19"/>
        <v>#DIV/0!</v>
      </c>
    </row>
    <row r="35" spans="1:31" ht="15" x14ac:dyDescent="0.35">
      <c r="C35" s="15">
        <f>SUM(C23:C34)</f>
        <v>0</v>
      </c>
      <c r="D35" s="15">
        <f>SUM(D23:D34)</f>
        <v>0</v>
      </c>
      <c r="E35" s="15">
        <f>SUM(E23:E34)</f>
        <v>0</v>
      </c>
      <c r="F35" s="275"/>
      <c r="G35" s="275"/>
      <c r="H35" s="275"/>
      <c r="I35" s="100" t="e">
        <f>-J35/E35</f>
        <v>#DIV/0!</v>
      </c>
      <c r="J35" s="15" t="e">
        <f>SUM(J23:J34)</f>
        <v>#DIV/0!</v>
      </c>
      <c r="K35" s="15" t="e">
        <f>SUM(K23:K34)</f>
        <v>#DIV/0!</v>
      </c>
      <c r="L35" s="156">
        <f>SUM(L23:L34)</f>
        <v>0</v>
      </c>
      <c r="M35" s="8" t="e">
        <f>+K35*2000/L35</f>
        <v>#DIV/0!</v>
      </c>
    </row>
    <row r="36" spans="1:31" x14ac:dyDescent="0.2">
      <c r="L36" s="6"/>
    </row>
    <row r="37" spans="1:31" x14ac:dyDescent="0.2">
      <c r="L37" s="6"/>
    </row>
    <row r="38" spans="1:31" x14ac:dyDescent="0.2">
      <c r="L38" s="6"/>
    </row>
    <row r="39" spans="1:31" x14ac:dyDescent="0.2">
      <c r="L39" s="6"/>
    </row>
    <row r="40" spans="1:31" x14ac:dyDescent="0.2">
      <c r="L40" s="6"/>
    </row>
    <row r="41" spans="1:31" x14ac:dyDescent="0.2">
      <c r="C41" s="298" t="s">
        <v>34</v>
      </c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</row>
    <row r="42" spans="1:31" x14ac:dyDescent="0.2">
      <c r="C42" s="23"/>
      <c r="D42" s="23"/>
      <c r="E42" s="23"/>
      <c r="F42" s="277"/>
      <c r="G42" s="277"/>
      <c r="H42" s="277"/>
      <c r="I42" s="23"/>
      <c r="J42" s="23"/>
      <c r="K42" s="23"/>
      <c r="L42" s="23"/>
      <c r="M42" s="23"/>
      <c r="N42" s="23"/>
      <c r="O42" s="23"/>
    </row>
    <row r="43" spans="1:31" x14ac:dyDescent="0.2">
      <c r="C43" s="24" t="s">
        <v>35</v>
      </c>
      <c r="D43" s="24" t="s">
        <v>36</v>
      </c>
      <c r="E43" s="24"/>
      <c r="F43" s="278"/>
      <c r="G43" s="278"/>
      <c r="H43" s="278"/>
      <c r="I43" s="24" t="s">
        <v>37</v>
      </c>
      <c r="J43" s="24" t="s">
        <v>38</v>
      </c>
      <c r="K43" s="24"/>
      <c r="L43" s="24"/>
      <c r="M43" s="24" t="s">
        <v>0</v>
      </c>
      <c r="N43" s="24" t="s">
        <v>0</v>
      </c>
      <c r="O43" s="24" t="s">
        <v>39</v>
      </c>
      <c r="Q43" s="99"/>
    </row>
    <row r="44" spans="1:31" x14ac:dyDescent="0.2">
      <c r="C44" s="25" t="s">
        <v>40</v>
      </c>
      <c r="D44" s="25" t="s">
        <v>41</v>
      </c>
      <c r="E44" s="25" t="s">
        <v>19</v>
      </c>
      <c r="F44" s="279"/>
      <c r="G44" s="279"/>
      <c r="H44" s="279"/>
      <c r="I44" s="25" t="s">
        <v>17</v>
      </c>
      <c r="J44" s="25" t="s">
        <v>18</v>
      </c>
      <c r="K44" s="25" t="s">
        <v>11</v>
      </c>
      <c r="L44" s="25" t="s">
        <v>1</v>
      </c>
      <c r="M44" s="25" t="s">
        <v>42</v>
      </c>
      <c r="N44" s="25" t="s">
        <v>43</v>
      </c>
      <c r="O44" s="25" t="s">
        <v>44</v>
      </c>
      <c r="P44" s="30"/>
      <c r="Q44" s="30"/>
    </row>
    <row r="45" spans="1:31" x14ac:dyDescent="0.2">
      <c r="A45" s="3" t="s">
        <v>47</v>
      </c>
      <c r="B45" s="3"/>
      <c r="C45"/>
    </row>
    <row r="46" spans="1:31" x14ac:dyDescent="0.2">
      <c r="A46" s="63" t="s">
        <v>181</v>
      </c>
      <c r="C46" s="26">
        <f>+Composition!$C$25</f>
        <v>0.24505046517800635</v>
      </c>
      <c r="D46" s="26">
        <f>+Composition!$C$26</f>
        <v>0</v>
      </c>
      <c r="E46" s="26">
        <f>+Composition!$C$27</f>
        <v>0.48608549474930762</v>
      </c>
      <c r="F46" s="280"/>
      <c r="G46" s="280"/>
      <c r="H46" s="280"/>
      <c r="I46" s="26">
        <f>+Composition!$C$28</f>
        <v>2.2840342196783575E-2</v>
      </c>
      <c r="J46" s="26">
        <f>+Composition!$C$30</f>
        <v>2.1261391246350382E-2</v>
      </c>
      <c r="K46" s="26">
        <f>+Composition!$C$29</f>
        <v>0.16085562807538131</v>
      </c>
      <c r="L46" s="26">
        <f>+Composition!$C$31</f>
        <v>4.5925694023806779E-2</v>
      </c>
      <c r="M46" s="26">
        <f>+Composition!$C$32</f>
        <v>1.0936957660974732E-2</v>
      </c>
      <c r="N46" s="26">
        <f>+Composition!$C$33</f>
        <v>7.0440268693894512E-3</v>
      </c>
      <c r="O46" s="26">
        <f>+Composition!$C$34</f>
        <v>0</v>
      </c>
      <c r="P46" s="26">
        <f t="shared" ref="P46:P69" si="20">SUM(C46:O46)</f>
        <v>1.0000000000000002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x14ac:dyDescent="0.2">
      <c r="A47" t="s">
        <v>148</v>
      </c>
      <c r="C47" s="26">
        <f>+Composition!$E$25</f>
        <v>0.18595729840740882</v>
      </c>
      <c r="D47" s="26">
        <f>+Composition!$E$26</f>
        <v>0</v>
      </c>
      <c r="E47" s="26">
        <f>+Composition!$E$27</f>
        <v>0.55198202038206678</v>
      </c>
      <c r="F47" s="280"/>
      <c r="G47" s="280"/>
      <c r="H47" s="280"/>
      <c r="I47" s="26">
        <f>+Composition!$E$28</f>
        <v>2.7248420971054361E-2</v>
      </c>
      <c r="J47" s="26">
        <f>+Composition!$E$30</f>
        <v>2.0405316387026771E-2</v>
      </c>
      <c r="K47" s="26">
        <f>+Composition!$E$29</f>
        <v>0.13901654589839965</v>
      </c>
      <c r="L47" s="26">
        <f>+Composition!$E$31</f>
        <v>5.3063122408648807E-2</v>
      </c>
      <c r="M47" s="26">
        <f>+Composition!$E$32</f>
        <v>1.4282946487387141E-2</v>
      </c>
      <c r="N47" s="26">
        <f>+Composition!$E$33</f>
        <v>8.0443290580075166E-3</v>
      </c>
      <c r="O47" s="26">
        <f>+Composition!$E$34</f>
        <v>0</v>
      </c>
      <c r="P47" s="26">
        <f t="shared" si="20"/>
        <v>1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x14ac:dyDescent="0.2">
      <c r="A48" t="s">
        <v>149</v>
      </c>
      <c r="C48" s="26">
        <f>+Composition!$G$25</f>
        <v>0.19325965973480391</v>
      </c>
      <c r="D48" s="26">
        <f>+Composition!$G$26</f>
        <v>0</v>
      </c>
      <c r="E48" s="26">
        <f>+Composition!$G$27</f>
        <v>0.55289846180497904</v>
      </c>
      <c r="F48" s="280"/>
      <c r="G48" s="280"/>
      <c r="H48" s="280"/>
      <c r="I48" s="26">
        <f>+Composition!$G$28</f>
        <v>2.664953550985643E-2</v>
      </c>
      <c r="J48" s="26">
        <f>+Composition!$G$30</f>
        <v>1.8666223951378312E-2</v>
      </c>
      <c r="K48" s="26">
        <f>+Composition!$G$29</f>
        <v>0.14265297136546387</v>
      </c>
      <c r="L48" s="26">
        <f>+Composition!$G$31</f>
        <v>4.7907087534917965E-2</v>
      </c>
      <c r="M48" s="26">
        <f>+Composition!$G$32</f>
        <v>1.0213730429698496E-2</v>
      </c>
      <c r="N48" s="26">
        <f>+Composition!$G$33</f>
        <v>7.7523296689018971E-3</v>
      </c>
      <c r="O48" s="26">
        <f>+Composition!$G$34</f>
        <v>0</v>
      </c>
      <c r="P48" s="26">
        <f t="shared" si="20"/>
        <v>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x14ac:dyDescent="0.2">
      <c r="A49" t="s">
        <v>150</v>
      </c>
      <c r="C49" s="26">
        <f>+Composition!$I$25</f>
        <v>0.21499927714327027</v>
      </c>
      <c r="D49" s="26">
        <f>+Composition!$I$26</f>
        <v>0</v>
      </c>
      <c r="E49" s="26">
        <f>+Composition!$I$27</f>
        <v>0.54696400173485626</v>
      </c>
      <c r="F49" s="280"/>
      <c r="G49" s="280"/>
      <c r="H49" s="280"/>
      <c r="I49" s="26">
        <f>+Composition!$I$28</f>
        <v>2.5386728350440948E-2</v>
      </c>
      <c r="J49" s="26">
        <f>+Composition!$I$30</f>
        <v>1.8129246783287555E-2</v>
      </c>
      <c r="K49" s="26">
        <f>+Composition!$I$29</f>
        <v>0.13135752493855721</v>
      </c>
      <c r="L49" s="26">
        <f>+Composition!$I$31</f>
        <v>4.3978603440798049E-2</v>
      </c>
      <c r="M49" s="26">
        <f>+Composition!$I$32</f>
        <v>1.1580164811334396E-2</v>
      </c>
      <c r="N49" s="26">
        <f>+Composition!$I$33</f>
        <v>7.6044527974555463E-3</v>
      </c>
      <c r="O49" s="26">
        <f>+Composition!$I$34</f>
        <v>0</v>
      </c>
      <c r="P49" s="26">
        <f t="shared" si="20"/>
        <v>1.0000000000000002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x14ac:dyDescent="0.2">
      <c r="A50" t="s">
        <v>151</v>
      </c>
      <c r="C50" s="26">
        <f>+Composition!$K$25</f>
        <v>0.19628417330207149</v>
      </c>
      <c r="D50" s="26">
        <f>+Composition!$K$26</f>
        <v>0</v>
      </c>
      <c r="E50" s="26">
        <f>+Composition!$K$27</f>
        <v>0.53672880346047003</v>
      </c>
      <c r="F50" s="280"/>
      <c r="G50" s="280"/>
      <c r="H50" s="280"/>
      <c r="I50" s="26">
        <f>+Composition!$K$28</f>
        <v>2.1651151813419381E-2</v>
      </c>
      <c r="J50" s="26">
        <f>+Composition!$K$30</f>
        <v>2.2099960535784759E-2</v>
      </c>
      <c r="K50" s="26">
        <f>+Composition!$K$29</f>
        <v>0.16486756273649511</v>
      </c>
      <c r="L50" s="26">
        <f>+Composition!$K$31</f>
        <v>4.0245761465902141E-2</v>
      </c>
      <c r="M50" s="26">
        <f>+Composition!$K$32</f>
        <v>1.0469624161385426E-2</v>
      </c>
      <c r="N50" s="26">
        <f>+Composition!$K$33</f>
        <v>7.6529625244716832E-3</v>
      </c>
      <c r="O50" s="26">
        <f>+Composition!$K$34</f>
        <v>0</v>
      </c>
      <c r="P50" s="26">
        <f t="shared" si="20"/>
        <v>1.0000000000000002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x14ac:dyDescent="0.2">
      <c r="A51" t="s">
        <v>152</v>
      </c>
      <c r="C51" s="26">
        <f>+Composition!$M$25</f>
        <v>0.22422307536876138</v>
      </c>
      <c r="D51" s="26">
        <f>+Composition!$M$26</f>
        <v>0</v>
      </c>
      <c r="E51" s="26">
        <f>+Composition!$M$27</f>
        <v>0.53450798141038602</v>
      </c>
      <c r="F51" s="280"/>
      <c r="G51" s="280"/>
      <c r="H51" s="280"/>
      <c r="I51" s="26">
        <f>+Composition!$M$28</f>
        <v>2.2032733885633461E-2</v>
      </c>
      <c r="J51" s="26">
        <f>+Composition!$M$30</f>
        <v>2.6170943624974744E-2</v>
      </c>
      <c r="K51" s="26">
        <f>+Composition!$M$29</f>
        <v>0.13316629622145887</v>
      </c>
      <c r="L51" s="26">
        <f>+Composition!$M$31</f>
        <v>4.12689432208527E-2</v>
      </c>
      <c r="M51" s="26">
        <f>+Composition!$M$32</f>
        <v>7.3065265710244489E-3</v>
      </c>
      <c r="N51" s="26">
        <f>+Composition!$M$33</f>
        <v>1.1323499696908466E-2</v>
      </c>
      <c r="O51" s="26">
        <f>+Composition!$M$34</f>
        <v>0</v>
      </c>
      <c r="P51" s="26">
        <f t="shared" si="20"/>
        <v>1.0000000000000002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2">
      <c r="A52" t="s">
        <v>7</v>
      </c>
      <c r="C52" s="26">
        <f>+Composition!$O$25</f>
        <v>0.21809012323545698</v>
      </c>
      <c r="D52" s="26">
        <f>+Composition!$O$26</f>
        <v>0</v>
      </c>
      <c r="E52" s="26">
        <f>+Composition!$O$27</f>
        <v>0.53375529070628502</v>
      </c>
      <c r="F52" s="280"/>
      <c r="G52" s="280"/>
      <c r="H52" s="280"/>
      <c r="I52" s="26">
        <f>+Composition!$O$28</f>
        <v>2.3088135566797365E-2</v>
      </c>
      <c r="J52" s="26">
        <f>+Composition!$O$30</f>
        <v>2.4615912261966941E-2</v>
      </c>
      <c r="K52" s="26">
        <f>+Composition!$O$29</f>
        <v>0.136767193333905</v>
      </c>
      <c r="L52" s="26">
        <f>+Composition!$O$31</f>
        <v>4.491351692636273E-2</v>
      </c>
      <c r="M52" s="26">
        <f>+Composition!$O$32</f>
        <v>1.1668784248310485E-2</v>
      </c>
      <c r="N52" s="26">
        <f>+Composition!$O$33</f>
        <v>7.1010437209157321E-3</v>
      </c>
      <c r="O52" s="26">
        <f>+Composition!$O$34</f>
        <v>0</v>
      </c>
      <c r="P52" s="26">
        <f t="shared" si="20"/>
        <v>1.0000000000000002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x14ac:dyDescent="0.2">
      <c r="A53" s="63" t="s">
        <v>182</v>
      </c>
      <c r="C53" s="26">
        <f>+Composition!$Q$25</f>
        <v>0.21424214188514321</v>
      </c>
      <c r="D53" s="26">
        <f>+Composition!$Q$26</f>
        <v>0</v>
      </c>
      <c r="E53" s="26">
        <f>+Composition!$Q$27</f>
        <v>0.55583635547034738</v>
      </c>
      <c r="F53" s="280"/>
      <c r="G53" s="280"/>
      <c r="H53" s="280"/>
      <c r="I53" s="26">
        <f>+Composition!$Q$28</f>
        <v>2.1142669446362377E-2</v>
      </c>
      <c r="J53" s="26">
        <f>+Composition!$Q$30</f>
        <v>2.2362696662354121E-2</v>
      </c>
      <c r="K53" s="26">
        <f>+Composition!$Q$29</f>
        <v>0.13039543629379868</v>
      </c>
      <c r="L53" s="26">
        <f>+Composition!$Q$31</f>
        <v>3.9248677745228826E-2</v>
      </c>
      <c r="M53" s="26">
        <f>+Composition!$Q$32</f>
        <v>1.0088686593777863E-2</v>
      </c>
      <c r="N53" s="26">
        <f>+Composition!$Q$33</f>
        <v>6.6833359029877274E-3</v>
      </c>
      <c r="O53" s="26">
        <f>+Composition!$Q$34</f>
        <v>0</v>
      </c>
      <c r="P53" s="26">
        <f t="shared" si="20"/>
        <v>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spans="1:31" x14ac:dyDescent="0.2">
      <c r="A54" t="s">
        <v>10</v>
      </c>
      <c r="C54" s="26">
        <f>+Composition!$S$25</f>
        <v>0.20794941894143953</v>
      </c>
      <c r="D54" s="26">
        <f>+Composition!$S$26</f>
        <v>0</v>
      </c>
      <c r="E54" s="26">
        <f>+Composition!$S$27</f>
        <v>0.54794156134525951</v>
      </c>
      <c r="F54" s="280"/>
      <c r="G54" s="280"/>
      <c r="H54" s="280"/>
      <c r="I54" s="26">
        <f>+Composition!$S$28</f>
        <v>2.2123241202324413E-2</v>
      </c>
      <c r="J54" s="26">
        <f>+Composition!$S$30</f>
        <v>2.2838061674710353E-2</v>
      </c>
      <c r="K54" s="26">
        <f>+Composition!$S$29</f>
        <v>0.14490044360491744</v>
      </c>
      <c r="L54" s="26">
        <f>+Composition!$S$31</f>
        <v>3.71165553688175E-2</v>
      </c>
      <c r="M54" s="26">
        <f>+Composition!$S$32</f>
        <v>1.0349808708612572E-2</v>
      </c>
      <c r="N54" s="26">
        <f>+Composition!$S$33</f>
        <v>6.7809091539185826E-3</v>
      </c>
      <c r="O54" s="26">
        <f>+Composition!$S$34</f>
        <v>0</v>
      </c>
      <c r="P54" s="26">
        <f t="shared" si="20"/>
        <v>1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 x14ac:dyDescent="0.2">
      <c r="A55" t="s">
        <v>8</v>
      </c>
      <c r="C55" s="26">
        <f>+Composition!$U$25</f>
        <v>0.19858638989288632</v>
      </c>
      <c r="D55" s="26">
        <f>+Composition!$U$26</f>
        <v>0</v>
      </c>
      <c r="E55" s="26">
        <f>+Composition!$U$27</f>
        <v>0.53585472460849459</v>
      </c>
      <c r="F55" s="280"/>
      <c r="G55" s="280"/>
      <c r="H55" s="280"/>
      <c r="I55" s="26">
        <f>+Composition!$U$28</f>
        <v>2.1919825841882647E-2</v>
      </c>
      <c r="J55" s="26">
        <f>+Composition!$U$30</f>
        <v>2.4229638453730887E-2</v>
      </c>
      <c r="K55" s="26">
        <f>+Composition!$U$29</f>
        <v>0.16120958612318959</v>
      </c>
      <c r="L55" s="26">
        <f>+Composition!$U$31</f>
        <v>3.9814531529497488E-2</v>
      </c>
      <c r="M55" s="26">
        <f>+Composition!$U$32</f>
        <v>1.1079884921052819E-2</v>
      </c>
      <c r="N55" s="26">
        <f>+Composition!$U$33</f>
        <v>7.3054186292655946E-3</v>
      </c>
      <c r="O55" s="26">
        <f>+Composition!$U$34</f>
        <v>0</v>
      </c>
      <c r="P55" s="26">
        <f t="shared" si="20"/>
        <v>1.0000000000000002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 x14ac:dyDescent="0.2">
      <c r="A56" t="s">
        <v>9</v>
      </c>
      <c r="C56" s="26">
        <f>+Composition!$W$25</f>
        <v>0.20622544279471702</v>
      </c>
      <c r="D56" s="26">
        <f>+Composition!$W$26</f>
        <v>0</v>
      </c>
      <c r="E56" s="26">
        <f>+Composition!$W$27</f>
        <v>0.54319008041910954</v>
      </c>
      <c r="F56" s="280"/>
      <c r="G56" s="280"/>
      <c r="H56" s="280"/>
      <c r="I56" s="26">
        <f>+Composition!$W$28</f>
        <v>2.2479405608529072E-2</v>
      </c>
      <c r="J56" s="26">
        <f>+Composition!$W$30</f>
        <v>2.1867388031384254E-2</v>
      </c>
      <c r="K56" s="26">
        <f>+Composition!$W$29</f>
        <v>0.14759415890424371</v>
      </c>
      <c r="L56" s="26">
        <f>+Composition!$W$31</f>
        <v>4.0313597806528996E-2</v>
      </c>
      <c r="M56" s="26">
        <f>+Composition!$W$32</f>
        <v>1.0508341799576482E-2</v>
      </c>
      <c r="N56" s="26">
        <f>+Composition!$W$33</f>
        <v>7.8215846359107419E-3</v>
      </c>
      <c r="O56" s="26">
        <f>+Composition!$W$34</f>
        <v>0</v>
      </c>
      <c r="P56" s="26">
        <f t="shared" si="20"/>
        <v>0.99999999999999978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 x14ac:dyDescent="0.2">
      <c r="A57" t="s">
        <v>2</v>
      </c>
      <c r="C57" s="26">
        <f>+Composition!$Y$25</f>
        <v>0.19423666462293074</v>
      </c>
      <c r="D57" s="26">
        <f>+Composition!$Y$26</f>
        <v>0</v>
      </c>
      <c r="E57" s="26">
        <f>+Composition!$Y$27</f>
        <v>0.57363580625383204</v>
      </c>
      <c r="F57" s="280"/>
      <c r="G57" s="280"/>
      <c r="H57" s="280"/>
      <c r="I57" s="26">
        <f>+Composition!$Y$28</f>
        <v>2.3175965665236054E-2</v>
      </c>
      <c r="J57" s="26">
        <f>+Composition!$Y$30</f>
        <v>1.8148375229920296E-2</v>
      </c>
      <c r="K57" s="26">
        <f>+Composition!$Y$29</f>
        <v>0.13280196198651134</v>
      </c>
      <c r="L57" s="26">
        <f>+Composition!$Y$31</f>
        <v>4.0220723482526068E-2</v>
      </c>
      <c r="M57" s="26">
        <f>+Composition!$Y$32</f>
        <v>1.0300429184549357E-2</v>
      </c>
      <c r="N57" s="26">
        <f>+Composition!$Y$33</f>
        <v>7.4800735744941756E-3</v>
      </c>
      <c r="O57" s="26">
        <f>+Composition!$Y$34</f>
        <v>0</v>
      </c>
      <c r="P57" s="26">
        <f t="shared" si="20"/>
        <v>1</v>
      </c>
      <c r="Q57" s="26"/>
      <c r="R57" s="26"/>
      <c r="S57" s="26"/>
      <c r="T57" s="26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x14ac:dyDescent="0.2">
      <c r="A58" t="s">
        <v>147</v>
      </c>
      <c r="C58" s="26" t="e">
        <f>+Composition!$C$44</f>
        <v>#DIV/0!</v>
      </c>
      <c r="D58" s="26" t="e">
        <f>+Composition!$C$45</f>
        <v>#DIV/0!</v>
      </c>
      <c r="E58" s="26" t="e">
        <f>+Composition!$C$46</f>
        <v>#DIV/0!</v>
      </c>
      <c r="F58" s="280"/>
      <c r="G58" s="280"/>
      <c r="H58" s="280"/>
      <c r="I58" s="26" t="e">
        <f>+Composition!$C$47</f>
        <v>#DIV/0!</v>
      </c>
      <c r="J58" s="26" t="e">
        <f>+Composition!$C$49</f>
        <v>#DIV/0!</v>
      </c>
      <c r="K58" s="26" t="e">
        <f>+Composition!$C$48</f>
        <v>#DIV/0!</v>
      </c>
      <c r="L58" s="26" t="e">
        <f>+Composition!$C$50</f>
        <v>#DIV/0!</v>
      </c>
      <c r="M58" s="26" t="e">
        <f>+Composition!$C$51</f>
        <v>#DIV/0!</v>
      </c>
      <c r="N58" s="26" t="e">
        <f>+Composition!$C$52</f>
        <v>#DIV/0!</v>
      </c>
      <c r="O58" s="26" t="e">
        <f>+Composition!$C$53</f>
        <v>#DIV/0!</v>
      </c>
      <c r="P58" s="26" t="e">
        <f t="shared" si="20"/>
        <v>#DIV/0!</v>
      </c>
      <c r="Q58" s="26"/>
      <c r="U58" s="28"/>
    </row>
    <row r="59" spans="1:31" x14ac:dyDescent="0.2">
      <c r="A59" t="s">
        <v>148</v>
      </c>
      <c r="C59" s="26" t="e">
        <f>+Composition!$E$44</f>
        <v>#DIV/0!</v>
      </c>
      <c r="D59" s="26" t="e">
        <f>+Composition!$E$45</f>
        <v>#DIV/0!</v>
      </c>
      <c r="E59" s="26" t="e">
        <f>+Composition!$E$46</f>
        <v>#DIV/0!</v>
      </c>
      <c r="F59" s="280"/>
      <c r="G59" s="280"/>
      <c r="H59" s="280"/>
      <c r="I59" s="26" t="e">
        <f>+Composition!$E$47</f>
        <v>#DIV/0!</v>
      </c>
      <c r="J59" s="26" t="e">
        <f>+Composition!$E$49</f>
        <v>#DIV/0!</v>
      </c>
      <c r="K59" s="26" t="e">
        <f>+Composition!$E$48</f>
        <v>#DIV/0!</v>
      </c>
      <c r="L59" s="26" t="e">
        <f>+Composition!$E$50</f>
        <v>#DIV/0!</v>
      </c>
      <c r="M59" s="26" t="e">
        <f>+Composition!$E$51</f>
        <v>#DIV/0!</v>
      </c>
      <c r="N59" s="26" t="e">
        <f>+Composition!$E$52</f>
        <v>#DIV/0!</v>
      </c>
      <c r="O59" s="26" t="e">
        <f>+Composition!$E$53</f>
        <v>#DIV/0!</v>
      </c>
      <c r="P59" s="26" t="e">
        <f t="shared" si="20"/>
        <v>#DIV/0!</v>
      </c>
      <c r="Q59" s="26"/>
      <c r="U59" s="28"/>
    </row>
    <row r="60" spans="1:31" x14ac:dyDescent="0.2">
      <c r="A60" t="s">
        <v>149</v>
      </c>
      <c r="C60" s="26" t="e">
        <f>+Composition!$G$44</f>
        <v>#DIV/0!</v>
      </c>
      <c r="D60" s="26" t="e">
        <f>+Composition!$G$45</f>
        <v>#DIV/0!</v>
      </c>
      <c r="E60" s="26" t="e">
        <f>+Composition!$G$46</f>
        <v>#DIV/0!</v>
      </c>
      <c r="F60" s="280"/>
      <c r="G60" s="280"/>
      <c r="H60" s="280"/>
      <c r="I60" s="26" t="e">
        <f>+Composition!$G$47</f>
        <v>#DIV/0!</v>
      </c>
      <c r="J60" s="26" t="e">
        <f>+Composition!$G$49</f>
        <v>#DIV/0!</v>
      </c>
      <c r="K60" s="26" t="e">
        <f>+Composition!$G$48</f>
        <v>#DIV/0!</v>
      </c>
      <c r="L60" s="26" t="e">
        <f>+Composition!$G$50</f>
        <v>#DIV/0!</v>
      </c>
      <c r="M60" s="26" t="e">
        <f>+Composition!$G$51</f>
        <v>#DIV/0!</v>
      </c>
      <c r="N60" s="26" t="e">
        <f>+Composition!$G$52</f>
        <v>#DIV/0!</v>
      </c>
      <c r="O60" s="26" t="e">
        <f>+Composition!$G$53</f>
        <v>#DIV/0!</v>
      </c>
      <c r="P60" s="26" t="e">
        <f t="shared" si="20"/>
        <v>#DIV/0!</v>
      </c>
      <c r="Q60" s="26"/>
      <c r="U60" s="28"/>
    </row>
    <row r="61" spans="1:31" x14ac:dyDescent="0.2">
      <c r="A61" t="s">
        <v>150</v>
      </c>
      <c r="C61" s="26" t="e">
        <f>+Composition!$I$44</f>
        <v>#DIV/0!</v>
      </c>
      <c r="D61" s="26" t="e">
        <f>+Composition!$I$45</f>
        <v>#DIV/0!</v>
      </c>
      <c r="E61" s="26" t="e">
        <f>+Composition!$I$46</f>
        <v>#DIV/0!</v>
      </c>
      <c r="F61" s="280"/>
      <c r="G61" s="280"/>
      <c r="H61" s="280"/>
      <c r="I61" s="26" t="e">
        <f>+Composition!$I$47</f>
        <v>#DIV/0!</v>
      </c>
      <c r="J61" s="26" t="e">
        <f>+Composition!$I$49</f>
        <v>#DIV/0!</v>
      </c>
      <c r="K61" s="26" t="e">
        <f>+Composition!$I$48</f>
        <v>#DIV/0!</v>
      </c>
      <c r="L61" s="26" t="e">
        <f>+Composition!$I$50</f>
        <v>#DIV/0!</v>
      </c>
      <c r="M61" s="26" t="e">
        <f>+Composition!$I$51</f>
        <v>#DIV/0!</v>
      </c>
      <c r="N61" s="26" t="e">
        <f>+Composition!$I$52</f>
        <v>#DIV/0!</v>
      </c>
      <c r="O61" s="26" t="e">
        <f>+Composition!$I$53</f>
        <v>#DIV/0!</v>
      </c>
      <c r="P61" s="26" t="e">
        <f t="shared" si="20"/>
        <v>#DIV/0!</v>
      </c>
      <c r="Q61" s="26"/>
      <c r="U61" s="28"/>
    </row>
    <row r="62" spans="1:31" x14ac:dyDescent="0.2">
      <c r="A62" t="s">
        <v>151</v>
      </c>
      <c r="C62" s="26" t="e">
        <f>+Composition!$K$44</f>
        <v>#DIV/0!</v>
      </c>
      <c r="D62" s="26" t="e">
        <f>+Composition!$K$45</f>
        <v>#DIV/0!</v>
      </c>
      <c r="E62" s="26" t="e">
        <f>+Composition!$K$46</f>
        <v>#DIV/0!</v>
      </c>
      <c r="F62" s="280"/>
      <c r="G62" s="280"/>
      <c r="H62" s="280"/>
      <c r="I62" s="26" t="e">
        <f>+Composition!$K$47</f>
        <v>#DIV/0!</v>
      </c>
      <c r="J62" s="26" t="e">
        <f>+Composition!$K$49</f>
        <v>#DIV/0!</v>
      </c>
      <c r="K62" s="26" t="e">
        <f>+Composition!$K$48</f>
        <v>#DIV/0!</v>
      </c>
      <c r="L62" s="26" t="e">
        <f>+Composition!$K$50</f>
        <v>#DIV/0!</v>
      </c>
      <c r="M62" s="26" t="e">
        <f>+Composition!$K$51</f>
        <v>#DIV/0!</v>
      </c>
      <c r="N62" s="26" t="e">
        <f>+Composition!$K$52</f>
        <v>#DIV/0!</v>
      </c>
      <c r="O62" s="26" t="e">
        <f>+Composition!$K$53</f>
        <v>#DIV/0!</v>
      </c>
      <c r="P62" s="26" t="e">
        <f t="shared" si="20"/>
        <v>#DIV/0!</v>
      </c>
      <c r="Q62" s="26"/>
      <c r="U62" s="28"/>
    </row>
    <row r="63" spans="1:31" x14ac:dyDescent="0.2">
      <c r="A63" t="s">
        <v>152</v>
      </c>
      <c r="C63" s="26" t="e">
        <f>+Composition!$M$44</f>
        <v>#DIV/0!</v>
      </c>
      <c r="D63" s="26" t="e">
        <f>+Composition!$M$45</f>
        <v>#DIV/0!</v>
      </c>
      <c r="E63" s="26" t="e">
        <f>+Composition!$M$46</f>
        <v>#DIV/0!</v>
      </c>
      <c r="F63" s="280"/>
      <c r="G63" s="280"/>
      <c r="H63" s="280"/>
      <c r="I63" s="26" t="e">
        <f>+Composition!$M$47</f>
        <v>#DIV/0!</v>
      </c>
      <c r="J63" s="26" t="e">
        <f>+Composition!$M$49</f>
        <v>#DIV/0!</v>
      </c>
      <c r="K63" s="26" t="e">
        <f>+Composition!$M$48</f>
        <v>#DIV/0!</v>
      </c>
      <c r="L63" s="26" t="e">
        <f>+Composition!$M$50</f>
        <v>#DIV/0!</v>
      </c>
      <c r="M63" s="26" t="e">
        <f>+Composition!$M$51</f>
        <v>#DIV/0!</v>
      </c>
      <c r="N63" s="26" t="e">
        <f>+Composition!$M$52</f>
        <v>#DIV/0!</v>
      </c>
      <c r="O63" s="26" t="e">
        <f>+Composition!$M$53</f>
        <v>#DIV/0!</v>
      </c>
      <c r="P63" s="26" t="e">
        <f t="shared" si="20"/>
        <v>#DIV/0!</v>
      </c>
      <c r="Q63" s="26"/>
      <c r="U63" s="28"/>
    </row>
    <row r="64" spans="1:31" x14ac:dyDescent="0.2">
      <c r="A64" t="s">
        <v>7</v>
      </c>
      <c r="C64" s="26" t="e">
        <f>+Composition!$O$44</f>
        <v>#DIV/0!</v>
      </c>
      <c r="D64" s="26" t="e">
        <f>+Composition!$O$45</f>
        <v>#DIV/0!</v>
      </c>
      <c r="E64" s="26" t="e">
        <f>+Composition!$O$46</f>
        <v>#DIV/0!</v>
      </c>
      <c r="F64" s="280"/>
      <c r="G64" s="280"/>
      <c r="H64" s="280"/>
      <c r="I64" s="26" t="e">
        <f>+Composition!$O$47</f>
        <v>#DIV/0!</v>
      </c>
      <c r="J64" s="26" t="e">
        <f>+Composition!$O$49</f>
        <v>#DIV/0!</v>
      </c>
      <c r="K64" s="26" t="e">
        <f>+Composition!$O$48</f>
        <v>#DIV/0!</v>
      </c>
      <c r="L64" s="26" t="e">
        <f>+Composition!$O$50</f>
        <v>#DIV/0!</v>
      </c>
      <c r="M64" s="26" t="e">
        <f>+Composition!$O$51</f>
        <v>#DIV/0!</v>
      </c>
      <c r="N64" s="26" t="e">
        <f>+Composition!$O$52</f>
        <v>#DIV/0!</v>
      </c>
      <c r="O64" s="26" t="e">
        <f>+Composition!$O$53</f>
        <v>#DIV/0!</v>
      </c>
      <c r="P64" s="26" t="e">
        <f t="shared" si="20"/>
        <v>#DIV/0!</v>
      </c>
      <c r="Q64" s="26"/>
      <c r="U64" s="28"/>
    </row>
    <row r="65" spans="1:29" x14ac:dyDescent="0.2">
      <c r="A65" s="63" t="s">
        <v>184</v>
      </c>
      <c r="C65" s="26" t="e">
        <f>+Composition!$Q$44</f>
        <v>#DIV/0!</v>
      </c>
      <c r="D65" s="26" t="e">
        <f>+Composition!$Q$45</f>
        <v>#DIV/0!</v>
      </c>
      <c r="E65" s="26" t="e">
        <f>+Composition!$Q$46</f>
        <v>#DIV/0!</v>
      </c>
      <c r="F65" s="280"/>
      <c r="G65" s="280"/>
      <c r="H65" s="280"/>
      <c r="I65" s="26" t="e">
        <f>+Composition!$Q$47</f>
        <v>#DIV/0!</v>
      </c>
      <c r="J65" s="26" t="e">
        <f>+Composition!$Q$49</f>
        <v>#DIV/0!</v>
      </c>
      <c r="K65" s="26" t="e">
        <f>+Composition!$Q$48</f>
        <v>#DIV/0!</v>
      </c>
      <c r="L65" s="26" t="e">
        <f>+Composition!$Q$50</f>
        <v>#DIV/0!</v>
      </c>
      <c r="M65" s="26" t="e">
        <f>+Composition!$Q$51</f>
        <v>#DIV/0!</v>
      </c>
      <c r="N65" s="26" t="e">
        <f>+Composition!$Q$52</f>
        <v>#DIV/0!</v>
      </c>
      <c r="O65" s="26" t="e">
        <f>+Composition!$Q$53</f>
        <v>#DIV/0!</v>
      </c>
      <c r="P65" s="26" t="e">
        <f t="shared" si="20"/>
        <v>#DIV/0!</v>
      </c>
      <c r="Q65" s="26"/>
      <c r="U65" s="28"/>
    </row>
    <row r="66" spans="1:29" x14ac:dyDescent="0.2">
      <c r="A66" t="s">
        <v>10</v>
      </c>
      <c r="C66" s="26" t="e">
        <f>+Composition!$S$44</f>
        <v>#DIV/0!</v>
      </c>
      <c r="D66" s="26" t="e">
        <f>+Composition!$S$45</f>
        <v>#DIV/0!</v>
      </c>
      <c r="E66" s="26" t="e">
        <f>+Composition!$S$46</f>
        <v>#DIV/0!</v>
      </c>
      <c r="F66" s="280"/>
      <c r="G66" s="280"/>
      <c r="H66" s="280"/>
      <c r="I66" s="26" t="e">
        <f>+Composition!$S$47</f>
        <v>#DIV/0!</v>
      </c>
      <c r="J66" s="26" t="e">
        <f>+Composition!$S$49</f>
        <v>#DIV/0!</v>
      </c>
      <c r="K66" s="26" t="e">
        <f>+Composition!$S$48</f>
        <v>#DIV/0!</v>
      </c>
      <c r="L66" s="26" t="e">
        <f>+Composition!$S$50</f>
        <v>#DIV/0!</v>
      </c>
      <c r="M66" s="26" t="e">
        <f>+Composition!$S$51</f>
        <v>#DIV/0!</v>
      </c>
      <c r="N66" s="26" t="e">
        <f>+Composition!$S$52</f>
        <v>#DIV/0!</v>
      </c>
      <c r="O66" s="26" t="e">
        <f>+Composition!$S$53</f>
        <v>#DIV/0!</v>
      </c>
      <c r="P66" s="26" t="e">
        <f t="shared" si="20"/>
        <v>#DIV/0!</v>
      </c>
      <c r="Q66" s="26"/>
      <c r="U66" s="28"/>
    </row>
    <row r="67" spans="1:29" x14ac:dyDescent="0.2">
      <c r="A67" t="s">
        <v>8</v>
      </c>
      <c r="C67" s="26" t="e">
        <f>+Composition!$U$44</f>
        <v>#DIV/0!</v>
      </c>
      <c r="D67" s="26" t="e">
        <f>+Composition!$U$45</f>
        <v>#DIV/0!</v>
      </c>
      <c r="E67" s="26" t="e">
        <f>+Composition!$U$46</f>
        <v>#DIV/0!</v>
      </c>
      <c r="F67" s="280"/>
      <c r="G67" s="280"/>
      <c r="H67" s="280"/>
      <c r="I67" s="26" t="e">
        <f>+Composition!$U$47</f>
        <v>#DIV/0!</v>
      </c>
      <c r="J67" s="26" t="e">
        <f>+Composition!$U$49</f>
        <v>#DIV/0!</v>
      </c>
      <c r="K67" s="26" t="e">
        <f>+Composition!$U$48</f>
        <v>#DIV/0!</v>
      </c>
      <c r="L67" s="26" t="e">
        <f>+Composition!$U$50</f>
        <v>#DIV/0!</v>
      </c>
      <c r="M67" s="26" t="e">
        <f>+Composition!$U$51</f>
        <v>#DIV/0!</v>
      </c>
      <c r="N67" s="26" t="e">
        <f>+Composition!$U$52</f>
        <v>#DIV/0!</v>
      </c>
      <c r="O67" s="26" t="e">
        <f>+Composition!$U$53</f>
        <v>#DIV/0!</v>
      </c>
      <c r="P67" s="26" t="e">
        <f t="shared" si="20"/>
        <v>#DIV/0!</v>
      </c>
      <c r="Q67" s="26"/>
      <c r="U67" s="28"/>
    </row>
    <row r="68" spans="1:29" x14ac:dyDescent="0.2">
      <c r="A68" t="s">
        <v>9</v>
      </c>
      <c r="C68" s="26" t="e">
        <f>+Composition!$W$44</f>
        <v>#DIV/0!</v>
      </c>
      <c r="D68" s="26" t="e">
        <f>+Composition!$W$45</f>
        <v>#DIV/0!</v>
      </c>
      <c r="E68" s="26" t="e">
        <f>+Composition!$W$46</f>
        <v>#DIV/0!</v>
      </c>
      <c r="F68" s="280"/>
      <c r="G68" s="280"/>
      <c r="H68" s="280"/>
      <c r="I68" s="26" t="e">
        <f>+Composition!$W$47</f>
        <v>#DIV/0!</v>
      </c>
      <c r="J68" s="26" t="e">
        <f>+Composition!$W$49</f>
        <v>#DIV/0!</v>
      </c>
      <c r="K68" s="26" t="e">
        <f>+Composition!$W$48</f>
        <v>#DIV/0!</v>
      </c>
      <c r="L68" s="26" t="e">
        <f>+Composition!$W$50</f>
        <v>#DIV/0!</v>
      </c>
      <c r="M68" s="26" t="e">
        <f>+Composition!$W$51</f>
        <v>#DIV/0!</v>
      </c>
      <c r="N68" s="26" t="e">
        <f>+Composition!$W$52</f>
        <v>#DIV/0!</v>
      </c>
      <c r="O68" s="26" t="e">
        <f>+Composition!$W$53</f>
        <v>#DIV/0!</v>
      </c>
      <c r="P68" s="26" t="e">
        <f t="shared" si="20"/>
        <v>#DIV/0!</v>
      </c>
      <c r="Q68" s="26"/>
      <c r="U68" s="28"/>
    </row>
    <row r="69" spans="1:29" x14ac:dyDescent="0.2">
      <c r="A69" t="s">
        <v>2</v>
      </c>
      <c r="C69" s="26" t="e">
        <f>+Composition!$Y$44</f>
        <v>#DIV/0!</v>
      </c>
      <c r="D69" s="26" t="e">
        <f>+Composition!$Y$45</f>
        <v>#DIV/0!</v>
      </c>
      <c r="E69" s="26" t="e">
        <f>+Composition!$Y$46</f>
        <v>#DIV/0!</v>
      </c>
      <c r="F69" s="280"/>
      <c r="G69" s="280"/>
      <c r="H69" s="280"/>
      <c r="I69" s="26" t="e">
        <f>+Composition!$Y$47</f>
        <v>#DIV/0!</v>
      </c>
      <c r="J69" s="26" t="e">
        <f>+Composition!$Y$49</f>
        <v>#DIV/0!</v>
      </c>
      <c r="K69" s="26" t="e">
        <f>+Composition!$Y$48</f>
        <v>#DIV/0!</v>
      </c>
      <c r="L69" s="26" t="e">
        <f>+Composition!$Y$50</f>
        <v>#DIV/0!</v>
      </c>
      <c r="M69" s="26" t="e">
        <f>+Composition!$Y$51</f>
        <v>#DIV/0!</v>
      </c>
      <c r="N69" s="26" t="e">
        <f>+Composition!$Y$52</f>
        <v>#DIV/0!</v>
      </c>
      <c r="O69" s="26" t="e">
        <f>+Composition!$Y$53</f>
        <v>#DIV/0!</v>
      </c>
      <c r="P69" s="26" t="e">
        <f t="shared" si="20"/>
        <v>#DIV/0!</v>
      </c>
      <c r="Q69" s="26"/>
      <c r="U69" s="28"/>
    </row>
    <row r="70" spans="1:29" x14ac:dyDescent="0.2">
      <c r="C70"/>
      <c r="Q70" s="26"/>
      <c r="U70" s="28"/>
    </row>
    <row r="71" spans="1:29" x14ac:dyDescent="0.2">
      <c r="C71"/>
      <c r="Q71" s="26"/>
      <c r="U71" s="28"/>
    </row>
    <row r="72" spans="1:29" x14ac:dyDescent="0.2">
      <c r="A72" s="3" t="s">
        <v>48</v>
      </c>
      <c r="B72" s="3"/>
      <c r="C72"/>
      <c r="U72" s="28"/>
    </row>
    <row r="73" spans="1:29" x14ac:dyDescent="0.2">
      <c r="A73" s="63" t="s">
        <v>181</v>
      </c>
      <c r="C73" s="18">
        <f>+Prices!B5</f>
        <v>99.38</v>
      </c>
      <c r="D73" s="18">
        <f>+Prices!C5</f>
        <v>0</v>
      </c>
      <c r="E73" s="18">
        <f>+Prices!D5</f>
        <v>132.5</v>
      </c>
      <c r="F73" s="281"/>
      <c r="G73" s="281"/>
      <c r="H73" s="281"/>
      <c r="I73" s="18">
        <f>+Prices!E5</f>
        <v>1615.88</v>
      </c>
      <c r="J73" s="18">
        <f>+Prices!F5</f>
        <v>214.93</v>
      </c>
      <c r="K73" s="18">
        <f>+Prices!G5</f>
        <v>-58.5</v>
      </c>
      <c r="L73" s="18">
        <f>+Prices!H5</f>
        <v>600</v>
      </c>
      <c r="M73" s="18">
        <f>+Prices!I5</f>
        <v>1145</v>
      </c>
      <c r="N73" s="18">
        <f>+Prices!J5</f>
        <v>480</v>
      </c>
      <c r="O73" s="18">
        <f>+Prices!K5</f>
        <v>-205</v>
      </c>
      <c r="R73" s="18"/>
      <c r="S73" s="18"/>
      <c r="U73" s="28"/>
      <c r="V73" s="18"/>
      <c r="W73" s="18"/>
      <c r="X73" s="18"/>
      <c r="Y73" s="18"/>
      <c r="Z73" s="18"/>
      <c r="AA73" s="18"/>
      <c r="AB73" s="18"/>
      <c r="AC73" s="18"/>
    </row>
    <row r="74" spans="1:29" x14ac:dyDescent="0.2">
      <c r="A74" t="s">
        <v>148</v>
      </c>
      <c r="C74" s="18">
        <f>+Prices!B6</f>
        <v>101.68</v>
      </c>
      <c r="D74" s="18">
        <f>+Prices!C6</f>
        <v>0</v>
      </c>
      <c r="E74" s="18">
        <f>+Prices!D6</f>
        <v>142.5</v>
      </c>
      <c r="F74" s="281"/>
      <c r="G74" s="281"/>
      <c r="H74" s="281"/>
      <c r="I74" s="18">
        <f>+Prices!E6</f>
        <v>1488.14</v>
      </c>
      <c r="J74" s="18">
        <f>+Prices!F6</f>
        <v>170.77</v>
      </c>
      <c r="K74" s="18">
        <f>+Prices!G6</f>
        <v>-58.5</v>
      </c>
      <c r="L74" s="18">
        <f>+Prices!H6</f>
        <v>310.97000000000003</v>
      </c>
      <c r="M74" s="18">
        <f>+Prices!I6</f>
        <v>860</v>
      </c>
      <c r="N74" s="18">
        <f>+Prices!J6</f>
        <v>340</v>
      </c>
      <c r="O74" s="18">
        <f>+Prices!K6</f>
        <v>-205</v>
      </c>
      <c r="R74" s="18"/>
      <c r="S74" s="18"/>
      <c r="U74" s="28"/>
      <c r="V74" s="18"/>
      <c r="W74" s="18"/>
      <c r="X74" s="18"/>
      <c r="Y74" s="18"/>
      <c r="Z74" s="18"/>
      <c r="AA74" s="18"/>
      <c r="AB74" s="18"/>
      <c r="AC74" s="18"/>
    </row>
    <row r="75" spans="1:29" x14ac:dyDescent="0.2">
      <c r="A75" t="s">
        <v>149</v>
      </c>
      <c r="C75" s="18">
        <f>+Prices!B7</f>
        <v>103.84</v>
      </c>
      <c r="D75" s="18">
        <f>+Prices!C7</f>
        <v>0</v>
      </c>
      <c r="E75" s="18">
        <f>+Prices!D7</f>
        <v>132.5</v>
      </c>
      <c r="F75" s="281"/>
      <c r="G75" s="281"/>
      <c r="H75" s="281"/>
      <c r="I75" s="18">
        <f>+Prices!E7</f>
        <v>1477.2</v>
      </c>
      <c r="J75" s="18">
        <f>+Prices!F7</f>
        <v>161.69</v>
      </c>
      <c r="K75" s="18">
        <f>+Prices!G7</f>
        <v>-58.5</v>
      </c>
      <c r="L75" s="18">
        <f>+Prices!H7</f>
        <v>102.25</v>
      </c>
      <c r="M75" s="18">
        <f>+Prices!I7</f>
        <v>780</v>
      </c>
      <c r="N75" s="18">
        <f>+Prices!J7</f>
        <v>200</v>
      </c>
      <c r="O75" s="18">
        <f>+Prices!K7</f>
        <v>-205</v>
      </c>
      <c r="R75" s="18"/>
      <c r="S75" s="18"/>
      <c r="U75" s="28"/>
      <c r="V75" s="18"/>
      <c r="W75" s="18"/>
      <c r="X75" s="18"/>
      <c r="Y75" s="18"/>
      <c r="Z75" s="18"/>
      <c r="AA75" s="18"/>
      <c r="AB75" s="18"/>
      <c r="AC75" s="18"/>
    </row>
    <row r="76" spans="1:29" x14ac:dyDescent="0.2">
      <c r="A76" t="s">
        <v>150</v>
      </c>
      <c r="C76" s="18">
        <f>+Prices!B8</f>
        <v>84.29</v>
      </c>
      <c r="D76" s="18">
        <f>+Prices!C8</f>
        <v>0</v>
      </c>
      <c r="E76" s="18">
        <f>+Prices!D8</f>
        <v>95.11</v>
      </c>
      <c r="F76" s="281"/>
      <c r="G76" s="281"/>
      <c r="H76" s="281"/>
      <c r="I76" s="18">
        <f>+Prices!E8</f>
        <v>1285.56</v>
      </c>
      <c r="J76" s="18">
        <f>+Prices!F8</f>
        <v>160.51</v>
      </c>
      <c r="K76" s="18">
        <f>+Prices!G8</f>
        <v>-58.5</v>
      </c>
      <c r="L76" s="18">
        <f>+Prices!H8</f>
        <v>60</v>
      </c>
      <c r="M76" s="18">
        <f>+Prices!I8</f>
        <v>680</v>
      </c>
      <c r="N76" s="18">
        <f>+Prices!J8</f>
        <v>110</v>
      </c>
      <c r="O76" s="18">
        <f>+Prices!K8</f>
        <v>-205</v>
      </c>
      <c r="R76" s="18"/>
      <c r="S76" s="18"/>
      <c r="U76" s="28"/>
      <c r="V76" s="18"/>
      <c r="W76" s="18"/>
      <c r="X76" s="18"/>
      <c r="Y76" s="18"/>
      <c r="Z76" s="18"/>
      <c r="AA76" s="18"/>
      <c r="AB76" s="18"/>
      <c r="AC76" s="18"/>
    </row>
    <row r="77" spans="1:29" x14ac:dyDescent="0.2">
      <c r="A77" t="s">
        <v>151</v>
      </c>
      <c r="C77" s="18">
        <f>+Prices!B9</f>
        <v>-15.51</v>
      </c>
      <c r="D77" s="18">
        <f>+Prices!C9</f>
        <v>0</v>
      </c>
      <c r="E77" s="18">
        <f>+Prices!D9</f>
        <v>62.5</v>
      </c>
      <c r="F77" s="281"/>
      <c r="G77" s="281"/>
      <c r="H77" s="281"/>
      <c r="I77" s="18">
        <f>+Prices!E9</f>
        <v>1199.49</v>
      </c>
      <c r="J77" s="18">
        <f>+Prices!F9</f>
        <v>150.80000000000001</v>
      </c>
      <c r="K77" s="18">
        <f>+Prices!G9</f>
        <v>-58.5</v>
      </c>
      <c r="L77" s="18">
        <f>+Prices!H9</f>
        <v>60</v>
      </c>
      <c r="M77" s="18">
        <f>+Prices!I9</f>
        <v>780</v>
      </c>
      <c r="N77" s="18">
        <f>+Prices!J9</f>
        <v>130</v>
      </c>
      <c r="O77" s="18">
        <f>+Prices!K9</f>
        <v>-205</v>
      </c>
      <c r="R77" s="18"/>
      <c r="S77" s="18"/>
      <c r="U77" s="28"/>
      <c r="V77" s="18"/>
      <c r="W77" s="18"/>
      <c r="X77" s="18"/>
      <c r="Y77" s="18"/>
      <c r="Z77" s="18"/>
      <c r="AA77" s="18"/>
      <c r="AB77" s="18"/>
      <c r="AC77" s="18"/>
    </row>
    <row r="78" spans="1:29" x14ac:dyDescent="0.2">
      <c r="A78" t="s">
        <v>152</v>
      </c>
      <c r="C78" s="18">
        <f>+Prices!B10</f>
        <v>-7.32</v>
      </c>
      <c r="D78" s="18">
        <f>+Prices!C10</f>
        <v>0</v>
      </c>
      <c r="E78" s="18">
        <f>+Prices!D10</f>
        <v>47.5</v>
      </c>
      <c r="F78" s="281"/>
      <c r="G78" s="281"/>
      <c r="H78" s="281"/>
      <c r="I78" s="18">
        <f>+Prices!E10</f>
        <v>1268.21</v>
      </c>
      <c r="J78" s="18">
        <f>+Prices!F10</f>
        <v>140.88999999999999</v>
      </c>
      <c r="K78" s="18">
        <f>+Prices!G10</f>
        <v>-58.5</v>
      </c>
      <c r="L78" s="18">
        <f>+Prices!H10</f>
        <v>86.94</v>
      </c>
      <c r="M78" s="18">
        <f>+Prices!I10</f>
        <v>1090</v>
      </c>
      <c r="N78" s="18">
        <f>+Prices!J10</f>
        <v>160</v>
      </c>
      <c r="O78" s="18">
        <f>+Prices!K10</f>
        <v>-205</v>
      </c>
      <c r="R78" s="18"/>
      <c r="S78" s="18"/>
      <c r="U78" s="28"/>
      <c r="V78" s="18"/>
      <c r="W78" s="18"/>
      <c r="X78" s="18"/>
      <c r="Y78" s="18"/>
      <c r="Z78" s="18"/>
      <c r="AA78" s="18"/>
      <c r="AB78" s="18"/>
      <c r="AC78" s="18"/>
    </row>
    <row r="79" spans="1:29" x14ac:dyDescent="0.2">
      <c r="A79" t="s">
        <v>7</v>
      </c>
      <c r="C79" s="18">
        <f>+Prices!B11</f>
        <v>32.31</v>
      </c>
      <c r="D79" s="18">
        <f>+Prices!C11</f>
        <v>0</v>
      </c>
      <c r="E79" s="18">
        <f>+Prices!D11</f>
        <v>47.5</v>
      </c>
      <c r="F79" s="281"/>
      <c r="G79" s="281"/>
      <c r="H79" s="281"/>
      <c r="I79" s="18">
        <f>+Prices!E11</f>
        <v>1278.6400000000001</v>
      </c>
      <c r="J79" s="18">
        <f>+Prices!F11</f>
        <v>151.63</v>
      </c>
      <c r="K79" s="18">
        <f>+Prices!G11</f>
        <v>-58.5</v>
      </c>
      <c r="L79" s="18">
        <f>+Prices!H11</f>
        <v>80</v>
      </c>
      <c r="M79" s="18">
        <f>+Prices!I11</f>
        <v>1090</v>
      </c>
      <c r="N79" s="18">
        <f>+Prices!J11</f>
        <v>160</v>
      </c>
      <c r="O79" s="18">
        <f>+Prices!K11</f>
        <v>-205</v>
      </c>
      <c r="R79" s="18"/>
      <c r="S79" s="18"/>
      <c r="U79" s="28"/>
      <c r="V79" s="18"/>
      <c r="W79" s="18"/>
      <c r="X79" s="18"/>
      <c r="Y79" s="18"/>
      <c r="Z79" s="18"/>
      <c r="AA79" s="18"/>
      <c r="AB79" s="18"/>
      <c r="AC79" s="18"/>
    </row>
    <row r="80" spans="1:29" x14ac:dyDescent="0.2">
      <c r="A80" s="63" t="s">
        <v>182</v>
      </c>
      <c r="C80" s="18">
        <f>+Prices!B12</f>
        <v>27.51</v>
      </c>
      <c r="D80" s="18">
        <f>+Prices!C12</f>
        <v>0</v>
      </c>
      <c r="E80" s="18">
        <f>+Prices!D12</f>
        <v>47.5</v>
      </c>
      <c r="F80" s="281"/>
      <c r="G80" s="281"/>
      <c r="H80" s="281"/>
      <c r="I80" s="18">
        <f>+Prices!E12</f>
        <v>1565.92</v>
      </c>
      <c r="J80" s="18">
        <f>+Prices!F12</f>
        <v>181.51</v>
      </c>
      <c r="K80" s="18">
        <f>+Prices!G12</f>
        <v>-60.55</v>
      </c>
      <c r="L80" s="18">
        <f>+Prices!H12</f>
        <v>120</v>
      </c>
      <c r="M80" s="18">
        <f>+Prices!I12</f>
        <v>1120</v>
      </c>
      <c r="N80" s="18">
        <f>+Prices!J12</f>
        <v>100</v>
      </c>
      <c r="O80" s="18">
        <f>+Prices!K12</f>
        <v>-205</v>
      </c>
      <c r="R80" s="18"/>
      <c r="S80" s="18"/>
      <c r="U80" s="28"/>
      <c r="V80" s="18"/>
      <c r="W80" s="18"/>
      <c r="X80" s="18"/>
      <c r="Y80" s="18"/>
      <c r="Z80" s="18"/>
      <c r="AA80" s="18"/>
      <c r="AB80" s="18"/>
      <c r="AC80" s="18"/>
    </row>
    <row r="81" spans="1:29" x14ac:dyDescent="0.2">
      <c r="A81" t="s">
        <v>10</v>
      </c>
      <c r="C81" s="18">
        <f>+Prices!B13</f>
        <v>41.35</v>
      </c>
      <c r="D81" s="18">
        <f>+Prices!C13</f>
        <v>0</v>
      </c>
      <c r="E81" s="18">
        <f>+Prices!D13</f>
        <v>69.7</v>
      </c>
      <c r="F81" s="281"/>
      <c r="G81" s="281"/>
      <c r="H81" s="281"/>
      <c r="I81" s="18">
        <f>+Prices!E13</f>
        <v>1422</v>
      </c>
      <c r="J81" s="18">
        <f>+Prices!F13</f>
        <v>206.05</v>
      </c>
      <c r="K81" s="18">
        <f>+Prices!G13</f>
        <v>-60.55</v>
      </c>
      <c r="L81" s="18">
        <f>+Prices!H13</f>
        <v>120</v>
      </c>
      <c r="M81" s="18">
        <f>+Prices!I13</f>
        <v>1200</v>
      </c>
      <c r="N81" s="18">
        <f>+Prices!J13</f>
        <v>150</v>
      </c>
      <c r="O81" s="18">
        <f>+Prices!K13</f>
        <v>-205</v>
      </c>
      <c r="R81" s="18"/>
      <c r="S81" s="18"/>
      <c r="U81" s="28"/>
      <c r="V81" s="18"/>
      <c r="W81" s="18"/>
      <c r="X81" s="18"/>
      <c r="Y81" s="18"/>
      <c r="Z81" s="18"/>
      <c r="AA81" s="18"/>
      <c r="AB81" s="18"/>
      <c r="AC81" s="18"/>
    </row>
    <row r="82" spans="1:29" x14ac:dyDescent="0.2">
      <c r="A82" t="s">
        <v>8</v>
      </c>
      <c r="C82" s="18">
        <f>+Prices!B14</f>
        <v>35.39</v>
      </c>
      <c r="D82" s="18">
        <f>+Prices!C14</f>
        <v>0</v>
      </c>
      <c r="E82" s="18">
        <f>+Prices!D14</f>
        <v>75.489999999999995</v>
      </c>
      <c r="F82" s="281"/>
      <c r="G82" s="281"/>
      <c r="H82" s="281"/>
      <c r="I82" s="18">
        <f>+Prices!E14</f>
        <v>1374.53</v>
      </c>
      <c r="J82" s="18">
        <f>+Prices!F14</f>
        <v>235.39</v>
      </c>
      <c r="K82" s="18">
        <f>+Prices!G14</f>
        <v>-60.55</v>
      </c>
      <c r="L82" s="18">
        <f>+Prices!H14</f>
        <v>180</v>
      </c>
      <c r="M82" s="18">
        <f>+Prices!I14</f>
        <v>1270</v>
      </c>
      <c r="N82" s="18">
        <f>+Prices!J14</f>
        <v>140</v>
      </c>
      <c r="O82" s="18">
        <f>+Prices!K14</f>
        <v>-205</v>
      </c>
      <c r="R82" s="18"/>
      <c r="S82" s="18"/>
      <c r="U82" s="28"/>
      <c r="V82" s="18"/>
      <c r="W82" s="18"/>
      <c r="X82" s="18"/>
      <c r="Y82" s="18"/>
      <c r="Z82" s="18"/>
      <c r="AA82" s="18"/>
      <c r="AB82" s="18"/>
      <c r="AC82" s="18"/>
    </row>
    <row r="83" spans="1:29" x14ac:dyDescent="0.2">
      <c r="A83" t="s">
        <v>9</v>
      </c>
      <c r="C83" s="18">
        <f>+Prices!B15</f>
        <v>30.68</v>
      </c>
      <c r="D83" s="18">
        <f>+Prices!C15</f>
        <v>0</v>
      </c>
      <c r="E83" s="18">
        <f>+Prices!D15</f>
        <v>77.650000000000006</v>
      </c>
      <c r="F83" s="281"/>
      <c r="G83" s="281"/>
      <c r="H83" s="281"/>
      <c r="I83" s="18">
        <f>+Prices!E15</f>
        <v>1411.06</v>
      </c>
      <c r="J83" s="18">
        <f>+Prices!F15</f>
        <v>225.38</v>
      </c>
      <c r="K83" s="18">
        <f>+Prices!G15</f>
        <v>-60.55</v>
      </c>
      <c r="L83" s="18">
        <f>+Prices!H15</f>
        <v>200</v>
      </c>
      <c r="M83" s="18">
        <f>+Prices!I15</f>
        <v>1313.68</v>
      </c>
      <c r="N83" s="18">
        <f>+Prices!J15</f>
        <v>140</v>
      </c>
      <c r="O83" s="18">
        <f>+Prices!K15</f>
        <v>-205</v>
      </c>
      <c r="R83" s="18"/>
      <c r="S83" s="18"/>
      <c r="U83" s="28"/>
      <c r="V83" s="18"/>
      <c r="W83" s="18"/>
      <c r="X83" s="18"/>
      <c r="Y83" s="18"/>
      <c r="Z83" s="18"/>
      <c r="AA83" s="18"/>
      <c r="AB83" s="18"/>
      <c r="AC83" s="18"/>
    </row>
    <row r="84" spans="1:29" x14ac:dyDescent="0.2">
      <c r="A84" t="s">
        <v>2</v>
      </c>
      <c r="C84" s="18">
        <f>+Prices!B16</f>
        <v>17.61</v>
      </c>
      <c r="D84" s="18">
        <f>+Prices!C16</f>
        <v>0</v>
      </c>
      <c r="E84" s="18">
        <f>+Prices!D16</f>
        <v>78.36</v>
      </c>
      <c r="F84" s="281"/>
      <c r="G84" s="281"/>
      <c r="H84" s="281"/>
      <c r="I84" s="18">
        <f>+Prices!E16</f>
        <v>1389.4</v>
      </c>
      <c r="J84" s="18">
        <f>+Prices!F16</f>
        <v>196.81</v>
      </c>
      <c r="K84" s="18">
        <f>+Prices!G16</f>
        <v>-60.55</v>
      </c>
      <c r="L84" s="18">
        <f>+Prices!H16</f>
        <v>200</v>
      </c>
      <c r="M84" s="18">
        <f>+Prices!I16</f>
        <v>1400.35</v>
      </c>
      <c r="N84" s="18">
        <f>+Prices!J16</f>
        <v>220</v>
      </c>
      <c r="O84" s="18">
        <f>+Prices!K16</f>
        <v>-205</v>
      </c>
      <c r="R84" s="62"/>
      <c r="S84" s="18"/>
      <c r="U84" s="28"/>
      <c r="V84" s="29"/>
      <c r="W84" s="29"/>
      <c r="X84" s="18"/>
      <c r="Y84" s="29"/>
      <c r="Z84" s="29"/>
      <c r="AA84" s="29"/>
      <c r="AB84" s="29"/>
      <c r="AC84" s="29"/>
    </row>
    <row r="85" spans="1:29" x14ac:dyDescent="0.2">
      <c r="A85" t="s">
        <v>147</v>
      </c>
      <c r="C85" s="18">
        <f>+Prices!B20</f>
        <v>0</v>
      </c>
      <c r="D85" s="18">
        <f>+Prices!C20</f>
        <v>0</v>
      </c>
      <c r="E85" s="18">
        <f>+Prices!D20</f>
        <v>0</v>
      </c>
      <c r="F85" s="281"/>
      <c r="G85" s="281"/>
      <c r="H85" s="281"/>
      <c r="I85" s="18">
        <f>+Prices!E20</f>
        <v>0</v>
      </c>
      <c r="J85" s="18">
        <f>+Prices!F20</f>
        <v>0</v>
      </c>
      <c r="K85" s="18">
        <f>+Prices!G20</f>
        <v>0</v>
      </c>
      <c r="L85" s="18">
        <f>+Prices!H20</f>
        <v>0</v>
      </c>
      <c r="M85" s="18">
        <f>+Prices!I20</f>
        <v>0</v>
      </c>
      <c r="N85" s="18">
        <f>+Prices!J20</f>
        <v>0</v>
      </c>
      <c r="O85" s="18">
        <f>+Prices!K20</f>
        <v>0</v>
      </c>
      <c r="R85" s="62"/>
      <c r="S85" s="18"/>
      <c r="U85" s="28"/>
      <c r="V85" s="29"/>
      <c r="W85" s="29"/>
      <c r="X85" s="18"/>
      <c r="Y85" s="29"/>
      <c r="Z85" s="29"/>
      <c r="AA85" s="29"/>
      <c r="AB85" s="29"/>
      <c r="AC85" s="29"/>
    </row>
    <row r="86" spans="1:29" x14ac:dyDescent="0.2">
      <c r="A86" t="s">
        <v>148</v>
      </c>
      <c r="C86" s="18">
        <f>+Prices!B21</f>
        <v>0</v>
      </c>
      <c r="D86" s="18">
        <f>+Prices!C21</f>
        <v>0</v>
      </c>
      <c r="E86" s="18">
        <f>+Prices!D21</f>
        <v>0</v>
      </c>
      <c r="F86" s="281"/>
      <c r="G86" s="281"/>
      <c r="H86" s="281"/>
      <c r="I86" s="18">
        <f>+Prices!E21</f>
        <v>0</v>
      </c>
      <c r="J86" s="18">
        <f>+Prices!F21</f>
        <v>0</v>
      </c>
      <c r="K86" s="18">
        <f>+Prices!G21</f>
        <v>0</v>
      </c>
      <c r="L86" s="18">
        <f>+Prices!H21</f>
        <v>0</v>
      </c>
      <c r="M86" s="18">
        <f>+Prices!I21</f>
        <v>0</v>
      </c>
      <c r="N86" s="18">
        <f>+Prices!J21</f>
        <v>0</v>
      </c>
      <c r="O86" s="18">
        <f>+Prices!K21</f>
        <v>0</v>
      </c>
      <c r="R86" s="62"/>
      <c r="S86" s="18"/>
      <c r="U86" s="28"/>
      <c r="V86" s="29"/>
      <c r="W86" s="29"/>
      <c r="X86" s="18"/>
      <c r="Y86" s="29"/>
      <c r="Z86" s="29"/>
      <c r="AA86" s="29"/>
      <c r="AB86" s="29"/>
      <c r="AC86" s="29"/>
    </row>
    <row r="87" spans="1:29" x14ac:dyDescent="0.2">
      <c r="A87" t="s">
        <v>149</v>
      </c>
      <c r="C87" s="18">
        <f>+Prices!B22</f>
        <v>0</v>
      </c>
      <c r="D87" s="18">
        <f>+Prices!C22</f>
        <v>0</v>
      </c>
      <c r="E87" s="18">
        <f>+Prices!D22</f>
        <v>0</v>
      </c>
      <c r="F87" s="281"/>
      <c r="G87" s="281"/>
      <c r="H87" s="281"/>
      <c r="I87" s="18">
        <f>+Prices!E22</f>
        <v>0</v>
      </c>
      <c r="J87" s="18">
        <f>+Prices!F22</f>
        <v>0</v>
      </c>
      <c r="K87" s="18">
        <f>+Prices!G22</f>
        <v>0</v>
      </c>
      <c r="L87" s="18">
        <f>+Prices!H22</f>
        <v>0</v>
      </c>
      <c r="M87" s="18">
        <f>+Prices!I22</f>
        <v>0</v>
      </c>
      <c r="N87" s="18">
        <f>+Prices!J22</f>
        <v>0</v>
      </c>
      <c r="O87" s="18">
        <f>+Prices!K22</f>
        <v>0</v>
      </c>
      <c r="R87" s="62"/>
      <c r="S87" s="18"/>
      <c r="U87" s="28"/>
      <c r="V87" s="29"/>
      <c r="W87" s="29"/>
      <c r="X87" s="18"/>
      <c r="Y87" s="29"/>
      <c r="Z87" s="29"/>
      <c r="AA87" s="29"/>
      <c r="AB87" s="29"/>
      <c r="AC87" s="29"/>
    </row>
    <row r="88" spans="1:29" x14ac:dyDescent="0.2">
      <c r="A88" t="s">
        <v>150</v>
      </c>
      <c r="C88" s="18">
        <f>+Prices!B23</f>
        <v>0</v>
      </c>
      <c r="D88" s="18">
        <f>+Prices!C23</f>
        <v>0</v>
      </c>
      <c r="E88" s="18">
        <f>+Prices!D23</f>
        <v>0</v>
      </c>
      <c r="F88" s="281"/>
      <c r="G88" s="281"/>
      <c r="H88" s="281"/>
      <c r="I88" s="18">
        <f>+Prices!E23</f>
        <v>0</v>
      </c>
      <c r="J88" s="18">
        <f>+Prices!F23</f>
        <v>0</v>
      </c>
      <c r="K88" s="18">
        <f>+Prices!G23</f>
        <v>0</v>
      </c>
      <c r="L88" s="18">
        <f>+Prices!H23</f>
        <v>0</v>
      </c>
      <c r="M88" s="18">
        <f>+Prices!I23</f>
        <v>0</v>
      </c>
      <c r="N88" s="18">
        <f>+Prices!J23</f>
        <v>0</v>
      </c>
      <c r="O88" s="18">
        <f>+Prices!K23</f>
        <v>0</v>
      </c>
      <c r="R88" s="62"/>
      <c r="S88" s="18"/>
      <c r="U88" s="28"/>
      <c r="V88" s="29"/>
      <c r="W88" s="29"/>
      <c r="X88" s="18"/>
      <c r="Y88" s="29"/>
      <c r="Z88" s="29"/>
      <c r="AA88" s="29"/>
      <c r="AB88" s="29"/>
      <c r="AC88" s="29"/>
    </row>
    <row r="89" spans="1:29" x14ac:dyDescent="0.2">
      <c r="A89" t="s">
        <v>151</v>
      </c>
      <c r="C89" s="18">
        <f>+Prices!B24</f>
        <v>0</v>
      </c>
      <c r="D89" s="18">
        <f>+Prices!C24</f>
        <v>0</v>
      </c>
      <c r="E89" s="18">
        <f>+Prices!D24</f>
        <v>0</v>
      </c>
      <c r="F89" s="281"/>
      <c r="G89" s="281"/>
      <c r="H89" s="281"/>
      <c r="I89" s="18">
        <f>+Prices!E24</f>
        <v>0</v>
      </c>
      <c r="J89" s="18">
        <f>+Prices!F24</f>
        <v>0</v>
      </c>
      <c r="K89" s="18">
        <f>+Prices!G24</f>
        <v>0</v>
      </c>
      <c r="L89" s="18">
        <f>+Prices!H24</f>
        <v>0</v>
      </c>
      <c r="M89" s="18">
        <f>+Prices!I24</f>
        <v>0</v>
      </c>
      <c r="N89" s="18">
        <f>+Prices!J24</f>
        <v>0</v>
      </c>
      <c r="O89" s="18">
        <f>+Prices!K24</f>
        <v>0</v>
      </c>
      <c r="R89" s="62"/>
      <c r="S89" s="18"/>
      <c r="U89" s="28"/>
      <c r="V89" s="29"/>
      <c r="W89" s="29"/>
      <c r="X89" s="18"/>
      <c r="Y89" s="29"/>
      <c r="Z89" s="29"/>
      <c r="AA89" s="29"/>
      <c r="AB89" s="29"/>
      <c r="AC89" s="29"/>
    </row>
    <row r="90" spans="1:29" x14ac:dyDescent="0.2">
      <c r="A90" t="s">
        <v>152</v>
      </c>
      <c r="C90" s="18">
        <f>+Prices!B25</f>
        <v>0</v>
      </c>
      <c r="D90" s="18">
        <f>+Prices!C25</f>
        <v>0</v>
      </c>
      <c r="E90" s="18">
        <f>+Prices!D25</f>
        <v>0</v>
      </c>
      <c r="F90" s="281"/>
      <c r="G90" s="281"/>
      <c r="H90" s="281"/>
      <c r="I90" s="18">
        <f>+Prices!E25</f>
        <v>0</v>
      </c>
      <c r="J90" s="18">
        <f>+Prices!F25</f>
        <v>0</v>
      </c>
      <c r="K90" s="18">
        <f>+Prices!G25</f>
        <v>0</v>
      </c>
      <c r="L90" s="18">
        <f>+Prices!H25</f>
        <v>0</v>
      </c>
      <c r="M90" s="18">
        <f>+Prices!I25</f>
        <v>0</v>
      </c>
      <c r="N90" s="18">
        <f>+Prices!J25</f>
        <v>0</v>
      </c>
      <c r="O90" s="18">
        <f>+Prices!K25</f>
        <v>0</v>
      </c>
      <c r="R90" s="62"/>
      <c r="S90" s="18"/>
      <c r="U90" s="28"/>
      <c r="V90" s="29"/>
      <c r="W90" s="29"/>
      <c r="X90" s="18"/>
      <c r="Y90" s="29"/>
      <c r="Z90" s="29"/>
      <c r="AA90" s="29"/>
      <c r="AB90" s="29"/>
      <c r="AC90" s="29"/>
    </row>
    <row r="91" spans="1:29" x14ac:dyDescent="0.2">
      <c r="A91" t="s">
        <v>7</v>
      </c>
      <c r="C91" s="18">
        <f>+Prices!B26</f>
        <v>0</v>
      </c>
      <c r="D91" s="18">
        <f>+Prices!C26</f>
        <v>0</v>
      </c>
      <c r="E91" s="18">
        <f>+Prices!D26</f>
        <v>0</v>
      </c>
      <c r="F91" s="281"/>
      <c r="G91" s="281"/>
      <c r="H91" s="281"/>
      <c r="I91" s="18">
        <f>+Prices!E26</f>
        <v>0</v>
      </c>
      <c r="J91" s="18">
        <f>+Prices!F26</f>
        <v>0</v>
      </c>
      <c r="K91" s="18">
        <f>+Prices!G26</f>
        <v>0</v>
      </c>
      <c r="L91" s="18">
        <f>+Prices!H26</f>
        <v>0</v>
      </c>
      <c r="M91" s="18">
        <f>+Prices!I26</f>
        <v>0</v>
      </c>
      <c r="N91" s="18">
        <f>+Prices!J26</f>
        <v>0</v>
      </c>
      <c r="O91" s="18">
        <f>+Prices!K26</f>
        <v>0</v>
      </c>
      <c r="R91" s="62"/>
      <c r="S91" s="18"/>
      <c r="U91" s="28"/>
      <c r="V91" s="29"/>
      <c r="W91" s="29"/>
      <c r="X91" s="18"/>
      <c r="Y91" s="29"/>
      <c r="Z91" s="29"/>
      <c r="AA91" s="29"/>
      <c r="AB91" s="29"/>
      <c r="AC91" s="29"/>
    </row>
    <row r="92" spans="1:29" x14ac:dyDescent="0.2">
      <c r="A92" s="63" t="s">
        <v>184</v>
      </c>
      <c r="C92" s="18">
        <f>+Prices!B27</f>
        <v>0</v>
      </c>
      <c r="D92" s="18">
        <f>+Prices!C27</f>
        <v>0</v>
      </c>
      <c r="E92" s="18">
        <f>+Prices!D27</f>
        <v>0</v>
      </c>
      <c r="F92" s="281"/>
      <c r="G92" s="281"/>
      <c r="H92" s="281"/>
      <c r="I92" s="18">
        <f>+Prices!E27</f>
        <v>0</v>
      </c>
      <c r="J92" s="18">
        <f>+Prices!F27</f>
        <v>0</v>
      </c>
      <c r="K92" s="18">
        <f>+Prices!G27</f>
        <v>0</v>
      </c>
      <c r="L92" s="18">
        <f>+Prices!H27</f>
        <v>0</v>
      </c>
      <c r="M92" s="18">
        <f>+Prices!I27</f>
        <v>0</v>
      </c>
      <c r="N92" s="18">
        <f>+Prices!J27</f>
        <v>0</v>
      </c>
      <c r="O92" s="18">
        <f>+Prices!K27</f>
        <v>0</v>
      </c>
      <c r="R92" s="62"/>
      <c r="S92" s="18"/>
      <c r="U92" s="28"/>
      <c r="V92" s="29"/>
      <c r="W92" s="29"/>
      <c r="X92" s="18"/>
      <c r="Y92" s="29"/>
      <c r="Z92" s="29"/>
      <c r="AA92" s="29"/>
      <c r="AB92" s="29"/>
      <c r="AC92" s="29"/>
    </row>
    <row r="93" spans="1:29" x14ac:dyDescent="0.2">
      <c r="A93" t="s">
        <v>10</v>
      </c>
      <c r="C93" s="18">
        <f>+Prices!B28</f>
        <v>0</v>
      </c>
      <c r="D93" s="18">
        <f>+Prices!C28</f>
        <v>0</v>
      </c>
      <c r="E93" s="18">
        <f>+Prices!D28</f>
        <v>0</v>
      </c>
      <c r="F93" s="281"/>
      <c r="G93" s="281"/>
      <c r="H93" s="281"/>
      <c r="I93" s="18">
        <f>+Prices!E28</f>
        <v>0</v>
      </c>
      <c r="J93" s="18">
        <f>+Prices!F28</f>
        <v>0</v>
      </c>
      <c r="K93" s="18">
        <f>+Prices!G28</f>
        <v>0</v>
      </c>
      <c r="L93" s="18">
        <f>+Prices!H28</f>
        <v>0</v>
      </c>
      <c r="M93" s="18">
        <f>+Prices!I28</f>
        <v>0</v>
      </c>
      <c r="N93" s="18">
        <f>+Prices!J28</f>
        <v>0</v>
      </c>
      <c r="O93" s="18">
        <f>+Prices!K28</f>
        <v>0</v>
      </c>
      <c r="R93" s="62"/>
      <c r="S93" s="18"/>
      <c r="U93" s="28"/>
      <c r="V93" s="29"/>
      <c r="W93" s="29"/>
      <c r="X93" s="18"/>
      <c r="Y93" s="29"/>
      <c r="Z93" s="29"/>
      <c r="AA93" s="29"/>
      <c r="AB93" s="29"/>
      <c r="AC93" s="29"/>
    </row>
    <row r="94" spans="1:29" x14ac:dyDescent="0.2">
      <c r="A94" t="s">
        <v>8</v>
      </c>
      <c r="C94" s="18">
        <f>+Prices!B29</f>
        <v>0</v>
      </c>
      <c r="D94" s="18">
        <f>+Prices!C29</f>
        <v>0</v>
      </c>
      <c r="E94" s="18">
        <f>+Prices!D29</f>
        <v>0</v>
      </c>
      <c r="F94" s="281"/>
      <c r="G94" s="281"/>
      <c r="H94" s="281"/>
      <c r="I94" s="18">
        <f>+Prices!E29</f>
        <v>0</v>
      </c>
      <c r="J94" s="18">
        <f>+Prices!F29</f>
        <v>0</v>
      </c>
      <c r="K94" s="18">
        <f>+Prices!G29</f>
        <v>0</v>
      </c>
      <c r="L94" s="18">
        <f>+Prices!H29</f>
        <v>0</v>
      </c>
      <c r="M94" s="18">
        <f>+Prices!I29</f>
        <v>0</v>
      </c>
      <c r="N94" s="18">
        <f>+Prices!J29</f>
        <v>0</v>
      </c>
      <c r="O94" s="18">
        <f>+Prices!K29</f>
        <v>0</v>
      </c>
      <c r="R94" s="62"/>
      <c r="S94" s="18"/>
      <c r="U94" s="28"/>
      <c r="V94" s="29"/>
      <c r="W94" s="29"/>
      <c r="X94" s="18"/>
      <c r="Y94" s="29"/>
      <c r="Z94" s="29"/>
      <c r="AA94" s="29"/>
      <c r="AB94" s="29"/>
      <c r="AC94" s="29"/>
    </row>
    <row r="95" spans="1:29" x14ac:dyDescent="0.2">
      <c r="A95" t="s">
        <v>9</v>
      </c>
      <c r="C95" s="18">
        <f>+Prices!B30</f>
        <v>0</v>
      </c>
      <c r="D95" s="18">
        <f>+Prices!C30</f>
        <v>0</v>
      </c>
      <c r="E95" s="18">
        <f>+Prices!D30</f>
        <v>0</v>
      </c>
      <c r="F95" s="281"/>
      <c r="G95" s="281"/>
      <c r="H95" s="281"/>
      <c r="I95" s="18">
        <f>+Prices!E30</f>
        <v>0</v>
      </c>
      <c r="J95" s="18">
        <f>+Prices!F30</f>
        <v>0</v>
      </c>
      <c r="K95" s="18">
        <f>+Prices!G30</f>
        <v>0</v>
      </c>
      <c r="L95" s="18">
        <f>+Prices!H30</f>
        <v>0</v>
      </c>
      <c r="M95" s="18">
        <f>+Prices!I30</f>
        <v>0</v>
      </c>
      <c r="N95" s="18">
        <f>+Prices!J30</f>
        <v>0</v>
      </c>
      <c r="O95" s="18">
        <f>+Prices!K30</f>
        <v>0</v>
      </c>
      <c r="R95" s="62"/>
      <c r="S95" s="18"/>
      <c r="U95" s="28"/>
      <c r="V95" s="29"/>
      <c r="W95" s="29"/>
      <c r="X95" s="18"/>
      <c r="Y95" s="29"/>
      <c r="Z95" s="29"/>
      <c r="AA95" s="29"/>
      <c r="AB95" s="29"/>
      <c r="AC95" s="29"/>
    </row>
    <row r="96" spans="1:29" x14ac:dyDescent="0.2">
      <c r="A96" t="s">
        <v>2</v>
      </c>
      <c r="C96" s="18">
        <f>+Prices!B31</f>
        <v>0</v>
      </c>
      <c r="D96" s="18">
        <f>+Prices!C31</f>
        <v>0</v>
      </c>
      <c r="E96" s="18">
        <f>+Prices!D31</f>
        <v>0</v>
      </c>
      <c r="F96" s="281"/>
      <c r="G96" s="281"/>
      <c r="H96" s="281"/>
      <c r="I96" s="18">
        <f>+Prices!E31</f>
        <v>0</v>
      </c>
      <c r="J96" s="18">
        <f>+Prices!F31</f>
        <v>0</v>
      </c>
      <c r="K96" s="18">
        <f>+Prices!G31</f>
        <v>0</v>
      </c>
      <c r="L96" s="18">
        <f>+Prices!H31</f>
        <v>0</v>
      </c>
      <c r="M96" s="18">
        <f>+Prices!I31</f>
        <v>0</v>
      </c>
      <c r="N96" s="18">
        <f>+Prices!J31</f>
        <v>0</v>
      </c>
      <c r="O96" s="18">
        <f>+Prices!K31</f>
        <v>0</v>
      </c>
      <c r="R96" s="62"/>
      <c r="S96" s="18"/>
      <c r="U96" s="28"/>
      <c r="V96" s="29"/>
      <c r="W96" s="29"/>
      <c r="X96" s="18"/>
      <c r="Y96" s="29"/>
      <c r="Z96" s="29"/>
      <c r="AA96" s="29"/>
      <c r="AB96" s="29"/>
      <c r="AC96" s="29"/>
    </row>
    <row r="97" spans="1:29" x14ac:dyDescent="0.2">
      <c r="C97" s="18"/>
      <c r="D97" s="18"/>
      <c r="E97" s="18"/>
      <c r="F97" s="281"/>
      <c r="G97" s="281"/>
      <c r="H97" s="281"/>
      <c r="I97" s="18"/>
      <c r="J97" s="18"/>
      <c r="K97" s="18"/>
      <c r="L97" s="18"/>
      <c r="M97" s="18"/>
      <c r="N97" s="18"/>
      <c r="O97" s="18"/>
      <c r="R97" s="62"/>
      <c r="S97" s="18"/>
      <c r="U97" s="28"/>
      <c r="V97" s="29"/>
      <c r="W97" s="29"/>
      <c r="X97" s="18"/>
      <c r="Y97" s="29"/>
      <c r="Z97" s="29"/>
      <c r="AA97" s="29"/>
      <c r="AB97" s="29"/>
      <c r="AC97" s="29"/>
    </row>
    <row r="98" spans="1:29" x14ac:dyDescent="0.2">
      <c r="C98" s="63"/>
      <c r="D98" s="63"/>
      <c r="E98" s="63"/>
      <c r="F98" s="282"/>
      <c r="G98" s="282"/>
      <c r="H98" s="282"/>
      <c r="I98" s="63"/>
      <c r="J98" s="63"/>
      <c r="K98" s="63"/>
      <c r="L98" s="63"/>
      <c r="M98" s="63"/>
      <c r="N98" s="63"/>
      <c r="O98" s="63"/>
      <c r="S98" s="4"/>
      <c r="T98" s="4"/>
      <c r="U98" s="4"/>
      <c r="V98" s="4"/>
      <c r="W98" s="4"/>
    </row>
    <row r="99" spans="1:29" x14ac:dyDescent="0.2">
      <c r="C99"/>
      <c r="S99" s="4"/>
      <c r="T99" s="4"/>
      <c r="U99" s="4"/>
      <c r="V99" s="4"/>
      <c r="W99" s="4"/>
      <c r="X99" s="4"/>
    </row>
    <row r="100" spans="1:29" x14ac:dyDescent="0.2">
      <c r="C100" s="298" t="s">
        <v>34</v>
      </c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S100" s="4"/>
      <c r="T100" s="4"/>
      <c r="U100" s="4"/>
      <c r="V100" s="4"/>
      <c r="W100" s="4"/>
      <c r="X100" s="4"/>
    </row>
    <row r="101" spans="1:29" x14ac:dyDescent="0.2">
      <c r="C101" s="24" t="s">
        <v>35</v>
      </c>
      <c r="D101" s="24" t="s">
        <v>36</v>
      </c>
      <c r="E101" s="24"/>
      <c r="F101" s="278"/>
      <c r="G101" s="278"/>
      <c r="H101" s="278"/>
      <c r="I101" s="24" t="s">
        <v>37</v>
      </c>
      <c r="J101" s="24" t="s">
        <v>38</v>
      </c>
      <c r="K101" s="24"/>
      <c r="L101" s="24"/>
      <c r="M101" s="24" t="s">
        <v>0</v>
      </c>
      <c r="N101" s="24" t="s">
        <v>0</v>
      </c>
      <c r="O101" s="24" t="s">
        <v>39</v>
      </c>
      <c r="Q101" s="99"/>
      <c r="S101" s="4"/>
      <c r="T101" s="4"/>
      <c r="U101" s="4"/>
      <c r="V101" s="4"/>
      <c r="W101" s="4"/>
      <c r="X101" s="4"/>
    </row>
    <row r="102" spans="1:29" x14ac:dyDescent="0.2">
      <c r="C102" s="25" t="s">
        <v>40</v>
      </c>
      <c r="D102" s="25" t="s">
        <v>41</v>
      </c>
      <c r="E102" s="25" t="s">
        <v>19</v>
      </c>
      <c r="F102" s="279"/>
      <c r="G102" s="279"/>
      <c r="H102" s="279"/>
      <c r="I102" s="25" t="s">
        <v>17</v>
      </c>
      <c r="J102" s="25" t="s">
        <v>18</v>
      </c>
      <c r="K102" s="25" t="s">
        <v>11</v>
      </c>
      <c r="L102" s="25" t="s">
        <v>1</v>
      </c>
      <c r="M102" s="25" t="s">
        <v>42</v>
      </c>
      <c r="N102" s="25" t="s">
        <v>43</v>
      </c>
      <c r="O102" s="25" t="s">
        <v>44</v>
      </c>
      <c r="P102" s="30" t="s">
        <v>3</v>
      </c>
      <c r="Q102" s="30"/>
      <c r="S102" s="4"/>
      <c r="T102" s="4"/>
      <c r="U102" s="4"/>
      <c r="V102" s="4"/>
      <c r="W102" s="4"/>
      <c r="X102" s="4"/>
    </row>
    <row r="103" spans="1:29" x14ac:dyDescent="0.2">
      <c r="A103" s="3" t="s">
        <v>49</v>
      </c>
      <c r="B103" s="3"/>
      <c r="S103" s="5"/>
      <c r="T103" s="5"/>
      <c r="U103" s="5"/>
      <c r="V103" s="5"/>
      <c r="W103" s="5"/>
      <c r="X103" s="5"/>
      <c r="Y103" s="5"/>
    </row>
    <row r="104" spans="1:29" x14ac:dyDescent="0.2">
      <c r="A104" s="63" t="s">
        <v>181</v>
      </c>
      <c r="C104" s="2">
        <f t="shared" ref="C104:E115" si="21">+$K9*C46</f>
        <v>108.64463044558775</v>
      </c>
      <c r="D104" s="2">
        <f t="shared" si="21"/>
        <v>0</v>
      </c>
      <c r="E104" s="2">
        <f t="shared" si="21"/>
        <v>215.50899282577262</v>
      </c>
      <c r="F104" s="272"/>
      <c r="G104" s="272"/>
      <c r="H104" s="272"/>
      <c r="I104" s="2">
        <f t="shared" ref="I104:O115" si="22">+$K9*I46</f>
        <v>10.126406148291744</v>
      </c>
      <c r="J104" s="2">
        <f t="shared" si="22"/>
        <v>9.4263685361333156</v>
      </c>
      <c r="K104" s="2">
        <f t="shared" si="22"/>
        <v>71.316331738639846</v>
      </c>
      <c r="L104" s="2">
        <f t="shared" si="22"/>
        <v>20.361438822608072</v>
      </c>
      <c r="M104" s="2">
        <f t="shared" si="22"/>
        <v>4.8489674255973876</v>
      </c>
      <c r="N104" s="2">
        <f t="shared" si="22"/>
        <v>3.1230126232067801</v>
      </c>
      <c r="O104" s="2">
        <f t="shared" si="22"/>
        <v>0</v>
      </c>
      <c r="P104" s="6">
        <f t="shared" ref="P104:P115" si="23">SUM(C104:O104)</f>
        <v>443.35614856583754</v>
      </c>
      <c r="Q104" s="2"/>
      <c r="R104" s="6"/>
      <c r="S104" s="79"/>
      <c r="T104" s="17"/>
      <c r="U104" s="76"/>
      <c r="V104" s="9"/>
      <c r="W104" s="76"/>
      <c r="X104" s="76"/>
      <c r="Y104" s="18"/>
    </row>
    <row r="105" spans="1:29" x14ac:dyDescent="0.2">
      <c r="A105" t="s">
        <v>148</v>
      </c>
      <c r="C105" s="2">
        <f t="shared" si="21"/>
        <v>73.144100291794388</v>
      </c>
      <c r="D105" s="2">
        <f t="shared" si="21"/>
        <v>0</v>
      </c>
      <c r="E105" s="2">
        <f t="shared" si="21"/>
        <v>217.11558838437404</v>
      </c>
      <c r="F105" s="272"/>
      <c r="G105" s="272"/>
      <c r="H105" s="272"/>
      <c r="I105" s="2">
        <f t="shared" si="22"/>
        <v>10.717843576826382</v>
      </c>
      <c r="J105" s="2">
        <f t="shared" si="22"/>
        <v>8.0261894589828966</v>
      </c>
      <c r="K105" s="2">
        <f t="shared" si="22"/>
        <v>54.680511399633588</v>
      </c>
      <c r="L105" s="2">
        <f t="shared" si="22"/>
        <v>20.8717505604466</v>
      </c>
      <c r="M105" s="2">
        <f t="shared" si="22"/>
        <v>5.6180277906971057</v>
      </c>
      <c r="N105" s="2">
        <f t="shared" si="22"/>
        <v>3.1641415337729768</v>
      </c>
      <c r="O105" s="2">
        <f t="shared" si="22"/>
        <v>0</v>
      </c>
      <c r="P105" s="6">
        <f t="shared" si="23"/>
        <v>393.33815299652798</v>
      </c>
      <c r="Q105" s="2">
        <f>+P105+P104</f>
        <v>836.69430156236558</v>
      </c>
      <c r="R105" s="6"/>
      <c r="S105" s="79"/>
      <c r="T105" s="17"/>
      <c r="U105" s="76"/>
      <c r="V105" s="9"/>
      <c r="W105" s="76"/>
      <c r="X105" s="76"/>
      <c r="Y105" s="18"/>
    </row>
    <row r="106" spans="1:29" x14ac:dyDescent="0.2">
      <c r="A106" t="s">
        <v>149</v>
      </c>
      <c r="C106" s="2">
        <f t="shared" si="21"/>
        <v>80.585598192025984</v>
      </c>
      <c r="D106" s="2">
        <f t="shared" si="21"/>
        <v>0</v>
      </c>
      <c r="E106" s="2">
        <f t="shared" si="21"/>
        <v>230.54813066082042</v>
      </c>
      <c r="F106" s="272"/>
      <c r="G106" s="272"/>
      <c r="H106" s="272"/>
      <c r="I106" s="2">
        <f t="shared" si="22"/>
        <v>11.112348865502351</v>
      </c>
      <c r="J106" s="2">
        <f t="shared" si="22"/>
        <v>7.783459958339404</v>
      </c>
      <c r="K106" s="2">
        <f t="shared" si="22"/>
        <v>59.483572759729945</v>
      </c>
      <c r="L106" s="2">
        <f t="shared" si="22"/>
        <v>19.976343288282532</v>
      </c>
      <c r="M106" s="2">
        <f t="shared" si="22"/>
        <v>4.2589311063612749</v>
      </c>
      <c r="N106" s="2">
        <f t="shared" si="22"/>
        <v>3.2325738574077802</v>
      </c>
      <c r="O106" s="2">
        <f t="shared" si="22"/>
        <v>0</v>
      </c>
      <c r="P106" s="6">
        <f t="shared" si="23"/>
        <v>416.98095868846963</v>
      </c>
      <c r="Q106" s="2">
        <f>+Q105+P106</f>
        <v>1253.6752602508352</v>
      </c>
      <c r="R106" s="6"/>
      <c r="S106" s="79"/>
      <c r="T106" s="17"/>
      <c r="U106" s="76"/>
      <c r="V106" s="9"/>
      <c r="W106" s="76"/>
      <c r="X106" s="76"/>
      <c r="Y106" s="18"/>
    </row>
    <row r="107" spans="1:29" x14ac:dyDescent="0.2">
      <c r="A107" t="s">
        <v>150</v>
      </c>
      <c r="C107" s="2">
        <f t="shared" si="21"/>
        <v>87.771844402783998</v>
      </c>
      <c r="D107" s="2">
        <f t="shared" si="21"/>
        <v>0</v>
      </c>
      <c r="E107" s="2">
        <f t="shared" si="21"/>
        <v>223.29395657551208</v>
      </c>
      <c r="F107" s="272"/>
      <c r="G107" s="272"/>
      <c r="H107" s="272"/>
      <c r="I107" s="2">
        <f t="shared" si="22"/>
        <v>10.363941685189031</v>
      </c>
      <c r="J107" s="2">
        <f t="shared" si="22"/>
        <v>7.4011291988764487</v>
      </c>
      <c r="K107" s="2">
        <f t="shared" si="22"/>
        <v>53.625725598876734</v>
      </c>
      <c r="L107" s="2">
        <f t="shared" si="22"/>
        <v>17.953935425025648</v>
      </c>
      <c r="M107" s="2">
        <f t="shared" si="22"/>
        <v>4.7275155409091196</v>
      </c>
      <c r="N107" s="2">
        <f t="shared" si="22"/>
        <v>3.1044608920327055</v>
      </c>
      <c r="O107" s="2">
        <f t="shared" si="22"/>
        <v>0</v>
      </c>
      <c r="P107" s="6">
        <f t="shared" si="23"/>
        <v>408.24250931920574</v>
      </c>
      <c r="Q107" s="2">
        <f t="shared" ref="Q107:Q115" si="24">+Q106+P107</f>
        <v>1661.9177695700409</v>
      </c>
      <c r="R107" s="6"/>
      <c r="S107" s="79"/>
      <c r="T107" s="17"/>
      <c r="U107" s="76"/>
      <c r="V107" s="9"/>
      <c r="W107" s="76"/>
      <c r="X107" s="76"/>
      <c r="Y107" s="18"/>
    </row>
    <row r="108" spans="1:29" x14ac:dyDescent="0.2">
      <c r="A108" t="s">
        <v>151</v>
      </c>
      <c r="C108" s="2">
        <f t="shared" si="21"/>
        <v>77.071836821938376</v>
      </c>
      <c r="D108" s="2">
        <f t="shared" si="21"/>
        <v>0</v>
      </c>
      <c r="E108" s="2">
        <f t="shared" si="21"/>
        <v>210.7489058441729</v>
      </c>
      <c r="F108" s="272"/>
      <c r="G108" s="272"/>
      <c r="H108" s="272"/>
      <c r="I108" s="2">
        <f t="shared" si="22"/>
        <v>8.5014192000230064</v>
      </c>
      <c r="J108" s="2">
        <f t="shared" si="22"/>
        <v>8.6776459025252706</v>
      </c>
      <c r="K108" s="2">
        <f t="shared" si="22"/>
        <v>64.735967646779898</v>
      </c>
      <c r="L108" s="2">
        <f t="shared" si="22"/>
        <v>15.802673788177145</v>
      </c>
      <c r="M108" s="2">
        <f t="shared" si="22"/>
        <v>4.1109435945786732</v>
      </c>
      <c r="N108" s="2">
        <f t="shared" si="22"/>
        <v>3.004969116805845</v>
      </c>
      <c r="O108" s="2">
        <f t="shared" si="22"/>
        <v>0</v>
      </c>
      <c r="P108" s="6">
        <f t="shared" si="23"/>
        <v>392.65436191500118</v>
      </c>
      <c r="Q108" s="2">
        <f t="shared" si="24"/>
        <v>2054.5721314850421</v>
      </c>
      <c r="R108" s="6"/>
      <c r="S108" s="79"/>
      <c r="T108" s="17"/>
      <c r="U108" s="76"/>
      <c r="V108" s="9"/>
      <c r="W108" s="76"/>
      <c r="X108" s="76"/>
      <c r="Y108" s="18"/>
    </row>
    <row r="109" spans="1:29" x14ac:dyDescent="0.2">
      <c r="A109" t="s">
        <v>152</v>
      </c>
      <c r="C109" s="2">
        <f t="shared" si="21"/>
        <v>82.235959196653283</v>
      </c>
      <c r="D109" s="2">
        <f t="shared" si="21"/>
        <v>0</v>
      </c>
      <c r="E109" s="2">
        <f t="shared" si="21"/>
        <v>196.03591859249786</v>
      </c>
      <c r="F109" s="272"/>
      <c r="G109" s="272"/>
      <c r="H109" s="272"/>
      <c r="I109" s="2">
        <f t="shared" si="22"/>
        <v>8.0807160540003196</v>
      </c>
      <c r="J109" s="2">
        <f t="shared" si="22"/>
        <v>9.5984440876203347</v>
      </c>
      <c r="K109" s="2">
        <f t="shared" si="22"/>
        <v>48.840013831881599</v>
      </c>
      <c r="L109" s="2">
        <f t="shared" si="22"/>
        <v>15.135779960280862</v>
      </c>
      <c r="M109" s="2">
        <f t="shared" si="22"/>
        <v>2.6797385593603402</v>
      </c>
      <c r="N109" s="2">
        <f t="shared" si="22"/>
        <v>4.1530019044953947</v>
      </c>
      <c r="O109" s="2">
        <f t="shared" si="22"/>
        <v>0</v>
      </c>
      <c r="P109" s="6">
        <f t="shared" si="23"/>
        <v>366.75957218679002</v>
      </c>
      <c r="Q109" s="2">
        <f t="shared" si="24"/>
        <v>2421.3317036718322</v>
      </c>
      <c r="R109" s="6"/>
      <c r="S109" s="79"/>
      <c r="T109" s="17"/>
      <c r="U109" s="76"/>
      <c r="V109" s="9"/>
      <c r="W109" s="76"/>
      <c r="X109" s="76"/>
      <c r="Y109" s="18"/>
    </row>
    <row r="110" spans="1:29" x14ac:dyDescent="0.2">
      <c r="A110" t="s">
        <v>7</v>
      </c>
      <c r="C110" s="2">
        <f t="shared" si="21"/>
        <v>89.417126060219459</v>
      </c>
      <c r="D110" s="2">
        <f t="shared" si="21"/>
        <v>0</v>
      </c>
      <c r="E110" s="2">
        <f t="shared" si="21"/>
        <v>218.84009879193633</v>
      </c>
      <c r="F110" s="272"/>
      <c r="G110" s="272"/>
      <c r="H110" s="272"/>
      <c r="I110" s="2">
        <f t="shared" si="22"/>
        <v>9.4661541652800327</v>
      </c>
      <c r="J110" s="2">
        <f t="shared" si="22"/>
        <v>10.092543839957576</v>
      </c>
      <c r="K110" s="2">
        <f t="shared" si="22"/>
        <v>56.074659346388742</v>
      </c>
      <c r="L110" s="2">
        <f t="shared" si="22"/>
        <v>18.414578089244948</v>
      </c>
      <c r="M110" s="2">
        <f t="shared" si="22"/>
        <v>4.7842109336341014</v>
      </c>
      <c r="N110" s="2">
        <f t="shared" si="22"/>
        <v>2.9114336409757287</v>
      </c>
      <c r="O110" s="2">
        <f t="shared" si="22"/>
        <v>0</v>
      </c>
      <c r="P110" s="6">
        <f t="shared" si="23"/>
        <v>410.00080486763687</v>
      </c>
      <c r="Q110" s="2">
        <f t="shared" si="24"/>
        <v>2831.332508539469</v>
      </c>
      <c r="R110" s="6"/>
      <c r="S110" s="79"/>
      <c r="T110" s="17"/>
      <c r="U110" s="76"/>
      <c r="V110" s="9"/>
      <c r="W110" s="76"/>
      <c r="X110" s="76"/>
      <c r="Y110" s="18"/>
    </row>
    <row r="111" spans="1:29" x14ac:dyDescent="0.2">
      <c r="A111" s="63" t="s">
        <v>182</v>
      </c>
      <c r="C111" s="2">
        <f t="shared" si="21"/>
        <v>94.136510083872864</v>
      </c>
      <c r="D111" s="2">
        <f t="shared" si="21"/>
        <v>0</v>
      </c>
      <c r="E111" s="2">
        <f t="shared" si="21"/>
        <v>244.23063651860355</v>
      </c>
      <c r="F111" s="272"/>
      <c r="G111" s="272"/>
      <c r="H111" s="272"/>
      <c r="I111" s="2">
        <f t="shared" si="22"/>
        <v>9.2899422028953378</v>
      </c>
      <c r="J111" s="2">
        <f t="shared" si="22"/>
        <v>9.8260136933604461</v>
      </c>
      <c r="K111" s="2">
        <f t="shared" si="22"/>
        <v>57.294849629270814</v>
      </c>
      <c r="L111" s="2">
        <f t="shared" si="22"/>
        <v>17.245596575127522</v>
      </c>
      <c r="M111" s="2">
        <f t="shared" si="22"/>
        <v>4.4328988634614728</v>
      </c>
      <c r="N111" s="2">
        <f t="shared" si="22"/>
        <v>2.9366114065588627</v>
      </c>
      <c r="O111" s="2">
        <f t="shared" si="22"/>
        <v>0</v>
      </c>
      <c r="P111" s="6">
        <f t="shared" si="23"/>
        <v>439.39305897315086</v>
      </c>
      <c r="Q111" s="2">
        <f t="shared" si="24"/>
        <v>3270.7255675126198</v>
      </c>
      <c r="R111" s="6"/>
      <c r="S111" s="79"/>
      <c r="T111" s="17"/>
      <c r="U111" s="76"/>
      <c r="V111" s="9"/>
      <c r="W111" s="76"/>
      <c r="X111" s="76"/>
      <c r="Y111" s="18"/>
    </row>
    <row r="112" spans="1:29" x14ac:dyDescent="0.2">
      <c r="A112" t="s">
        <v>10</v>
      </c>
      <c r="C112" s="2">
        <f t="shared" si="21"/>
        <v>72.166881564569479</v>
      </c>
      <c r="D112" s="2">
        <f t="shared" si="21"/>
        <v>0</v>
      </c>
      <c r="E112" s="2">
        <f t="shared" si="21"/>
        <v>190.15794303827494</v>
      </c>
      <c r="F112" s="272"/>
      <c r="G112" s="272"/>
      <c r="H112" s="272"/>
      <c r="I112" s="2">
        <f t="shared" si="22"/>
        <v>7.6776618843169606</v>
      </c>
      <c r="J112" s="2">
        <f t="shared" si="22"/>
        <v>7.9257335771026618</v>
      </c>
      <c r="K112" s="2">
        <f t="shared" si="22"/>
        <v>50.286330231268636</v>
      </c>
      <c r="L112" s="2">
        <f t="shared" si="22"/>
        <v>12.880949939756997</v>
      </c>
      <c r="M112" s="2">
        <f t="shared" si="22"/>
        <v>3.5918033485860859</v>
      </c>
      <c r="N112" s="2">
        <f t="shared" si="22"/>
        <v>2.3532504697632981</v>
      </c>
      <c r="O112" s="2">
        <f t="shared" si="22"/>
        <v>0</v>
      </c>
      <c r="P112" s="6">
        <f t="shared" si="23"/>
        <v>347.04055405363897</v>
      </c>
      <c r="Q112" s="2">
        <f t="shared" si="24"/>
        <v>3617.7661215662588</v>
      </c>
      <c r="R112" s="6"/>
      <c r="S112" s="79"/>
      <c r="T112" s="17"/>
      <c r="U112" s="76"/>
      <c r="V112" s="9"/>
      <c r="W112" s="76"/>
      <c r="X112" s="76"/>
      <c r="Y112" s="18"/>
    </row>
    <row r="113" spans="1:25" x14ac:dyDescent="0.2">
      <c r="A113" t="s">
        <v>8</v>
      </c>
      <c r="C113" s="2">
        <f t="shared" si="21"/>
        <v>79.702447930276932</v>
      </c>
      <c r="D113" s="2">
        <f t="shared" si="21"/>
        <v>0</v>
      </c>
      <c r="E113" s="2">
        <f t="shared" si="21"/>
        <v>215.06475498818324</v>
      </c>
      <c r="F113" s="272"/>
      <c r="G113" s="272"/>
      <c r="H113" s="272"/>
      <c r="I113" s="2">
        <f t="shared" si="22"/>
        <v>8.7975000640563685</v>
      </c>
      <c r="J113" s="2">
        <f t="shared" si="22"/>
        <v>9.7245410336003051</v>
      </c>
      <c r="K113" s="2">
        <f t="shared" si="22"/>
        <v>64.701305314908069</v>
      </c>
      <c r="L113" s="2">
        <f t="shared" si="22"/>
        <v>15.979522200941203</v>
      </c>
      <c r="M113" s="2">
        <f t="shared" si="22"/>
        <v>4.4469006736564207</v>
      </c>
      <c r="N113" s="2">
        <f t="shared" si="22"/>
        <v>2.9320224221910469</v>
      </c>
      <c r="O113" s="2">
        <f t="shared" si="22"/>
        <v>0</v>
      </c>
      <c r="P113" s="6">
        <f t="shared" si="23"/>
        <v>401.34899462781357</v>
      </c>
      <c r="Q113" s="2">
        <f t="shared" si="24"/>
        <v>4019.1151161940725</v>
      </c>
      <c r="R113" s="6"/>
      <c r="S113" s="79"/>
      <c r="T113" s="17"/>
      <c r="U113" s="76"/>
      <c r="V113" s="9"/>
      <c r="W113" s="76"/>
      <c r="X113" s="76"/>
      <c r="Y113" s="18"/>
    </row>
    <row r="114" spans="1:25" x14ac:dyDescent="0.2">
      <c r="A114" t="s">
        <v>9</v>
      </c>
      <c r="C114" s="2">
        <f t="shared" si="21"/>
        <v>101.14930674253927</v>
      </c>
      <c r="D114" s="2">
        <f t="shared" si="21"/>
        <v>0</v>
      </c>
      <c r="E114" s="2">
        <f t="shared" si="21"/>
        <v>266.42347966011783</v>
      </c>
      <c r="F114" s="272"/>
      <c r="G114" s="272"/>
      <c r="H114" s="272"/>
      <c r="I114" s="2">
        <f t="shared" si="22"/>
        <v>11.025682682376148</v>
      </c>
      <c r="J114" s="2">
        <f t="shared" si="22"/>
        <v>10.725500741663485</v>
      </c>
      <c r="K114" s="2">
        <f t="shared" si="22"/>
        <v>72.391876822266056</v>
      </c>
      <c r="L114" s="2">
        <f t="shared" si="22"/>
        <v>19.772984434743179</v>
      </c>
      <c r="M114" s="2">
        <f t="shared" si="22"/>
        <v>5.1541239220364412</v>
      </c>
      <c r="N114" s="2">
        <f t="shared" si="22"/>
        <v>3.836325202307846</v>
      </c>
      <c r="O114" s="2">
        <f t="shared" si="22"/>
        <v>0</v>
      </c>
      <c r="P114" s="6">
        <f t="shared" si="23"/>
        <v>490.47928020805028</v>
      </c>
      <c r="Q114" s="2">
        <f t="shared" si="24"/>
        <v>4509.5943964021226</v>
      </c>
      <c r="R114" s="6"/>
      <c r="S114" s="79"/>
      <c r="T114" s="17"/>
      <c r="U114" s="76"/>
      <c r="V114" s="9"/>
      <c r="W114" s="76"/>
      <c r="X114" s="76"/>
      <c r="Y114" s="18"/>
    </row>
    <row r="115" spans="1:25" ht="15" x14ac:dyDescent="0.35">
      <c r="A115" t="s">
        <v>2</v>
      </c>
      <c r="C115" s="12">
        <f t="shared" si="21"/>
        <v>75.14766964703351</v>
      </c>
      <c r="D115" s="12">
        <f t="shared" si="21"/>
        <v>0</v>
      </c>
      <c r="E115" s="12">
        <f t="shared" si="21"/>
        <v>221.93232235405475</v>
      </c>
      <c r="F115" s="283"/>
      <c r="G115" s="283"/>
      <c r="H115" s="283"/>
      <c r="I115" s="12">
        <f t="shared" si="22"/>
        <v>8.9664833101574075</v>
      </c>
      <c r="J115" s="12">
        <f t="shared" si="22"/>
        <v>7.0213731740915142</v>
      </c>
      <c r="K115" s="12">
        <f t="shared" si="22"/>
        <v>51.37937261852101</v>
      </c>
      <c r="L115" s="12">
        <f t="shared" si="22"/>
        <v>15.560881088527143</v>
      </c>
      <c r="M115" s="12">
        <f t="shared" si="22"/>
        <v>3.9851036934032917</v>
      </c>
      <c r="N115" s="12">
        <f t="shared" si="22"/>
        <v>2.8939443487809617</v>
      </c>
      <c r="O115" s="12">
        <f t="shared" si="22"/>
        <v>0</v>
      </c>
      <c r="P115" s="7">
        <f t="shared" si="23"/>
        <v>386.88715023456962</v>
      </c>
      <c r="Q115" s="2">
        <f t="shared" si="24"/>
        <v>4896.4815466366927</v>
      </c>
      <c r="R115" s="7"/>
      <c r="S115" s="79"/>
      <c r="T115" s="78"/>
      <c r="U115" s="76"/>
      <c r="V115" s="9"/>
      <c r="W115" s="76"/>
      <c r="X115" s="76"/>
      <c r="Y115" s="18"/>
    </row>
    <row r="116" spans="1:25" ht="15" x14ac:dyDescent="0.35">
      <c r="C116" s="15">
        <f t="shared" ref="C116:P116" si="25">SUM(C104:C115)</f>
        <v>1021.1739113792953</v>
      </c>
      <c r="D116" s="15">
        <f t="shared" si="25"/>
        <v>0</v>
      </c>
      <c r="E116" s="15">
        <f t="shared" si="25"/>
        <v>2649.90072823432</v>
      </c>
      <c r="F116" s="275"/>
      <c r="G116" s="275"/>
      <c r="H116" s="275"/>
      <c r="I116" s="15">
        <f t="shared" si="25"/>
        <v>114.12609983891508</v>
      </c>
      <c r="J116" s="15">
        <f t="shared" si="25"/>
        <v>106.22894320225365</v>
      </c>
      <c r="K116" s="15">
        <f t="shared" si="25"/>
        <v>704.81051693816482</v>
      </c>
      <c r="L116" s="15">
        <f t="shared" si="25"/>
        <v>209.95643417316182</v>
      </c>
      <c r="M116" s="15">
        <f t="shared" si="25"/>
        <v>52.639165452281716</v>
      </c>
      <c r="N116" s="15">
        <f t="shared" si="25"/>
        <v>37.64574741829923</v>
      </c>
      <c r="O116" s="15">
        <f t="shared" si="25"/>
        <v>0</v>
      </c>
      <c r="P116" s="8">
        <f t="shared" si="25"/>
        <v>4896.4815466366927</v>
      </c>
      <c r="Q116" s="8"/>
      <c r="R116" s="8"/>
      <c r="T116" s="17"/>
    </row>
    <row r="117" spans="1:25" x14ac:dyDescent="0.2">
      <c r="C117" s="80">
        <f>+C116/$P116</f>
        <v>0.20855259060063686</v>
      </c>
      <c r="D117" s="80">
        <f>+D116/$P116</f>
        <v>0</v>
      </c>
      <c r="E117" s="80">
        <f>+E116/$P116</f>
        <v>0.54118466555939349</v>
      </c>
      <c r="F117" s="284"/>
      <c r="G117" s="284"/>
      <c r="H117" s="284"/>
      <c r="I117" s="80">
        <f t="shared" ref="I117:P117" si="26">+I116/$P116</f>
        <v>2.3307776972488807E-2</v>
      </c>
      <c r="J117" s="80">
        <f t="shared" si="26"/>
        <v>2.1694954262662429E-2</v>
      </c>
      <c r="K117" s="80">
        <f t="shared" si="26"/>
        <v>0.14394223897816724</v>
      </c>
      <c r="L117" s="80">
        <f t="shared" si="26"/>
        <v>4.2879041240822653E-2</v>
      </c>
      <c r="M117" s="80">
        <f t="shared" si="26"/>
        <v>1.0750406174498633E-2</v>
      </c>
      <c r="N117" s="80">
        <f t="shared" si="26"/>
        <v>7.688326211329732E-3</v>
      </c>
      <c r="O117" s="80">
        <f t="shared" si="26"/>
        <v>0</v>
      </c>
      <c r="P117" s="80">
        <f t="shared" si="26"/>
        <v>1</v>
      </c>
    </row>
    <row r="119" spans="1:25" x14ac:dyDescent="0.2">
      <c r="A119" s="3" t="s">
        <v>49</v>
      </c>
      <c r="B119" s="3"/>
    </row>
    <row r="120" spans="1:25" x14ac:dyDescent="0.2">
      <c r="A120" s="63" t="s">
        <v>183</v>
      </c>
      <c r="C120" s="2" t="e">
        <f>+$K$23*C58</f>
        <v>#DIV/0!</v>
      </c>
      <c r="D120" s="2" t="e">
        <f>+$K$23*D58</f>
        <v>#DIV/0!</v>
      </c>
      <c r="E120" s="2" t="e">
        <f>+$K$23*E58</f>
        <v>#DIV/0!</v>
      </c>
      <c r="F120" s="272"/>
      <c r="G120" s="272"/>
      <c r="H120" s="272"/>
      <c r="I120" s="2" t="e">
        <f t="shared" ref="I120:O120" si="27">+$K$23*I58</f>
        <v>#DIV/0!</v>
      </c>
      <c r="J120" s="2" t="e">
        <f t="shared" si="27"/>
        <v>#DIV/0!</v>
      </c>
      <c r="K120" s="2" t="e">
        <f t="shared" si="27"/>
        <v>#DIV/0!</v>
      </c>
      <c r="L120" s="2" t="e">
        <f t="shared" si="27"/>
        <v>#DIV/0!</v>
      </c>
      <c r="M120" s="2" t="e">
        <f t="shared" si="27"/>
        <v>#DIV/0!</v>
      </c>
      <c r="N120" s="2" t="e">
        <f t="shared" si="27"/>
        <v>#DIV/0!</v>
      </c>
      <c r="O120" s="2" t="e">
        <f t="shared" si="27"/>
        <v>#DIV/0!</v>
      </c>
      <c r="P120" s="6" t="e">
        <f t="shared" ref="P120:P131" si="28">SUM(C120:O120)</f>
        <v>#DIV/0!</v>
      </c>
      <c r="Q120" s="2"/>
    </row>
    <row r="121" spans="1:25" x14ac:dyDescent="0.2">
      <c r="A121" t="s">
        <v>148</v>
      </c>
      <c r="C121" s="2" t="e">
        <f>+$K$24*C59</f>
        <v>#DIV/0!</v>
      </c>
      <c r="D121" s="2" t="e">
        <f>+$K$24*D59</f>
        <v>#DIV/0!</v>
      </c>
      <c r="E121" s="2" t="e">
        <f>+$K$24*E59</f>
        <v>#DIV/0!</v>
      </c>
      <c r="F121" s="272"/>
      <c r="G121" s="272"/>
      <c r="H121" s="272"/>
      <c r="I121" s="2" t="e">
        <f t="shared" ref="I121:O121" si="29">+$K$24*I59</f>
        <v>#DIV/0!</v>
      </c>
      <c r="J121" s="2" t="e">
        <f t="shared" si="29"/>
        <v>#DIV/0!</v>
      </c>
      <c r="K121" s="2" t="e">
        <f t="shared" si="29"/>
        <v>#DIV/0!</v>
      </c>
      <c r="L121" s="2" t="e">
        <f t="shared" si="29"/>
        <v>#DIV/0!</v>
      </c>
      <c r="M121" s="2" t="e">
        <f t="shared" si="29"/>
        <v>#DIV/0!</v>
      </c>
      <c r="N121" s="2" t="e">
        <f t="shared" si="29"/>
        <v>#DIV/0!</v>
      </c>
      <c r="O121" s="2" t="e">
        <f t="shared" si="29"/>
        <v>#DIV/0!</v>
      </c>
      <c r="P121" s="6" t="e">
        <f t="shared" si="28"/>
        <v>#DIV/0!</v>
      </c>
      <c r="Q121" s="2"/>
    </row>
    <row r="122" spans="1:25" x14ac:dyDescent="0.2">
      <c r="A122" t="s">
        <v>149</v>
      </c>
      <c r="C122" s="2" t="e">
        <f t="shared" ref="C122:E131" si="30">+$K$25*C60</f>
        <v>#DIV/0!</v>
      </c>
      <c r="D122" s="2" t="e">
        <f t="shared" si="30"/>
        <v>#DIV/0!</v>
      </c>
      <c r="E122" s="2" t="e">
        <f t="shared" si="30"/>
        <v>#DIV/0!</v>
      </c>
      <c r="F122" s="272"/>
      <c r="G122" s="272"/>
      <c r="H122" s="272"/>
      <c r="I122" s="2" t="e">
        <f t="shared" ref="I122:O131" si="31">+$K$25*I60</f>
        <v>#DIV/0!</v>
      </c>
      <c r="J122" s="2" t="e">
        <f t="shared" si="31"/>
        <v>#DIV/0!</v>
      </c>
      <c r="K122" s="2" t="e">
        <f t="shared" si="31"/>
        <v>#DIV/0!</v>
      </c>
      <c r="L122" s="2" t="e">
        <f t="shared" si="31"/>
        <v>#DIV/0!</v>
      </c>
      <c r="M122" s="2" t="e">
        <f t="shared" si="31"/>
        <v>#DIV/0!</v>
      </c>
      <c r="N122" s="2" t="e">
        <f t="shared" si="31"/>
        <v>#DIV/0!</v>
      </c>
      <c r="O122" s="2" t="e">
        <f t="shared" si="31"/>
        <v>#DIV/0!</v>
      </c>
      <c r="P122" s="6" t="e">
        <f t="shared" si="28"/>
        <v>#DIV/0!</v>
      </c>
      <c r="Q122" s="2"/>
    </row>
    <row r="123" spans="1:25" x14ac:dyDescent="0.2">
      <c r="A123" t="s">
        <v>150</v>
      </c>
      <c r="C123" s="2" t="e">
        <f t="shared" si="30"/>
        <v>#DIV/0!</v>
      </c>
      <c r="D123" s="2" t="e">
        <f t="shared" si="30"/>
        <v>#DIV/0!</v>
      </c>
      <c r="E123" s="2" t="e">
        <f t="shared" si="30"/>
        <v>#DIV/0!</v>
      </c>
      <c r="F123" s="272"/>
      <c r="G123" s="272"/>
      <c r="H123" s="272"/>
      <c r="I123" s="2" t="e">
        <f t="shared" si="31"/>
        <v>#DIV/0!</v>
      </c>
      <c r="J123" s="2" t="e">
        <f t="shared" si="31"/>
        <v>#DIV/0!</v>
      </c>
      <c r="K123" s="2" t="e">
        <f t="shared" si="31"/>
        <v>#DIV/0!</v>
      </c>
      <c r="L123" s="2" t="e">
        <f t="shared" si="31"/>
        <v>#DIV/0!</v>
      </c>
      <c r="M123" s="2" t="e">
        <f t="shared" si="31"/>
        <v>#DIV/0!</v>
      </c>
      <c r="N123" s="2" t="e">
        <f t="shared" si="31"/>
        <v>#DIV/0!</v>
      </c>
      <c r="O123" s="2" t="e">
        <f t="shared" si="31"/>
        <v>#DIV/0!</v>
      </c>
      <c r="P123" s="6" t="e">
        <f t="shared" si="28"/>
        <v>#DIV/0!</v>
      </c>
      <c r="Q123" s="2"/>
    </row>
    <row r="124" spans="1:25" x14ac:dyDescent="0.2">
      <c r="A124" t="s">
        <v>151</v>
      </c>
      <c r="C124" s="2" t="e">
        <f t="shared" si="30"/>
        <v>#DIV/0!</v>
      </c>
      <c r="D124" s="2" t="e">
        <f t="shared" si="30"/>
        <v>#DIV/0!</v>
      </c>
      <c r="E124" s="2" t="e">
        <f t="shared" si="30"/>
        <v>#DIV/0!</v>
      </c>
      <c r="F124" s="272"/>
      <c r="G124" s="272"/>
      <c r="H124" s="272"/>
      <c r="I124" s="2" t="e">
        <f t="shared" si="31"/>
        <v>#DIV/0!</v>
      </c>
      <c r="J124" s="2" t="e">
        <f t="shared" si="31"/>
        <v>#DIV/0!</v>
      </c>
      <c r="K124" s="2" t="e">
        <f t="shared" si="31"/>
        <v>#DIV/0!</v>
      </c>
      <c r="L124" s="2" t="e">
        <f t="shared" si="31"/>
        <v>#DIV/0!</v>
      </c>
      <c r="M124" s="2" t="e">
        <f t="shared" si="31"/>
        <v>#DIV/0!</v>
      </c>
      <c r="N124" s="2" t="e">
        <f t="shared" si="31"/>
        <v>#DIV/0!</v>
      </c>
      <c r="O124" s="2" t="e">
        <f t="shared" si="31"/>
        <v>#DIV/0!</v>
      </c>
      <c r="P124" s="6" t="e">
        <f t="shared" si="28"/>
        <v>#DIV/0!</v>
      </c>
      <c r="Q124" s="2"/>
    </row>
    <row r="125" spans="1:25" x14ac:dyDescent="0.2">
      <c r="A125" t="s">
        <v>152</v>
      </c>
      <c r="C125" s="2" t="e">
        <f t="shared" si="30"/>
        <v>#DIV/0!</v>
      </c>
      <c r="D125" s="2" t="e">
        <f t="shared" si="30"/>
        <v>#DIV/0!</v>
      </c>
      <c r="E125" s="2" t="e">
        <f t="shared" si="30"/>
        <v>#DIV/0!</v>
      </c>
      <c r="F125" s="272"/>
      <c r="G125" s="272"/>
      <c r="H125" s="272"/>
      <c r="I125" s="2" t="e">
        <f t="shared" si="31"/>
        <v>#DIV/0!</v>
      </c>
      <c r="J125" s="2" t="e">
        <f t="shared" si="31"/>
        <v>#DIV/0!</v>
      </c>
      <c r="K125" s="2" t="e">
        <f t="shared" si="31"/>
        <v>#DIV/0!</v>
      </c>
      <c r="L125" s="2" t="e">
        <f t="shared" si="31"/>
        <v>#DIV/0!</v>
      </c>
      <c r="M125" s="2" t="e">
        <f t="shared" si="31"/>
        <v>#DIV/0!</v>
      </c>
      <c r="N125" s="2" t="e">
        <f t="shared" si="31"/>
        <v>#DIV/0!</v>
      </c>
      <c r="O125" s="2" t="e">
        <f t="shared" si="31"/>
        <v>#DIV/0!</v>
      </c>
      <c r="P125" s="6" t="e">
        <f t="shared" si="28"/>
        <v>#DIV/0!</v>
      </c>
      <c r="Q125" s="2"/>
    </row>
    <row r="126" spans="1:25" x14ac:dyDescent="0.2">
      <c r="A126" t="s">
        <v>7</v>
      </c>
      <c r="C126" s="2" t="e">
        <f t="shared" si="30"/>
        <v>#DIV/0!</v>
      </c>
      <c r="D126" s="2" t="e">
        <f t="shared" si="30"/>
        <v>#DIV/0!</v>
      </c>
      <c r="E126" s="2" t="e">
        <f t="shared" si="30"/>
        <v>#DIV/0!</v>
      </c>
      <c r="F126" s="272"/>
      <c r="G126" s="272"/>
      <c r="H126" s="272"/>
      <c r="I126" s="2" t="e">
        <f t="shared" si="31"/>
        <v>#DIV/0!</v>
      </c>
      <c r="J126" s="2" t="e">
        <f t="shared" si="31"/>
        <v>#DIV/0!</v>
      </c>
      <c r="K126" s="2" t="e">
        <f t="shared" si="31"/>
        <v>#DIV/0!</v>
      </c>
      <c r="L126" s="2" t="e">
        <f t="shared" si="31"/>
        <v>#DIV/0!</v>
      </c>
      <c r="M126" s="2" t="e">
        <f t="shared" si="31"/>
        <v>#DIV/0!</v>
      </c>
      <c r="N126" s="2" t="e">
        <f t="shared" si="31"/>
        <v>#DIV/0!</v>
      </c>
      <c r="O126" s="2" t="e">
        <f t="shared" si="31"/>
        <v>#DIV/0!</v>
      </c>
      <c r="P126" s="6" t="e">
        <f t="shared" si="28"/>
        <v>#DIV/0!</v>
      </c>
      <c r="Q126" s="2"/>
    </row>
    <row r="127" spans="1:25" x14ac:dyDescent="0.2">
      <c r="A127" s="63" t="s">
        <v>184</v>
      </c>
      <c r="C127" s="2" t="e">
        <f t="shared" si="30"/>
        <v>#DIV/0!</v>
      </c>
      <c r="D127" s="2" t="e">
        <f t="shared" si="30"/>
        <v>#DIV/0!</v>
      </c>
      <c r="E127" s="2" t="e">
        <f t="shared" si="30"/>
        <v>#DIV/0!</v>
      </c>
      <c r="F127" s="272"/>
      <c r="G127" s="272"/>
      <c r="H127" s="272"/>
      <c r="I127" s="2" t="e">
        <f t="shared" si="31"/>
        <v>#DIV/0!</v>
      </c>
      <c r="J127" s="2" t="e">
        <f t="shared" si="31"/>
        <v>#DIV/0!</v>
      </c>
      <c r="K127" s="2" t="e">
        <f t="shared" si="31"/>
        <v>#DIV/0!</v>
      </c>
      <c r="L127" s="2" t="e">
        <f t="shared" si="31"/>
        <v>#DIV/0!</v>
      </c>
      <c r="M127" s="2" t="e">
        <f t="shared" si="31"/>
        <v>#DIV/0!</v>
      </c>
      <c r="N127" s="2" t="e">
        <f t="shared" si="31"/>
        <v>#DIV/0!</v>
      </c>
      <c r="O127" s="2" t="e">
        <f t="shared" si="31"/>
        <v>#DIV/0!</v>
      </c>
      <c r="P127" s="6" t="e">
        <f t="shared" si="28"/>
        <v>#DIV/0!</v>
      </c>
      <c r="Q127" s="2"/>
    </row>
    <row r="128" spans="1:25" x14ac:dyDescent="0.2">
      <c r="A128" t="s">
        <v>10</v>
      </c>
      <c r="C128" s="2" t="e">
        <f t="shared" si="30"/>
        <v>#DIV/0!</v>
      </c>
      <c r="D128" s="2" t="e">
        <f t="shared" si="30"/>
        <v>#DIV/0!</v>
      </c>
      <c r="E128" s="2" t="e">
        <f t="shared" si="30"/>
        <v>#DIV/0!</v>
      </c>
      <c r="F128" s="272"/>
      <c r="G128" s="272"/>
      <c r="H128" s="272"/>
      <c r="I128" s="2" t="e">
        <f t="shared" si="31"/>
        <v>#DIV/0!</v>
      </c>
      <c r="J128" s="2" t="e">
        <f t="shared" si="31"/>
        <v>#DIV/0!</v>
      </c>
      <c r="K128" s="2" t="e">
        <f t="shared" si="31"/>
        <v>#DIV/0!</v>
      </c>
      <c r="L128" s="2" t="e">
        <f t="shared" si="31"/>
        <v>#DIV/0!</v>
      </c>
      <c r="M128" s="2" t="e">
        <f t="shared" si="31"/>
        <v>#DIV/0!</v>
      </c>
      <c r="N128" s="2" t="e">
        <f t="shared" si="31"/>
        <v>#DIV/0!</v>
      </c>
      <c r="O128" s="2" t="e">
        <f t="shared" si="31"/>
        <v>#DIV/0!</v>
      </c>
      <c r="P128" s="6" t="e">
        <f t="shared" si="28"/>
        <v>#DIV/0!</v>
      </c>
      <c r="Q128" s="2"/>
    </row>
    <row r="129" spans="1:18" x14ac:dyDescent="0.2">
      <c r="A129" t="s">
        <v>8</v>
      </c>
      <c r="C129" s="2" t="e">
        <f t="shared" si="30"/>
        <v>#DIV/0!</v>
      </c>
      <c r="D129" s="2" t="e">
        <f t="shared" si="30"/>
        <v>#DIV/0!</v>
      </c>
      <c r="E129" s="2" t="e">
        <f t="shared" si="30"/>
        <v>#DIV/0!</v>
      </c>
      <c r="F129" s="272"/>
      <c r="G129" s="272"/>
      <c r="H129" s="272"/>
      <c r="I129" s="2" t="e">
        <f t="shared" si="31"/>
        <v>#DIV/0!</v>
      </c>
      <c r="J129" s="2" t="e">
        <f t="shared" si="31"/>
        <v>#DIV/0!</v>
      </c>
      <c r="K129" s="2" t="e">
        <f t="shared" si="31"/>
        <v>#DIV/0!</v>
      </c>
      <c r="L129" s="2" t="e">
        <f t="shared" si="31"/>
        <v>#DIV/0!</v>
      </c>
      <c r="M129" s="2" t="e">
        <f t="shared" si="31"/>
        <v>#DIV/0!</v>
      </c>
      <c r="N129" s="2" t="e">
        <f t="shared" si="31"/>
        <v>#DIV/0!</v>
      </c>
      <c r="O129" s="2" t="e">
        <f t="shared" si="31"/>
        <v>#DIV/0!</v>
      </c>
      <c r="P129" s="6" t="e">
        <f t="shared" si="28"/>
        <v>#DIV/0!</v>
      </c>
      <c r="Q129" s="2"/>
    </row>
    <row r="130" spans="1:18" x14ac:dyDescent="0.2">
      <c r="A130" t="s">
        <v>9</v>
      </c>
      <c r="C130" s="2" t="e">
        <f t="shared" si="30"/>
        <v>#DIV/0!</v>
      </c>
      <c r="D130" s="2" t="e">
        <f t="shared" si="30"/>
        <v>#DIV/0!</v>
      </c>
      <c r="E130" s="2" t="e">
        <f t="shared" si="30"/>
        <v>#DIV/0!</v>
      </c>
      <c r="F130" s="272"/>
      <c r="G130" s="272"/>
      <c r="H130" s="272"/>
      <c r="I130" s="2" t="e">
        <f t="shared" si="31"/>
        <v>#DIV/0!</v>
      </c>
      <c r="J130" s="2" t="e">
        <f t="shared" si="31"/>
        <v>#DIV/0!</v>
      </c>
      <c r="K130" s="2" t="e">
        <f t="shared" si="31"/>
        <v>#DIV/0!</v>
      </c>
      <c r="L130" s="2" t="e">
        <f t="shared" si="31"/>
        <v>#DIV/0!</v>
      </c>
      <c r="M130" s="2" t="e">
        <f t="shared" si="31"/>
        <v>#DIV/0!</v>
      </c>
      <c r="N130" s="2" t="e">
        <f t="shared" si="31"/>
        <v>#DIV/0!</v>
      </c>
      <c r="O130" s="2" t="e">
        <f t="shared" si="31"/>
        <v>#DIV/0!</v>
      </c>
      <c r="P130" s="6" t="e">
        <f t="shared" si="28"/>
        <v>#DIV/0!</v>
      </c>
      <c r="Q130" s="2"/>
    </row>
    <row r="131" spans="1:18" ht="15" x14ac:dyDescent="0.35">
      <c r="A131" t="s">
        <v>2</v>
      </c>
      <c r="C131" s="12" t="e">
        <f t="shared" si="30"/>
        <v>#DIV/0!</v>
      </c>
      <c r="D131" s="12" t="e">
        <f t="shared" si="30"/>
        <v>#DIV/0!</v>
      </c>
      <c r="E131" s="12" t="e">
        <f t="shared" si="30"/>
        <v>#DIV/0!</v>
      </c>
      <c r="F131" s="283"/>
      <c r="G131" s="283"/>
      <c r="H131" s="283"/>
      <c r="I131" s="12" t="e">
        <f t="shared" si="31"/>
        <v>#DIV/0!</v>
      </c>
      <c r="J131" s="12" t="e">
        <f t="shared" si="31"/>
        <v>#DIV/0!</v>
      </c>
      <c r="K131" s="12" t="e">
        <f t="shared" si="31"/>
        <v>#DIV/0!</v>
      </c>
      <c r="L131" s="12" t="e">
        <f t="shared" si="31"/>
        <v>#DIV/0!</v>
      </c>
      <c r="M131" s="12" t="e">
        <f t="shared" si="31"/>
        <v>#DIV/0!</v>
      </c>
      <c r="N131" s="12" t="e">
        <f t="shared" si="31"/>
        <v>#DIV/0!</v>
      </c>
      <c r="O131" s="12" t="e">
        <f t="shared" si="31"/>
        <v>#DIV/0!</v>
      </c>
      <c r="P131" s="7" t="e">
        <f t="shared" si="28"/>
        <v>#DIV/0!</v>
      </c>
      <c r="Q131" s="2"/>
    </row>
    <row r="132" spans="1:18" ht="15" x14ac:dyDescent="0.35">
      <c r="C132" s="15" t="e">
        <f t="shared" ref="C132:P132" si="32">SUM(C120:C131)</f>
        <v>#DIV/0!</v>
      </c>
      <c r="D132" s="15" t="e">
        <f t="shared" si="32"/>
        <v>#DIV/0!</v>
      </c>
      <c r="E132" s="15" t="e">
        <f t="shared" si="32"/>
        <v>#DIV/0!</v>
      </c>
      <c r="F132" s="275"/>
      <c r="G132" s="275"/>
      <c r="H132" s="275"/>
      <c r="I132" s="15" t="e">
        <f t="shared" si="32"/>
        <v>#DIV/0!</v>
      </c>
      <c r="J132" s="15" t="e">
        <f t="shared" si="32"/>
        <v>#DIV/0!</v>
      </c>
      <c r="K132" s="15" t="e">
        <f t="shared" si="32"/>
        <v>#DIV/0!</v>
      </c>
      <c r="L132" s="15" t="e">
        <f t="shared" si="32"/>
        <v>#DIV/0!</v>
      </c>
      <c r="M132" s="15" t="e">
        <f t="shared" si="32"/>
        <v>#DIV/0!</v>
      </c>
      <c r="N132" s="15" t="e">
        <f t="shared" si="32"/>
        <v>#DIV/0!</v>
      </c>
      <c r="O132" s="15" t="e">
        <f t="shared" si="32"/>
        <v>#DIV/0!</v>
      </c>
      <c r="P132" s="8" t="e">
        <f t="shared" si="32"/>
        <v>#DIV/0!</v>
      </c>
      <c r="Q132" s="8"/>
    </row>
    <row r="133" spans="1:18" x14ac:dyDescent="0.2">
      <c r="C133" s="80" t="e">
        <f>+C132/$P132</f>
        <v>#DIV/0!</v>
      </c>
      <c r="D133" s="80" t="e">
        <f>+D132/$P132</f>
        <v>#DIV/0!</v>
      </c>
      <c r="E133" s="80" t="e">
        <f>+E132/$P132</f>
        <v>#DIV/0!</v>
      </c>
      <c r="F133" s="284"/>
      <c r="G133" s="284"/>
      <c r="H133" s="284"/>
      <c r="I133" s="80" t="e">
        <f t="shared" ref="I133:P133" si="33">+I132/$P132</f>
        <v>#DIV/0!</v>
      </c>
      <c r="J133" s="80" t="e">
        <f t="shared" si="33"/>
        <v>#DIV/0!</v>
      </c>
      <c r="K133" s="80" t="e">
        <f t="shared" si="33"/>
        <v>#DIV/0!</v>
      </c>
      <c r="L133" s="80" t="e">
        <f t="shared" si="33"/>
        <v>#DIV/0!</v>
      </c>
      <c r="M133" s="80" t="e">
        <f t="shared" si="33"/>
        <v>#DIV/0!</v>
      </c>
      <c r="N133" s="80" t="e">
        <f t="shared" si="33"/>
        <v>#DIV/0!</v>
      </c>
      <c r="O133" s="80" t="e">
        <f t="shared" si="33"/>
        <v>#DIV/0!</v>
      </c>
      <c r="P133" s="80" t="e">
        <f t="shared" si="33"/>
        <v>#DIV/0!</v>
      </c>
    </row>
    <row r="134" spans="1:18" x14ac:dyDescent="0.2">
      <c r="C134" s="80"/>
      <c r="D134" s="80"/>
      <c r="E134" s="80"/>
      <c r="F134" s="284"/>
      <c r="G134" s="284"/>
      <c r="H134" s="284"/>
      <c r="I134" s="80"/>
      <c r="J134" s="80"/>
      <c r="K134" s="80"/>
      <c r="L134" s="80"/>
      <c r="M134" s="80"/>
      <c r="N134" s="80"/>
      <c r="O134" s="80"/>
      <c r="P134" s="80"/>
    </row>
    <row r="135" spans="1:18" x14ac:dyDescent="0.2">
      <c r="A135" s="3" t="s">
        <v>50</v>
      </c>
      <c r="B135" s="77">
        <f>+R21</f>
        <v>2.5305966072234429E-2</v>
      </c>
    </row>
    <row r="136" spans="1:18" x14ac:dyDescent="0.2">
      <c r="A136" s="63" t="s">
        <v>181</v>
      </c>
      <c r="C136" s="2">
        <f t="shared" ref="C136:O136" si="34">+$B$135*C104</f>
        <v>2.7493573319864915</v>
      </c>
      <c r="D136" s="2">
        <f t="shared" si="34"/>
        <v>0</v>
      </c>
      <c r="E136" s="2">
        <f t="shared" si="34"/>
        <v>5.4536632607104147</v>
      </c>
      <c r="F136" s="272"/>
      <c r="G136" s="272"/>
      <c r="H136" s="272"/>
      <c r="I136" s="2">
        <f t="shared" si="34"/>
        <v>0.256258490422337</v>
      </c>
      <c r="J136" s="2">
        <f t="shared" si="34"/>
        <v>0.23854336235976781</v>
      </c>
      <c r="K136" s="2">
        <f t="shared" si="34"/>
        <v>1.8047286713742354</v>
      </c>
      <c r="L136" s="2">
        <f t="shared" si="34"/>
        <v>0.51526588002679685</v>
      </c>
      <c r="M136" s="2">
        <f t="shared" si="34"/>
        <v>0.12270780515753742</v>
      </c>
      <c r="N136" s="2">
        <f t="shared" si="34"/>
        <v>7.9030851486030618E-2</v>
      </c>
      <c r="O136" s="2">
        <f t="shared" si="34"/>
        <v>0</v>
      </c>
      <c r="P136" s="6">
        <f t="shared" ref="P136:P147" si="35">SUM(C136:O136)</f>
        <v>11.21955565352361</v>
      </c>
      <c r="Q136" s="2"/>
      <c r="R136" s="6"/>
    </row>
    <row r="137" spans="1:18" x14ac:dyDescent="0.2">
      <c r="A137" t="s">
        <v>148</v>
      </c>
      <c r="C137" s="2">
        <f t="shared" ref="C137:O137" si="36">+$B$135*C105</f>
        <v>1.8509821203682613</v>
      </c>
      <c r="D137" s="2">
        <f t="shared" si="36"/>
        <v>0</v>
      </c>
      <c r="E137" s="2">
        <f t="shared" si="36"/>
        <v>5.4943197134081849</v>
      </c>
      <c r="F137" s="272"/>
      <c r="G137" s="272"/>
      <c r="H137" s="272"/>
      <c r="I137" s="2">
        <f t="shared" si="36"/>
        <v>0.27122538592268414</v>
      </c>
      <c r="J137" s="2">
        <f t="shared" si="36"/>
        <v>0.20311047813834679</v>
      </c>
      <c r="K137" s="2">
        <f t="shared" si="36"/>
        <v>1.3837431662915556</v>
      </c>
      <c r="L137" s="2">
        <f t="shared" si="36"/>
        <v>0.52817981155080163</v>
      </c>
      <c r="M137" s="2">
        <f t="shared" si="36"/>
        <v>0.1421696206642511</v>
      </c>
      <c r="N137" s="2">
        <f t="shared" si="36"/>
        <v>8.0071658301406765E-2</v>
      </c>
      <c r="O137" s="2">
        <f t="shared" si="36"/>
        <v>0</v>
      </c>
      <c r="P137" s="6">
        <f t="shared" si="35"/>
        <v>9.9538019546454919</v>
      </c>
      <c r="Q137" s="2">
        <f>+P137+P136</f>
        <v>21.173357608169102</v>
      </c>
      <c r="R137" s="6"/>
    </row>
    <row r="138" spans="1:18" x14ac:dyDescent="0.2">
      <c r="A138" t="s">
        <v>149</v>
      </c>
      <c r="C138" s="2">
        <f t="shared" ref="C138:O138" si="37">+$B$135*C106</f>
        <v>2.0392964137581258</v>
      </c>
      <c r="D138" s="2">
        <f t="shared" si="37"/>
        <v>0</v>
      </c>
      <c r="E138" s="2">
        <f t="shared" si="37"/>
        <v>5.8342431725197921</v>
      </c>
      <c r="F138" s="272"/>
      <c r="G138" s="272"/>
      <c r="H138" s="272"/>
      <c r="I138" s="2">
        <f t="shared" si="37"/>
        <v>0.28120872337323527</v>
      </c>
      <c r="J138" s="2">
        <f t="shared" si="37"/>
        <v>0.19696797363033217</v>
      </c>
      <c r="K138" s="2">
        <f t="shared" si="37"/>
        <v>1.5052892741130142</v>
      </c>
      <c r="L138" s="2">
        <f t="shared" si="37"/>
        <v>0.50552066550058572</v>
      </c>
      <c r="M138" s="2">
        <f t="shared" si="37"/>
        <v>0.10777636608156227</v>
      </c>
      <c r="N138" s="2">
        <f t="shared" si="37"/>
        <v>8.180340436155327E-2</v>
      </c>
      <c r="O138" s="2">
        <f t="shared" si="37"/>
        <v>0</v>
      </c>
      <c r="P138" s="6">
        <f t="shared" si="35"/>
        <v>10.5521059933382</v>
      </c>
      <c r="Q138" s="2">
        <f>+P138+Q137</f>
        <v>31.7254636015073</v>
      </c>
      <c r="R138" s="6"/>
    </row>
    <row r="139" spans="1:18" x14ac:dyDescent="0.2">
      <c r="A139" t="s">
        <v>150</v>
      </c>
      <c r="C139" s="2">
        <f t="shared" ref="C139:O139" si="38">+$B$135*C107</f>
        <v>2.2211513165542911</v>
      </c>
      <c r="D139" s="2">
        <f t="shared" si="38"/>
        <v>0</v>
      </c>
      <c r="E139" s="2">
        <f t="shared" si="38"/>
        <v>5.6506692892348971</v>
      </c>
      <c r="F139" s="272"/>
      <c r="G139" s="272"/>
      <c r="H139" s="272"/>
      <c r="I139" s="2">
        <f t="shared" si="38"/>
        <v>0.26226955666000973</v>
      </c>
      <c r="J139" s="2">
        <f t="shared" si="38"/>
        <v>0.187292724402991</v>
      </c>
      <c r="K139" s="2">
        <f t="shared" si="38"/>
        <v>1.357050792604128</v>
      </c>
      <c r="L139" s="2">
        <f t="shared" si="38"/>
        <v>0.45434168072878689</v>
      </c>
      <c r="M139" s="2">
        <f t="shared" si="38"/>
        <v>0.11963434788420718</v>
      </c>
      <c r="N139" s="2">
        <f t="shared" si="38"/>
        <v>7.8561382006358274E-2</v>
      </c>
      <c r="O139" s="2">
        <f t="shared" si="38"/>
        <v>0</v>
      </c>
      <c r="P139" s="6">
        <f t="shared" si="35"/>
        <v>10.330971090075666</v>
      </c>
      <c r="Q139" s="2">
        <f t="shared" ref="Q139:Q147" si="39">+P139+Q138</f>
        <v>42.056434691582965</v>
      </c>
      <c r="R139" s="6"/>
    </row>
    <row r="140" spans="1:18" x14ac:dyDescent="0.2">
      <c r="A140" t="s">
        <v>151</v>
      </c>
      <c r="C140" s="2">
        <f t="shared" ref="C140:O140" si="40">+$B$135*C108</f>
        <v>1.9503772877407608</v>
      </c>
      <c r="D140" s="2">
        <f t="shared" si="40"/>
        <v>0</v>
      </c>
      <c r="E140" s="2">
        <f t="shared" si="40"/>
        <v>5.3332046610531672</v>
      </c>
      <c r="F140" s="272"/>
      <c r="G140" s="272"/>
      <c r="H140" s="272"/>
      <c r="I140" s="2">
        <f t="shared" si="40"/>
        <v>0.21513662584162457</v>
      </c>
      <c r="J140" s="2">
        <f t="shared" si="40"/>
        <v>0.21959621279616862</v>
      </c>
      <c r="K140" s="2">
        <f t="shared" si="40"/>
        <v>1.6382062009226779</v>
      </c>
      <c r="L140" s="2">
        <f t="shared" si="40"/>
        <v>0.39990192673419916</v>
      </c>
      <c r="M140" s="2">
        <f t="shared" si="40"/>
        <v>0.10403139912927735</v>
      </c>
      <c r="N140" s="2">
        <f t="shared" si="40"/>
        <v>7.6043646518000968E-2</v>
      </c>
      <c r="O140" s="2">
        <f t="shared" si="40"/>
        <v>0</v>
      </c>
      <c r="P140" s="6">
        <f t="shared" si="35"/>
        <v>9.9364979607358759</v>
      </c>
      <c r="Q140" s="2">
        <f t="shared" si="39"/>
        <v>51.992932652318842</v>
      </c>
      <c r="R140" s="6"/>
    </row>
    <row r="141" spans="1:18" x14ac:dyDescent="0.2">
      <c r="A141" t="s">
        <v>152</v>
      </c>
      <c r="C141" s="2">
        <f t="shared" ref="C141:O141" si="41">+$B$135*C109</f>
        <v>2.0810603933481628</v>
      </c>
      <c r="D141" s="2">
        <f t="shared" si="41"/>
        <v>0</v>
      </c>
      <c r="E141" s="2">
        <f t="shared" si="41"/>
        <v>4.9608783048410618</v>
      </c>
      <c r="F141" s="272"/>
      <c r="G141" s="272"/>
      <c r="H141" s="272"/>
      <c r="I141" s="2">
        <f t="shared" si="41"/>
        <v>0.20449032630189218</v>
      </c>
      <c r="J141" s="2">
        <f t="shared" si="41"/>
        <v>0.24289790042755935</v>
      </c>
      <c r="K141" s="2">
        <f t="shared" si="41"/>
        <v>1.235943732997056</v>
      </c>
      <c r="L141" s="2">
        <f t="shared" si="41"/>
        <v>0.38302553415167329</v>
      </c>
      <c r="M141" s="2">
        <f t="shared" si="41"/>
        <v>6.7813373065631136E-2</v>
      </c>
      <c r="N141" s="2">
        <f t="shared" si="41"/>
        <v>0.10509572529308543</v>
      </c>
      <c r="O141" s="2">
        <f t="shared" si="41"/>
        <v>0</v>
      </c>
      <c r="P141" s="6">
        <f t="shared" si="35"/>
        <v>9.2812052904261222</v>
      </c>
      <c r="Q141" s="2">
        <f t="shared" si="39"/>
        <v>61.274137942744964</v>
      </c>
      <c r="R141" s="6"/>
    </row>
    <row r="142" spans="1:18" x14ac:dyDescent="0.2">
      <c r="A142" t="s">
        <v>7</v>
      </c>
      <c r="C142" s="2">
        <f t="shared" ref="C142:O142" si="42">+$B$135*C110</f>
        <v>2.2627867583566226</v>
      </c>
      <c r="D142" s="2">
        <f t="shared" si="42"/>
        <v>0</v>
      </c>
      <c r="E142" s="2">
        <f t="shared" si="42"/>
        <v>5.5379601152731714</v>
      </c>
      <c r="F142" s="272"/>
      <c r="G142" s="272"/>
      <c r="H142" s="272"/>
      <c r="I142" s="2">
        <f t="shared" si="42"/>
        <v>0.23955017614111712</v>
      </c>
      <c r="J142" s="2">
        <f t="shared" si="42"/>
        <v>0.25540157199650504</v>
      </c>
      <c r="K142" s="2">
        <f t="shared" si="42"/>
        <v>1.4190234269318167</v>
      </c>
      <c r="L142" s="2">
        <f t="shared" si="42"/>
        <v>0.46599868836094416</v>
      </c>
      <c r="M142" s="2">
        <f t="shared" si="42"/>
        <v>0.12106907956895757</v>
      </c>
      <c r="N142" s="2">
        <f t="shared" si="42"/>
        <v>7.3676640940093741E-2</v>
      </c>
      <c r="O142" s="2">
        <f t="shared" si="42"/>
        <v>0</v>
      </c>
      <c r="P142" s="6">
        <f t="shared" si="35"/>
        <v>10.375466457569228</v>
      </c>
      <c r="Q142" s="2">
        <f t="shared" si="39"/>
        <v>71.649604400314189</v>
      </c>
      <c r="R142" s="6"/>
    </row>
    <row r="143" spans="1:18" x14ac:dyDescent="0.2">
      <c r="A143" s="63" t="s">
        <v>182</v>
      </c>
      <c r="C143" s="2">
        <f t="shared" ref="C143:O143" si="43">+$B$135*C111</f>
        <v>2.3822153303410407</v>
      </c>
      <c r="D143" s="2">
        <f t="shared" si="43"/>
        <v>0</v>
      </c>
      <c r="E143" s="2">
        <f t="shared" si="43"/>
        <v>6.1804922015400008</v>
      </c>
      <c r="F143" s="272"/>
      <c r="G143" s="272"/>
      <c r="H143" s="272"/>
      <c r="I143" s="2">
        <f t="shared" si="43"/>
        <v>0.23509096219948819</v>
      </c>
      <c r="J143" s="2">
        <f t="shared" si="43"/>
        <v>0.24865676914949036</v>
      </c>
      <c r="K143" s="2">
        <f t="shared" si="43"/>
        <v>1.4499015208321007</v>
      </c>
      <c r="L143" s="2">
        <f t="shared" si="43"/>
        <v>0.43641648182561932</v>
      </c>
      <c r="M143" s="2">
        <f t="shared" si="43"/>
        <v>0.11217878824040259</v>
      </c>
      <c r="N143" s="2">
        <f t="shared" si="43"/>
        <v>7.4313788621715199E-2</v>
      </c>
      <c r="O143" s="2">
        <f t="shared" si="43"/>
        <v>0</v>
      </c>
      <c r="P143" s="6">
        <f t="shared" si="35"/>
        <v>11.11926584274986</v>
      </c>
      <c r="Q143" s="2">
        <f t="shared" si="39"/>
        <v>82.768870243064043</v>
      </c>
      <c r="R143" s="6"/>
    </row>
    <row r="144" spans="1:18" x14ac:dyDescent="0.2">
      <c r="A144" t="s">
        <v>10</v>
      </c>
      <c r="C144" s="2">
        <f t="shared" ref="C144:O144" si="44">+$B$135*C112</f>
        <v>1.8262526564119557</v>
      </c>
      <c r="D144" s="2">
        <f t="shared" si="44"/>
        <v>0</v>
      </c>
      <c r="E144" s="2">
        <f t="shared" si="44"/>
        <v>4.8121304548924728</v>
      </c>
      <c r="F144" s="272"/>
      <c r="G144" s="272"/>
      <c r="H144" s="272"/>
      <c r="I144" s="2">
        <f t="shared" si="44"/>
        <v>0.19429065115861247</v>
      </c>
      <c r="J144" s="2">
        <f t="shared" si="44"/>
        <v>0.20056834499972917</v>
      </c>
      <c r="K144" s="2">
        <f t="shared" si="44"/>
        <v>1.2725441667296606</v>
      </c>
      <c r="L144" s="2">
        <f t="shared" si="44"/>
        <v>0.32596488215364067</v>
      </c>
      <c r="M144" s="2">
        <f t="shared" si="44"/>
        <v>9.0894053677457495E-2</v>
      </c>
      <c r="N144" s="2">
        <f t="shared" si="44"/>
        <v>5.9551276547299754E-2</v>
      </c>
      <c r="O144" s="2">
        <f t="shared" si="44"/>
        <v>0</v>
      </c>
      <c r="P144" s="6">
        <f t="shared" si="35"/>
        <v>8.7821964865708271</v>
      </c>
      <c r="Q144" s="2">
        <f t="shared" si="39"/>
        <v>91.551066729634869</v>
      </c>
      <c r="R144" s="6"/>
    </row>
    <row r="145" spans="1:20" x14ac:dyDescent="0.2">
      <c r="A145" t="s">
        <v>8</v>
      </c>
      <c r="C145" s="2">
        <f t="shared" ref="C145:O145" si="45">+$B$135*C113</f>
        <v>2.0169474431976191</v>
      </c>
      <c r="D145" s="2">
        <f t="shared" si="45"/>
        <v>0</v>
      </c>
      <c r="E145" s="2">
        <f t="shared" si="45"/>
        <v>5.4424213930643752</v>
      </c>
      <c r="F145" s="272"/>
      <c r="G145" s="272"/>
      <c r="H145" s="272"/>
      <c r="I145" s="2">
        <f t="shared" si="45"/>
        <v>0.22262923814149069</v>
      </c>
      <c r="J145" s="2">
        <f t="shared" si="45"/>
        <v>0.24608890546434084</v>
      </c>
      <c r="K145" s="2">
        <f t="shared" si="45"/>
        <v>1.6373290371283447</v>
      </c>
      <c r="L145" s="2">
        <f t="shared" si="45"/>
        <v>0.40437724666753488</v>
      </c>
      <c r="M145" s="2">
        <f t="shared" si="45"/>
        <v>0.11253311757414582</v>
      </c>
      <c r="N145" s="2">
        <f t="shared" si="45"/>
        <v>7.419765993899724E-2</v>
      </c>
      <c r="O145" s="2">
        <f t="shared" si="45"/>
        <v>0</v>
      </c>
      <c r="P145" s="6">
        <f t="shared" si="35"/>
        <v>10.156524041176848</v>
      </c>
      <c r="Q145" s="2">
        <f t="shared" si="39"/>
        <v>101.70759077081172</v>
      </c>
      <c r="R145" s="6"/>
    </row>
    <row r="146" spans="1:20" x14ac:dyDescent="0.2">
      <c r="A146" t="s">
        <v>9</v>
      </c>
      <c r="C146" s="2">
        <f t="shared" ref="C146:O146" si="46">+$B$135*C114</f>
        <v>2.5596809246567318</v>
      </c>
      <c r="D146" s="2">
        <f t="shared" si="46"/>
        <v>0</v>
      </c>
      <c r="E146" s="2">
        <f t="shared" si="46"/>
        <v>6.7421035371255815</v>
      </c>
      <c r="F146" s="272"/>
      <c r="G146" s="272"/>
      <c r="H146" s="272"/>
      <c r="I146" s="2">
        <f t="shared" si="46"/>
        <v>0.27901555188343352</v>
      </c>
      <c r="J146" s="2">
        <f t="shared" si="46"/>
        <v>0.27141915787626136</v>
      </c>
      <c r="K146" s="2">
        <f t="shared" si="46"/>
        <v>1.8319463787696388</v>
      </c>
      <c r="L146" s="2">
        <f t="shared" si="46"/>
        <v>0.50037447325243034</v>
      </c>
      <c r="M146" s="2">
        <f t="shared" si="46"/>
        <v>0.13043008510314602</v>
      </c>
      <c r="N146" s="2">
        <f t="shared" si="46"/>
        <v>9.7081915411660238E-2</v>
      </c>
      <c r="O146" s="2">
        <f t="shared" si="46"/>
        <v>0</v>
      </c>
      <c r="P146" s="6">
        <f t="shared" si="35"/>
        <v>12.412052024078884</v>
      </c>
      <c r="Q146" s="2">
        <f t="shared" si="39"/>
        <v>114.11964279489061</v>
      </c>
      <c r="R146" s="6"/>
    </row>
    <row r="147" spans="1:20" ht="15" x14ac:dyDescent="0.35">
      <c r="A147" t="s">
        <v>2</v>
      </c>
      <c r="C147" s="12">
        <f t="shared" ref="C147:O147" si="47">+$B$135*C115</f>
        <v>1.901684378495311</v>
      </c>
      <c r="D147" s="12">
        <f t="shared" si="47"/>
        <v>0</v>
      </c>
      <c r="E147" s="12">
        <f t="shared" si="47"/>
        <v>5.6162118198239037</v>
      </c>
      <c r="F147" s="283"/>
      <c r="G147" s="283"/>
      <c r="H147" s="283"/>
      <c r="I147" s="12">
        <f t="shared" si="47"/>
        <v>0.22690552243409962</v>
      </c>
      <c r="J147" s="12">
        <f t="shared" si="47"/>
        <v>0.17768263132405682</v>
      </c>
      <c r="K147" s="12">
        <f t="shared" si="47"/>
        <v>1.3002046602969832</v>
      </c>
      <c r="L147" s="12">
        <f t="shared" si="47"/>
        <v>0.39378312888034223</v>
      </c>
      <c r="M147" s="12">
        <f t="shared" si="47"/>
        <v>0.10084689885959981</v>
      </c>
      <c r="N147" s="12">
        <f t="shared" si="47"/>
        <v>7.3234057505185579E-2</v>
      </c>
      <c r="O147" s="12">
        <f t="shared" si="47"/>
        <v>0</v>
      </c>
      <c r="P147" s="7">
        <f t="shared" si="35"/>
        <v>9.7905530976194814</v>
      </c>
      <c r="Q147" s="2">
        <f t="shared" si="39"/>
        <v>123.91019589251009</v>
      </c>
      <c r="R147" s="7"/>
    </row>
    <row r="148" spans="1:20" ht="15" x14ac:dyDescent="0.35">
      <c r="C148" s="15">
        <f t="shared" ref="C148:P148" si="48">SUM(C136:C147)</f>
        <v>25.841792355215375</v>
      </c>
      <c r="D148" s="15">
        <f t="shared" si="48"/>
        <v>0</v>
      </c>
      <c r="E148" s="15">
        <f t="shared" si="48"/>
        <v>67.058297923487032</v>
      </c>
      <c r="F148" s="275"/>
      <c r="G148" s="275"/>
      <c r="H148" s="275"/>
      <c r="I148" s="15">
        <f t="shared" si="48"/>
        <v>2.8880712104800241</v>
      </c>
      <c r="J148" s="15">
        <f t="shared" si="48"/>
        <v>2.6882260325655492</v>
      </c>
      <c r="K148" s="15">
        <f t="shared" si="48"/>
        <v>17.835911028991216</v>
      </c>
      <c r="L148" s="15">
        <f t="shared" si="48"/>
        <v>5.3131503998333534</v>
      </c>
      <c r="M148" s="15">
        <f t="shared" si="48"/>
        <v>1.3320849350061761</v>
      </c>
      <c r="N148" s="15">
        <f t="shared" si="48"/>
        <v>0.95266200693138692</v>
      </c>
      <c r="O148" s="15">
        <f t="shared" si="48"/>
        <v>0</v>
      </c>
      <c r="P148" s="8">
        <f t="shared" si="48"/>
        <v>123.91019589251009</v>
      </c>
      <c r="Q148" s="2"/>
      <c r="R148" s="8"/>
      <c r="S148" s="6"/>
      <c r="T148" s="6"/>
    </row>
    <row r="149" spans="1:20" x14ac:dyDescent="0.2">
      <c r="C149" s="80"/>
      <c r="D149" s="80"/>
      <c r="E149" s="80"/>
      <c r="F149" s="284"/>
      <c r="G149" s="284"/>
      <c r="H149" s="284"/>
      <c r="I149" s="80"/>
      <c r="J149" s="80"/>
      <c r="K149" s="80"/>
      <c r="L149" s="80"/>
      <c r="M149" s="80"/>
      <c r="N149" s="80"/>
      <c r="O149" s="80"/>
      <c r="P149" s="80"/>
    </row>
    <row r="150" spans="1:20" x14ac:dyDescent="0.2">
      <c r="A150" s="3" t="s">
        <v>50</v>
      </c>
      <c r="B150" s="77">
        <v>0</v>
      </c>
    </row>
    <row r="151" spans="1:20" x14ac:dyDescent="0.2">
      <c r="A151" s="63" t="s">
        <v>183</v>
      </c>
      <c r="C151" s="2" t="e">
        <f>+$B$150*C120</f>
        <v>#DIV/0!</v>
      </c>
      <c r="D151" s="2" t="e">
        <f t="shared" ref="D151:O151" si="49">+$B$150*D120</f>
        <v>#DIV/0!</v>
      </c>
      <c r="E151" s="2" t="e">
        <f t="shared" si="49"/>
        <v>#DIV/0!</v>
      </c>
      <c r="F151" s="272"/>
      <c r="G151" s="272"/>
      <c r="H151" s="272"/>
      <c r="I151" s="2" t="e">
        <f t="shared" si="49"/>
        <v>#DIV/0!</v>
      </c>
      <c r="J151" s="2" t="e">
        <f t="shared" si="49"/>
        <v>#DIV/0!</v>
      </c>
      <c r="K151" s="2" t="e">
        <f t="shared" si="49"/>
        <v>#DIV/0!</v>
      </c>
      <c r="L151" s="2" t="e">
        <f t="shared" si="49"/>
        <v>#DIV/0!</v>
      </c>
      <c r="M151" s="2" t="e">
        <f t="shared" si="49"/>
        <v>#DIV/0!</v>
      </c>
      <c r="N151" s="2" t="e">
        <f t="shared" si="49"/>
        <v>#DIV/0!</v>
      </c>
      <c r="O151" s="2" t="e">
        <f t="shared" si="49"/>
        <v>#DIV/0!</v>
      </c>
      <c r="P151" s="6" t="e">
        <f t="shared" ref="P151:P162" si="50">SUM(C151:O151)</f>
        <v>#DIV/0!</v>
      </c>
      <c r="Q151" s="2"/>
    </row>
    <row r="152" spans="1:20" x14ac:dyDescent="0.2">
      <c r="A152" t="s">
        <v>148</v>
      </c>
      <c r="C152" s="2" t="e">
        <f t="shared" ref="C152:O152" si="51">+$B$150*C121</f>
        <v>#DIV/0!</v>
      </c>
      <c r="D152" s="2" t="e">
        <f t="shared" si="51"/>
        <v>#DIV/0!</v>
      </c>
      <c r="E152" s="2" t="e">
        <f t="shared" si="51"/>
        <v>#DIV/0!</v>
      </c>
      <c r="F152" s="272"/>
      <c r="G152" s="272"/>
      <c r="H152" s="272"/>
      <c r="I152" s="2" t="e">
        <f t="shared" si="51"/>
        <v>#DIV/0!</v>
      </c>
      <c r="J152" s="2" t="e">
        <f t="shared" si="51"/>
        <v>#DIV/0!</v>
      </c>
      <c r="K152" s="2" t="e">
        <f t="shared" si="51"/>
        <v>#DIV/0!</v>
      </c>
      <c r="L152" s="2" t="e">
        <f t="shared" si="51"/>
        <v>#DIV/0!</v>
      </c>
      <c r="M152" s="2" t="e">
        <f t="shared" si="51"/>
        <v>#DIV/0!</v>
      </c>
      <c r="N152" s="2" t="e">
        <f t="shared" si="51"/>
        <v>#DIV/0!</v>
      </c>
      <c r="O152" s="2" t="e">
        <f t="shared" si="51"/>
        <v>#DIV/0!</v>
      </c>
      <c r="P152" s="6" t="e">
        <f t="shared" si="50"/>
        <v>#DIV/0!</v>
      </c>
      <c r="Q152" s="2" t="e">
        <f>+P152+P151</f>
        <v>#DIV/0!</v>
      </c>
    </row>
    <row r="153" spans="1:20" x14ac:dyDescent="0.2">
      <c r="A153" t="s">
        <v>149</v>
      </c>
      <c r="C153" s="2" t="e">
        <f t="shared" ref="C153:O153" si="52">+$B$150*C122</f>
        <v>#DIV/0!</v>
      </c>
      <c r="D153" s="2" t="e">
        <f t="shared" si="52"/>
        <v>#DIV/0!</v>
      </c>
      <c r="E153" s="2" t="e">
        <f t="shared" si="52"/>
        <v>#DIV/0!</v>
      </c>
      <c r="F153" s="272"/>
      <c r="G153" s="272"/>
      <c r="H153" s="272"/>
      <c r="I153" s="2" t="e">
        <f t="shared" si="52"/>
        <v>#DIV/0!</v>
      </c>
      <c r="J153" s="2" t="e">
        <f t="shared" si="52"/>
        <v>#DIV/0!</v>
      </c>
      <c r="K153" s="2" t="e">
        <f t="shared" si="52"/>
        <v>#DIV/0!</v>
      </c>
      <c r="L153" s="2" t="e">
        <f t="shared" si="52"/>
        <v>#DIV/0!</v>
      </c>
      <c r="M153" s="2" t="e">
        <f t="shared" si="52"/>
        <v>#DIV/0!</v>
      </c>
      <c r="N153" s="2" t="e">
        <f t="shared" si="52"/>
        <v>#DIV/0!</v>
      </c>
      <c r="O153" s="2" t="e">
        <f t="shared" si="52"/>
        <v>#DIV/0!</v>
      </c>
      <c r="P153" s="6" t="e">
        <f t="shared" si="50"/>
        <v>#DIV/0!</v>
      </c>
      <c r="Q153" s="2" t="e">
        <f>+P153+Q152</f>
        <v>#DIV/0!</v>
      </c>
    </row>
    <row r="154" spans="1:20" x14ac:dyDescent="0.2">
      <c r="A154" t="s">
        <v>150</v>
      </c>
      <c r="C154" s="2" t="e">
        <f t="shared" ref="C154:O154" si="53">+$B$150*C123</f>
        <v>#DIV/0!</v>
      </c>
      <c r="D154" s="2" t="e">
        <f t="shared" si="53"/>
        <v>#DIV/0!</v>
      </c>
      <c r="E154" s="2" t="e">
        <f t="shared" si="53"/>
        <v>#DIV/0!</v>
      </c>
      <c r="F154" s="272"/>
      <c r="G154" s="272"/>
      <c r="H154" s="272"/>
      <c r="I154" s="2" t="e">
        <f t="shared" si="53"/>
        <v>#DIV/0!</v>
      </c>
      <c r="J154" s="2" t="e">
        <f t="shared" si="53"/>
        <v>#DIV/0!</v>
      </c>
      <c r="K154" s="2" t="e">
        <f t="shared" si="53"/>
        <v>#DIV/0!</v>
      </c>
      <c r="L154" s="2" t="e">
        <f t="shared" si="53"/>
        <v>#DIV/0!</v>
      </c>
      <c r="M154" s="2" t="e">
        <f t="shared" si="53"/>
        <v>#DIV/0!</v>
      </c>
      <c r="N154" s="2" t="e">
        <f t="shared" si="53"/>
        <v>#DIV/0!</v>
      </c>
      <c r="O154" s="2" t="e">
        <f t="shared" si="53"/>
        <v>#DIV/0!</v>
      </c>
      <c r="P154" s="6" t="e">
        <f t="shared" si="50"/>
        <v>#DIV/0!</v>
      </c>
      <c r="Q154" s="2" t="e">
        <f t="shared" ref="Q154:Q162" si="54">+P154+Q153</f>
        <v>#DIV/0!</v>
      </c>
    </row>
    <row r="155" spans="1:20" x14ac:dyDescent="0.2">
      <c r="A155" t="s">
        <v>151</v>
      </c>
      <c r="C155" s="2" t="e">
        <f t="shared" ref="C155:O155" si="55">+$B$150*C124</f>
        <v>#DIV/0!</v>
      </c>
      <c r="D155" s="2" t="e">
        <f t="shared" si="55"/>
        <v>#DIV/0!</v>
      </c>
      <c r="E155" s="2" t="e">
        <f t="shared" si="55"/>
        <v>#DIV/0!</v>
      </c>
      <c r="F155" s="272"/>
      <c r="G155" s="272"/>
      <c r="H155" s="272"/>
      <c r="I155" s="2" t="e">
        <f t="shared" si="55"/>
        <v>#DIV/0!</v>
      </c>
      <c r="J155" s="2" t="e">
        <f t="shared" si="55"/>
        <v>#DIV/0!</v>
      </c>
      <c r="K155" s="2" t="e">
        <f t="shared" si="55"/>
        <v>#DIV/0!</v>
      </c>
      <c r="L155" s="2" t="e">
        <f t="shared" si="55"/>
        <v>#DIV/0!</v>
      </c>
      <c r="M155" s="2" t="e">
        <f t="shared" si="55"/>
        <v>#DIV/0!</v>
      </c>
      <c r="N155" s="2" t="e">
        <f t="shared" si="55"/>
        <v>#DIV/0!</v>
      </c>
      <c r="O155" s="2" t="e">
        <f t="shared" si="55"/>
        <v>#DIV/0!</v>
      </c>
      <c r="P155" s="6" t="e">
        <f t="shared" si="50"/>
        <v>#DIV/0!</v>
      </c>
      <c r="Q155" s="2" t="e">
        <f t="shared" si="54"/>
        <v>#DIV/0!</v>
      </c>
    </row>
    <row r="156" spans="1:20" x14ac:dyDescent="0.2">
      <c r="A156" t="s">
        <v>152</v>
      </c>
      <c r="C156" s="2" t="e">
        <f t="shared" ref="C156:O156" si="56">+$B$150*C125</f>
        <v>#DIV/0!</v>
      </c>
      <c r="D156" s="2" t="e">
        <f t="shared" si="56"/>
        <v>#DIV/0!</v>
      </c>
      <c r="E156" s="2" t="e">
        <f t="shared" si="56"/>
        <v>#DIV/0!</v>
      </c>
      <c r="F156" s="272"/>
      <c r="G156" s="272"/>
      <c r="H156" s="272"/>
      <c r="I156" s="2" t="e">
        <f t="shared" si="56"/>
        <v>#DIV/0!</v>
      </c>
      <c r="J156" s="2" t="e">
        <f t="shared" si="56"/>
        <v>#DIV/0!</v>
      </c>
      <c r="K156" s="2" t="e">
        <f t="shared" si="56"/>
        <v>#DIV/0!</v>
      </c>
      <c r="L156" s="2" t="e">
        <f t="shared" si="56"/>
        <v>#DIV/0!</v>
      </c>
      <c r="M156" s="2" t="e">
        <f t="shared" si="56"/>
        <v>#DIV/0!</v>
      </c>
      <c r="N156" s="2" t="e">
        <f t="shared" si="56"/>
        <v>#DIV/0!</v>
      </c>
      <c r="O156" s="2" t="e">
        <f t="shared" si="56"/>
        <v>#DIV/0!</v>
      </c>
      <c r="P156" s="6" t="e">
        <f t="shared" si="50"/>
        <v>#DIV/0!</v>
      </c>
      <c r="Q156" s="2" t="e">
        <f t="shared" si="54"/>
        <v>#DIV/0!</v>
      </c>
    </row>
    <row r="157" spans="1:20" x14ac:dyDescent="0.2">
      <c r="A157" t="s">
        <v>7</v>
      </c>
      <c r="C157" s="2" t="e">
        <f t="shared" ref="C157:O157" si="57">+$B$150*C126</f>
        <v>#DIV/0!</v>
      </c>
      <c r="D157" s="2" t="e">
        <f t="shared" si="57"/>
        <v>#DIV/0!</v>
      </c>
      <c r="E157" s="2" t="e">
        <f t="shared" si="57"/>
        <v>#DIV/0!</v>
      </c>
      <c r="F157" s="272"/>
      <c r="G157" s="272"/>
      <c r="H157" s="272"/>
      <c r="I157" s="2" t="e">
        <f t="shared" si="57"/>
        <v>#DIV/0!</v>
      </c>
      <c r="J157" s="2" t="e">
        <f t="shared" si="57"/>
        <v>#DIV/0!</v>
      </c>
      <c r="K157" s="2" t="e">
        <f t="shared" si="57"/>
        <v>#DIV/0!</v>
      </c>
      <c r="L157" s="2" t="e">
        <f t="shared" si="57"/>
        <v>#DIV/0!</v>
      </c>
      <c r="M157" s="2" t="e">
        <f t="shared" si="57"/>
        <v>#DIV/0!</v>
      </c>
      <c r="N157" s="2" t="e">
        <f t="shared" si="57"/>
        <v>#DIV/0!</v>
      </c>
      <c r="O157" s="2" t="e">
        <f t="shared" si="57"/>
        <v>#DIV/0!</v>
      </c>
      <c r="P157" s="6" t="e">
        <f t="shared" si="50"/>
        <v>#DIV/0!</v>
      </c>
      <c r="Q157" s="2" t="e">
        <f t="shared" si="54"/>
        <v>#DIV/0!</v>
      </c>
    </row>
    <row r="158" spans="1:20" x14ac:dyDescent="0.2">
      <c r="A158" s="63" t="s">
        <v>184</v>
      </c>
      <c r="C158" s="2" t="e">
        <f t="shared" ref="C158:O158" si="58">+$B$150*C127</f>
        <v>#DIV/0!</v>
      </c>
      <c r="D158" s="2" t="e">
        <f t="shared" si="58"/>
        <v>#DIV/0!</v>
      </c>
      <c r="E158" s="2" t="e">
        <f t="shared" si="58"/>
        <v>#DIV/0!</v>
      </c>
      <c r="F158" s="272"/>
      <c r="G158" s="272"/>
      <c r="H158" s="272"/>
      <c r="I158" s="2" t="e">
        <f t="shared" si="58"/>
        <v>#DIV/0!</v>
      </c>
      <c r="J158" s="2" t="e">
        <f t="shared" si="58"/>
        <v>#DIV/0!</v>
      </c>
      <c r="K158" s="2" t="e">
        <f t="shared" si="58"/>
        <v>#DIV/0!</v>
      </c>
      <c r="L158" s="2" t="e">
        <f t="shared" si="58"/>
        <v>#DIV/0!</v>
      </c>
      <c r="M158" s="2" t="e">
        <f t="shared" si="58"/>
        <v>#DIV/0!</v>
      </c>
      <c r="N158" s="2" t="e">
        <f t="shared" si="58"/>
        <v>#DIV/0!</v>
      </c>
      <c r="O158" s="2" t="e">
        <f t="shared" si="58"/>
        <v>#DIV/0!</v>
      </c>
      <c r="P158" s="6" t="e">
        <f t="shared" si="50"/>
        <v>#DIV/0!</v>
      </c>
      <c r="Q158" s="2" t="e">
        <f t="shared" si="54"/>
        <v>#DIV/0!</v>
      </c>
    </row>
    <row r="159" spans="1:20" x14ac:dyDescent="0.2">
      <c r="A159" t="s">
        <v>10</v>
      </c>
      <c r="C159" s="2" t="e">
        <f t="shared" ref="C159:O159" si="59">+$B$150*C128</f>
        <v>#DIV/0!</v>
      </c>
      <c r="D159" s="2" t="e">
        <f t="shared" si="59"/>
        <v>#DIV/0!</v>
      </c>
      <c r="E159" s="2" t="e">
        <f t="shared" si="59"/>
        <v>#DIV/0!</v>
      </c>
      <c r="F159" s="272"/>
      <c r="G159" s="272"/>
      <c r="H159" s="272"/>
      <c r="I159" s="2" t="e">
        <f t="shared" si="59"/>
        <v>#DIV/0!</v>
      </c>
      <c r="J159" s="2" t="e">
        <f t="shared" si="59"/>
        <v>#DIV/0!</v>
      </c>
      <c r="K159" s="2" t="e">
        <f t="shared" si="59"/>
        <v>#DIV/0!</v>
      </c>
      <c r="L159" s="2" t="e">
        <f t="shared" si="59"/>
        <v>#DIV/0!</v>
      </c>
      <c r="M159" s="2" t="e">
        <f t="shared" si="59"/>
        <v>#DIV/0!</v>
      </c>
      <c r="N159" s="2" t="e">
        <f t="shared" si="59"/>
        <v>#DIV/0!</v>
      </c>
      <c r="O159" s="2" t="e">
        <f t="shared" si="59"/>
        <v>#DIV/0!</v>
      </c>
      <c r="P159" s="6" t="e">
        <f t="shared" si="50"/>
        <v>#DIV/0!</v>
      </c>
      <c r="Q159" s="2" t="e">
        <f t="shared" si="54"/>
        <v>#DIV/0!</v>
      </c>
    </row>
    <row r="160" spans="1:20" x14ac:dyDescent="0.2">
      <c r="A160" t="s">
        <v>8</v>
      </c>
      <c r="C160" s="2" t="e">
        <f t="shared" ref="C160:O160" si="60">+$B$150*C129</f>
        <v>#DIV/0!</v>
      </c>
      <c r="D160" s="2" t="e">
        <f t="shared" si="60"/>
        <v>#DIV/0!</v>
      </c>
      <c r="E160" s="2" t="e">
        <f t="shared" si="60"/>
        <v>#DIV/0!</v>
      </c>
      <c r="F160" s="272"/>
      <c r="G160" s="272"/>
      <c r="H160" s="272"/>
      <c r="I160" s="2" t="e">
        <f t="shared" si="60"/>
        <v>#DIV/0!</v>
      </c>
      <c r="J160" s="2" t="e">
        <f t="shared" si="60"/>
        <v>#DIV/0!</v>
      </c>
      <c r="K160" s="2" t="e">
        <f t="shared" si="60"/>
        <v>#DIV/0!</v>
      </c>
      <c r="L160" s="2" t="e">
        <f t="shared" si="60"/>
        <v>#DIV/0!</v>
      </c>
      <c r="M160" s="2" t="e">
        <f t="shared" si="60"/>
        <v>#DIV/0!</v>
      </c>
      <c r="N160" s="2" t="e">
        <f t="shared" si="60"/>
        <v>#DIV/0!</v>
      </c>
      <c r="O160" s="2" t="e">
        <f t="shared" si="60"/>
        <v>#DIV/0!</v>
      </c>
      <c r="P160" s="6" t="e">
        <f t="shared" si="50"/>
        <v>#DIV/0!</v>
      </c>
      <c r="Q160" s="2" t="e">
        <f t="shared" si="54"/>
        <v>#DIV/0!</v>
      </c>
    </row>
    <row r="161" spans="1:18" x14ac:dyDescent="0.2">
      <c r="A161" t="s">
        <v>9</v>
      </c>
      <c r="C161" s="2" t="e">
        <f t="shared" ref="C161:O162" si="61">+$B$150*C130</f>
        <v>#DIV/0!</v>
      </c>
      <c r="D161" s="2" t="e">
        <f t="shared" si="61"/>
        <v>#DIV/0!</v>
      </c>
      <c r="E161" s="2" t="e">
        <f t="shared" si="61"/>
        <v>#DIV/0!</v>
      </c>
      <c r="F161" s="272"/>
      <c r="G161" s="272"/>
      <c r="H161" s="272"/>
      <c r="I161" s="2" t="e">
        <f t="shared" si="61"/>
        <v>#DIV/0!</v>
      </c>
      <c r="J161" s="2" t="e">
        <f t="shared" si="61"/>
        <v>#DIV/0!</v>
      </c>
      <c r="K161" s="2" t="e">
        <f t="shared" si="61"/>
        <v>#DIV/0!</v>
      </c>
      <c r="L161" s="2" t="e">
        <f t="shared" si="61"/>
        <v>#DIV/0!</v>
      </c>
      <c r="M161" s="2" t="e">
        <f t="shared" si="61"/>
        <v>#DIV/0!</v>
      </c>
      <c r="N161" s="2" t="e">
        <f t="shared" si="61"/>
        <v>#DIV/0!</v>
      </c>
      <c r="O161" s="2" t="e">
        <f t="shared" si="61"/>
        <v>#DIV/0!</v>
      </c>
      <c r="P161" s="6" t="e">
        <f t="shared" si="50"/>
        <v>#DIV/0!</v>
      </c>
      <c r="Q161" s="2" t="e">
        <f t="shared" si="54"/>
        <v>#DIV/0!</v>
      </c>
    </row>
    <row r="162" spans="1:18" ht="15" x14ac:dyDescent="0.35">
      <c r="A162" t="s">
        <v>2</v>
      </c>
      <c r="C162" s="12" t="e">
        <f t="shared" si="61"/>
        <v>#DIV/0!</v>
      </c>
      <c r="D162" s="12" t="e">
        <f t="shared" si="61"/>
        <v>#DIV/0!</v>
      </c>
      <c r="E162" s="12" t="e">
        <f t="shared" si="61"/>
        <v>#DIV/0!</v>
      </c>
      <c r="F162" s="283"/>
      <c r="G162" s="283"/>
      <c r="H162" s="283"/>
      <c r="I162" s="12" t="e">
        <f t="shared" si="61"/>
        <v>#DIV/0!</v>
      </c>
      <c r="J162" s="12" t="e">
        <f t="shared" si="61"/>
        <v>#DIV/0!</v>
      </c>
      <c r="K162" s="12" t="e">
        <f t="shared" si="61"/>
        <v>#DIV/0!</v>
      </c>
      <c r="L162" s="12" t="e">
        <f t="shared" si="61"/>
        <v>#DIV/0!</v>
      </c>
      <c r="M162" s="12" t="e">
        <f t="shared" si="61"/>
        <v>#DIV/0!</v>
      </c>
      <c r="N162" s="12" t="e">
        <f t="shared" si="61"/>
        <v>#DIV/0!</v>
      </c>
      <c r="O162" s="12" t="e">
        <f t="shared" si="61"/>
        <v>#DIV/0!</v>
      </c>
      <c r="P162" s="7" t="e">
        <f t="shared" si="50"/>
        <v>#DIV/0!</v>
      </c>
      <c r="Q162" s="2" t="e">
        <f t="shared" si="54"/>
        <v>#DIV/0!</v>
      </c>
    </row>
    <row r="163" spans="1:18" ht="15" x14ac:dyDescent="0.35">
      <c r="C163" s="15" t="e">
        <f t="shared" ref="C163:P163" si="62">SUM(C151:C162)</f>
        <v>#DIV/0!</v>
      </c>
      <c r="D163" s="15" t="e">
        <f t="shared" si="62"/>
        <v>#DIV/0!</v>
      </c>
      <c r="E163" s="15" t="e">
        <f t="shared" si="62"/>
        <v>#DIV/0!</v>
      </c>
      <c r="F163" s="275"/>
      <c r="G163" s="275"/>
      <c r="H163" s="275"/>
      <c r="I163" s="15" t="e">
        <f t="shared" si="62"/>
        <v>#DIV/0!</v>
      </c>
      <c r="J163" s="15" t="e">
        <f t="shared" si="62"/>
        <v>#DIV/0!</v>
      </c>
      <c r="K163" s="15" t="e">
        <f t="shared" si="62"/>
        <v>#DIV/0!</v>
      </c>
      <c r="L163" s="15" t="e">
        <f t="shared" si="62"/>
        <v>#DIV/0!</v>
      </c>
      <c r="M163" s="15" t="e">
        <f t="shared" si="62"/>
        <v>#DIV/0!</v>
      </c>
      <c r="N163" s="15" t="e">
        <f t="shared" si="62"/>
        <v>#DIV/0!</v>
      </c>
      <c r="O163" s="15" t="e">
        <f t="shared" si="62"/>
        <v>#DIV/0!</v>
      </c>
      <c r="P163" s="8" t="e">
        <f t="shared" si="62"/>
        <v>#DIV/0!</v>
      </c>
      <c r="Q163" s="2"/>
    </row>
    <row r="164" spans="1:18" x14ac:dyDescent="0.2">
      <c r="C164" s="80"/>
      <c r="D164" s="80"/>
      <c r="E164" s="80"/>
      <c r="F164" s="284"/>
      <c r="G164" s="284"/>
      <c r="H164" s="284"/>
      <c r="I164" s="80"/>
      <c r="J164" s="80"/>
      <c r="K164" s="80"/>
      <c r="L164" s="80"/>
      <c r="M164" s="80"/>
      <c r="N164" s="80"/>
      <c r="O164" s="80"/>
      <c r="P164" s="80"/>
    </row>
    <row r="165" spans="1:18" x14ac:dyDescent="0.2">
      <c r="C165" s="80"/>
      <c r="D165" s="80"/>
      <c r="E165" s="80"/>
      <c r="F165" s="284"/>
      <c r="G165" s="284"/>
      <c r="H165" s="284"/>
      <c r="I165" s="80"/>
      <c r="J165" s="80"/>
      <c r="K165" s="80"/>
      <c r="L165" s="80"/>
      <c r="M165" s="80"/>
      <c r="N165" s="80"/>
      <c r="O165" s="80"/>
      <c r="P165" s="80"/>
    </row>
    <row r="167" spans="1:18" x14ac:dyDescent="0.2">
      <c r="A167" s="3" t="s">
        <v>51</v>
      </c>
    </row>
    <row r="168" spans="1:18" x14ac:dyDescent="0.2">
      <c r="A168" s="63" t="s">
        <v>181</v>
      </c>
      <c r="C168" s="2">
        <f t="shared" ref="C168:O168" si="63">+C104-C136</f>
        <v>105.89527311360126</v>
      </c>
      <c r="D168" s="2">
        <f t="shared" si="63"/>
        <v>0</v>
      </c>
      <c r="E168" s="2">
        <f t="shared" si="63"/>
        <v>210.05532956506221</v>
      </c>
      <c r="F168" s="272"/>
      <c r="G168" s="272"/>
      <c r="H168" s="272"/>
      <c r="I168" s="2">
        <f t="shared" si="63"/>
        <v>9.8701476578694081</v>
      </c>
      <c r="J168" s="2">
        <f t="shared" si="63"/>
        <v>9.1878251737735486</v>
      </c>
      <c r="K168" s="2">
        <f t="shared" si="63"/>
        <v>69.511603067265611</v>
      </c>
      <c r="L168" s="2">
        <f t="shared" si="63"/>
        <v>19.846172942581276</v>
      </c>
      <c r="M168" s="2">
        <f t="shared" si="63"/>
        <v>4.7262596204398504</v>
      </c>
      <c r="N168" s="2">
        <f t="shared" si="63"/>
        <v>3.0439817717207496</v>
      </c>
      <c r="O168" s="2">
        <f t="shared" si="63"/>
        <v>0</v>
      </c>
      <c r="P168" s="6">
        <f t="shared" ref="P168:P179" si="64">SUM(C168:O168)</f>
        <v>432.13659291231386</v>
      </c>
      <c r="Q168" s="2"/>
      <c r="R168" s="76"/>
    </row>
    <row r="169" spans="1:18" x14ac:dyDescent="0.2">
      <c r="A169" t="s">
        <v>148</v>
      </c>
      <c r="C169" s="2">
        <f t="shared" ref="C169:O169" si="65">+C105-C137</f>
        <v>71.29311817142613</v>
      </c>
      <c r="D169" s="2">
        <f t="shared" si="65"/>
        <v>0</v>
      </c>
      <c r="E169" s="2">
        <f t="shared" si="65"/>
        <v>211.62126867096586</v>
      </c>
      <c r="F169" s="272"/>
      <c r="G169" s="272"/>
      <c r="H169" s="272"/>
      <c r="I169" s="2">
        <f t="shared" si="65"/>
        <v>10.446618190903699</v>
      </c>
      <c r="J169" s="2">
        <f t="shared" si="65"/>
        <v>7.8230789808445502</v>
      </c>
      <c r="K169" s="2">
        <f t="shared" si="65"/>
        <v>53.296768233342036</v>
      </c>
      <c r="L169" s="2">
        <f t="shared" si="65"/>
        <v>20.343570748895797</v>
      </c>
      <c r="M169" s="2">
        <f t="shared" si="65"/>
        <v>5.4758581700328541</v>
      </c>
      <c r="N169" s="2">
        <f t="shared" si="65"/>
        <v>3.0840698754715699</v>
      </c>
      <c r="O169" s="2">
        <f t="shared" si="65"/>
        <v>0</v>
      </c>
      <c r="P169" s="6">
        <f t="shared" si="64"/>
        <v>383.3843510418825</v>
      </c>
      <c r="Q169" s="2">
        <f>+P169+P168</f>
        <v>815.52094395419635</v>
      </c>
      <c r="R169" s="76"/>
    </row>
    <row r="170" spans="1:18" x14ac:dyDescent="0.2">
      <c r="A170" t="s">
        <v>149</v>
      </c>
      <c r="C170" s="2">
        <f t="shared" ref="C170:O170" si="66">+C106-C138</f>
        <v>78.546301778267861</v>
      </c>
      <c r="D170" s="2">
        <f t="shared" si="66"/>
        <v>0</v>
      </c>
      <c r="E170" s="2">
        <f t="shared" si="66"/>
        <v>224.71388748830063</v>
      </c>
      <c r="F170" s="272"/>
      <c r="G170" s="272"/>
      <c r="H170" s="272"/>
      <c r="I170" s="2">
        <f t="shared" si="66"/>
        <v>10.831140142129117</v>
      </c>
      <c r="J170" s="2">
        <f t="shared" si="66"/>
        <v>7.5864919847090722</v>
      </c>
      <c r="K170" s="2">
        <f t="shared" si="66"/>
        <v>57.978283485616934</v>
      </c>
      <c r="L170" s="2">
        <f t="shared" si="66"/>
        <v>19.470822622781945</v>
      </c>
      <c r="M170" s="2">
        <f t="shared" si="66"/>
        <v>4.1511547402797131</v>
      </c>
      <c r="N170" s="2">
        <f t="shared" si="66"/>
        <v>3.1507704530462268</v>
      </c>
      <c r="O170" s="2">
        <f t="shared" si="66"/>
        <v>0</v>
      </c>
      <c r="P170" s="6">
        <f t="shared" si="64"/>
        <v>406.42885269513152</v>
      </c>
      <c r="Q170" s="2">
        <f>+P170+Q169</f>
        <v>1221.9497966493279</v>
      </c>
      <c r="R170" s="76"/>
    </row>
    <row r="171" spans="1:18" x14ac:dyDescent="0.2">
      <c r="A171" t="s">
        <v>150</v>
      </c>
      <c r="C171" s="2">
        <f t="shared" ref="C171:O171" si="67">+C107-C139</f>
        <v>85.5506930862297</v>
      </c>
      <c r="D171" s="2">
        <f t="shared" si="67"/>
        <v>0</v>
      </c>
      <c r="E171" s="2">
        <f t="shared" si="67"/>
        <v>217.6432872862772</v>
      </c>
      <c r="F171" s="272"/>
      <c r="G171" s="272"/>
      <c r="H171" s="272"/>
      <c r="I171" s="2">
        <f t="shared" si="67"/>
        <v>10.101672128529021</v>
      </c>
      <c r="J171" s="2">
        <f t="shared" si="67"/>
        <v>7.2138364744734575</v>
      </c>
      <c r="K171" s="2">
        <f t="shared" si="67"/>
        <v>52.268674806272607</v>
      </c>
      <c r="L171" s="2">
        <f t="shared" si="67"/>
        <v>17.49959374429686</v>
      </c>
      <c r="M171" s="2">
        <f t="shared" si="67"/>
        <v>4.6078811930249124</v>
      </c>
      <c r="N171" s="2">
        <f t="shared" si="67"/>
        <v>3.0258995100263473</v>
      </c>
      <c r="O171" s="2">
        <f t="shared" si="67"/>
        <v>0</v>
      </c>
      <c r="P171" s="6">
        <f t="shared" si="64"/>
        <v>397.91153822913009</v>
      </c>
      <c r="Q171" s="2">
        <f t="shared" ref="Q171:Q179" si="68">+P171+Q170</f>
        <v>1619.8613348784579</v>
      </c>
      <c r="R171" s="76"/>
    </row>
    <row r="172" spans="1:18" x14ac:dyDescent="0.2">
      <c r="A172" t="s">
        <v>151</v>
      </c>
      <c r="C172" s="2">
        <f t="shared" ref="C172:O172" si="69">+C108-C140</f>
        <v>75.121459534197612</v>
      </c>
      <c r="D172" s="2">
        <f t="shared" si="69"/>
        <v>0</v>
      </c>
      <c r="E172" s="2">
        <f t="shared" si="69"/>
        <v>205.41570118311972</v>
      </c>
      <c r="F172" s="272"/>
      <c r="G172" s="272"/>
      <c r="H172" s="272"/>
      <c r="I172" s="2">
        <f t="shared" si="69"/>
        <v>8.2862825741813815</v>
      </c>
      <c r="J172" s="2">
        <f t="shared" si="69"/>
        <v>8.4580496897291013</v>
      </c>
      <c r="K172" s="2">
        <f t="shared" si="69"/>
        <v>63.097761445857216</v>
      </c>
      <c r="L172" s="2">
        <f t="shared" si="69"/>
        <v>15.402771861442947</v>
      </c>
      <c r="M172" s="2">
        <f t="shared" si="69"/>
        <v>4.006912195449396</v>
      </c>
      <c r="N172" s="2">
        <f t="shared" si="69"/>
        <v>2.9289254702878442</v>
      </c>
      <c r="O172" s="2">
        <f t="shared" si="69"/>
        <v>0</v>
      </c>
      <c r="P172" s="6">
        <f t="shared" si="64"/>
        <v>382.71786395426511</v>
      </c>
      <c r="Q172" s="2">
        <f t="shared" si="68"/>
        <v>2002.579198832723</v>
      </c>
      <c r="R172" s="76"/>
    </row>
    <row r="173" spans="1:18" x14ac:dyDescent="0.2">
      <c r="A173" t="s">
        <v>152</v>
      </c>
      <c r="C173" s="2">
        <f t="shared" ref="C173:O173" si="70">+C109-C141</f>
        <v>80.154898803305116</v>
      </c>
      <c r="D173" s="2">
        <f t="shared" si="70"/>
        <v>0</v>
      </c>
      <c r="E173" s="2">
        <f t="shared" si="70"/>
        <v>191.0750402876568</v>
      </c>
      <c r="F173" s="272"/>
      <c r="G173" s="272"/>
      <c r="H173" s="272"/>
      <c r="I173" s="2">
        <f t="shared" si="70"/>
        <v>7.8762257276984275</v>
      </c>
      <c r="J173" s="2">
        <f t="shared" si="70"/>
        <v>9.3555461871927754</v>
      </c>
      <c r="K173" s="2">
        <f t="shared" si="70"/>
        <v>47.604070098884542</v>
      </c>
      <c r="L173" s="2">
        <f t="shared" si="70"/>
        <v>14.752754426129188</v>
      </c>
      <c r="M173" s="2">
        <f t="shared" si="70"/>
        <v>2.6119251862947093</v>
      </c>
      <c r="N173" s="2">
        <f t="shared" si="70"/>
        <v>4.0479061792023092</v>
      </c>
      <c r="O173" s="2">
        <f t="shared" si="70"/>
        <v>0</v>
      </c>
      <c r="P173" s="6">
        <f t="shared" si="64"/>
        <v>357.47836689636387</v>
      </c>
      <c r="Q173" s="2">
        <f t="shared" si="68"/>
        <v>2360.0575657290869</v>
      </c>
      <c r="R173" s="76"/>
    </row>
    <row r="174" spans="1:18" x14ac:dyDescent="0.2">
      <c r="A174" t="s">
        <v>7</v>
      </c>
      <c r="C174" s="2">
        <f t="shared" ref="C174:O174" si="71">+C110-C142</f>
        <v>87.154339301862834</v>
      </c>
      <c r="D174" s="2">
        <f t="shared" si="71"/>
        <v>0</v>
      </c>
      <c r="E174" s="2">
        <f t="shared" si="71"/>
        <v>213.30213867666316</v>
      </c>
      <c r="F174" s="272"/>
      <c r="G174" s="272"/>
      <c r="H174" s="272"/>
      <c r="I174" s="2">
        <f t="shared" si="71"/>
        <v>9.2266039891389156</v>
      </c>
      <c r="J174" s="2">
        <f t="shared" si="71"/>
        <v>9.8371422679610721</v>
      </c>
      <c r="K174" s="2">
        <f t="shared" si="71"/>
        <v>54.655635919456927</v>
      </c>
      <c r="L174" s="2">
        <f t="shared" si="71"/>
        <v>17.948579400884004</v>
      </c>
      <c r="M174" s="2">
        <f t="shared" si="71"/>
        <v>4.6631418540651435</v>
      </c>
      <c r="N174" s="2">
        <f t="shared" si="71"/>
        <v>2.8377570000356349</v>
      </c>
      <c r="O174" s="2">
        <f t="shared" si="71"/>
        <v>0</v>
      </c>
      <c r="P174" s="6">
        <f t="shared" si="64"/>
        <v>399.62533841006774</v>
      </c>
      <c r="Q174" s="2">
        <f t="shared" si="68"/>
        <v>2759.6829041391547</v>
      </c>
      <c r="R174" s="76"/>
    </row>
    <row r="175" spans="1:18" x14ac:dyDescent="0.2">
      <c r="A175" s="63" t="s">
        <v>182</v>
      </c>
      <c r="C175" s="2">
        <f t="shared" ref="C175:O175" si="72">+C111-C143</f>
        <v>91.754294753531823</v>
      </c>
      <c r="D175" s="2">
        <f t="shared" si="72"/>
        <v>0</v>
      </c>
      <c r="E175" s="2">
        <f t="shared" si="72"/>
        <v>238.05014431706354</v>
      </c>
      <c r="F175" s="272"/>
      <c r="G175" s="272"/>
      <c r="H175" s="272"/>
      <c r="I175" s="2">
        <f t="shared" si="72"/>
        <v>9.0548512406958501</v>
      </c>
      <c r="J175" s="2">
        <f t="shared" si="72"/>
        <v>9.5773569242109549</v>
      </c>
      <c r="K175" s="2">
        <f t="shared" si="72"/>
        <v>55.844948108438714</v>
      </c>
      <c r="L175" s="2">
        <f t="shared" si="72"/>
        <v>16.809180093301901</v>
      </c>
      <c r="M175" s="2">
        <f t="shared" si="72"/>
        <v>4.3207200752210699</v>
      </c>
      <c r="N175" s="2">
        <f t="shared" si="72"/>
        <v>2.8622976179371475</v>
      </c>
      <c r="O175" s="2">
        <f t="shared" si="72"/>
        <v>0</v>
      </c>
      <c r="P175" s="6">
        <f t="shared" si="64"/>
        <v>428.27379313040097</v>
      </c>
      <c r="Q175" s="2">
        <f t="shared" si="68"/>
        <v>3187.9566972695557</v>
      </c>
      <c r="R175" s="76"/>
    </row>
    <row r="176" spans="1:18" x14ac:dyDescent="0.2">
      <c r="A176" t="s">
        <v>10</v>
      </c>
      <c r="C176" s="2">
        <f t="shared" ref="C176:O176" si="73">+C112-C144</f>
        <v>70.340628908157527</v>
      </c>
      <c r="D176" s="2">
        <f t="shared" si="73"/>
        <v>0</v>
      </c>
      <c r="E176" s="2">
        <f t="shared" si="73"/>
        <v>185.34581258338247</v>
      </c>
      <c r="F176" s="272"/>
      <c r="G176" s="272"/>
      <c r="H176" s="272"/>
      <c r="I176" s="2">
        <f t="shared" si="73"/>
        <v>7.4833712331583477</v>
      </c>
      <c r="J176" s="2">
        <f t="shared" si="73"/>
        <v>7.7251652321029329</v>
      </c>
      <c r="K176" s="2">
        <f t="shared" si="73"/>
        <v>49.013786064538976</v>
      </c>
      <c r="L176" s="2">
        <f t="shared" si="73"/>
        <v>12.554985057603357</v>
      </c>
      <c r="M176" s="2">
        <f t="shared" si="73"/>
        <v>3.5009092949086282</v>
      </c>
      <c r="N176" s="2">
        <f t="shared" si="73"/>
        <v>2.2936991932159985</v>
      </c>
      <c r="O176" s="2">
        <f t="shared" si="73"/>
        <v>0</v>
      </c>
      <c r="P176" s="6">
        <f t="shared" si="64"/>
        <v>338.25835756706823</v>
      </c>
      <c r="Q176" s="2">
        <f t="shared" si="68"/>
        <v>3526.2150548366239</v>
      </c>
      <c r="R176" s="76"/>
    </row>
    <row r="177" spans="1:19" x14ac:dyDescent="0.2">
      <c r="A177" t="s">
        <v>8</v>
      </c>
      <c r="C177" s="2">
        <f t="shared" ref="C177:O177" si="74">+C113-C145</f>
        <v>77.68550048707931</v>
      </c>
      <c r="D177" s="2">
        <f t="shared" si="74"/>
        <v>0</v>
      </c>
      <c r="E177" s="2">
        <f t="shared" si="74"/>
        <v>209.62233359511887</v>
      </c>
      <c r="F177" s="272"/>
      <c r="G177" s="272"/>
      <c r="H177" s="272"/>
      <c r="I177" s="2">
        <f t="shared" si="74"/>
        <v>8.5748708259148785</v>
      </c>
      <c r="J177" s="2">
        <f t="shared" si="74"/>
        <v>9.4784521281359648</v>
      </c>
      <c r="K177" s="2">
        <f t="shared" si="74"/>
        <v>63.063976277779723</v>
      </c>
      <c r="L177" s="2">
        <f t="shared" si="74"/>
        <v>15.575144954273668</v>
      </c>
      <c r="M177" s="2">
        <f t="shared" si="74"/>
        <v>4.3343675560822748</v>
      </c>
      <c r="N177" s="2">
        <f t="shared" si="74"/>
        <v>2.8578247622520498</v>
      </c>
      <c r="O177" s="2">
        <f t="shared" si="74"/>
        <v>0</v>
      </c>
      <c r="P177" s="6">
        <f t="shared" si="64"/>
        <v>391.19247058663672</v>
      </c>
      <c r="Q177" s="2">
        <f t="shared" si="68"/>
        <v>3917.4075254232607</v>
      </c>
      <c r="R177" s="76"/>
    </row>
    <row r="178" spans="1:19" x14ac:dyDescent="0.2">
      <c r="A178" t="s">
        <v>9</v>
      </c>
      <c r="C178" s="2">
        <f t="shared" ref="C178:O178" si="75">+C114-C146</f>
        <v>98.589625817882535</v>
      </c>
      <c r="D178" s="2">
        <f t="shared" si="75"/>
        <v>0</v>
      </c>
      <c r="E178" s="2">
        <f t="shared" si="75"/>
        <v>259.68137612299228</v>
      </c>
      <c r="F178" s="272"/>
      <c r="G178" s="272"/>
      <c r="H178" s="272"/>
      <c r="I178" s="2">
        <f t="shared" si="75"/>
        <v>10.746667130492714</v>
      </c>
      <c r="J178" s="2">
        <f t="shared" si="75"/>
        <v>10.454081583787223</v>
      </c>
      <c r="K178" s="2">
        <f t="shared" si="75"/>
        <v>70.559930443496413</v>
      </c>
      <c r="L178" s="2">
        <f t="shared" si="75"/>
        <v>19.272609961490748</v>
      </c>
      <c r="M178" s="2">
        <f t="shared" si="75"/>
        <v>5.0236938369332949</v>
      </c>
      <c r="N178" s="2">
        <f t="shared" si="75"/>
        <v>3.7392432868961856</v>
      </c>
      <c r="O178" s="2">
        <f t="shared" si="75"/>
        <v>0</v>
      </c>
      <c r="P178" s="6">
        <f t="shared" si="64"/>
        <v>478.06722818397139</v>
      </c>
      <c r="Q178" s="2">
        <f t="shared" si="68"/>
        <v>4395.4747536072318</v>
      </c>
      <c r="R178" s="76"/>
    </row>
    <row r="179" spans="1:19" ht="15" x14ac:dyDescent="0.35">
      <c r="A179" t="s">
        <v>2</v>
      </c>
      <c r="C179" s="12">
        <f t="shared" ref="C179:O179" si="76">+C115-C147</f>
        <v>73.245985268538192</v>
      </c>
      <c r="D179" s="12">
        <f t="shared" si="76"/>
        <v>0</v>
      </c>
      <c r="E179" s="12">
        <f t="shared" si="76"/>
        <v>216.31611053423083</v>
      </c>
      <c r="F179" s="283"/>
      <c r="G179" s="283"/>
      <c r="H179" s="283"/>
      <c r="I179" s="12">
        <f t="shared" si="76"/>
        <v>8.7395777877233076</v>
      </c>
      <c r="J179" s="12">
        <f t="shared" si="76"/>
        <v>6.8436905427674573</v>
      </c>
      <c r="K179" s="12">
        <f t="shared" si="76"/>
        <v>50.079167958224026</v>
      </c>
      <c r="L179" s="12">
        <f t="shared" si="76"/>
        <v>15.167097959646801</v>
      </c>
      <c r="M179" s="12">
        <f t="shared" si="76"/>
        <v>3.8842567945436919</v>
      </c>
      <c r="N179" s="12">
        <f t="shared" si="76"/>
        <v>2.820710291275776</v>
      </c>
      <c r="O179" s="12">
        <f t="shared" si="76"/>
        <v>0</v>
      </c>
      <c r="P179" s="7">
        <f t="shared" si="64"/>
        <v>377.09659713695009</v>
      </c>
      <c r="Q179" s="2">
        <f t="shared" si="68"/>
        <v>4772.5713507441815</v>
      </c>
      <c r="R179" s="76"/>
    </row>
    <row r="180" spans="1:19" ht="15" x14ac:dyDescent="0.35">
      <c r="C180" s="15">
        <f t="shared" ref="C180:P180" si="77">SUM(C168:C179)</f>
        <v>995.33211902407982</v>
      </c>
      <c r="D180" s="15">
        <f t="shared" si="77"/>
        <v>0</v>
      </c>
      <c r="E180" s="15">
        <f t="shared" si="77"/>
        <v>2582.8424303108336</v>
      </c>
      <c r="F180" s="275"/>
      <c r="G180" s="275"/>
      <c r="H180" s="275"/>
      <c r="I180" s="15">
        <f t="shared" si="77"/>
        <v>111.23802862843507</v>
      </c>
      <c r="J180" s="15">
        <f t="shared" si="77"/>
        <v>103.54071716968814</v>
      </c>
      <c r="K180" s="15">
        <f t="shared" si="77"/>
        <v>686.97460590917376</v>
      </c>
      <c r="L180" s="15">
        <f t="shared" si="77"/>
        <v>204.64328377332848</v>
      </c>
      <c r="M180" s="15">
        <f t="shared" si="77"/>
        <v>51.307080517275537</v>
      </c>
      <c r="N180" s="15">
        <f t="shared" si="77"/>
        <v>36.693085411367839</v>
      </c>
      <c r="O180" s="15">
        <f t="shared" si="77"/>
        <v>0</v>
      </c>
      <c r="P180" s="8">
        <f t="shared" si="77"/>
        <v>4772.5713507441815</v>
      </c>
      <c r="Q180" s="8"/>
      <c r="R180" s="8"/>
      <c r="S180" s="6"/>
    </row>
    <row r="181" spans="1:19" x14ac:dyDescent="0.2">
      <c r="C181" s="80"/>
      <c r="D181" s="80"/>
      <c r="E181" s="80"/>
      <c r="F181" s="284"/>
      <c r="G181" s="284"/>
      <c r="H181" s="284"/>
      <c r="I181" s="80"/>
      <c r="J181" s="80"/>
      <c r="K181" s="80"/>
      <c r="L181" s="80"/>
      <c r="M181" s="80"/>
      <c r="N181" s="80"/>
      <c r="O181" s="80"/>
      <c r="P181" s="80"/>
    </row>
    <row r="182" spans="1:19" x14ac:dyDescent="0.2">
      <c r="C182" s="80"/>
      <c r="D182" s="80"/>
      <c r="E182" s="80"/>
      <c r="F182" s="284"/>
      <c r="G182" s="284"/>
      <c r="H182" s="284"/>
      <c r="I182" s="80"/>
      <c r="J182" s="80"/>
      <c r="K182" s="80"/>
      <c r="L182" s="80"/>
      <c r="M182" s="80"/>
      <c r="N182" s="80"/>
      <c r="O182" s="80"/>
      <c r="P182" s="80"/>
    </row>
    <row r="183" spans="1:19" x14ac:dyDescent="0.2">
      <c r="A183" s="3" t="s">
        <v>51</v>
      </c>
    </row>
    <row r="184" spans="1:19" x14ac:dyDescent="0.2">
      <c r="A184" s="63" t="s">
        <v>183</v>
      </c>
      <c r="C184" s="2" t="e">
        <f>+C120-C151</f>
        <v>#DIV/0!</v>
      </c>
      <c r="D184" s="2" t="e">
        <f t="shared" ref="D184:O184" si="78">+D120-D151</f>
        <v>#DIV/0!</v>
      </c>
      <c r="E184" s="2" t="e">
        <f t="shared" si="78"/>
        <v>#DIV/0!</v>
      </c>
      <c r="F184" s="272"/>
      <c r="G184" s="272"/>
      <c r="H184" s="272"/>
      <c r="I184" s="2" t="e">
        <f t="shared" si="78"/>
        <v>#DIV/0!</v>
      </c>
      <c r="J184" s="2" t="e">
        <f t="shared" si="78"/>
        <v>#DIV/0!</v>
      </c>
      <c r="K184" s="2" t="e">
        <f t="shared" si="78"/>
        <v>#DIV/0!</v>
      </c>
      <c r="L184" s="2" t="e">
        <f t="shared" si="78"/>
        <v>#DIV/0!</v>
      </c>
      <c r="M184" s="2" t="e">
        <f t="shared" si="78"/>
        <v>#DIV/0!</v>
      </c>
      <c r="N184" s="2" t="e">
        <f t="shared" si="78"/>
        <v>#DIV/0!</v>
      </c>
      <c r="O184" s="2" t="e">
        <f t="shared" si="78"/>
        <v>#DIV/0!</v>
      </c>
      <c r="P184" s="6" t="e">
        <f t="shared" ref="P184:P195" si="79">SUM(C184:O184)</f>
        <v>#DIV/0!</v>
      </c>
      <c r="Q184" s="2"/>
    </row>
    <row r="185" spans="1:19" x14ac:dyDescent="0.2">
      <c r="A185" t="s">
        <v>148</v>
      </c>
      <c r="C185" s="2" t="e">
        <f t="shared" ref="C185:O186" si="80">+C121-C152</f>
        <v>#DIV/0!</v>
      </c>
      <c r="D185" s="2" t="e">
        <f t="shared" si="80"/>
        <v>#DIV/0!</v>
      </c>
      <c r="E185" s="2" t="e">
        <f t="shared" si="80"/>
        <v>#DIV/0!</v>
      </c>
      <c r="F185" s="272"/>
      <c r="G185" s="272"/>
      <c r="H185" s="272"/>
      <c r="I185" s="2" t="e">
        <f t="shared" si="80"/>
        <v>#DIV/0!</v>
      </c>
      <c r="J185" s="2" t="e">
        <f t="shared" si="80"/>
        <v>#DIV/0!</v>
      </c>
      <c r="K185" s="2" t="e">
        <f t="shared" si="80"/>
        <v>#DIV/0!</v>
      </c>
      <c r="L185" s="2" t="e">
        <f t="shared" si="80"/>
        <v>#DIV/0!</v>
      </c>
      <c r="M185" s="2" t="e">
        <f t="shared" si="80"/>
        <v>#DIV/0!</v>
      </c>
      <c r="N185" s="2" t="e">
        <f t="shared" si="80"/>
        <v>#DIV/0!</v>
      </c>
      <c r="O185" s="2" t="e">
        <f t="shared" si="80"/>
        <v>#DIV/0!</v>
      </c>
      <c r="P185" s="6" t="e">
        <f t="shared" si="79"/>
        <v>#DIV/0!</v>
      </c>
      <c r="Q185" s="2" t="e">
        <f>+P185+P184</f>
        <v>#DIV/0!</v>
      </c>
    </row>
    <row r="186" spans="1:19" x14ac:dyDescent="0.2">
      <c r="A186" t="s">
        <v>149</v>
      </c>
      <c r="C186" s="2" t="e">
        <f t="shared" si="80"/>
        <v>#DIV/0!</v>
      </c>
      <c r="D186" s="2" t="e">
        <f t="shared" si="80"/>
        <v>#DIV/0!</v>
      </c>
      <c r="E186" s="2" t="e">
        <f t="shared" si="80"/>
        <v>#DIV/0!</v>
      </c>
      <c r="F186" s="272"/>
      <c r="G186" s="272"/>
      <c r="H186" s="272"/>
      <c r="I186" s="2" t="e">
        <f t="shared" si="80"/>
        <v>#DIV/0!</v>
      </c>
      <c r="J186" s="2" t="e">
        <f t="shared" si="80"/>
        <v>#DIV/0!</v>
      </c>
      <c r="K186" s="2" t="e">
        <f t="shared" si="80"/>
        <v>#DIV/0!</v>
      </c>
      <c r="L186" s="2" t="e">
        <f t="shared" si="80"/>
        <v>#DIV/0!</v>
      </c>
      <c r="M186" s="2" t="e">
        <f t="shared" si="80"/>
        <v>#DIV/0!</v>
      </c>
      <c r="N186" s="2" t="e">
        <f t="shared" si="80"/>
        <v>#DIV/0!</v>
      </c>
      <c r="O186" s="2" t="e">
        <f t="shared" si="80"/>
        <v>#DIV/0!</v>
      </c>
      <c r="P186" s="6" t="e">
        <f t="shared" si="79"/>
        <v>#DIV/0!</v>
      </c>
      <c r="Q186" s="2" t="e">
        <f>+P186+Q185</f>
        <v>#DIV/0!</v>
      </c>
    </row>
    <row r="187" spans="1:19" x14ac:dyDescent="0.2">
      <c r="A187" t="s">
        <v>150</v>
      </c>
      <c r="C187" s="2" t="e">
        <f t="shared" ref="C187:O187" si="81">+C123-C154</f>
        <v>#DIV/0!</v>
      </c>
      <c r="D187" s="2" t="e">
        <f t="shared" si="81"/>
        <v>#DIV/0!</v>
      </c>
      <c r="E187" s="2" t="e">
        <f t="shared" si="81"/>
        <v>#DIV/0!</v>
      </c>
      <c r="F187" s="272"/>
      <c r="G187" s="272"/>
      <c r="H187" s="272"/>
      <c r="I187" s="2" t="e">
        <f t="shared" si="81"/>
        <v>#DIV/0!</v>
      </c>
      <c r="J187" s="2" t="e">
        <f t="shared" si="81"/>
        <v>#DIV/0!</v>
      </c>
      <c r="K187" s="2" t="e">
        <f t="shared" si="81"/>
        <v>#DIV/0!</v>
      </c>
      <c r="L187" s="2" t="e">
        <f t="shared" si="81"/>
        <v>#DIV/0!</v>
      </c>
      <c r="M187" s="2" t="e">
        <f t="shared" si="81"/>
        <v>#DIV/0!</v>
      </c>
      <c r="N187" s="2" t="e">
        <f t="shared" si="81"/>
        <v>#DIV/0!</v>
      </c>
      <c r="O187" s="2" t="e">
        <f t="shared" si="81"/>
        <v>#DIV/0!</v>
      </c>
      <c r="P187" s="6" t="e">
        <f t="shared" si="79"/>
        <v>#DIV/0!</v>
      </c>
      <c r="Q187" s="2" t="e">
        <f t="shared" ref="Q187:Q195" si="82">+P187+Q186</f>
        <v>#DIV/0!</v>
      </c>
    </row>
    <row r="188" spans="1:19" x14ac:dyDescent="0.2">
      <c r="A188" t="s">
        <v>151</v>
      </c>
      <c r="C188" s="2" t="e">
        <f t="shared" ref="C188:O188" si="83">+C124-C155</f>
        <v>#DIV/0!</v>
      </c>
      <c r="D188" s="2" t="e">
        <f t="shared" si="83"/>
        <v>#DIV/0!</v>
      </c>
      <c r="E188" s="2" t="e">
        <f t="shared" si="83"/>
        <v>#DIV/0!</v>
      </c>
      <c r="F188" s="272"/>
      <c r="G188" s="272"/>
      <c r="H188" s="272"/>
      <c r="I188" s="2" t="e">
        <f t="shared" si="83"/>
        <v>#DIV/0!</v>
      </c>
      <c r="J188" s="2" t="e">
        <f t="shared" si="83"/>
        <v>#DIV/0!</v>
      </c>
      <c r="K188" s="2" t="e">
        <f t="shared" si="83"/>
        <v>#DIV/0!</v>
      </c>
      <c r="L188" s="2" t="e">
        <f t="shared" si="83"/>
        <v>#DIV/0!</v>
      </c>
      <c r="M188" s="2" t="e">
        <f t="shared" si="83"/>
        <v>#DIV/0!</v>
      </c>
      <c r="N188" s="2" t="e">
        <f t="shared" si="83"/>
        <v>#DIV/0!</v>
      </c>
      <c r="O188" s="2" t="e">
        <f t="shared" si="83"/>
        <v>#DIV/0!</v>
      </c>
      <c r="P188" s="6" t="e">
        <f t="shared" si="79"/>
        <v>#DIV/0!</v>
      </c>
      <c r="Q188" s="2" t="e">
        <f t="shared" si="82"/>
        <v>#DIV/0!</v>
      </c>
    </row>
    <row r="189" spans="1:19" x14ac:dyDescent="0.2">
      <c r="A189" t="s">
        <v>152</v>
      </c>
      <c r="C189" s="2" t="e">
        <f t="shared" ref="C189:O189" si="84">+C125-C156</f>
        <v>#DIV/0!</v>
      </c>
      <c r="D189" s="2" t="e">
        <f t="shared" si="84"/>
        <v>#DIV/0!</v>
      </c>
      <c r="E189" s="2" t="e">
        <f t="shared" si="84"/>
        <v>#DIV/0!</v>
      </c>
      <c r="F189" s="272"/>
      <c r="G189" s="272"/>
      <c r="H189" s="272"/>
      <c r="I189" s="2" t="e">
        <f t="shared" si="84"/>
        <v>#DIV/0!</v>
      </c>
      <c r="J189" s="2" t="e">
        <f t="shared" si="84"/>
        <v>#DIV/0!</v>
      </c>
      <c r="K189" s="2" t="e">
        <f t="shared" si="84"/>
        <v>#DIV/0!</v>
      </c>
      <c r="L189" s="2" t="e">
        <f t="shared" si="84"/>
        <v>#DIV/0!</v>
      </c>
      <c r="M189" s="2" t="e">
        <f t="shared" si="84"/>
        <v>#DIV/0!</v>
      </c>
      <c r="N189" s="2" t="e">
        <f t="shared" si="84"/>
        <v>#DIV/0!</v>
      </c>
      <c r="O189" s="2" t="e">
        <f t="shared" si="84"/>
        <v>#DIV/0!</v>
      </c>
      <c r="P189" s="6" t="e">
        <f t="shared" si="79"/>
        <v>#DIV/0!</v>
      </c>
      <c r="Q189" s="2" t="e">
        <f t="shared" si="82"/>
        <v>#DIV/0!</v>
      </c>
    </row>
    <row r="190" spans="1:19" x14ac:dyDescent="0.2">
      <c r="A190" t="s">
        <v>7</v>
      </c>
      <c r="C190" s="2" t="e">
        <f t="shared" ref="C190:O190" si="85">+C126-C157</f>
        <v>#DIV/0!</v>
      </c>
      <c r="D190" s="2" t="e">
        <f t="shared" si="85"/>
        <v>#DIV/0!</v>
      </c>
      <c r="E190" s="2" t="e">
        <f t="shared" si="85"/>
        <v>#DIV/0!</v>
      </c>
      <c r="F190" s="272"/>
      <c r="G190" s="272"/>
      <c r="H190" s="272"/>
      <c r="I190" s="2" t="e">
        <f t="shared" si="85"/>
        <v>#DIV/0!</v>
      </c>
      <c r="J190" s="2" t="e">
        <f t="shared" si="85"/>
        <v>#DIV/0!</v>
      </c>
      <c r="K190" s="2" t="e">
        <f t="shared" si="85"/>
        <v>#DIV/0!</v>
      </c>
      <c r="L190" s="2" t="e">
        <f t="shared" si="85"/>
        <v>#DIV/0!</v>
      </c>
      <c r="M190" s="2" t="e">
        <f t="shared" si="85"/>
        <v>#DIV/0!</v>
      </c>
      <c r="N190" s="2" t="e">
        <f t="shared" si="85"/>
        <v>#DIV/0!</v>
      </c>
      <c r="O190" s="2" t="e">
        <f t="shared" si="85"/>
        <v>#DIV/0!</v>
      </c>
      <c r="P190" s="6" t="e">
        <f t="shared" si="79"/>
        <v>#DIV/0!</v>
      </c>
      <c r="Q190" s="2" t="e">
        <f t="shared" si="82"/>
        <v>#DIV/0!</v>
      </c>
    </row>
    <row r="191" spans="1:19" x14ac:dyDescent="0.2">
      <c r="A191" s="63" t="s">
        <v>184</v>
      </c>
      <c r="C191" s="2" t="e">
        <f t="shared" ref="C191:O191" si="86">+C127-C158</f>
        <v>#DIV/0!</v>
      </c>
      <c r="D191" s="2" t="e">
        <f t="shared" si="86"/>
        <v>#DIV/0!</v>
      </c>
      <c r="E191" s="2" t="e">
        <f t="shared" si="86"/>
        <v>#DIV/0!</v>
      </c>
      <c r="F191" s="272"/>
      <c r="G191" s="272"/>
      <c r="H191" s="272"/>
      <c r="I191" s="2" t="e">
        <f t="shared" si="86"/>
        <v>#DIV/0!</v>
      </c>
      <c r="J191" s="2" t="e">
        <f t="shared" si="86"/>
        <v>#DIV/0!</v>
      </c>
      <c r="K191" s="2" t="e">
        <f t="shared" si="86"/>
        <v>#DIV/0!</v>
      </c>
      <c r="L191" s="2" t="e">
        <f t="shared" si="86"/>
        <v>#DIV/0!</v>
      </c>
      <c r="M191" s="2" t="e">
        <f t="shared" si="86"/>
        <v>#DIV/0!</v>
      </c>
      <c r="N191" s="2" t="e">
        <f t="shared" si="86"/>
        <v>#DIV/0!</v>
      </c>
      <c r="O191" s="2" t="e">
        <f t="shared" si="86"/>
        <v>#DIV/0!</v>
      </c>
      <c r="P191" s="6" t="e">
        <f t="shared" si="79"/>
        <v>#DIV/0!</v>
      </c>
      <c r="Q191" s="2" t="e">
        <f t="shared" si="82"/>
        <v>#DIV/0!</v>
      </c>
    </row>
    <row r="192" spans="1:19" x14ac:dyDescent="0.2">
      <c r="A192" t="s">
        <v>10</v>
      </c>
      <c r="C192" s="2" t="e">
        <f t="shared" ref="C192:O192" si="87">+C128-C159</f>
        <v>#DIV/0!</v>
      </c>
      <c r="D192" s="2" t="e">
        <f t="shared" si="87"/>
        <v>#DIV/0!</v>
      </c>
      <c r="E192" s="2" t="e">
        <f t="shared" si="87"/>
        <v>#DIV/0!</v>
      </c>
      <c r="F192" s="272"/>
      <c r="G192" s="272"/>
      <c r="H192" s="272"/>
      <c r="I192" s="2" t="e">
        <f t="shared" si="87"/>
        <v>#DIV/0!</v>
      </c>
      <c r="J192" s="2" t="e">
        <f t="shared" si="87"/>
        <v>#DIV/0!</v>
      </c>
      <c r="K192" s="2" t="e">
        <f t="shared" si="87"/>
        <v>#DIV/0!</v>
      </c>
      <c r="L192" s="2" t="e">
        <f t="shared" si="87"/>
        <v>#DIV/0!</v>
      </c>
      <c r="M192" s="2" t="e">
        <f t="shared" si="87"/>
        <v>#DIV/0!</v>
      </c>
      <c r="N192" s="2" t="e">
        <f t="shared" si="87"/>
        <v>#DIV/0!</v>
      </c>
      <c r="O192" s="2" t="e">
        <f t="shared" si="87"/>
        <v>#DIV/0!</v>
      </c>
      <c r="P192" s="6" t="e">
        <f t="shared" si="79"/>
        <v>#DIV/0!</v>
      </c>
      <c r="Q192" s="2" t="e">
        <f t="shared" si="82"/>
        <v>#DIV/0!</v>
      </c>
    </row>
    <row r="193" spans="1:17" x14ac:dyDescent="0.2">
      <c r="A193" t="s">
        <v>8</v>
      </c>
      <c r="C193" s="2" t="e">
        <f t="shared" ref="C193:O193" si="88">+C129-C160</f>
        <v>#DIV/0!</v>
      </c>
      <c r="D193" s="2" t="e">
        <f t="shared" si="88"/>
        <v>#DIV/0!</v>
      </c>
      <c r="E193" s="2" t="e">
        <f t="shared" si="88"/>
        <v>#DIV/0!</v>
      </c>
      <c r="F193" s="272"/>
      <c r="G193" s="272"/>
      <c r="H193" s="272"/>
      <c r="I193" s="2" t="e">
        <f t="shared" si="88"/>
        <v>#DIV/0!</v>
      </c>
      <c r="J193" s="2" t="e">
        <f t="shared" si="88"/>
        <v>#DIV/0!</v>
      </c>
      <c r="K193" s="2" t="e">
        <f t="shared" si="88"/>
        <v>#DIV/0!</v>
      </c>
      <c r="L193" s="2" t="e">
        <f t="shared" si="88"/>
        <v>#DIV/0!</v>
      </c>
      <c r="M193" s="2" t="e">
        <f t="shared" si="88"/>
        <v>#DIV/0!</v>
      </c>
      <c r="N193" s="2" t="e">
        <f t="shared" si="88"/>
        <v>#DIV/0!</v>
      </c>
      <c r="O193" s="2" t="e">
        <f t="shared" si="88"/>
        <v>#DIV/0!</v>
      </c>
      <c r="P193" s="6" t="e">
        <f t="shared" si="79"/>
        <v>#DIV/0!</v>
      </c>
      <c r="Q193" s="2" t="e">
        <f t="shared" si="82"/>
        <v>#DIV/0!</v>
      </c>
    </row>
    <row r="194" spans="1:17" x14ac:dyDescent="0.2">
      <c r="A194" t="s">
        <v>9</v>
      </c>
      <c r="C194" s="2" t="e">
        <f t="shared" ref="C194:O194" si="89">+C130-C161</f>
        <v>#DIV/0!</v>
      </c>
      <c r="D194" s="2" t="e">
        <f t="shared" si="89"/>
        <v>#DIV/0!</v>
      </c>
      <c r="E194" s="2" t="e">
        <f t="shared" si="89"/>
        <v>#DIV/0!</v>
      </c>
      <c r="F194" s="272"/>
      <c r="G194" s="272"/>
      <c r="H194" s="272"/>
      <c r="I194" s="2" t="e">
        <f t="shared" si="89"/>
        <v>#DIV/0!</v>
      </c>
      <c r="J194" s="2" t="e">
        <f t="shared" si="89"/>
        <v>#DIV/0!</v>
      </c>
      <c r="K194" s="2" t="e">
        <f t="shared" si="89"/>
        <v>#DIV/0!</v>
      </c>
      <c r="L194" s="2" t="e">
        <f t="shared" si="89"/>
        <v>#DIV/0!</v>
      </c>
      <c r="M194" s="2" t="e">
        <f t="shared" si="89"/>
        <v>#DIV/0!</v>
      </c>
      <c r="N194" s="2" t="e">
        <f t="shared" si="89"/>
        <v>#DIV/0!</v>
      </c>
      <c r="O194" s="2" t="e">
        <f t="shared" si="89"/>
        <v>#DIV/0!</v>
      </c>
      <c r="P194" s="6" t="e">
        <f t="shared" si="79"/>
        <v>#DIV/0!</v>
      </c>
      <c r="Q194" s="2" t="e">
        <f t="shared" si="82"/>
        <v>#DIV/0!</v>
      </c>
    </row>
    <row r="195" spans="1:17" ht="15" x14ac:dyDescent="0.35">
      <c r="A195" t="s">
        <v>2</v>
      </c>
      <c r="C195" s="12" t="e">
        <f t="shared" ref="C195:O195" si="90">+C131-C162</f>
        <v>#DIV/0!</v>
      </c>
      <c r="D195" s="12" t="e">
        <f t="shared" si="90"/>
        <v>#DIV/0!</v>
      </c>
      <c r="E195" s="12" t="e">
        <f t="shared" si="90"/>
        <v>#DIV/0!</v>
      </c>
      <c r="F195" s="283"/>
      <c r="G195" s="283"/>
      <c r="H195" s="283"/>
      <c r="I195" s="12" t="e">
        <f t="shared" si="90"/>
        <v>#DIV/0!</v>
      </c>
      <c r="J195" s="12" t="e">
        <f t="shared" si="90"/>
        <v>#DIV/0!</v>
      </c>
      <c r="K195" s="12" t="e">
        <f t="shared" si="90"/>
        <v>#DIV/0!</v>
      </c>
      <c r="L195" s="12" t="e">
        <f t="shared" si="90"/>
        <v>#DIV/0!</v>
      </c>
      <c r="M195" s="12" t="e">
        <f t="shared" si="90"/>
        <v>#DIV/0!</v>
      </c>
      <c r="N195" s="12" t="e">
        <f t="shared" si="90"/>
        <v>#DIV/0!</v>
      </c>
      <c r="O195" s="12" t="e">
        <f t="shared" si="90"/>
        <v>#DIV/0!</v>
      </c>
      <c r="P195" s="7" t="e">
        <f t="shared" si="79"/>
        <v>#DIV/0!</v>
      </c>
      <c r="Q195" s="2" t="e">
        <f t="shared" si="82"/>
        <v>#DIV/0!</v>
      </c>
    </row>
    <row r="196" spans="1:17" ht="15" x14ac:dyDescent="0.35">
      <c r="C196" s="15" t="e">
        <f t="shared" ref="C196:P196" si="91">SUM(C184:C195)</f>
        <v>#DIV/0!</v>
      </c>
      <c r="D196" s="15" t="e">
        <f t="shared" si="91"/>
        <v>#DIV/0!</v>
      </c>
      <c r="E196" s="15" t="e">
        <f t="shared" si="91"/>
        <v>#DIV/0!</v>
      </c>
      <c r="F196" s="275"/>
      <c r="G196" s="275"/>
      <c r="H196" s="275"/>
      <c r="I196" s="15" t="e">
        <f t="shared" si="91"/>
        <v>#DIV/0!</v>
      </c>
      <c r="J196" s="15" t="e">
        <f t="shared" si="91"/>
        <v>#DIV/0!</v>
      </c>
      <c r="K196" s="15" t="e">
        <f t="shared" si="91"/>
        <v>#DIV/0!</v>
      </c>
      <c r="L196" s="15" t="e">
        <f t="shared" si="91"/>
        <v>#DIV/0!</v>
      </c>
      <c r="M196" s="15" t="e">
        <f t="shared" si="91"/>
        <v>#DIV/0!</v>
      </c>
      <c r="N196" s="15" t="e">
        <f t="shared" si="91"/>
        <v>#DIV/0!</v>
      </c>
      <c r="O196" s="15" t="e">
        <f t="shared" si="91"/>
        <v>#DIV/0!</v>
      </c>
      <c r="P196" s="8" t="e">
        <f t="shared" si="91"/>
        <v>#DIV/0!</v>
      </c>
      <c r="Q196" s="8"/>
    </row>
    <row r="197" spans="1:17" x14ac:dyDescent="0.2">
      <c r="C197" s="80"/>
      <c r="D197" s="80"/>
      <c r="E197" s="80"/>
      <c r="F197" s="284"/>
      <c r="G197" s="284"/>
      <c r="H197" s="284"/>
      <c r="I197" s="80"/>
      <c r="J197" s="80"/>
      <c r="K197" s="80"/>
      <c r="L197" s="80"/>
      <c r="M197" s="80"/>
      <c r="N197" s="80"/>
      <c r="O197" s="80"/>
      <c r="P197" s="80"/>
    </row>
    <row r="198" spans="1:17" x14ac:dyDescent="0.2">
      <c r="C198" s="80"/>
      <c r="D198" s="80"/>
      <c r="E198" s="80"/>
      <c r="F198" s="284"/>
      <c r="G198" s="284"/>
      <c r="H198" s="284"/>
      <c r="I198" s="80"/>
      <c r="J198" s="80"/>
      <c r="K198" s="80"/>
      <c r="L198" s="80"/>
      <c r="M198" s="80"/>
      <c r="N198" s="80"/>
      <c r="O198" s="80"/>
      <c r="P198" s="80"/>
    </row>
    <row r="199" spans="1:17" x14ac:dyDescent="0.2">
      <c r="C199" s="80"/>
      <c r="D199" s="80"/>
      <c r="E199" s="80"/>
      <c r="F199" s="284"/>
      <c r="G199" s="284"/>
      <c r="H199" s="284"/>
      <c r="I199" s="80"/>
      <c r="J199" s="80"/>
      <c r="K199" s="80"/>
      <c r="L199" s="80"/>
      <c r="M199" s="80"/>
      <c r="N199" s="80"/>
      <c r="O199" s="80"/>
      <c r="P199" s="80"/>
    </row>
    <row r="200" spans="1:17" x14ac:dyDescent="0.2">
      <c r="C200" s="82"/>
      <c r="D200" s="82"/>
      <c r="E200" s="82"/>
      <c r="F200" s="285"/>
      <c r="G200" s="285"/>
      <c r="H200" s="285"/>
      <c r="I200" s="82"/>
      <c r="J200" s="82"/>
      <c r="K200" s="82"/>
      <c r="L200" s="82"/>
      <c r="M200" s="82"/>
      <c r="N200" s="82"/>
      <c r="O200" s="82"/>
      <c r="P200" s="82"/>
    </row>
    <row r="201" spans="1:17" x14ac:dyDescent="0.2">
      <c r="C201" s="298" t="s">
        <v>34</v>
      </c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</row>
    <row r="202" spans="1:17" x14ac:dyDescent="0.2">
      <c r="C202" s="24" t="s">
        <v>35</v>
      </c>
      <c r="D202" s="24" t="s">
        <v>36</v>
      </c>
      <c r="E202" s="24"/>
      <c r="F202" s="278"/>
      <c r="G202" s="278"/>
      <c r="H202" s="278"/>
      <c r="I202" s="24" t="s">
        <v>37</v>
      </c>
      <c r="J202" s="24" t="s">
        <v>38</v>
      </c>
      <c r="K202" s="24"/>
      <c r="L202" s="24"/>
      <c r="M202" s="24" t="s">
        <v>0</v>
      </c>
      <c r="N202" s="24" t="s">
        <v>0</v>
      </c>
      <c r="O202" s="24" t="s">
        <v>39</v>
      </c>
    </row>
    <row r="203" spans="1:17" x14ac:dyDescent="0.2">
      <c r="C203" s="25" t="s">
        <v>40</v>
      </c>
      <c r="D203" s="25" t="s">
        <v>41</v>
      </c>
      <c r="E203" s="25" t="s">
        <v>19</v>
      </c>
      <c r="F203" s="279"/>
      <c r="G203" s="279"/>
      <c r="H203" s="279"/>
      <c r="I203" s="25" t="s">
        <v>17</v>
      </c>
      <c r="J203" s="25" t="s">
        <v>18</v>
      </c>
      <c r="K203" s="25" t="s">
        <v>11</v>
      </c>
      <c r="L203" s="25" t="s">
        <v>1</v>
      </c>
      <c r="M203" s="25" t="s">
        <v>42</v>
      </c>
      <c r="N203" s="25" t="s">
        <v>43</v>
      </c>
      <c r="O203" s="25" t="s">
        <v>44</v>
      </c>
      <c r="P203" s="30" t="s">
        <v>3</v>
      </c>
    </row>
    <row r="204" spans="1:17" x14ac:dyDescent="0.2">
      <c r="A204" s="3" t="s">
        <v>52</v>
      </c>
    </row>
    <row r="205" spans="1:17" x14ac:dyDescent="0.2">
      <c r="A205" s="63" t="s">
        <v>181</v>
      </c>
      <c r="C205" s="9">
        <f t="shared" ref="C205:O205" si="92">+C136*C73</f>
        <v>273.23113165281751</v>
      </c>
      <c r="D205" s="9">
        <f t="shared" si="92"/>
        <v>0</v>
      </c>
      <c r="E205" s="9">
        <f t="shared" si="92"/>
        <v>722.61038204413001</v>
      </c>
      <c r="F205" s="286"/>
      <c r="G205" s="286"/>
      <c r="H205" s="286"/>
      <c r="I205" s="9">
        <f t="shared" si="92"/>
        <v>414.08296950364593</v>
      </c>
      <c r="J205" s="9">
        <f t="shared" si="92"/>
        <v>51.270124871984898</v>
      </c>
      <c r="K205" s="9">
        <f t="shared" si="92"/>
        <v>-105.57662727539277</v>
      </c>
      <c r="L205" s="9">
        <f t="shared" si="92"/>
        <v>309.15952801607813</v>
      </c>
      <c r="M205" s="9">
        <f t="shared" si="92"/>
        <v>140.50043690538035</v>
      </c>
      <c r="N205" s="9">
        <f t="shared" si="92"/>
        <v>37.9348087132947</v>
      </c>
      <c r="O205" s="9">
        <f t="shared" si="92"/>
        <v>0</v>
      </c>
      <c r="P205" s="9">
        <f t="shared" ref="P205:P216" si="93">SUM(C205:O205)</f>
        <v>1843.2127544319387</v>
      </c>
    </row>
    <row r="206" spans="1:17" x14ac:dyDescent="0.2">
      <c r="A206" t="s">
        <v>148</v>
      </c>
      <c r="C206" s="9">
        <f t="shared" ref="C206:O206" si="94">+C137*C74</f>
        <v>188.20786199904481</v>
      </c>
      <c r="D206" s="9">
        <f t="shared" si="94"/>
        <v>0</v>
      </c>
      <c r="E206" s="9">
        <f t="shared" si="94"/>
        <v>782.94055916066634</v>
      </c>
      <c r="F206" s="286"/>
      <c r="G206" s="286"/>
      <c r="H206" s="286"/>
      <c r="I206" s="9">
        <f t="shared" si="94"/>
        <v>403.62134580698319</v>
      </c>
      <c r="J206" s="9">
        <f t="shared" si="94"/>
        <v>34.685176351685485</v>
      </c>
      <c r="K206" s="9">
        <f t="shared" si="94"/>
        <v>-80.948975228056</v>
      </c>
      <c r="L206" s="9">
        <f t="shared" si="94"/>
        <v>164.24807599795278</v>
      </c>
      <c r="M206" s="9">
        <f t="shared" si="94"/>
        <v>122.26587377125594</v>
      </c>
      <c r="N206" s="9">
        <f t="shared" si="94"/>
        <v>27.224363822478299</v>
      </c>
      <c r="O206" s="9">
        <f t="shared" si="94"/>
        <v>0</v>
      </c>
      <c r="P206" s="9">
        <f t="shared" si="93"/>
        <v>1642.2442816820108</v>
      </c>
      <c r="Q206" s="157">
        <f>+P206+P205</f>
        <v>3485.4570361139495</v>
      </c>
    </row>
    <row r="207" spans="1:17" x14ac:dyDescent="0.2">
      <c r="A207" t="s">
        <v>149</v>
      </c>
      <c r="C207" s="9">
        <f t="shared" ref="C207:O207" si="95">+C138*C75</f>
        <v>211.76053960464378</v>
      </c>
      <c r="D207" s="9">
        <f t="shared" si="95"/>
        <v>0</v>
      </c>
      <c r="E207" s="9">
        <f t="shared" si="95"/>
        <v>773.03722035887245</v>
      </c>
      <c r="F207" s="286"/>
      <c r="G207" s="286"/>
      <c r="H207" s="286"/>
      <c r="I207" s="9">
        <f t="shared" si="95"/>
        <v>415.40152616694314</v>
      </c>
      <c r="J207" s="9">
        <f t="shared" si="95"/>
        <v>31.847751656288409</v>
      </c>
      <c r="K207" s="9">
        <f t="shared" si="95"/>
        <v>-88.059422535611333</v>
      </c>
      <c r="L207" s="9">
        <f t="shared" si="95"/>
        <v>51.689488047434892</v>
      </c>
      <c r="M207" s="9">
        <f t="shared" si="95"/>
        <v>84.065565543618575</v>
      </c>
      <c r="N207" s="9">
        <f t="shared" si="95"/>
        <v>16.360680872310652</v>
      </c>
      <c r="O207" s="9">
        <f t="shared" si="95"/>
        <v>0</v>
      </c>
      <c r="P207" s="9">
        <f t="shared" si="93"/>
        <v>1496.1033497145006</v>
      </c>
      <c r="Q207" s="157">
        <f>+P207+Q206</f>
        <v>4981.5603858284503</v>
      </c>
    </row>
    <row r="208" spans="1:17" x14ac:dyDescent="0.2">
      <c r="A208" t="s">
        <v>150</v>
      </c>
      <c r="C208" s="9">
        <f t="shared" ref="C208:O208" si="96">+C139*C76</f>
        <v>187.22084447236122</v>
      </c>
      <c r="D208" s="9">
        <f t="shared" si="96"/>
        <v>0</v>
      </c>
      <c r="E208" s="9">
        <f t="shared" si="96"/>
        <v>537.43515609913106</v>
      </c>
      <c r="F208" s="286"/>
      <c r="G208" s="286"/>
      <c r="H208" s="286"/>
      <c r="I208" s="9">
        <f t="shared" si="96"/>
        <v>337.16325125984207</v>
      </c>
      <c r="J208" s="9">
        <f t="shared" si="96"/>
        <v>30.062355193924084</v>
      </c>
      <c r="K208" s="9">
        <f t="shared" si="96"/>
        <v>-79.38747136734149</v>
      </c>
      <c r="L208" s="9">
        <f t="shared" si="96"/>
        <v>27.260500843727215</v>
      </c>
      <c r="M208" s="9">
        <f t="shared" si="96"/>
        <v>81.351356561260886</v>
      </c>
      <c r="N208" s="9">
        <f t="shared" si="96"/>
        <v>8.6417520206994105</v>
      </c>
      <c r="O208" s="9">
        <f t="shared" si="96"/>
        <v>0</v>
      </c>
      <c r="P208" s="9">
        <f t="shared" si="93"/>
        <v>1129.7477450836045</v>
      </c>
      <c r="Q208" s="157">
        <f t="shared" ref="Q208:Q216" si="97">+P208+Q207</f>
        <v>6111.3081309120553</v>
      </c>
    </row>
    <row r="209" spans="1:17" x14ac:dyDescent="0.2">
      <c r="A209" t="s">
        <v>151</v>
      </c>
      <c r="C209" s="9">
        <f t="shared" ref="C209:O209" si="98">+C140*C77</f>
        <v>-30.250351732859201</v>
      </c>
      <c r="D209" s="9">
        <f t="shared" si="98"/>
        <v>0</v>
      </c>
      <c r="E209" s="9">
        <f t="shared" si="98"/>
        <v>333.32529131582294</v>
      </c>
      <c r="F209" s="286"/>
      <c r="G209" s="286"/>
      <c r="H209" s="286"/>
      <c r="I209" s="9">
        <f t="shared" si="98"/>
        <v>258.05423133077028</v>
      </c>
      <c r="J209" s="9">
        <f t="shared" si="98"/>
        <v>33.115108889662231</v>
      </c>
      <c r="K209" s="9">
        <f t="shared" si="98"/>
        <v>-95.835062753976658</v>
      </c>
      <c r="L209" s="9">
        <f t="shared" si="98"/>
        <v>23.994115604051949</v>
      </c>
      <c r="M209" s="9">
        <f t="shared" si="98"/>
        <v>81.144491320836337</v>
      </c>
      <c r="N209" s="9">
        <f t="shared" si="98"/>
        <v>9.8856740473401263</v>
      </c>
      <c r="O209" s="9">
        <f t="shared" si="98"/>
        <v>0</v>
      </c>
      <c r="P209" s="9">
        <f t="shared" si="93"/>
        <v>613.43349802164789</v>
      </c>
      <c r="Q209" s="157">
        <f t="shared" si="97"/>
        <v>6724.7416289337034</v>
      </c>
    </row>
    <row r="210" spans="1:17" x14ac:dyDescent="0.2">
      <c r="A210" t="s">
        <v>152</v>
      </c>
      <c r="C210" s="9">
        <f t="shared" ref="C210:O210" si="99">+C141*C78</f>
        <v>-15.233362079308552</v>
      </c>
      <c r="D210" s="9">
        <f t="shared" si="99"/>
        <v>0</v>
      </c>
      <c r="E210" s="9">
        <f t="shared" si="99"/>
        <v>235.64171947995044</v>
      </c>
      <c r="F210" s="286"/>
      <c r="G210" s="286"/>
      <c r="H210" s="286"/>
      <c r="I210" s="9">
        <f t="shared" si="99"/>
        <v>259.33667671932267</v>
      </c>
      <c r="J210" s="9">
        <f t="shared" si="99"/>
        <v>34.221885191238833</v>
      </c>
      <c r="K210" s="9">
        <f t="shared" si="99"/>
        <v>-72.302708380327772</v>
      </c>
      <c r="L210" s="9">
        <f t="shared" si="99"/>
        <v>33.300239939146472</v>
      </c>
      <c r="M210" s="9">
        <f t="shared" si="99"/>
        <v>73.916576641537944</v>
      </c>
      <c r="N210" s="9">
        <f t="shared" si="99"/>
        <v>16.81531604689367</v>
      </c>
      <c r="O210" s="9">
        <f t="shared" si="99"/>
        <v>0</v>
      </c>
      <c r="P210" s="9">
        <f t="shared" si="93"/>
        <v>565.69634355845369</v>
      </c>
      <c r="Q210" s="157">
        <f t="shared" si="97"/>
        <v>7290.4379724921573</v>
      </c>
    </row>
    <row r="211" spans="1:17" x14ac:dyDescent="0.2">
      <c r="A211" t="s">
        <v>7</v>
      </c>
      <c r="C211" s="9">
        <f t="shared" ref="C211:O211" si="100">+C142*C79</f>
        <v>73.110640162502477</v>
      </c>
      <c r="D211" s="9">
        <f t="shared" si="100"/>
        <v>0</v>
      </c>
      <c r="E211" s="9">
        <f t="shared" si="100"/>
        <v>263.05310547547566</v>
      </c>
      <c r="F211" s="286"/>
      <c r="G211" s="286"/>
      <c r="H211" s="286"/>
      <c r="I211" s="9">
        <f t="shared" si="100"/>
        <v>306.29843722107802</v>
      </c>
      <c r="J211" s="9">
        <f t="shared" si="100"/>
        <v>38.726540361830061</v>
      </c>
      <c r="K211" s="9">
        <f t="shared" si="100"/>
        <v>-83.012870475511278</v>
      </c>
      <c r="L211" s="9">
        <f t="shared" si="100"/>
        <v>37.279895068875533</v>
      </c>
      <c r="M211" s="9">
        <f t="shared" si="100"/>
        <v>131.96529673016374</v>
      </c>
      <c r="N211" s="9">
        <f t="shared" si="100"/>
        <v>11.788262550414998</v>
      </c>
      <c r="O211" s="9">
        <f t="shared" si="100"/>
        <v>0</v>
      </c>
      <c r="P211" s="9">
        <f t="shared" si="93"/>
        <v>779.20930709482934</v>
      </c>
      <c r="Q211" s="157">
        <f t="shared" si="97"/>
        <v>8069.6472795869868</v>
      </c>
    </row>
    <row r="212" spans="1:17" x14ac:dyDescent="0.2">
      <c r="A212" s="63" t="s">
        <v>182</v>
      </c>
      <c r="C212" s="9">
        <f t="shared" ref="C212:O212" si="101">+C143*C80</f>
        <v>65.534743737682035</v>
      </c>
      <c r="D212" s="9">
        <f t="shared" si="101"/>
        <v>0</v>
      </c>
      <c r="E212" s="9">
        <f t="shared" si="101"/>
        <v>293.57337957315002</v>
      </c>
      <c r="F212" s="286"/>
      <c r="G212" s="286"/>
      <c r="H212" s="286"/>
      <c r="I212" s="9">
        <f t="shared" si="101"/>
        <v>368.13363952742259</v>
      </c>
      <c r="J212" s="9">
        <f t="shared" si="101"/>
        <v>45.133690168323994</v>
      </c>
      <c r="K212" s="9">
        <f t="shared" si="101"/>
        <v>-87.791537086383684</v>
      </c>
      <c r="L212" s="9">
        <f t="shared" si="101"/>
        <v>52.369977819074322</v>
      </c>
      <c r="M212" s="9">
        <f t="shared" si="101"/>
        <v>125.64024282925089</v>
      </c>
      <c r="N212" s="9">
        <f t="shared" si="101"/>
        <v>7.4313788621715196</v>
      </c>
      <c r="O212" s="9">
        <f t="shared" si="101"/>
        <v>0</v>
      </c>
      <c r="P212" s="9">
        <f t="shared" si="93"/>
        <v>870.02551543069183</v>
      </c>
      <c r="Q212" s="157">
        <f t="shared" si="97"/>
        <v>8939.6727950176792</v>
      </c>
    </row>
    <row r="213" spans="1:17" x14ac:dyDescent="0.2">
      <c r="A213" t="s">
        <v>10</v>
      </c>
      <c r="C213" s="9">
        <f t="shared" ref="C213:O213" si="102">+C144*C81</f>
        <v>75.515547342634363</v>
      </c>
      <c r="D213" s="9">
        <f t="shared" si="102"/>
        <v>0</v>
      </c>
      <c r="E213" s="9">
        <f t="shared" si="102"/>
        <v>335.40549270600536</v>
      </c>
      <c r="F213" s="286"/>
      <c r="G213" s="286"/>
      <c r="H213" s="286"/>
      <c r="I213" s="9">
        <f t="shared" si="102"/>
        <v>276.28130594754691</v>
      </c>
      <c r="J213" s="9">
        <f t="shared" si="102"/>
        <v>41.327107487194198</v>
      </c>
      <c r="K213" s="9">
        <f t="shared" si="102"/>
        <v>-77.052549295480944</v>
      </c>
      <c r="L213" s="9">
        <f t="shared" si="102"/>
        <v>39.11578585843688</v>
      </c>
      <c r="M213" s="9">
        <f t="shared" si="102"/>
        <v>109.07286441294899</v>
      </c>
      <c r="N213" s="9">
        <f t="shared" si="102"/>
        <v>8.9326914820949632</v>
      </c>
      <c r="O213" s="9">
        <f t="shared" si="102"/>
        <v>0</v>
      </c>
      <c r="P213" s="9">
        <f t="shared" si="93"/>
        <v>808.5982459413807</v>
      </c>
      <c r="Q213" s="157">
        <f t="shared" si="97"/>
        <v>9748.27104095906</v>
      </c>
    </row>
    <row r="214" spans="1:17" x14ac:dyDescent="0.2">
      <c r="A214" t="s">
        <v>8</v>
      </c>
      <c r="C214" s="9">
        <f t="shared" ref="C214:O214" si="103">+C145*C82</f>
        <v>71.379770014763736</v>
      </c>
      <c r="D214" s="9">
        <f t="shared" si="103"/>
        <v>0</v>
      </c>
      <c r="E214" s="9">
        <f t="shared" si="103"/>
        <v>410.84839096242968</v>
      </c>
      <c r="F214" s="286"/>
      <c r="G214" s="286"/>
      <c r="H214" s="286"/>
      <c r="I214" s="9">
        <f t="shared" si="103"/>
        <v>306.01056670262318</v>
      </c>
      <c r="J214" s="9">
        <f t="shared" si="103"/>
        <v>57.926867457251184</v>
      </c>
      <c r="K214" s="9">
        <f t="shared" si="103"/>
        <v>-99.140273198121264</v>
      </c>
      <c r="L214" s="9">
        <f t="shared" si="103"/>
        <v>72.787904400156279</v>
      </c>
      <c r="M214" s="9">
        <f t="shared" si="103"/>
        <v>142.91705931916519</v>
      </c>
      <c r="N214" s="9">
        <f t="shared" si="103"/>
        <v>10.387672391459613</v>
      </c>
      <c r="O214" s="9">
        <f t="shared" si="103"/>
        <v>0</v>
      </c>
      <c r="P214" s="9">
        <f t="shared" si="93"/>
        <v>973.11795804972769</v>
      </c>
      <c r="Q214" s="157">
        <f t="shared" si="97"/>
        <v>10721.388999008788</v>
      </c>
    </row>
    <row r="215" spans="1:17" x14ac:dyDescent="0.2">
      <c r="A215" t="s">
        <v>9</v>
      </c>
      <c r="C215" s="9">
        <f t="shared" ref="C215:O215" si="104">+C146*C83</f>
        <v>78.531010768468533</v>
      </c>
      <c r="D215" s="9">
        <f t="shared" si="104"/>
        <v>0</v>
      </c>
      <c r="E215" s="9">
        <f t="shared" si="104"/>
        <v>523.52433965780142</v>
      </c>
      <c r="F215" s="286"/>
      <c r="G215" s="286"/>
      <c r="H215" s="286"/>
      <c r="I215" s="9">
        <f t="shared" si="104"/>
        <v>393.70768464063769</v>
      </c>
      <c r="J215" s="9">
        <f t="shared" si="104"/>
        <v>61.172449802151782</v>
      </c>
      <c r="K215" s="9">
        <f t="shared" si="104"/>
        <v>-110.92435323450162</v>
      </c>
      <c r="L215" s="9">
        <f t="shared" si="104"/>
        <v>100.07489465048607</v>
      </c>
      <c r="M215" s="9">
        <f t="shared" si="104"/>
        <v>171.34339419830087</v>
      </c>
      <c r="N215" s="9">
        <f t="shared" si="104"/>
        <v>13.591468157632434</v>
      </c>
      <c r="O215" s="9">
        <f t="shared" si="104"/>
        <v>0</v>
      </c>
      <c r="P215" s="9">
        <f t="shared" si="93"/>
        <v>1231.0208886409769</v>
      </c>
      <c r="Q215" s="157">
        <f t="shared" si="97"/>
        <v>11952.409887649765</v>
      </c>
    </row>
    <row r="216" spans="1:17" ht="15" x14ac:dyDescent="0.35">
      <c r="A216" t="s">
        <v>2</v>
      </c>
      <c r="C216" s="10">
        <f t="shared" ref="C216:O216" si="105">+C147*C84</f>
        <v>33.488661905302429</v>
      </c>
      <c r="D216" s="10">
        <f t="shared" si="105"/>
        <v>0</v>
      </c>
      <c r="E216" s="10">
        <f t="shared" si="105"/>
        <v>440.08635820140108</v>
      </c>
      <c r="F216" s="287"/>
      <c r="G216" s="287"/>
      <c r="H216" s="287"/>
      <c r="I216" s="10">
        <f t="shared" si="105"/>
        <v>315.26253286993801</v>
      </c>
      <c r="J216" s="10">
        <f t="shared" si="105"/>
        <v>34.969718670887623</v>
      </c>
      <c r="K216" s="10">
        <f t="shared" si="105"/>
        <v>-78.727392180982335</v>
      </c>
      <c r="L216" s="10">
        <f t="shared" si="105"/>
        <v>78.756625776068446</v>
      </c>
      <c r="M216" s="10">
        <f t="shared" si="105"/>
        <v>141.22095481804058</v>
      </c>
      <c r="N216" s="10">
        <f t="shared" si="105"/>
        <v>16.111492651140829</v>
      </c>
      <c r="O216" s="10">
        <f t="shared" si="105"/>
        <v>0</v>
      </c>
      <c r="P216" s="10">
        <f t="shared" si="93"/>
        <v>981.16895271179658</v>
      </c>
      <c r="Q216" s="157">
        <f t="shared" si="97"/>
        <v>12933.578840361561</v>
      </c>
    </row>
    <row r="217" spans="1:17" ht="15" x14ac:dyDescent="0.35">
      <c r="C217" s="11">
        <f t="shared" ref="C217:P217" si="106">SUM(C205:C216)</f>
        <v>1212.4970378480534</v>
      </c>
      <c r="D217" s="11">
        <f t="shared" si="106"/>
        <v>0</v>
      </c>
      <c r="E217" s="11">
        <f t="shared" si="106"/>
        <v>5651.4813950348371</v>
      </c>
      <c r="F217" s="288"/>
      <c r="G217" s="288"/>
      <c r="H217" s="288"/>
      <c r="I217" s="11">
        <f t="shared" si="106"/>
        <v>4053.3541676967543</v>
      </c>
      <c r="J217" s="11">
        <f t="shared" si="106"/>
        <v>494.4587761024228</v>
      </c>
      <c r="K217" s="11">
        <f t="shared" si="106"/>
        <v>-1058.759243011687</v>
      </c>
      <c r="L217" s="11">
        <f t="shared" si="106"/>
        <v>990.0370320214887</v>
      </c>
      <c r="M217" s="11">
        <f t="shared" si="106"/>
        <v>1405.4041130517601</v>
      </c>
      <c r="N217" s="11">
        <f t="shared" si="106"/>
        <v>185.10556161793122</v>
      </c>
      <c r="O217" s="11">
        <f t="shared" si="106"/>
        <v>0</v>
      </c>
      <c r="P217" s="11">
        <f t="shared" si="106"/>
        <v>12933.578840361561</v>
      </c>
    </row>
    <row r="218" spans="1:17" ht="15" x14ac:dyDescent="0.35">
      <c r="C218" s="15"/>
      <c r="D218" s="15"/>
      <c r="E218" s="15"/>
      <c r="F218" s="275"/>
      <c r="G218" s="275"/>
      <c r="H218" s="275"/>
      <c r="I218" s="15"/>
      <c r="J218" s="15"/>
      <c r="K218" s="15"/>
      <c r="L218" s="15"/>
      <c r="M218" s="15"/>
      <c r="N218" s="15"/>
      <c r="O218" s="15"/>
    </row>
    <row r="219" spans="1:17" x14ac:dyDescent="0.2">
      <c r="A219" s="63" t="s">
        <v>183</v>
      </c>
      <c r="C219" s="9" t="e">
        <f>+C151*C85</f>
        <v>#DIV/0!</v>
      </c>
      <c r="D219" s="9" t="e">
        <f t="shared" ref="D219:O219" si="107">+D151*D85</f>
        <v>#DIV/0!</v>
      </c>
      <c r="E219" s="9" t="e">
        <f t="shared" si="107"/>
        <v>#DIV/0!</v>
      </c>
      <c r="F219" s="286"/>
      <c r="G219" s="286"/>
      <c r="H219" s="286"/>
      <c r="I219" s="9" t="e">
        <f t="shared" si="107"/>
        <v>#DIV/0!</v>
      </c>
      <c r="J219" s="9" t="e">
        <f t="shared" si="107"/>
        <v>#DIV/0!</v>
      </c>
      <c r="K219" s="9" t="e">
        <f t="shared" si="107"/>
        <v>#DIV/0!</v>
      </c>
      <c r="L219" s="9" t="e">
        <f t="shared" si="107"/>
        <v>#DIV/0!</v>
      </c>
      <c r="M219" s="9" t="e">
        <f t="shared" si="107"/>
        <v>#DIV/0!</v>
      </c>
      <c r="N219" s="9" t="e">
        <f t="shared" si="107"/>
        <v>#DIV/0!</v>
      </c>
      <c r="O219" s="9" t="e">
        <f t="shared" si="107"/>
        <v>#DIV/0!</v>
      </c>
      <c r="P219" s="9" t="e">
        <f t="shared" ref="P219:P230" si="108">SUM(C219:O219)</f>
        <v>#DIV/0!</v>
      </c>
      <c r="Q219" s="157" t="e">
        <f>+P219+Q216</f>
        <v>#DIV/0!</v>
      </c>
    </row>
    <row r="220" spans="1:17" x14ac:dyDescent="0.2">
      <c r="A220" t="s">
        <v>148</v>
      </c>
      <c r="C220" s="9" t="e">
        <f t="shared" ref="C220:O220" si="109">+C152*C86</f>
        <v>#DIV/0!</v>
      </c>
      <c r="D220" s="9" t="e">
        <f t="shared" si="109"/>
        <v>#DIV/0!</v>
      </c>
      <c r="E220" s="9" t="e">
        <f t="shared" si="109"/>
        <v>#DIV/0!</v>
      </c>
      <c r="F220" s="286"/>
      <c r="G220" s="286"/>
      <c r="H220" s="286"/>
      <c r="I220" s="9" t="e">
        <f t="shared" si="109"/>
        <v>#DIV/0!</v>
      </c>
      <c r="J220" s="9" t="e">
        <f t="shared" si="109"/>
        <v>#DIV/0!</v>
      </c>
      <c r="K220" s="9" t="e">
        <f t="shared" si="109"/>
        <v>#DIV/0!</v>
      </c>
      <c r="L220" s="9" t="e">
        <f t="shared" si="109"/>
        <v>#DIV/0!</v>
      </c>
      <c r="M220" s="9" t="e">
        <f t="shared" si="109"/>
        <v>#DIV/0!</v>
      </c>
      <c r="N220" s="9" t="e">
        <f t="shared" si="109"/>
        <v>#DIV/0!</v>
      </c>
      <c r="O220" s="9" t="e">
        <f t="shared" si="109"/>
        <v>#DIV/0!</v>
      </c>
      <c r="P220" s="9" t="e">
        <f t="shared" si="108"/>
        <v>#DIV/0!</v>
      </c>
      <c r="Q220" s="157" t="e">
        <f>+P220+Q219</f>
        <v>#DIV/0!</v>
      </c>
    </row>
    <row r="221" spans="1:17" x14ac:dyDescent="0.2">
      <c r="A221" t="s">
        <v>149</v>
      </c>
      <c r="C221" s="9" t="e">
        <f t="shared" ref="C221:O221" si="110">+C153*C87</f>
        <v>#DIV/0!</v>
      </c>
      <c r="D221" s="9" t="e">
        <f t="shared" si="110"/>
        <v>#DIV/0!</v>
      </c>
      <c r="E221" s="9" t="e">
        <f t="shared" si="110"/>
        <v>#DIV/0!</v>
      </c>
      <c r="F221" s="286"/>
      <c r="G221" s="286"/>
      <c r="H221" s="286"/>
      <c r="I221" s="9" t="e">
        <f t="shared" si="110"/>
        <v>#DIV/0!</v>
      </c>
      <c r="J221" s="9" t="e">
        <f t="shared" si="110"/>
        <v>#DIV/0!</v>
      </c>
      <c r="K221" s="9" t="e">
        <f t="shared" si="110"/>
        <v>#DIV/0!</v>
      </c>
      <c r="L221" s="9" t="e">
        <f t="shared" si="110"/>
        <v>#DIV/0!</v>
      </c>
      <c r="M221" s="9" t="e">
        <f t="shared" si="110"/>
        <v>#DIV/0!</v>
      </c>
      <c r="N221" s="9" t="e">
        <f t="shared" si="110"/>
        <v>#DIV/0!</v>
      </c>
      <c r="O221" s="9" t="e">
        <f t="shared" si="110"/>
        <v>#DIV/0!</v>
      </c>
      <c r="P221" s="9" t="e">
        <f t="shared" si="108"/>
        <v>#DIV/0!</v>
      </c>
      <c r="Q221" s="157" t="e">
        <f t="shared" ref="Q221:Q230" si="111">+P221+Q220</f>
        <v>#DIV/0!</v>
      </c>
    </row>
    <row r="222" spans="1:17" x14ac:dyDescent="0.2">
      <c r="A222" t="s">
        <v>150</v>
      </c>
      <c r="C222" s="9" t="e">
        <f t="shared" ref="C222:O222" si="112">+C154*C88</f>
        <v>#DIV/0!</v>
      </c>
      <c r="D222" s="9" t="e">
        <f t="shared" si="112"/>
        <v>#DIV/0!</v>
      </c>
      <c r="E222" s="9" t="e">
        <f t="shared" si="112"/>
        <v>#DIV/0!</v>
      </c>
      <c r="F222" s="286"/>
      <c r="G222" s="286"/>
      <c r="H222" s="286"/>
      <c r="I222" s="9" t="e">
        <f t="shared" si="112"/>
        <v>#DIV/0!</v>
      </c>
      <c r="J222" s="9" t="e">
        <f t="shared" si="112"/>
        <v>#DIV/0!</v>
      </c>
      <c r="K222" s="9" t="e">
        <f t="shared" si="112"/>
        <v>#DIV/0!</v>
      </c>
      <c r="L222" s="9" t="e">
        <f t="shared" si="112"/>
        <v>#DIV/0!</v>
      </c>
      <c r="M222" s="9" t="e">
        <f t="shared" si="112"/>
        <v>#DIV/0!</v>
      </c>
      <c r="N222" s="9" t="e">
        <f t="shared" si="112"/>
        <v>#DIV/0!</v>
      </c>
      <c r="O222" s="9" t="e">
        <f t="shared" si="112"/>
        <v>#DIV/0!</v>
      </c>
      <c r="P222" s="9" t="e">
        <f t="shared" si="108"/>
        <v>#DIV/0!</v>
      </c>
      <c r="Q222" s="157" t="e">
        <f t="shared" si="111"/>
        <v>#DIV/0!</v>
      </c>
    </row>
    <row r="223" spans="1:17" x14ac:dyDescent="0.2">
      <c r="A223" t="s">
        <v>151</v>
      </c>
      <c r="C223" s="9" t="e">
        <f t="shared" ref="C223:O223" si="113">+C155*C89</f>
        <v>#DIV/0!</v>
      </c>
      <c r="D223" s="9" t="e">
        <f t="shared" si="113"/>
        <v>#DIV/0!</v>
      </c>
      <c r="E223" s="9" t="e">
        <f t="shared" si="113"/>
        <v>#DIV/0!</v>
      </c>
      <c r="F223" s="286"/>
      <c r="G223" s="286"/>
      <c r="H223" s="286"/>
      <c r="I223" s="9" t="e">
        <f t="shared" si="113"/>
        <v>#DIV/0!</v>
      </c>
      <c r="J223" s="9" t="e">
        <f t="shared" si="113"/>
        <v>#DIV/0!</v>
      </c>
      <c r="K223" s="9" t="e">
        <f t="shared" si="113"/>
        <v>#DIV/0!</v>
      </c>
      <c r="L223" s="9" t="e">
        <f t="shared" si="113"/>
        <v>#DIV/0!</v>
      </c>
      <c r="M223" s="9" t="e">
        <f t="shared" si="113"/>
        <v>#DIV/0!</v>
      </c>
      <c r="N223" s="9" t="e">
        <f t="shared" si="113"/>
        <v>#DIV/0!</v>
      </c>
      <c r="O223" s="9" t="e">
        <f t="shared" si="113"/>
        <v>#DIV/0!</v>
      </c>
      <c r="P223" s="9" t="e">
        <f t="shared" si="108"/>
        <v>#DIV/0!</v>
      </c>
      <c r="Q223" s="157" t="e">
        <f t="shared" si="111"/>
        <v>#DIV/0!</v>
      </c>
    </row>
    <row r="224" spans="1:17" x14ac:dyDescent="0.2">
      <c r="A224" t="s">
        <v>152</v>
      </c>
      <c r="C224" s="9" t="e">
        <f t="shared" ref="C224:O224" si="114">+C156*C90</f>
        <v>#DIV/0!</v>
      </c>
      <c r="D224" s="9" t="e">
        <f t="shared" si="114"/>
        <v>#DIV/0!</v>
      </c>
      <c r="E224" s="9" t="e">
        <f t="shared" si="114"/>
        <v>#DIV/0!</v>
      </c>
      <c r="F224" s="286"/>
      <c r="G224" s="286"/>
      <c r="H224" s="286"/>
      <c r="I224" s="9" t="e">
        <f t="shared" si="114"/>
        <v>#DIV/0!</v>
      </c>
      <c r="J224" s="9" t="e">
        <f t="shared" si="114"/>
        <v>#DIV/0!</v>
      </c>
      <c r="K224" s="9" t="e">
        <f t="shared" si="114"/>
        <v>#DIV/0!</v>
      </c>
      <c r="L224" s="9" t="e">
        <f t="shared" si="114"/>
        <v>#DIV/0!</v>
      </c>
      <c r="M224" s="9" t="e">
        <f t="shared" si="114"/>
        <v>#DIV/0!</v>
      </c>
      <c r="N224" s="9" t="e">
        <f t="shared" si="114"/>
        <v>#DIV/0!</v>
      </c>
      <c r="O224" s="9" t="e">
        <f t="shared" si="114"/>
        <v>#DIV/0!</v>
      </c>
      <c r="P224" s="9" t="e">
        <f t="shared" si="108"/>
        <v>#DIV/0!</v>
      </c>
      <c r="Q224" s="157" t="e">
        <f t="shared" si="111"/>
        <v>#DIV/0!</v>
      </c>
    </row>
    <row r="225" spans="1:17" x14ac:dyDescent="0.2">
      <c r="A225" t="s">
        <v>7</v>
      </c>
      <c r="C225" s="9" t="e">
        <f t="shared" ref="C225:O225" si="115">+C157*C91</f>
        <v>#DIV/0!</v>
      </c>
      <c r="D225" s="9" t="e">
        <f t="shared" si="115"/>
        <v>#DIV/0!</v>
      </c>
      <c r="E225" s="9" t="e">
        <f t="shared" si="115"/>
        <v>#DIV/0!</v>
      </c>
      <c r="F225" s="286"/>
      <c r="G225" s="286"/>
      <c r="H225" s="286"/>
      <c r="I225" s="9" t="e">
        <f t="shared" si="115"/>
        <v>#DIV/0!</v>
      </c>
      <c r="J225" s="9" t="e">
        <f t="shared" si="115"/>
        <v>#DIV/0!</v>
      </c>
      <c r="K225" s="9" t="e">
        <f t="shared" si="115"/>
        <v>#DIV/0!</v>
      </c>
      <c r="L225" s="9" t="e">
        <f t="shared" si="115"/>
        <v>#DIV/0!</v>
      </c>
      <c r="M225" s="9" t="e">
        <f t="shared" si="115"/>
        <v>#DIV/0!</v>
      </c>
      <c r="N225" s="9" t="e">
        <f t="shared" si="115"/>
        <v>#DIV/0!</v>
      </c>
      <c r="O225" s="9" t="e">
        <f t="shared" si="115"/>
        <v>#DIV/0!</v>
      </c>
      <c r="P225" s="9" t="e">
        <f t="shared" si="108"/>
        <v>#DIV/0!</v>
      </c>
      <c r="Q225" s="157" t="e">
        <f t="shared" si="111"/>
        <v>#DIV/0!</v>
      </c>
    </row>
    <row r="226" spans="1:17" x14ac:dyDescent="0.2">
      <c r="A226" s="63" t="s">
        <v>184</v>
      </c>
      <c r="C226" s="9" t="e">
        <f t="shared" ref="C226:O226" si="116">+C158*C92</f>
        <v>#DIV/0!</v>
      </c>
      <c r="D226" s="9" t="e">
        <f t="shared" si="116"/>
        <v>#DIV/0!</v>
      </c>
      <c r="E226" s="9" t="e">
        <f t="shared" si="116"/>
        <v>#DIV/0!</v>
      </c>
      <c r="F226" s="286"/>
      <c r="G226" s="286"/>
      <c r="H226" s="286"/>
      <c r="I226" s="9" t="e">
        <f t="shared" si="116"/>
        <v>#DIV/0!</v>
      </c>
      <c r="J226" s="9" t="e">
        <f t="shared" si="116"/>
        <v>#DIV/0!</v>
      </c>
      <c r="K226" s="9" t="e">
        <f t="shared" si="116"/>
        <v>#DIV/0!</v>
      </c>
      <c r="L226" s="9" t="e">
        <f t="shared" si="116"/>
        <v>#DIV/0!</v>
      </c>
      <c r="M226" s="9" t="e">
        <f t="shared" si="116"/>
        <v>#DIV/0!</v>
      </c>
      <c r="N226" s="9" t="e">
        <f t="shared" si="116"/>
        <v>#DIV/0!</v>
      </c>
      <c r="O226" s="9" t="e">
        <f t="shared" si="116"/>
        <v>#DIV/0!</v>
      </c>
      <c r="P226" s="9" t="e">
        <f t="shared" si="108"/>
        <v>#DIV/0!</v>
      </c>
      <c r="Q226" s="157" t="e">
        <f t="shared" si="111"/>
        <v>#DIV/0!</v>
      </c>
    </row>
    <row r="227" spans="1:17" x14ac:dyDescent="0.2">
      <c r="A227" t="s">
        <v>10</v>
      </c>
      <c r="C227" s="9" t="e">
        <f t="shared" ref="C227:O227" si="117">+C159*C93</f>
        <v>#DIV/0!</v>
      </c>
      <c r="D227" s="9" t="e">
        <f t="shared" si="117"/>
        <v>#DIV/0!</v>
      </c>
      <c r="E227" s="9" t="e">
        <f t="shared" si="117"/>
        <v>#DIV/0!</v>
      </c>
      <c r="F227" s="286"/>
      <c r="G227" s="286"/>
      <c r="H227" s="286"/>
      <c r="I227" s="9" t="e">
        <f t="shared" si="117"/>
        <v>#DIV/0!</v>
      </c>
      <c r="J227" s="9" t="e">
        <f t="shared" si="117"/>
        <v>#DIV/0!</v>
      </c>
      <c r="K227" s="9" t="e">
        <f t="shared" si="117"/>
        <v>#DIV/0!</v>
      </c>
      <c r="L227" s="9" t="e">
        <f t="shared" si="117"/>
        <v>#DIV/0!</v>
      </c>
      <c r="M227" s="9" t="e">
        <f t="shared" si="117"/>
        <v>#DIV/0!</v>
      </c>
      <c r="N227" s="9" t="e">
        <f t="shared" si="117"/>
        <v>#DIV/0!</v>
      </c>
      <c r="O227" s="9" t="e">
        <f t="shared" si="117"/>
        <v>#DIV/0!</v>
      </c>
      <c r="P227" s="9" t="e">
        <f t="shared" si="108"/>
        <v>#DIV/0!</v>
      </c>
      <c r="Q227" s="157" t="e">
        <f t="shared" si="111"/>
        <v>#DIV/0!</v>
      </c>
    </row>
    <row r="228" spans="1:17" x14ac:dyDescent="0.2">
      <c r="A228" t="s">
        <v>8</v>
      </c>
      <c r="C228" s="9" t="e">
        <f t="shared" ref="C228:O228" si="118">+C160*C94</f>
        <v>#DIV/0!</v>
      </c>
      <c r="D228" s="9" t="e">
        <f t="shared" si="118"/>
        <v>#DIV/0!</v>
      </c>
      <c r="E228" s="9" t="e">
        <f t="shared" si="118"/>
        <v>#DIV/0!</v>
      </c>
      <c r="F228" s="286"/>
      <c r="G228" s="286"/>
      <c r="H228" s="286"/>
      <c r="I228" s="9" t="e">
        <f t="shared" si="118"/>
        <v>#DIV/0!</v>
      </c>
      <c r="J228" s="9" t="e">
        <f t="shared" si="118"/>
        <v>#DIV/0!</v>
      </c>
      <c r="K228" s="9" t="e">
        <f t="shared" si="118"/>
        <v>#DIV/0!</v>
      </c>
      <c r="L228" s="9" t="e">
        <f t="shared" si="118"/>
        <v>#DIV/0!</v>
      </c>
      <c r="M228" s="9" t="e">
        <f t="shared" si="118"/>
        <v>#DIV/0!</v>
      </c>
      <c r="N228" s="9" t="e">
        <f t="shared" si="118"/>
        <v>#DIV/0!</v>
      </c>
      <c r="O228" s="9" t="e">
        <f t="shared" si="118"/>
        <v>#DIV/0!</v>
      </c>
      <c r="P228" s="9" t="e">
        <f t="shared" si="108"/>
        <v>#DIV/0!</v>
      </c>
      <c r="Q228" s="157" t="e">
        <f t="shared" si="111"/>
        <v>#DIV/0!</v>
      </c>
    </row>
    <row r="229" spans="1:17" x14ac:dyDescent="0.2">
      <c r="A229" t="s">
        <v>9</v>
      </c>
      <c r="C229" s="9" t="e">
        <f t="shared" ref="C229:O229" si="119">+C161*C95</f>
        <v>#DIV/0!</v>
      </c>
      <c r="D229" s="9" t="e">
        <f t="shared" si="119"/>
        <v>#DIV/0!</v>
      </c>
      <c r="E229" s="9" t="e">
        <f t="shared" si="119"/>
        <v>#DIV/0!</v>
      </c>
      <c r="F229" s="286"/>
      <c r="G229" s="286"/>
      <c r="H229" s="286"/>
      <c r="I229" s="9" t="e">
        <f t="shared" si="119"/>
        <v>#DIV/0!</v>
      </c>
      <c r="J229" s="9" t="e">
        <f t="shared" si="119"/>
        <v>#DIV/0!</v>
      </c>
      <c r="K229" s="9" t="e">
        <f t="shared" si="119"/>
        <v>#DIV/0!</v>
      </c>
      <c r="L229" s="9" t="e">
        <f t="shared" si="119"/>
        <v>#DIV/0!</v>
      </c>
      <c r="M229" s="9" t="e">
        <f t="shared" si="119"/>
        <v>#DIV/0!</v>
      </c>
      <c r="N229" s="9" t="e">
        <f t="shared" si="119"/>
        <v>#DIV/0!</v>
      </c>
      <c r="O229" s="9" t="e">
        <f t="shared" si="119"/>
        <v>#DIV/0!</v>
      </c>
      <c r="P229" s="9" t="e">
        <f t="shared" si="108"/>
        <v>#DIV/0!</v>
      </c>
      <c r="Q229" s="157" t="e">
        <f t="shared" si="111"/>
        <v>#DIV/0!</v>
      </c>
    </row>
    <row r="230" spans="1:17" ht="15" x14ac:dyDescent="0.35">
      <c r="A230" t="s">
        <v>2</v>
      </c>
      <c r="C230" s="10" t="e">
        <f t="shared" ref="C230:O230" si="120">+C162*C96</f>
        <v>#DIV/0!</v>
      </c>
      <c r="D230" s="10" t="e">
        <f t="shared" si="120"/>
        <v>#DIV/0!</v>
      </c>
      <c r="E230" s="10" t="e">
        <f t="shared" si="120"/>
        <v>#DIV/0!</v>
      </c>
      <c r="F230" s="287"/>
      <c r="G230" s="287"/>
      <c r="H230" s="287"/>
      <c r="I230" s="10" t="e">
        <f t="shared" si="120"/>
        <v>#DIV/0!</v>
      </c>
      <c r="J230" s="10" t="e">
        <f t="shared" si="120"/>
        <v>#DIV/0!</v>
      </c>
      <c r="K230" s="10" t="e">
        <f t="shared" si="120"/>
        <v>#DIV/0!</v>
      </c>
      <c r="L230" s="10" t="e">
        <f t="shared" si="120"/>
        <v>#DIV/0!</v>
      </c>
      <c r="M230" s="10" t="e">
        <f t="shared" si="120"/>
        <v>#DIV/0!</v>
      </c>
      <c r="N230" s="10" t="e">
        <f t="shared" si="120"/>
        <v>#DIV/0!</v>
      </c>
      <c r="O230" s="10" t="e">
        <f t="shared" si="120"/>
        <v>#DIV/0!</v>
      </c>
      <c r="P230" s="10" t="e">
        <f t="shared" si="108"/>
        <v>#DIV/0!</v>
      </c>
      <c r="Q230" s="157" t="e">
        <f t="shared" si="111"/>
        <v>#DIV/0!</v>
      </c>
    </row>
    <row r="231" spans="1:17" ht="15" x14ac:dyDescent="0.35">
      <c r="C231" s="11" t="e">
        <f t="shared" ref="C231:P231" si="121">SUM(C219:C230)</f>
        <v>#DIV/0!</v>
      </c>
      <c r="D231" s="11" t="e">
        <f t="shared" si="121"/>
        <v>#DIV/0!</v>
      </c>
      <c r="E231" s="11" t="e">
        <f t="shared" si="121"/>
        <v>#DIV/0!</v>
      </c>
      <c r="F231" s="288"/>
      <c r="G231" s="288"/>
      <c r="H231" s="288"/>
      <c r="I231" s="11" t="e">
        <f t="shared" si="121"/>
        <v>#DIV/0!</v>
      </c>
      <c r="J231" s="11" t="e">
        <f t="shared" si="121"/>
        <v>#DIV/0!</v>
      </c>
      <c r="K231" s="11" t="e">
        <f t="shared" si="121"/>
        <v>#DIV/0!</v>
      </c>
      <c r="L231" s="11" t="e">
        <f t="shared" si="121"/>
        <v>#DIV/0!</v>
      </c>
      <c r="M231" s="11" t="e">
        <f t="shared" si="121"/>
        <v>#DIV/0!</v>
      </c>
      <c r="N231" s="11" t="e">
        <f t="shared" si="121"/>
        <v>#DIV/0!</v>
      </c>
      <c r="O231" s="11" t="e">
        <f t="shared" si="121"/>
        <v>#DIV/0!</v>
      </c>
      <c r="P231" s="11" t="e">
        <f t="shared" si="121"/>
        <v>#DIV/0!</v>
      </c>
    </row>
    <row r="232" spans="1:17" ht="15" x14ac:dyDescent="0.35">
      <c r="C232" s="15"/>
      <c r="D232" s="15"/>
      <c r="E232" s="15"/>
      <c r="F232" s="275"/>
      <c r="G232" s="275"/>
      <c r="H232" s="275"/>
      <c r="I232" s="15"/>
      <c r="J232" s="15"/>
      <c r="K232" s="15"/>
      <c r="L232" s="15"/>
      <c r="M232" s="15"/>
      <c r="N232" s="15"/>
      <c r="O232" s="15"/>
    </row>
    <row r="233" spans="1:17" ht="15" x14ac:dyDescent="0.35">
      <c r="C233" s="15"/>
      <c r="D233" s="15"/>
      <c r="E233" s="15"/>
      <c r="F233" s="275"/>
      <c r="G233" s="275"/>
      <c r="H233" s="275"/>
      <c r="I233" s="15"/>
      <c r="J233" s="15"/>
      <c r="K233" s="15"/>
      <c r="L233" s="15"/>
      <c r="M233" s="15"/>
      <c r="N233" s="15"/>
      <c r="O233" s="15"/>
    </row>
    <row r="234" spans="1:17" x14ac:dyDescent="0.2">
      <c r="A234" s="3" t="s">
        <v>53</v>
      </c>
    </row>
    <row r="235" spans="1:17" x14ac:dyDescent="0.2">
      <c r="A235" s="63" t="s">
        <v>181</v>
      </c>
      <c r="C235" s="9">
        <f t="shared" ref="C235:O235" si="122">+C168*C73</f>
        <v>10523.872242029693</v>
      </c>
      <c r="D235" s="9">
        <f t="shared" si="122"/>
        <v>0</v>
      </c>
      <c r="E235" s="9">
        <f t="shared" si="122"/>
        <v>27832.331167370743</v>
      </c>
      <c r="F235" s="286"/>
      <c r="G235" s="286"/>
      <c r="H235" s="286"/>
      <c r="I235" s="9">
        <f t="shared" si="122"/>
        <v>15948.97419739802</v>
      </c>
      <c r="J235" s="9">
        <f t="shared" si="122"/>
        <v>1974.7392645991488</v>
      </c>
      <c r="K235" s="9">
        <f t="shared" si="122"/>
        <v>-4066.4287794350385</v>
      </c>
      <c r="L235" s="9">
        <f t="shared" si="122"/>
        <v>11907.703765548766</v>
      </c>
      <c r="M235" s="9">
        <f t="shared" si="122"/>
        <v>5411.5672654036289</v>
      </c>
      <c r="N235" s="9">
        <f t="shared" si="122"/>
        <v>1461.1112504259597</v>
      </c>
      <c r="O235" s="9">
        <f t="shared" si="122"/>
        <v>0</v>
      </c>
      <c r="P235" s="9">
        <f t="shared" ref="P235:P246" si="123">SUM(C235:O235)</f>
        <v>70993.87037334092</v>
      </c>
    </row>
    <row r="236" spans="1:17" x14ac:dyDescent="0.2">
      <c r="A236" t="s">
        <v>148</v>
      </c>
      <c r="C236" s="9">
        <f t="shared" ref="C236:O236" si="124">+C169*C74</f>
        <v>7249.0842556706093</v>
      </c>
      <c r="D236" s="9">
        <f t="shared" si="124"/>
        <v>0</v>
      </c>
      <c r="E236" s="9">
        <f t="shared" si="124"/>
        <v>30156.030785612635</v>
      </c>
      <c r="F236" s="286"/>
      <c r="G236" s="286"/>
      <c r="H236" s="286"/>
      <c r="I236" s="9">
        <f t="shared" si="124"/>
        <v>15546.030394611431</v>
      </c>
      <c r="J236" s="9">
        <f t="shared" si="124"/>
        <v>1335.947197558824</v>
      </c>
      <c r="K236" s="9">
        <f t="shared" si="124"/>
        <v>-3117.8609416505092</v>
      </c>
      <c r="L236" s="9">
        <f t="shared" si="124"/>
        <v>6326.2401957841266</v>
      </c>
      <c r="M236" s="9">
        <f t="shared" si="124"/>
        <v>4709.238026228255</v>
      </c>
      <c r="N236" s="9">
        <f t="shared" si="124"/>
        <v>1048.5837576603337</v>
      </c>
      <c r="O236" s="9">
        <f t="shared" si="124"/>
        <v>0</v>
      </c>
      <c r="P236" s="9">
        <f t="shared" si="123"/>
        <v>63253.293671475709</v>
      </c>
      <c r="Q236" s="157">
        <f>+P236+P235</f>
        <v>134247.16404481663</v>
      </c>
    </row>
    <row r="237" spans="1:17" x14ac:dyDescent="0.2">
      <c r="A237" t="s">
        <v>149</v>
      </c>
      <c r="C237" s="9">
        <f t="shared" ref="C237:O237" si="125">+C170*C75</f>
        <v>8156.2479766553352</v>
      </c>
      <c r="D237" s="9">
        <f t="shared" si="125"/>
        <v>0</v>
      </c>
      <c r="E237" s="9">
        <f t="shared" si="125"/>
        <v>29774.590092199833</v>
      </c>
      <c r="F237" s="286"/>
      <c r="G237" s="286"/>
      <c r="H237" s="286"/>
      <c r="I237" s="9">
        <f t="shared" si="125"/>
        <v>15999.760217953131</v>
      </c>
      <c r="J237" s="9">
        <f t="shared" si="125"/>
        <v>1226.6598890076098</v>
      </c>
      <c r="K237" s="9">
        <f t="shared" si="125"/>
        <v>-3391.7295839085905</v>
      </c>
      <c r="L237" s="9">
        <f t="shared" si="125"/>
        <v>1990.891613179454</v>
      </c>
      <c r="M237" s="9">
        <f t="shared" si="125"/>
        <v>3237.9006974181762</v>
      </c>
      <c r="N237" s="9">
        <f t="shared" si="125"/>
        <v>630.15409060924537</v>
      </c>
      <c r="O237" s="9">
        <f t="shared" si="125"/>
        <v>0</v>
      </c>
      <c r="P237" s="9">
        <f t="shared" si="123"/>
        <v>57624.4749931142</v>
      </c>
      <c r="Q237" s="157">
        <f>+P237+Q236</f>
        <v>191871.63903793081</v>
      </c>
    </row>
    <row r="238" spans="1:17" x14ac:dyDescent="0.2">
      <c r="A238" t="s">
        <v>150</v>
      </c>
      <c r="C238" s="9">
        <f t="shared" ref="C238:O238" si="126">+C171*C76</f>
        <v>7211.0679202383017</v>
      </c>
      <c r="D238" s="9">
        <f t="shared" si="126"/>
        <v>0</v>
      </c>
      <c r="E238" s="9">
        <f t="shared" si="126"/>
        <v>20700.053053797823</v>
      </c>
      <c r="F238" s="286"/>
      <c r="G238" s="286"/>
      <c r="H238" s="286"/>
      <c r="I238" s="9">
        <f t="shared" si="126"/>
        <v>12986.305621551768</v>
      </c>
      <c r="J238" s="9">
        <f t="shared" si="126"/>
        <v>1157.8928925177347</v>
      </c>
      <c r="K238" s="9">
        <f t="shared" si="126"/>
        <v>-3057.7174761669476</v>
      </c>
      <c r="L238" s="9">
        <f t="shared" si="126"/>
        <v>1049.9756246578115</v>
      </c>
      <c r="M238" s="9">
        <f t="shared" si="126"/>
        <v>3133.3592112569404</v>
      </c>
      <c r="N238" s="9">
        <f t="shared" si="126"/>
        <v>332.8489461028982</v>
      </c>
      <c r="O238" s="9">
        <f t="shared" si="126"/>
        <v>0</v>
      </c>
      <c r="P238" s="9">
        <f t="shared" si="123"/>
        <v>43513.785793956326</v>
      </c>
      <c r="Q238" s="157">
        <f t="shared" ref="Q238:Q246" si="127">+P238+Q237</f>
        <v>235385.42483188713</v>
      </c>
    </row>
    <row r="239" spans="1:17" x14ac:dyDescent="0.2">
      <c r="A239" t="s">
        <v>151</v>
      </c>
      <c r="C239" s="9">
        <f t="shared" ref="C239:O239" si="128">+C172*C77</f>
        <v>-1165.1338373754049</v>
      </c>
      <c r="D239" s="9">
        <f t="shared" si="128"/>
        <v>0</v>
      </c>
      <c r="E239" s="9">
        <f t="shared" si="128"/>
        <v>12838.481323944983</v>
      </c>
      <c r="F239" s="286"/>
      <c r="G239" s="286"/>
      <c r="H239" s="286"/>
      <c r="I239" s="9">
        <f t="shared" si="128"/>
        <v>9939.3130849048248</v>
      </c>
      <c r="J239" s="9">
        <f t="shared" si="128"/>
        <v>1275.4738932111486</v>
      </c>
      <c r="K239" s="9">
        <f t="shared" si="128"/>
        <v>-3691.2190445826473</v>
      </c>
      <c r="L239" s="9">
        <f t="shared" si="128"/>
        <v>924.16631168657682</v>
      </c>
      <c r="M239" s="9">
        <f t="shared" si="128"/>
        <v>3125.3915124505288</v>
      </c>
      <c r="N239" s="9">
        <f t="shared" si="128"/>
        <v>380.76031113741976</v>
      </c>
      <c r="O239" s="9">
        <f t="shared" si="128"/>
        <v>0</v>
      </c>
      <c r="P239" s="9">
        <f t="shared" si="123"/>
        <v>23627.233555377428</v>
      </c>
      <c r="Q239" s="157">
        <f t="shared" si="127"/>
        <v>259012.65838726456</v>
      </c>
    </row>
    <row r="240" spans="1:17" x14ac:dyDescent="0.2">
      <c r="A240" t="s">
        <v>152</v>
      </c>
      <c r="C240" s="9">
        <f t="shared" ref="C240:O240" si="129">+C173*C78</f>
        <v>-586.73385924019351</v>
      </c>
      <c r="D240" s="9">
        <f t="shared" si="129"/>
        <v>0</v>
      </c>
      <c r="E240" s="9">
        <f t="shared" si="129"/>
        <v>9076.0644136636984</v>
      </c>
      <c r="F240" s="286"/>
      <c r="G240" s="286"/>
      <c r="H240" s="286"/>
      <c r="I240" s="9">
        <f t="shared" si="129"/>
        <v>9988.7082301244227</v>
      </c>
      <c r="J240" s="9">
        <f t="shared" si="129"/>
        <v>1318.10290231359</v>
      </c>
      <c r="K240" s="9">
        <f t="shared" si="129"/>
        <v>-2784.8381007847456</v>
      </c>
      <c r="L240" s="9">
        <f t="shared" si="129"/>
        <v>1282.6044698076716</v>
      </c>
      <c r="M240" s="9">
        <f t="shared" si="129"/>
        <v>2846.9984530612332</v>
      </c>
      <c r="N240" s="9">
        <f t="shared" si="129"/>
        <v>647.66498867236942</v>
      </c>
      <c r="O240" s="9">
        <f t="shared" si="129"/>
        <v>0</v>
      </c>
      <c r="P240" s="9">
        <f t="shared" si="123"/>
        <v>21788.571497618046</v>
      </c>
      <c r="Q240" s="157">
        <f t="shared" si="127"/>
        <v>280801.22988488257</v>
      </c>
    </row>
    <row r="241" spans="1:19" x14ac:dyDescent="0.2">
      <c r="A241" t="s">
        <v>7</v>
      </c>
      <c r="C241" s="9">
        <f t="shared" ref="C241:O241" si="130">+C174*C79</f>
        <v>2815.9567028431884</v>
      </c>
      <c r="D241" s="9">
        <f t="shared" si="130"/>
        <v>0</v>
      </c>
      <c r="E241" s="9">
        <f t="shared" si="130"/>
        <v>10131.8515871415</v>
      </c>
      <c r="F241" s="286"/>
      <c r="G241" s="286"/>
      <c r="H241" s="286"/>
      <c r="I241" s="9">
        <f t="shared" si="130"/>
        <v>11797.504924672583</v>
      </c>
      <c r="J241" s="9">
        <f t="shared" si="130"/>
        <v>1491.6058820909373</v>
      </c>
      <c r="K241" s="9">
        <f t="shared" si="130"/>
        <v>-3197.35470128823</v>
      </c>
      <c r="L241" s="9">
        <f t="shared" si="130"/>
        <v>1435.8863520707202</v>
      </c>
      <c r="M241" s="9">
        <f t="shared" si="130"/>
        <v>5082.8246209310064</v>
      </c>
      <c r="N241" s="9">
        <f t="shared" si="130"/>
        <v>454.0411200057016</v>
      </c>
      <c r="O241" s="9">
        <f t="shared" si="130"/>
        <v>0</v>
      </c>
      <c r="P241" s="9">
        <f t="shared" si="123"/>
        <v>30012.316488467408</v>
      </c>
      <c r="Q241" s="157">
        <f t="shared" si="127"/>
        <v>310813.54637334996</v>
      </c>
    </row>
    <row r="242" spans="1:19" x14ac:dyDescent="0.2">
      <c r="A242" s="63" t="s">
        <v>182</v>
      </c>
      <c r="C242" s="9">
        <f t="shared" ref="C242:O242" si="131">+C175*C80</f>
        <v>2524.1606486696605</v>
      </c>
      <c r="D242" s="9">
        <f t="shared" si="131"/>
        <v>0</v>
      </c>
      <c r="E242" s="9">
        <f t="shared" si="131"/>
        <v>11307.381855060517</v>
      </c>
      <c r="F242" s="286"/>
      <c r="G242" s="286"/>
      <c r="H242" s="286"/>
      <c r="I242" s="9">
        <f t="shared" si="131"/>
        <v>14179.172654830447</v>
      </c>
      <c r="J242" s="9">
        <f t="shared" si="131"/>
        <v>1738.3860553135303</v>
      </c>
      <c r="K242" s="9">
        <f t="shared" si="131"/>
        <v>-3381.4116079659639</v>
      </c>
      <c r="L242" s="9">
        <f t="shared" si="131"/>
        <v>2017.1016111962281</v>
      </c>
      <c r="M242" s="9">
        <f t="shared" si="131"/>
        <v>4839.2064842475984</v>
      </c>
      <c r="N242" s="9">
        <f t="shared" si="131"/>
        <v>286.22976179371477</v>
      </c>
      <c r="O242" s="9">
        <f t="shared" si="131"/>
        <v>0</v>
      </c>
      <c r="P242" s="9">
        <f t="shared" si="123"/>
        <v>33510.227463145733</v>
      </c>
      <c r="Q242" s="157">
        <f t="shared" si="127"/>
        <v>344323.7738364957</v>
      </c>
    </row>
    <row r="243" spans="1:19" x14ac:dyDescent="0.2">
      <c r="A243" t="s">
        <v>10</v>
      </c>
      <c r="C243" s="9">
        <f t="shared" ref="C243:O243" si="132">+C176*C81</f>
        <v>2908.5850053523136</v>
      </c>
      <c r="D243" s="9">
        <f t="shared" si="132"/>
        <v>0</v>
      </c>
      <c r="E243" s="9">
        <f t="shared" si="132"/>
        <v>12918.603137061758</v>
      </c>
      <c r="F243" s="286"/>
      <c r="G243" s="286"/>
      <c r="H243" s="286"/>
      <c r="I243" s="9">
        <f t="shared" si="132"/>
        <v>10641.35389355117</v>
      </c>
      <c r="J243" s="9">
        <f t="shared" si="132"/>
        <v>1591.7702960748095</v>
      </c>
      <c r="K243" s="9">
        <f t="shared" si="132"/>
        <v>-2967.7847462078348</v>
      </c>
      <c r="L243" s="9">
        <f t="shared" si="132"/>
        <v>1506.5982069124029</v>
      </c>
      <c r="M243" s="9">
        <f t="shared" si="132"/>
        <v>4201.0911538903538</v>
      </c>
      <c r="N243" s="9">
        <f t="shared" si="132"/>
        <v>344.05487898239977</v>
      </c>
      <c r="O243" s="9">
        <f t="shared" si="132"/>
        <v>0</v>
      </c>
      <c r="P243" s="9">
        <f t="shared" si="123"/>
        <v>31144.271825617372</v>
      </c>
      <c r="Q243" s="157">
        <f t="shared" si="127"/>
        <v>375468.04566211306</v>
      </c>
    </row>
    <row r="244" spans="1:19" x14ac:dyDescent="0.2">
      <c r="A244" t="s">
        <v>8</v>
      </c>
      <c r="C244" s="9">
        <f t="shared" ref="C244:O244" si="133">+C177*C82</f>
        <v>2749.289862237737</v>
      </c>
      <c r="D244" s="9">
        <f t="shared" si="133"/>
        <v>0</v>
      </c>
      <c r="E244" s="9">
        <f t="shared" si="133"/>
        <v>15824.389963095522</v>
      </c>
      <c r="F244" s="286"/>
      <c r="G244" s="286"/>
      <c r="H244" s="286"/>
      <c r="I244" s="9">
        <f t="shared" si="133"/>
        <v>11786.417196344777</v>
      </c>
      <c r="J244" s="9">
        <f t="shared" si="133"/>
        <v>2231.1328464419248</v>
      </c>
      <c r="K244" s="9">
        <f t="shared" si="133"/>
        <v>-3818.523763619562</v>
      </c>
      <c r="L244" s="9">
        <f t="shared" si="133"/>
        <v>2803.5260917692603</v>
      </c>
      <c r="M244" s="9">
        <f t="shared" si="133"/>
        <v>5504.6467962244888</v>
      </c>
      <c r="N244" s="9">
        <f t="shared" si="133"/>
        <v>400.09546671528699</v>
      </c>
      <c r="O244" s="9">
        <f t="shared" si="133"/>
        <v>0</v>
      </c>
      <c r="P244" s="9">
        <f t="shared" si="123"/>
        <v>37480.974459209428</v>
      </c>
      <c r="Q244" s="157">
        <f t="shared" si="127"/>
        <v>412949.02012132248</v>
      </c>
    </row>
    <row r="245" spans="1:19" x14ac:dyDescent="0.2">
      <c r="A245" t="s">
        <v>9</v>
      </c>
      <c r="C245" s="9">
        <f t="shared" ref="C245:O245" si="134">+C178*C83</f>
        <v>3024.7297200926359</v>
      </c>
      <c r="D245" s="9">
        <f t="shared" si="134"/>
        <v>0</v>
      </c>
      <c r="E245" s="9">
        <f t="shared" si="134"/>
        <v>20164.258855950353</v>
      </c>
      <c r="F245" s="286"/>
      <c r="G245" s="286"/>
      <c r="H245" s="286"/>
      <c r="I245" s="9">
        <f t="shared" si="134"/>
        <v>15164.192121153048</v>
      </c>
      <c r="J245" s="9">
        <f t="shared" si="134"/>
        <v>2356.1409073539644</v>
      </c>
      <c r="K245" s="9">
        <f t="shared" si="134"/>
        <v>-4272.4037883537076</v>
      </c>
      <c r="L245" s="9">
        <f t="shared" si="134"/>
        <v>3854.5219922981496</v>
      </c>
      <c r="M245" s="9">
        <f t="shared" si="134"/>
        <v>6599.5261197025311</v>
      </c>
      <c r="N245" s="9">
        <f t="shared" si="134"/>
        <v>523.49406016546595</v>
      </c>
      <c r="O245" s="9">
        <f t="shared" si="134"/>
        <v>0</v>
      </c>
      <c r="P245" s="9">
        <f t="shared" si="123"/>
        <v>47414.45998836244</v>
      </c>
      <c r="Q245" s="157">
        <f t="shared" si="127"/>
        <v>460363.48010968493</v>
      </c>
    </row>
    <row r="246" spans="1:19" ht="15" x14ac:dyDescent="0.35">
      <c r="A246" t="s">
        <v>2</v>
      </c>
      <c r="C246" s="10">
        <f t="shared" ref="C246:O246" si="135">+C179*C84</f>
        <v>1289.8618005789576</v>
      </c>
      <c r="D246" s="10">
        <f t="shared" si="135"/>
        <v>0</v>
      </c>
      <c r="E246" s="10">
        <f t="shared" si="135"/>
        <v>16950.530421462328</v>
      </c>
      <c r="F246" s="287"/>
      <c r="G246" s="287"/>
      <c r="H246" s="287"/>
      <c r="I246" s="10">
        <f t="shared" si="135"/>
        <v>12142.769378262765</v>
      </c>
      <c r="J246" s="10">
        <f t="shared" si="135"/>
        <v>1346.9067357220633</v>
      </c>
      <c r="K246" s="10">
        <f t="shared" si="135"/>
        <v>-3032.2936198704647</v>
      </c>
      <c r="L246" s="10">
        <f t="shared" si="135"/>
        <v>3033.4195919293602</v>
      </c>
      <c r="M246" s="10">
        <f t="shared" si="135"/>
        <v>5439.3190022392582</v>
      </c>
      <c r="N246" s="10">
        <f t="shared" si="135"/>
        <v>620.55626408067076</v>
      </c>
      <c r="O246" s="10">
        <f t="shared" si="135"/>
        <v>0</v>
      </c>
      <c r="P246" s="10">
        <f t="shared" si="123"/>
        <v>37791.06957440493</v>
      </c>
      <c r="Q246" s="157">
        <f t="shared" si="127"/>
        <v>498154.54968408984</v>
      </c>
    </row>
    <row r="247" spans="1:19" ht="15" x14ac:dyDescent="0.35">
      <c r="C247" s="11">
        <f t="shared" ref="C247:P247" si="136">SUM(C235:C246)</f>
        <v>46700.988437752836</v>
      </c>
      <c r="D247" s="11">
        <f t="shared" si="136"/>
        <v>0</v>
      </c>
      <c r="E247" s="11">
        <f t="shared" si="136"/>
        <v>217674.56665636168</v>
      </c>
      <c r="F247" s="288"/>
      <c r="G247" s="288"/>
      <c r="H247" s="288"/>
      <c r="I247" s="11">
        <f t="shared" si="136"/>
        <v>156120.50191535841</v>
      </c>
      <c r="J247" s="11">
        <f t="shared" si="136"/>
        <v>19044.758762205289</v>
      </c>
      <c r="K247" s="11">
        <f t="shared" si="136"/>
        <v>-40779.566153834239</v>
      </c>
      <c r="L247" s="11">
        <f t="shared" si="136"/>
        <v>38132.635826840538</v>
      </c>
      <c r="M247" s="11">
        <f t="shared" si="136"/>
        <v>54131.069343053998</v>
      </c>
      <c r="N247" s="11">
        <f t="shared" si="136"/>
        <v>7129.5948963514666</v>
      </c>
      <c r="O247" s="11">
        <f t="shared" si="136"/>
        <v>0</v>
      </c>
      <c r="P247" s="11">
        <f t="shared" si="136"/>
        <v>498154.54968408984</v>
      </c>
      <c r="Q247" s="11"/>
      <c r="S247" s="63"/>
    </row>
    <row r="248" spans="1:19" ht="15" x14ac:dyDescent="0.35">
      <c r="C248" s="11"/>
      <c r="D248" s="11"/>
      <c r="E248" s="11"/>
      <c r="F248" s="288"/>
      <c r="G248" s="288"/>
      <c r="H248" s="288"/>
      <c r="I248" s="11"/>
      <c r="J248" s="11"/>
      <c r="K248" s="11"/>
      <c r="L248" s="11"/>
      <c r="M248" s="11"/>
      <c r="N248" s="11"/>
      <c r="O248" s="11"/>
      <c r="P248" s="11"/>
      <c r="Q248" s="11"/>
      <c r="S248" s="63"/>
    </row>
    <row r="249" spans="1:19" x14ac:dyDescent="0.2">
      <c r="A249" s="63" t="s">
        <v>183</v>
      </c>
      <c r="C249" s="9" t="e">
        <f>+C184*C85</f>
        <v>#DIV/0!</v>
      </c>
      <c r="D249" s="9" t="e">
        <f t="shared" ref="D249:O249" si="137">+D184*D85</f>
        <v>#DIV/0!</v>
      </c>
      <c r="E249" s="9" t="e">
        <f t="shared" si="137"/>
        <v>#DIV/0!</v>
      </c>
      <c r="F249" s="286"/>
      <c r="G249" s="286"/>
      <c r="H249" s="286"/>
      <c r="I249" s="9" t="e">
        <f t="shared" si="137"/>
        <v>#DIV/0!</v>
      </c>
      <c r="J249" s="9" t="e">
        <f t="shared" si="137"/>
        <v>#DIV/0!</v>
      </c>
      <c r="K249" s="9" t="e">
        <f t="shared" si="137"/>
        <v>#DIV/0!</v>
      </c>
      <c r="L249" s="9" t="e">
        <f t="shared" si="137"/>
        <v>#DIV/0!</v>
      </c>
      <c r="M249" s="9" t="e">
        <f t="shared" si="137"/>
        <v>#DIV/0!</v>
      </c>
      <c r="N249" s="9" t="e">
        <f t="shared" si="137"/>
        <v>#DIV/0!</v>
      </c>
      <c r="O249" s="9" t="e">
        <f t="shared" si="137"/>
        <v>#DIV/0!</v>
      </c>
      <c r="P249" s="9" t="e">
        <f t="shared" ref="P249:P260" si="138">SUM(C249:O249)</f>
        <v>#DIV/0!</v>
      </c>
      <c r="Q249" s="157" t="e">
        <f>+P249+Q246</f>
        <v>#DIV/0!</v>
      </c>
      <c r="S249" s="63"/>
    </row>
    <row r="250" spans="1:19" x14ac:dyDescent="0.2">
      <c r="A250" t="s">
        <v>148</v>
      </c>
      <c r="C250" s="9" t="e">
        <f t="shared" ref="C250:O250" si="139">+C185*C86</f>
        <v>#DIV/0!</v>
      </c>
      <c r="D250" s="9" t="e">
        <f t="shared" si="139"/>
        <v>#DIV/0!</v>
      </c>
      <c r="E250" s="9" t="e">
        <f t="shared" si="139"/>
        <v>#DIV/0!</v>
      </c>
      <c r="F250" s="286"/>
      <c r="G250" s="286"/>
      <c r="H250" s="286"/>
      <c r="I250" s="9" t="e">
        <f t="shared" si="139"/>
        <v>#DIV/0!</v>
      </c>
      <c r="J250" s="9" t="e">
        <f t="shared" si="139"/>
        <v>#DIV/0!</v>
      </c>
      <c r="K250" s="9" t="e">
        <f t="shared" si="139"/>
        <v>#DIV/0!</v>
      </c>
      <c r="L250" s="9" t="e">
        <f t="shared" si="139"/>
        <v>#DIV/0!</v>
      </c>
      <c r="M250" s="9" t="e">
        <f t="shared" si="139"/>
        <v>#DIV/0!</v>
      </c>
      <c r="N250" s="9" t="e">
        <f t="shared" si="139"/>
        <v>#DIV/0!</v>
      </c>
      <c r="O250" s="9" t="e">
        <f t="shared" si="139"/>
        <v>#DIV/0!</v>
      </c>
      <c r="P250" s="9" t="e">
        <f t="shared" si="138"/>
        <v>#DIV/0!</v>
      </c>
      <c r="Q250" s="157" t="e">
        <f>+P250+Q249</f>
        <v>#DIV/0!</v>
      </c>
      <c r="S250" s="63"/>
    </row>
    <row r="251" spans="1:19" x14ac:dyDescent="0.2">
      <c r="A251" t="s">
        <v>149</v>
      </c>
      <c r="C251" s="9" t="e">
        <f t="shared" ref="C251:O251" si="140">+C186*C87</f>
        <v>#DIV/0!</v>
      </c>
      <c r="D251" s="9" t="e">
        <f t="shared" si="140"/>
        <v>#DIV/0!</v>
      </c>
      <c r="E251" s="9" t="e">
        <f t="shared" si="140"/>
        <v>#DIV/0!</v>
      </c>
      <c r="F251" s="286"/>
      <c r="G251" s="286"/>
      <c r="H251" s="286"/>
      <c r="I251" s="9" t="e">
        <f t="shared" si="140"/>
        <v>#DIV/0!</v>
      </c>
      <c r="J251" s="9" t="e">
        <f t="shared" si="140"/>
        <v>#DIV/0!</v>
      </c>
      <c r="K251" s="9" t="e">
        <f t="shared" si="140"/>
        <v>#DIV/0!</v>
      </c>
      <c r="L251" s="9" t="e">
        <f t="shared" si="140"/>
        <v>#DIV/0!</v>
      </c>
      <c r="M251" s="9" t="e">
        <f t="shared" si="140"/>
        <v>#DIV/0!</v>
      </c>
      <c r="N251" s="9" t="e">
        <f t="shared" si="140"/>
        <v>#DIV/0!</v>
      </c>
      <c r="O251" s="9" t="e">
        <f t="shared" si="140"/>
        <v>#DIV/0!</v>
      </c>
      <c r="P251" s="9" t="e">
        <f t="shared" si="138"/>
        <v>#DIV/0!</v>
      </c>
      <c r="Q251" s="157" t="e">
        <f t="shared" ref="Q251:Q260" si="141">+P251+Q250</f>
        <v>#DIV/0!</v>
      </c>
      <c r="S251" s="63"/>
    </row>
    <row r="252" spans="1:19" x14ac:dyDescent="0.2">
      <c r="A252" t="s">
        <v>150</v>
      </c>
      <c r="C252" s="9" t="e">
        <f t="shared" ref="C252:O252" si="142">+C187*C88</f>
        <v>#DIV/0!</v>
      </c>
      <c r="D252" s="9" t="e">
        <f t="shared" si="142"/>
        <v>#DIV/0!</v>
      </c>
      <c r="E252" s="9" t="e">
        <f t="shared" si="142"/>
        <v>#DIV/0!</v>
      </c>
      <c r="F252" s="286"/>
      <c r="G252" s="286"/>
      <c r="H252" s="286"/>
      <c r="I252" s="9" t="e">
        <f t="shared" si="142"/>
        <v>#DIV/0!</v>
      </c>
      <c r="J252" s="9" t="e">
        <f t="shared" si="142"/>
        <v>#DIV/0!</v>
      </c>
      <c r="K252" s="9" t="e">
        <f t="shared" si="142"/>
        <v>#DIV/0!</v>
      </c>
      <c r="L252" s="9" t="e">
        <f t="shared" si="142"/>
        <v>#DIV/0!</v>
      </c>
      <c r="M252" s="9" t="e">
        <f t="shared" si="142"/>
        <v>#DIV/0!</v>
      </c>
      <c r="N252" s="9" t="e">
        <f t="shared" si="142"/>
        <v>#DIV/0!</v>
      </c>
      <c r="O252" s="9" t="e">
        <f t="shared" si="142"/>
        <v>#DIV/0!</v>
      </c>
      <c r="P252" s="9" t="e">
        <f t="shared" si="138"/>
        <v>#DIV/0!</v>
      </c>
      <c r="Q252" s="157" t="e">
        <f t="shared" si="141"/>
        <v>#DIV/0!</v>
      </c>
      <c r="S252" s="63"/>
    </row>
    <row r="253" spans="1:19" x14ac:dyDescent="0.2">
      <c r="A253" t="s">
        <v>151</v>
      </c>
      <c r="C253" s="9" t="e">
        <f t="shared" ref="C253:O253" si="143">+C188*C89</f>
        <v>#DIV/0!</v>
      </c>
      <c r="D253" s="9" t="e">
        <f t="shared" si="143"/>
        <v>#DIV/0!</v>
      </c>
      <c r="E253" s="9" t="e">
        <f t="shared" si="143"/>
        <v>#DIV/0!</v>
      </c>
      <c r="F253" s="286"/>
      <c r="G253" s="286"/>
      <c r="H253" s="286"/>
      <c r="I253" s="9" t="e">
        <f t="shared" si="143"/>
        <v>#DIV/0!</v>
      </c>
      <c r="J253" s="9" t="e">
        <f t="shared" si="143"/>
        <v>#DIV/0!</v>
      </c>
      <c r="K253" s="9" t="e">
        <f t="shared" si="143"/>
        <v>#DIV/0!</v>
      </c>
      <c r="L253" s="9" t="e">
        <f t="shared" si="143"/>
        <v>#DIV/0!</v>
      </c>
      <c r="M253" s="9" t="e">
        <f t="shared" si="143"/>
        <v>#DIV/0!</v>
      </c>
      <c r="N253" s="9" t="e">
        <f t="shared" si="143"/>
        <v>#DIV/0!</v>
      </c>
      <c r="O253" s="9" t="e">
        <f t="shared" si="143"/>
        <v>#DIV/0!</v>
      </c>
      <c r="P253" s="9" t="e">
        <f t="shared" si="138"/>
        <v>#DIV/0!</v>
      </c>
      <c r="Q253" s="157" t="e">
        <f t="shared" si="141"/>
        <v>#DIV/0!</v>
      </c>
      <c r="S253" s="63"/>
    </row>
    <row r="254" spans="1:19" x14ac:dyDescent="0.2">
      <c r="A254" t="s">
        <v>152</v>
      </c>
      <c r="C254" s="9" t="e">
        <f t="shared" ref="C254:O254" si="144">+C189*C90</f>
        <v>#DIV/0!</v>
      </c>
      <c r="D254" s="9" t="e">
        <f t="shared" si="144"/>
        <v>#DIV/0!</v>
      </c>
      <c r="E254" s="9" t="e">
        <f t="shared" si="144"/>
        <v>#DIV/0!</v>
      </c>
      <c r="F254" s="286"/>
      <c r="G254" s="286"/>
      <c r="H254" s="286"/>
      <c r="I254" s="9" t="e">
        <f t="shared" si="144"/>
        <v>#DIV/0!</v>
      </c>
      <c r="J254" s="9" t="e">
        <f t="shared" si="144"/>
        <v>#DIV/0!</v>
      </c>
      <c r="K254" s="9" t="e">
        <f t="shared" si="144"/>
        <v>#DIV/0!</v>
      </c>
      <c r="L254" s="9" t="e">
        <f t="shared" si="144"/>
        <v>#DIV/0!</v>
      </c>
      <c r="M254" s="9" t="e">
        <f t="shared" si="144"/>
        <v>#DIV/0!</v>
      </c>
      <c r="N254" s="9" t="e">
        <f t="shared" si="144"/>
        <v>#DIV/0!</v>
      </c>
      <c r="O254" s="9" t="e">
        <f t="shared" si="144"/>
        <v>#DIV/0!</v>
      </c>
      <c r="P254" s="9" t="e">
        <f t="shared" si="138"/>
        <v>#DIV/0!</v>
      </c>
      <c r="Q254" s="157" t="e">
        <f t="shared" si="141"/>
        <v>#DIV/0!</v>
      </c>
      <c r="S254" s="63"/>
    </row>
    <row r="255" spans="1:19" x14ac:dyDescent="0.2">
      <c r="A255" t="s">
        <v>7</v>
      </c>
      <c r="C255" s="9" t="e">
        <f t="shared" ref="C255:O255" si="145">+C190*C91</f>
        <v>#DIV/0!</v>
      </c>
      <c r="D255" s="9" t="e">
        <f t="shared" si="145"/>
        <v>#DIV/0!</v>
      </c>
      <c r="E255" s="9" t="e">
        <f t="shared" si="145"/>
        <v>#DIV/0!</v>
      </c>
      <c r="F255" s="286"/>
      <c r="G255" s="286"/>
      <c r="H255" s="286"/>
      <c r="I255" s="9" t="e">
        <f t="shared" si="145"/>
        <v>#DIV/0!</v>
      </c>
      <c r="J255" s="9" t="e">
        <f t="shared" si="145"/>
        <v>#DIV/0!</v>
      </c>
      <c r="K255" s="9" t="e">
        <f t="shared" si="145"/>
        <v>#DIV/0!</v>
      </c>
      <c r="L255" s="9" t="e">
        <f t="shared" si="145"/>
        <v>#DIV/0!</v>
      </c>
      <c r="M255" s="9" t="e">
        <f t="shared" si="145"/>
        <v>#DIV/0!</v>
      </c>
      <c r="N255" s="9" t="e">
        <f t="shared" si="145"/>
        <v>#DIV/0!</v>
      </c>
      <c r="O255" s="9" t="e">
        <f t="shared" si="145"/>
        <v>#DIV/0!</v>
      </c>
      <c r="P255" s="9" t="e">
        <f t="shared" si="138"/>
        <v>#DIV/0!</v>
      </c>
      <c r="Q255" s="157" t="e">
        <f t="shared" si="141"/>
        <v>#DIV/0!</v>
      </c>
      <c r="S255" s="63"/>
    </row>
    <row r="256" spans="1:19" x14ac:dyDescent="0.2">
      <c r="A256" s="63" t="s">
        <v>184</v>
      </c>
      <c r="C256" s="9" t="e">
        <f t="shared" ref="C256:O256" si="146">+C191*C92</f>
        <v>#DIV/0!</v>
      </c>
      <c r="D256" s="9" t="e">
        <f t="shared" si="146"/>
        <v>#DIV/0!</v>
      </c>
      <c r="E256" s="9" t="e">
        <f t="shared" si="146"/>
        <v>#DIV/0!</v>
      </c>
      <c r="F256" s="286"/>
      <c r="G256" s="286"/>
      <c r="H256" s="286"/>
      <c r="I256" s="9" t="e">
        <f t="shared" si="146"/>
        <v>#DIV/0!</v>
      </c>
      <c r="J256" s="9" t="e">
        <f t="shared" si="146"/>
        <v>#DIV/0!</v>
      </c>
      <c r="K256" s="9" t="e">
        <f t="shared" si="146"/>
        <v>#DIV/0!</v>
      </c>
      <c r="L256" s="9" t="e">
        <f t="shared" si="146"/>
        <v>#DIV/0!</v>
      </c>
      <c r="M256" s="9" t="e">
        <f t="shared" si="146"/>
        <v>#DIV/0!</v>
      </c>
      <c r="N256" s="9" t="e">
        <f t="shared" si="146"/>
        <v>#DIV/0!</v>
      </c>
      <c r="O256" s="9" t="e">
        <f t="shared" si="146"/>
        <v>#DIV/0!</v>
      </c>
      <c r="P256" s="9" t="e">
        <f t="shared" si="138"/>
        <v>#DIV/0!</v>
      </c>
      <c r="Q256" s="157" t="e">
        <f t="shared" si="141"/>
        <v>#DIV/0!</v>
      </c>
      <c r="S256" s="63"/>
    </row>
    <row r="257" spans="1:19" x14ac:dyDescent="0.2">
      <c r="A257" t="s">
        <v>10</v>
      </c>
      <c r="C257" s="9" t="e">
        <f t="shared" ref="C257:O257" si="147">+C192*C93</f>
        <v>#DIV/0!</v>
      </c>
      <c r="D257" s="9" t="e">
        <f t="shared" si="147"/>
        <v>#DIV/0!</v>
      </c>
      <c r="E257" s="9" t="e">
        <f t="shared" si="147"/>
        <v>#DIV/0!</v>
      </c>
      <c r="F257" s="286"/>
      <c r="G257" s="286"/>
      <c r="H257" s="286"/>
      <c r="I257" s="9" t="e">
        <f t="shared" si="147"/>
        <v>#DIV/0!</v>
      </c>
      <c r="J257" s="9" t="e">
        <f t="shared" si="147"/>
        <v>#DIV/0!</v>
      </c>
      <c r="K257" s="9" t="e">
        <f t="shared" si="147"/>
        <v>#DIV/0!</v>
      </c>
      <c r="L257" s="9" t="e">
        <f t="shared" si="147"/>
        <v>#DIV/0!</v>
      </c>
      <c r="M257" s="9" t="e">
        <f t="shared" si="147"/>
        <v>#DIV/0!</v>
      </c>
      <c r="N257" s="9" t="e">
        <f t="shared" si="147"/>
        <v>#DIV/0!</v>
      </c>
      <c r="O257" s="9" t="e">
        <f t="shared" si="147"/>
        <v>#DIV/0!</v>
      </c>
      <c r="P257" s="9" t="e">
        <f t="shared" si="138"/>
        <v>#DIV/0!</v>
      </c>
      <c r="Q257" s="157" t="e">
        <f t="shared" si="141"/>
        <v>#DIV/0!</v>
      </c>
      <c r="S257" s="63"/>
    </row>
    <row r="258" spans="1:19" x14ac:dyDescent="0.2">
      <c r="A258" t="s">
        <v>8</v>
      </c>
      <c r="C258" s="9" t="e">
        <f t="shared" ref="C258:O258" si="148">+C193*C94</f>
        <v>#DIV/0!</v>
      </c>
      <c r="D258" s="9" t="e">
        <f t="shared" si="148"/>
        <v>#DIV/0!</v>
      </c>
      <c r="E258" s="9" t="e">
        <f t="shared" si="148"/>
        <v>#DIV/0!</v>
      </c>
      <c r="F258" s="286"/>
      <c r="G258" s="286"/>
      <c r="H258" s="286"/>
      <c r="I258" s="9" t="e">
        <f t="shared" si="148"/>
        <v>#DIV/0!</v>
      </c>
      <c r="J258" s="9" t="e">
        <f t="shared" si="148"/>
        <v>#DIV/0!</v>
      </c>
      <c r="K258" s="9" t="e">
        <f t="shared" si="148"/>
        <v>#DIV/0!</v>
      </c>
      <c r="L258" s="9" t="e">
        <f t="shared" si="148"/>
        <v>#DIV/0!</v>
      </c>
      <c r="M258" s="9" t="e">
        <f t="shared" si="148"/>
        <v>#DIV/0!</v>
      </c>
      <c r="N258" s="9" t="e">
        <f t="shared" si="148"/>
        <v>#DIV/0!</v>
      </c>
      <c r="O258" s="9" t="e">
        <f t="shared" si="148"/>
        <v>#DIV/0!</v>
      </c>
      <c r="P258" s="9" t="e">
        <f t="shared" si="138"/>
        <v>#DIV/0!</v>
      </c>
      <c r="Q258" s="157" t="e">
        <f t="shared" si="141"/>
        <v>#DIV/0!</v>
      </c>
      <c r="S258" s="63"/>
    </row>
    <row r="259" spans="1:19" x14ac:dyDescent="0.2">
      <c r="A259" t="s">
        <v>9</v>
      </c>
      <c r="C259" s="9" t="e">
        <f t="shared" ref="C259:O259" si="149">+C194*C95</f>
        <v>#DIV/0!</v>
      </c>
      <c r="D259" s="9" t="e">
        <f t="shared" si="149"/>
        <v>#DIV/0!</v>
      </c>
      <c r="E259" s="9" t="e">
        <f t="shared" si="149"/>
        <v>#DIV/0!</v>
      </c>
      <c r="F259" s="286"/>
      <c r="G259" s="286"/>
      <c r="H259" s="286"/>
      <c r="I259" s="9" t="e">
        <f t="shared" si="149"/>
        <v>#DIV/0!</v>
      </c>
      <c r="J259" s="9" t="e">
        <f t="shared" si="149"/>
        <v>#DIV/0!</v>
      </c>
      <c r="K259" s="9" t="e">
        <f t="shared" si="149"/>
        <v>#DIV/0!</v>
      </c>
      <c r="L259" s="9" t="e">
        <f t="shared" si="149"/>
        <v>#DIV/0!</v>
      </c>
      <c r="M259" s="9" t="e">
        <f t="shared" si="149"/>
        <v>#DIV/0!</v>
      </c>
      <c r="N259" s="9" t="e">
        <f t="shared" si="149"/>
        <v>#DIV/0!</v>
      </c>
      <c r="O259" s="9" t="e">
        <f t="shared" si="149"/>
        <v>#DIV/0!</v>
      </c>
      <c r="P259" s="9" t="e">
        <f t="shared" si="138"/>
        <v>#DIV/0!</v>
      </c>
      <c r="Q259" s="157" t="e">
        <f t="shared" si="141"/>
        <v>#DIV/0!</v>
      </c>
      <c r="S259" s="63"/>
    </row>
    <row r="260" spans="1:19" ht="15" x14ac:dyDescent="0.35">
      <c r="A260" t="s">
        <v>2</v>
      </c>
      <c r="C260" s="10" t="e">
        <f t="shared" ref="C260:O260" si="150">+C195*C96</f>
        <v>#DIV/0!</v>
      </c>
      <c r="D260" s="10" t="e">
        <f t="shared" si="150"/>
        <v>#DIV/0!</v>
      </c>
      <c r="E260" s="10" t="e">
        <f t="shared" si="150"/>
        <v>#DIV/0!</v>
      </c>
      <c r="F260" s="287"/>
      <c r="G260" s="287"/>
      <c r="H260" s="287"/>
      <c r="I260" s="10" t="e">
        <f t="shared" si="150"/>
        <v>#DIV/0!</v>
      </c>
      <c r="J260" s="10" t="e">
        <f t="shared" si="150"/>
        <v>#DIV/0!</v>
      </c>
      <c r="K260" s="10" t="e">
        <f t="shared" si="150"/>
        <v>#DIV/0!</v>
      </c>
      <c r="L260" s="10" t="e">
        <f t="shared" si="150"/>
        <v>#DIV/0!</v>
      </c>
      <c r="M260" s="10" t="e">
        <f t="shared" si="150"/>
        <v>#DIV/0!</v>
      </c>
      <c r="N260" s="10" t="e">
        <f t="shared" si="150"/>
        <v>#DIV/0!</v>
      </c>
      <c r="O260" s="10" t="e">
        <f t="shared" si="150"/>
        <v>#DIV/0!</v>
      </c>
      <c r="P260" s="10" t="e">
        <f t="shared" si="138"/>
        <v>#DIV/0!</v>
      </c>
      <c r="Q260" s="157" t="e">
        <f t="shared" si="141"/>
        <v>#DIV/0!</v>
      </c>
      <c r="S260" s="63"/>
    </row>
    <row r="261" spans="1:19" ht="15" x14ac:dyDescent="0.35">
      <c r="C261" s="11" t="e">
        <f t="shared" ref="C261:P261" si="151">SUM(C249:C260)</f>
        <v>#DIV/0!</v>
      </c>
      <c r="D261" s="11" t="e">
        <f t="shared" si="151"/>
        <v>#DIV/0!</v>
      </c>
      <c r="E261" s="11" t="e">
        <f t="shared" si="151"/>
        <v>#DIV/0!</v>
      </c>
      <c r="F261" s="288"/>
      <c r="G261" s="288"/>
      <c r="H261" s="288"/>
      <c r="I261" s="11" t="e">
        <f t="shared" si="151"/>
        <v>#DIV/0!</v>
      </c>
      <c r="J261" s="11" t="e">
        <f t="shared" si="151"/>
        <v>#DIV/0!</v>
      </c>
      <c r="K261" s="11" t="e">
        <f t="shared" si="151"/>
        <v>#DIV/0!</v>
      </c>
      <c r="L261" s="11" t="e">
        <f t="shared" si="151"/>
        <v>#DIV/0!</v>
      </c>
      <c r="M261" s="11" t="e">
        <f t="shared" si="151"/>
        <v>#DIV/0!</v>
      </c>
      <c r="N261" s="11" t="e">
        <f t="shared" si="151"/>
        <v>#DIV/0!</v>
      </c>
      <c r="O261" s="11" t="e">
        <f t="shared" si="151"/>
        <v>#DIV/0!</v>
      </c>
      <c r="P261" s="11" t="e">
        <f t="shared" si="151"/>
        <v>#DIV/0!</v>
      </c>
      <c r="Q261" s="11"/>
      <c r="S261" s="63"/>
    </row>
    <row r="262" spans="1:19" ht="15" x14ac:dyDescent="0.35">
      <c r="C262" s="11"/>
      <c r="D262" s="11"/>
      <c r="E262" s="11"/>
      <c r="F262" s="288"/>
      <c r="G262" s="288"/>
      <c r="H262" s="288"/>
      <c r="I262" s="11"/>
      <c r="J262" s="11"/>
      <c r="K262" s="11"/>
      <c r="L262" s="11"/>
      <c r="M262" s="11"/>
      <c r="N262" s="11"/>
      <c r="O262" s="11"/>
      <c r="P262" s="11"/>
      <c r="Q262" s="11"/>
      <c r="S262" s="63"/>
    </row>
    <row r="263" spans="1:19" ht="15" x14ac:dyDescent="0.35">
      <c r="C263" s="11"/>
      <c r="D263" s="11"/>
      <c r="E263" s="11"/>
      <c r="F263" s="288"/>
      <c r="G263" s="288"/>
      <c r="H263" s="288"/>
      <c r="I263" s="11"/>
      <c r="J263" s="11"/>
      <c r="K263" s="11"/>
      <c r="L263" s="11"/>
      <c r="M263" s="11"/>
      <c r="N263" s="11"/>
      <c r="O263" s="11"/>
      <c r="P263" s="11"/>
    </row>
    <row r="264" spans="1:19" ht="15" x14ac:dyDescent="0.35">
      <c r="A264" s="128" t="s">
        <v>97</v>
      </c>
      <c r="B264" s="129"/>
      <c r="C264" s="81">
        <f t="shared" ref="C264:P264" si="152">+C247/C180</f>
        <v>46.920005438529422</v>
      </c>
      <c r="D264" s="81" t="e">
        <f t="shared" si="152"/>
        <v>#DIV/0!</v>
      </c>
      <c r="E264" s="81">
        <f t="shared" si="152"/>
        <v>84.27713750628044</v>
      </c>
      <c r="F264" s="289"/>
      <c r="G264" s="289"/>
      <c r="H264" s="289"/>
      <c r="I264" s="81">
        <f t="shared" si="152"/>
        <v>1403.4813798871146</v>
      </c>
      <c r="J264" s="81">
        <f t="shared" si="152"/>
        <v>183.93497053911366</v>
      </c>
      <c r="K264" s="81">
        <f t="shared" si="152"/>
        <v>-59.361096906725813</v>
      </c>
      <c r="L264" s="81">
        <f t="shared" si="152"/>
        <v>186.33709899357291</v>
      </c>
      <c r="M264" s="81">
        <f t="shared" si="152"/>
        <v>1055.0409182769149</v>
      </c>
      <c r="N264" s="81">
        <f t="shared" si="152"/>
        <v>194.30349932204544</v>
      </c>
      <c r="O264" s="81" t="e">
        <f t="shared" si="152"/>
        <v>#DIV/0!</v>
      </c>
      <c r="P264" s="81">
        <f t="shared" si="152"/>
        <v>104.37864896591084</v>
      </c>
    </row>
    <row r="265" spans="1:19" x14ac:dyDescent="0.2">
      <c r="A265" s="129"/>
      <c r="B265" s="129"/>
    </row>
    <row r="266" spans="1:19" x14ac:dyDescent="0.2">
      <c r="C266" s="25"/>
      <c r="D266" s="25"/>
      <c r="E266" s="25"/>
      <c r="F266" s="279"/>
      <c r="G266" s="279"/>
      <c r="H266" s="279"/>
      <c r="I266" s="25"/>
      <c r="J266" s="25"/>
      <c r="K266" s="25"/>
      <c r="L266" s="25"/>
      <c r="M266" s="25"/>
      <c r="N266" s="25"/>
      <c r="O266" s="25"/>
      <c r="P266" s="30"/>
    </row>
  </sheetData>
  <mergeCells count="3">
    <mergeCell ref="C41:O41"/>
    <mergeCell ref="C100:O100"/>
    <mergeCell ref="C201:O20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58"/>
  <sheetViews>
    <sheetView zoomScaleNormal="100" workbookViewId="0">
      <pane xSplit="1" ySplit="2" topLeftCell="J22" activePane="bottomRight" state="frozen"/>
      <selection pane="topRight" activeCell="B1" sqref="B1"/>
      <selection pane="bottomLeft" activeCell="A6" sqref="A6"/>
      <selection pane="bottomRight" activeCell="Z39" sqref="Z39"/>
    </sheetView>
  </sheetViews>
  <sheetFormatPr defaultRowHeight="12.75" x14ac:dyDescent="0.2"/>
  <cols>
    <col min="1" max="1" width="16.85546875" style="84" customWidth="1"/>
    <col min="2" max="2" width="10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9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9" style="84" bestFit="1" customWidth="1"/>
    <col min="23" max="23" width="6.7109375" style="84" customWidth="1"/>
    <col min="24" max="24" width="9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187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299">
        <v>43070</v>
      </c>
      <c r="C4" s="299"/>
      <c r="D4" s="299">
        <v>43101</v>
      </c>
      <c r="E4" s="299"/>
      <c r="F4" s="299">
        <v>43132</v>
      </c>
      <c r="G4" s="299"/>
      <c r="H4" s="299">
        <v>43160</v>
      </c>
      <c r="I4" s="299"/>
      <c r="J4" s="299">
        <v>43191</v>
      </c>
      <c r="K4" s="299"/>
      <c r="L4" s="299">
        <v>43221</v>
      </c>
      <c r="M4" s="299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99" t="s">
        <v>3</v>
      </c>
      <c r="AA4" s="299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35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64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95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65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66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67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7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68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7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93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299">
        <v>44713</v>
      </c>
      <c r="C23" s="299"/>
      <c r="D23" s="299">
        <v>44743</v>
      </c>
      <c r="E23" s="299"/>
      <c r="F23" s="299">
        <v>44774</v>
      </c>
      <c r="G23" s="299"/>
      <c r="H23" s="299">
        <v>44805</v>
      </c>
      <c r="I23" s="299"/>
      <c r="J23" s="299">
        <v>44835</v>
      </c>
      <c r="K23" s="299"/>
      <c r="L23" s="299">
        <v>44866</v>
      </c>
      <c r="M23" s="299"/>
      <c r="N23" s="299">
        <v>44896</v>
      </c>
      <c r="O23" s="299"/>
      <c r="P23" s="299">
        <v>44927</v>
      </c>
      <c r="Q23" s="299"/>
      <c r="R23" s="299">
        <v>44958</v>
      </c>
      <c r="S23" s="299"/>
      <c r="T23" s="299">
        <v>44986</v>
      </c>
      <c r="U23" s="299"/>
      <c r="V23" s="299">
        <v>45017</v>
      </c>
      <c r="W23" s="299"/>
      <c r="X23" s="299">
        <v>45047</v>
      </c>
      <c r="Y23" s="299"/>
      <c r="Z23" s="299" t="s">
        <v>3</v>
      </c>
      <c r="AA23" s="299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35</v>
      </c>
      <c r="B25" s="88">
        <v>360.06</v>
      </c>
      <c r="C25" s="89">
        <f>+B25/B$35</f>
        <v>0.24505046517800635</v>
      </c>
      <c r="D25" s="137">
        <v>239.95</v>
      </c>
      <c r="E25" s="89">
        <f>+D25/D$35</f>
        <v>0.18595729840740882</v>
      </c>
      <c r="F25" s="137">
        <v>267.74</v>
      </c>
      <c r="G25" s="89">
        <f>+F25/F$35</f>
        <v>0.19325965973480391</v>
      </c>
      <c r="H25" s="137">
        <v>297.43</v>
      </c>
      <c r="I25" s="89">
        <f>+H25/H$35</f>
        <v>0.21499927714327027</v>
      </c>
      <c r="J25" s="137">
        <v>253.66</v>
      </c>
      <c r="K25" s="89">
        <f>+J25/J$35</f>
        <v>0.19628417330207149</v>
      </c>
      <c r="L25" s="171">
        <v>277.42</v>
      </c>
      <c r="M25" s="89">
        <f>+L25/L$35</f>
        <v>0.22422307536876138</v>
      </c>
      <c r="N25" s="171">
        <v>279.79000000000002</v>
      </c>
      <c r="O25" s="89">
        <f>+N25/N$35</f>
        <v>0.21809012323545698</v>
      </c>
      <c r="P25" s="171">
        <v>319.60000000000002</v>
      </c>
      <c r="Q25" s="89">
        <f>+P25/P$35</f>
        <v>0.21424214188514321</v>
      </c>
      <c r="R25" s="171">
        <v>229.82</v>
      </c>
      <c r="S25" s="89">
        <f>+R25/R$35</f>
        <v>0.20794941894143953</v>
      </c>
      <c r="T25" s="171">
        <v>258.11</v>
      </c>
      <c r="U25" s="89">
        <f>+T25/T$35</f>
        <v>0.19858638989288632</v>
      </c>
      <c r="V25" s="171">
        <v>336.96</v>
      </c>
      <c r="W25" s="89">
        <f>+V25/V$35</f>
        <v>0.20622544279471702</v>
      </c>
      <c r="X25" s="171">
        <v>253.71086400000002</v>
      </c>
      <c r="Y25" s="89">
        <f>+X25/X$35</f>
        <v>0.19423666462293074</v>
      </c>
      <c r="Z25" s="88">
        <f>+B25+D25+F25+H25+J25+L25+N25+P25+R25+T25+V25+X25</f>
        <v>3374.2508640000005</v>
      </c>
      <c r="AA25" s="89">
        <f>+Z25/Z$35</f>
        <v>0.20857350931995208</v>
      </c>
    </row>
    <row r="26" spans="1:29" x14ac:dyDescent="0.2">
      <c r="A26" s="85" t="s">
        <v>64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1">
        <v>0</v>
      </c>
      <c r="M26" s="89">
        <f t="shared" ref="M26" si="69">+L26/L$35</f>
        <v>0</v>
      </c>
      <c r="N26" s="171">
        <v>0</v>
      </c>
      <c r="O26" s="89">
        <f t="shared" ref="O26:O34" si="70">+N26/N$35</f>
        <v>0</v>
      </c>
      <c r="P26" s="171">
        <v>0</v>
      </c>
      <c r="Q26" s="89">
        <f t="shared" ref="Q26:Q34" si="71">+P26/P$35</f>
        <v>0</v>
      </c>
      <c r="R26" s="171">
        <v>0</v>
      </c>
      <c r="S26" s="89">
        <f t="shared" ref="S26:S34" si="72">+R26/R$35</f>
        <v>0</v>
      </c>
      <c r="T26" s="171">
        <v>0</v>
      </c>
      <c r="U26" s="89">
        <f t="shared" ref="U26:U34" si="73">+T26/T$35</f>
        <v>0</v>
      </c>
      <c r="V26" s="171">
        <v>0</v>
      </c>
      <c r="W26" s="89">
        <f t="shared" ref="W26:W34" si="74">+V26/V$35</f>
        <v>0</v>
      </c>
      <c r="X26" s="171">
        <v>0</v>
      </c>
      <c r="Y26" s="89">
        <f t="shared" ref="Y26:Y34" si="75">+X26/X$35</f>
        <v>0</v>
      </c>
      <c r="Z26" s="88">
        <f t="shared" ref="Z26:Z34" si="76">+B26+D26+F26+H26+J26+L26+N26+P26+R26+T26+V26+X26</f>
        <v>0</v>
      </c>
      <c r="AA26" s="89">
        <f t="shared" ref="AA26" si="77">+Z26/Z$35</f>
        <v>0</v>
      </c>
    </row>
    <row r="27" spans="1:29" x14ac:dyDescent="0.2">
      <c r="A27" s="85" t="s">
        <v>19</v>
      </c>
      <c r="B27" s="88">
        <v>714.22</v>
      </c>
      <c r="C27" s="89">
        <f t="shared" ref="C27" si="78">+B27/B$35</f>
        <v>0.48608549474930762</v>
      </c>
      <c r="D27" s="137">
        <v>712.25</v>
      </c>
      <c r="E27" s="89">
        <f t="shared" ref="E27" si="79">+D27/D$35</f>
        <v>0.55198202038206678</v>
      </c>
      <c r="F27" s="137">
        <v>765.98</v>
      </c>
      <c r="G27" s="89">
        <f t="shared" ref="G27" si="80">+F27/F$35</f>
        <v>0.55289846180497904</v>
      </c>
      <c r="H27" s="137">
        <v>756.67</v>
      </c>
      <c r="I27" s="89">
        <f t="shared" ref="I27" si="81">+H27/H$35</f>
        <v>0.54696400173485626</v>
      </c>
      <c r="J27" s="137">
        <v>693.62</v>
      </c>
      <c r="K27" s="89">
        <f t="shared" ref="K27" si="82">+J27/J$35</f>
        <v>0.53672880346047003</v>
      </c>
      <c r="L27" s="171">
        <v>661.32</v>
      </c>
      <c r="M27" s="89">
        <f t="shared" ref="M27" si="83">+L27/L$35</f>
        <v>0.53450798141038602</v>
      </c>
      <c r="N27" s="171">
        <v>684.76</v>
      </c>
      <c r="O27" s="89">
        <f t="shared" si="70"/>
        <v>0.53375529070628502</v>
      </c>
      <c r="P27" s="171">
        <v>829.18</v>
      </c>
      <c r="Q27" s="89">
        <f t="shared" si="71"/>
        <v>0.55583635547034738</v>
      </c>
      <c r="R27" s="171">
        <v>605.57000000000005</v>
      </c>
      <c r="S27" s="89">
        <f t="shared" si="72"/>
        <v>0.54794156134525951</v>
      </c>
      <c r="T27" s="171">
        <v>696.47</v>
      </c>
      <c r="U27" s="89">
        <f t="shared" si="73"/>
        <v>0.53585472460849459</v>
      </c>
      <c r="V27" s="171">
        <v>887.54</v>
      </c>
      <c r="W27" s="89">
        <f t="shared" si="74"/>
        <v>0.54319008041910954</v>
      </c>
      <c r="X27" s="171">
        <v>749.27993800000002</v>
      </c>
      <c r="Y27" s="89">
        <f t="shared" si="75"/>
        <v>0.57363580625383204</v>
      </c>
      <c r="Z27" s="88">
        <f t="shared" si="76"/>
        <v>8756.8599379999996</v>
      </c>
      <c r="AA27" s="89">
        <f t="shared" ref="AA27" si="84">+Z27/Z$35</f>
        <v>0.54129022455870301</v>
      </c>
    </row>
    <row r="28" spans="1:29" x14ac:dyDescent="0.2">
      <c r="A28" s="85" t="s">
        <v>17</v>
      </c>
      <c r="B28" s="88">
        <v>33.56</v>
      </c>
      <c r="C28" s="89">
        <f t="shared" ref="C28" si="85">+B28/B$35</f>
        <v>2.2840342196783575E-2</v>
      </c>
      <c r="D28" s="137">
        <v>35.159999999999997</v>
      </c>
      <c r="E28" s="89">
        <f t="shared" ref="E28" si="86">+D28/D$35</f>
        <v>2.7248420971054361E-2</v>
      </c>
      <c r="F28" s="137">
        <v>36.92</v>
      </c>
      <c r="G28" s="89">
        <f t="shared" ref="G28" si="87">+F28/F$35</f>
        <v>2.664953550985643E-2</v>
      </c>
      <c r="H28" s="137">
        <v>35.119999999999997</v>
      </c>
      <c r="I28" s="89">
        <f t="shared" ref="I28" si="88">+H28/H$35</f>
        <v>2.5386728350440948E-2</v>
      </c>
      <c r="J28" s="137">
        <v>27.98</v>
      </c>
      <c r="K28" s="89">
        <f t="shared" ref="K28" si="89">+J28/J$35</f>
        <v>2.1651151813419381E-2</v>
      </c>
      <c r="L28" s="171">
        <v>27.26</v>
      </c>
      <c r="M28" s="89">
        <f t="shared" ref="M28" si="90">+L28/L$35</f>
        <v>2.2032733885633461E-2</v>
      </c>
      <c r="N28" s="171">
        <v>29.62</v>
      </c>
      <c r="O28" s="89">
        <f t="shared" si="70"/>
        <v>2.3088135566797365E-2</v>
      </c>
      <c r="P28" s="171">
        <v>31.54</v>
      </c>
      <c r="Q28" s="89">
        <f t="shared" si="71"/>
        <v>2.1142669446362377E-2</v>
      </c>
      <c r="R28" s="171">
        <v>24.45</v>
      </c>
      <c r="S28" s="89">
        <f t="shared" si="72"/>
        <v>2.2123241202324413E-2</v>
      </c>
      <c r="T28" s="171">
        <v>28.49</v>
      </c>
      <c r="U28" s="89">
        <f t="shared" si="73"/>
        <v>2.1919825841882647E-2</v>
      </c>
      <c r="V28" s="171">
        <v>36.729999999999997</v>
      </c>
      <c r="W28" s="89">
        <f t="shared" si="74"/>
        <v>2.2479405608529072E-2</v>
      </c>
      <c r="X28" s="171">
        <v>30.272319</v>
      </c>
      <c r="Y28" s="89">
        <f t="shared" si="75"/>
        <v>2.3175965665236054E-2</v>
      </c>
      <c r="Z28" s="88">
        <f t="shared" si="76"/>
        <v>377.10231899999997</v>
      </c>
      <c r="AA28" s="89">
        <f t="shared" ref="AA28" si="91">+Z28/Z$35</f>
        <v>2.3309930771798722E-2</v>
      </c>
    </row>
    <row r="29" spans="1:29" x14ac:dyDescent="0.2">
      <c r="A29" s="85" t="s">
        <v>11</v>
      </c>
      <c r="B29" s="88">
        <v>236.35</v>
      </c>
      <c r="C29" s="89">
        <f t="shared" ref="C29" si="92">+B29/B$35</f>
        <v>0.16085562807538131</v>
      </c>
      <c r="D29" s="137">
        <v>179.38</v>
      </c>
      <c r="E29" s="89">
        <f t="shared" ref="E29" si="93">+D29/D$35</f>
        <v>0.13901654589839965</v>
      </c>
      <c r="F29" s="137">
        <v>197.63</v>
      </c>
      <c r="G29" s="89">
        <f t="shared" ref="G29" si="94">+F29/F$35</f>
        <v>0.14265297136546387</v>
      </c>
      <c r="H29" s="137">
        <v>181.72</v>
      </c>
      <c r="I29" s="89">
        <f t="shared" ref="I29" si="95">+H29/H$35</f>
        <v>0.13135752493855721</v>
      </c>
      <c r="J29" s="137">
        <v>213.06</v>
      </c>
      <c r="K29" s="89">
        <f t="shared" ref="K29" si="96">+J29/J$35</f>
        <v>0.16486756273649511</v>
      </c>
      <c r="L29" s="171">
        <v>164.76</v>
      </c>
      <c r="M29" s="89">
        <f t="shared" ref="M29" si="97">+L29/L$35</f>
        <v>0.13316629622145887</v>
      </c>
      <c r="N29" s="171">
        <v>175.46</v>
      </c>
      <c r="O29" s="89">
        <f t="shared" si="70"/>
        <v>0.136767193333905</v>
      </c>
      <c r="P29" s="171">
        <v>194.52</v>
      </c>
      <c r="Q29" s="89">
        <f t="shared" si="71"/>
        <v>0.13039543629379868</v>
      </c>
      <c r="R29" s="171">
        <v>160.13999999999999</v>
      </c>
      <c r="S29" s="89">
        <f t="shared" si="72"/>
        <v>0.14490044360491744</v>
      </c>
      <c r="T29" s="171">
        <v>209.53</v>
      </c>
      <c r="U29" s="89">
        <f t="shared" si="73"/>
        <v>0.16120958612318959</v>
      </c>
      <c r="V29" s="171">
        <v>241.16</v>
      </c>
      <c r="W29" s="89">
        <f t="shared" si="74"/>
        <v>0.14759415890424371</v>
      </c>
      <c r="X29" s="171">
        <v>173.465193</v>
      </c>
      <c r="Y29" s="89">
        <f t="shared" si="75"/>
        <v>0.13280196198651134</v>
      </c>
      <c r="Z29" s="88">
        <f t="shared" si="76"/>
        <v>2327.175193</v>
      </c>
      <c r="AA29" s="89">
        <f t="shared" ref="AA29" si="98">+Z29/Z$35</f>
        <v>0.14385032896781877</v>
      </c>
    </row>
    <row r="30" spans="1:29" x14ac:dyDescent="0.2">
      <c r="A30" s="85" t="s">
        <v>95</v>
      </c>
      <c r="B30" s="88">
        <v>31.24</v>
      </c>
      <c r="C30" s="89">
        <f t="shared" ref="C30" si="99">+B30/B$35</f>
        <v>2.1261391246350382E-2</v>
      </c>
      <c r="D30" s="137">
        <v>26.33</v>
      </c>
      <c r="E30" s="89">
        <f t="shared" ref="E30" si="100">+D30/D$35</f>
        <v>2.0405316387026771E-2</v>
      </c>
      <c r="F30" s="137">
        <v>25.86</v>
      </c>
      <c r="G30" s="89">
        <f t="shared" ref="G30" si="101">+F30/F$35</f>
        <v>1.8666223951378312E-2</v>
      </c>
      <c r="H30" s="137">
        <v>25.08</v>
      </c>
      <c r="I30" s="89">
        <f t="shared" ref="I30" si="102">+H30/H$35</f>
        <v>1.8129246783287555E-2</v>
      </c>
      <c r="J30" s="137">
        <v>28.56</v>
      </c>
      <c r="K30" s="89">
        <f t="shared" ref="K30" si="103">+J30/J$35</f>
        <v>2.2099960535784759E-2</v>
      </c>
      <c r="L30" s="171">
        <v>32.380000000000003</v>
      </c>
      <c r="M30" s="89">
        <f t="shared" ref="M30" si="104">+L30/L$35</f>
        <v>2.6170943624974744E-2</v>
      </c>
      <c r="N30" s="171">
        <v>31.58</v>
      </c>
      <c r="O30" s="89">
        <f t="shared" si="70"/>
        <v>2.4615912261966941E-2</v>
      </c>
      <c r="P30" s="171">
        <v>33.36</v>
      </c>
      <c r="Q30" s="89">
        <f t="shared" si="71"/>
        <v>2.2362696662354121E-2</v>
      </c>
      <c r="R30" s="171">
        <v>25.24</v>
      </c>
      <c r="S30" s="89">
        <f t="shared" si="72"/>
        <v>2.2838061674710353E-2</v>
      </c>
      <c r="T30" s="171">
        <v>31.492148</v>
      </c>
      <c r="U30" s="89">
        <f t="shared" si="73"/>
        <v>2.4229638453730887E-2</v>
      </c>
      <c r="V30" s="171">
        <v>35.729999999999997</v>
      </c>
      <c r="W30" s="89">
        <f t="shared" si="74"/>
        <v>2.1867388031384254E-2</v>
      </c>
      <c r="X30" s="171">
        <v>23.705308000000002</v>
      </c>
      <c r="Y30" s="89">
        <f t="shared" si="75"/>
        <v>1.8148375229920296E-2</v>
      </c>
      <c r="Z30" s="88">
        <f t="shared" si="76"/>
        <v>350.557456</v>
      </c>
      <c r="AA30" s="89">
        <f t="shared" ref="AA30" si="105">+Z30/Z$35</f>
        <v>2.1669105755082553E-2</v>
      </c>
    </row>
    <row r="31" spans="1:29" x14ac:dyDescent="0.2">
      <c r="A31" s="85" t="s">
        <v>1</v>
      </c>
      <c r="B31" s="88">
        <v>67.48</v>
      </c>
      <c r="C31" s="89">
        <f t="shared" ref="C31" si="106">+B31/B$35</f>
        <v>4.5925694023806779E-2</v>
      </c>
      <c r="D31" s="137">
        <v>68.47</v>
      </c>
      <c r="E31" s="89">
        <f t="shared" ref="E31" si="107">+D31/D$35</f>
        <v>5.3063122408648807E-2</v>
      </c>
      <c r="F31" s="137">
        <v>66.37</v>
      </c>
      <c r="G31" s="89">
        <f t="shared" ref="G31" si="108">+F31/F$35</f>
        <v>4.7907087534917965E-2</v>
      </c>
      <c r="H31" s="137">
        <v>60.84</v>
      </c>
      <c r="I31" s="89">
        <f t="shared" ref="I31" si="109">+H31/H$35</f>
        <v>4.3978603440798049E-2</v>
      </c>
      <c r="J31" s="137">
        <v>52.01</v>
      </c>
      <c r="K31" s="89">
        <f t="shared" ref="K31" si="110">+J31/J$35</f>
        <v>4.0245761465902141E-2</v>
      </c>
      <c r="L31" s="171">
        <v>51.06</v>
      </c>
      <c r="M31" s="89">
        <f t="shared" ref="M31" si="111">+L31/L$35</f>
        <v>4.12689432208527E-2</v>
      </c>
      <c r="N31" s="171">
        <v>57.62</v>
      </c>
      <c r="O31" s="89">
        <f t="shared" si="70"/>
        <v>4.491351692636273E-2</v>
      </c>
      <c r="P31" s="171">
        <v>58.55</v>
      </c>
      <c r="Q31" s="89">
        <f t="shared" si="71"/>
        <v>3.9248677745228826E-2</v>
      </c>
      <c r="R31" s="171">
        <v>41.020199999999996</v>
      </c>
      <c r="S31" s="89">
        <f t="shared" si="72"/>
        <v>3.71165553688175E-2</v>
      </c>
      <c r="T31" s="171">
        <v>51.748404000000001</v>
      </c>
      <c r="U31" s="89">
        <f t="shared" si="73"/>
        <v>3.9814531529497488E-2</v>
      </c>
      <c r="V31" s="171">
        <v>65.87</v>
      </c>
      <c r="W31" s="89">
        <f t="shared" si="74"/>
        <v>4.0313597806528996E-2</v>
      </c>
      <c r="X31" s="171">
        <v>52.536088000000007</v>
      </c>
      <c r="Y31" s="89">
        <f t="shared" si="75"/>
        <v>4.0220723482526068E-2</v>
      </c>
      <c r="Z31" s="88">
        <f t="shared" si="76"/>
        <v>693.57469200000014</v>
      </c>
      <c r="AA31" s="89">
        <f t="shared" ref="AA31" si="112">+Z31/Z$35</f>
        <v>4.2872125789265234E-2</v>
      </c>
    </row>
    <row r="32" spans="1:29" x14ac:dyDescent="0.2">
      <c r="A32" s="85" t="s">
        <v>65</v>
      </c>
      <c r="B32" s="88">
        <v>16.07</v>
      </c>
      <c r="C32" s="89">
        <f t="shared" ref="C32" si="113">+B32/B$35</f>
        <v>1.0936957660974732E-2</v>
      </c>
      <c r="D32" s="137">
        <v>18.43</v>
      </c>
      <c r="E32" s="89">
        <f t="shared" ref="E32" si="114">+D32/D$35</f>
        <v>1.4282946487387141E-2</v>
      </c>
      <c r="F32" s="137">
        <v>14.15</v>
      </c>
      <c r="G32" s="89">
        <f t="shared" ref="G32" si="115">+F32/F$35</f>
        <v>1.0213730429698496E-2</v>
      </c>
      <c r="H32" s="137">
        <v>16.02</v>
      </c>
      <c r="I32" s="89">
        <f t="shared" ref="I32" si="116">+H32/H$35</f>
        <v>1.1580164811334396E-2</v>
      </c>
      <c r="J32" s="137">
        <v>13.53</v>
      </c>
      <c r="K32" s="89">
        <f t="shared" ref="K32" si="117">+J32/J$35</f>
        <v>1.0469624161385426E-2</v>
      </c>
      <c r="L32" s="171">
        <v>9.0399999999999991</v>
      </c>
      <c r="M32" s="89">
        <f t="shared" ref="M32" si="118">+L32/L$35</f>
        <v>7.3065265710244489E-3</v>
      </c>
      <c r="N32" s="171">
        <v>14.97</v>
      </c>
      <c r="O32" s="89">
        <f t="shared" si="70"/>
        <v>1.1668784248310485E-2</v>
      </c>
      <c r="P32" s="171">
        <v>15.05</v>
      </c>
      <c r="Q32" s="89">
        <f t="shared" si="71"/>
        <v>1.0088686593777863E-2</v>
      </c>
      <c r="R32" s="171">
        <v>11.438324999999999</v>
      </c>
      <c r="S32" s="89">
        <f t="shared" si="72"/>
        <v>1.0349808708612572E-2</v>
      </c>
      <c r="T32" s="171">
        <v>14.400932000000001</v>
      </c>
      <c r="U32" s="89">
        <f t="shared" si="73"/>
        <v>1.1079884921052819E-2</v>
      </c>
      <c r="V32" s="171">
        <v>17.170000000000002</v>
      </c>
      <c r="W32" s="89">
        <f t="shared" si="74"/>
        <v>1.0508341799576482E-2</v>
      </c>
      <c r="X32" s="171">
        <v>13.454364</v>
      </c>
      <c r="Y32" s="89">
        <f t="shared" si="75"/>
        <v>1.0300429184549357E-2</v>
      </c>
      <c r="Z32" s="88">
        <f t="shared" si="76"/>
        <v>173.72362100000004</v>
      </c>
      <c r="AA32" s="89">
        <f t="shared" ref="AA32" si="119">+Z32/Z$35</f>
        <v>1.0738426615022221E-2</v>
      </c>
    </row>
    <row r="33" spans="1:27" x14ac:dyDescent="0.2">
      <c r="A33" s="85" t="s">
        <v>66</v>
      </c>
      <c r="B33" s="88">
        <v>10.35</v>
      </c>
      <c r="C33" s="89">
        <f t="shared" ref="C33" si="120">+B33/B$35</f>
        <v>7.0440268693894512E-3</v>
      </c>
      <c r="D33" s="137">
        <v>10.38</v>
      </c>
      <c r="E33" s="89">
        <f t="shared" ref="E33" si="121">+D33/D$35</f>
        <v>8.0443290580075166E-3</v>
      </c>
      <c r="F33" s="137">
        <v>10.74</v>
      </c>
      <c r="G33" s="89">
        <f t="shared" ref="G33" si="122">+F33/F$35</f>
        <v>7.7523296689018971E-3</v>
      </c>
      <c r="H33" s="137">
        <v>10.52</v>
      </c>
      <c r="I33" s="89">
        <f t="shared" ref="I33" si="123">+H33/H$35</f>
        <v>7.6044527974555463E-3</v>
      </c>
      <c r="J33" s="137">
        <v>9.89</v>
      </c>
      <c r="K33" s="89">
        <f t="shared" ref="K33" si="124">+J33/J$35</f>
        <v>7.6529625244716832E-3</v>
      </c>
      <c r="L33" s="171">
        <v>14.01</v>
      </c>
      <c r="M33" s="89">
        <f t="shared" ref="M33" si="125">+L33/L$35</f>
        <v>1.1323499696908466E-2</v>
      </c>
      <c r="N33" s="171">
        <v>9.11</v>
      </c>
      <c r="O33" s="89">
        <f t="shared" si="70"/>
        <v>7.1010437209157321E-3</v>
      </c>
      <c r="P33" s="171">
        <v>9.9700000000000006</v>
      </c>
      <c r="Q33" s="89">
        <f t="shared" si="71"/>
        <v>6.6833359029877274E-3</v>
      </c>
      <c r="R33" s="171">
        <v>7.4940750000000005</v>
      </c>
      <c r="S33" s="89">
        <f t="shared" si="72"/>
        <v>6.7809091539185826E-3</v>
      </c>
      <c r="T33" s="171">
        <v>9.49512</v>
      </c>
      <c r="U33" s="89">
        <f t="shared" si="73"/>
        <v>7.3054186292655946E-3</v>
      </c>
      <c r="V33" s="171">
        <v>12.78</v>
      </c>
      <c r="W33" s="89">
        <f t="shared" si="74"/>
        <v>7.8215846359107419E-3</v>
      </c>
      <c r="X33" s="171">
        <v>9.7704310000000003</v>
      </c>
      <c r="Y33" s="89">
        <f t="shared" si="75"/>
        <v>7.4800735744941756E-3</v>
      </c>
      <c r="Z33" s="88">
        <f t="shared" si="76"/>
        <v>124.509626</v>
      </c>
      <c r="AA33" s="89">
        <f t="shared" ref="AA33" si="126">+Z33/Z$35</f>
        <v>7.6963482223575252E-3</v>
      </c>
    </row>
    <row r="34" spans="1:27" x14ac:dyDescent="0.2">
      <c r="A34" s="85" t="s">
        <v>67</v>
      </c>
      <c r="B34" s="88">
        <v>0</v>
      </c>
      <c r="C34" s="89">
        <f t="shared" ref="C34" si="127">+B34/B$35</f>
        <v>0</v>
      </c>
      <c r="D34" s="137">
        <v>0</v>
      </c>
      <c r="E34" s="89">
        <f t="shared" ref="E34" si="128">+D34/D$35</f>
        <v>0</v>
      </c>
      <c r="F34" s="137">
        <v>0</v>
      </c>
      <c r="G34" s="89">
        <f t="shared" ref="G34" si="129">+F34/F$35</f>
        <v>0</v>
      </c>
      <c r="H34" s="137">
        <v>0</v>
      </c>
      <c r="I34" s="89">
        <f t="shared" ref="I34" si="130">+H34/H$35</f>
        <v>0</v>
      </c>
      <c r="J34" s="137">
        <v>0</v>
      </c>
      <c r="K34" s="89">
        <f t="shared" ref="K34" si="131">+J34/J$35</f>
        <v>0</v>
      </c>
      <c r="L34" s="171">
        <v>0</v>
      </c>
      <c r="M34" s="89">
        <f t="shared" ref="M34" si="132">+L34/L$35</f>
        <v>0</v>
      </c>
      <c r="N34" s="171">
        <v>0</v>
      </c>
      <c r="O34" s="89">
        <f t="shared" si="70"/>
        <v>0</v>
      </c>
      <c r="P34" s="171">
        <v>0</v>
      </c>
      <c r="Q34" s="89">
        <f t="shared" si="71"/>
        <v>0</v>
      </c>
      <c r="R34" s="171">
        <v>0</v>
      </c>
      <c r="S34" s="89">
        <f t="shared" si="72"/>
        <v>0</v>
      </c>
      <c r="T34" s="171">
        <v>0</v>
      </c>
      <c r="U34" s="89">
        <f t="shared" si="73"/>
        <v>0</v>
      </c>
      <c r="V34" s="171">
        <v>0</v>
      </c>
      <c r="W34" s="89">
        <f t="shared" si="74"/>
        <v>0</v>
      </c>
      <c r="X34" s="171">
        <v>0</v>
      </c>
      <c r="Y34" s="89">
        <f t="shared" si="75"/>
        <v>0</v>
      </c>
      <c r="Z34" s="88">
        <f t="shared" si="76"/>
        <v>0</v>
      </c>
      <c r="AA34" s="89">
        <f t="shared" ref="AA34" si="133">+Z34/Z$35</f>
        <v>0</v>
      </c>
    </row>
    <row r="35" spans="1:27" ht="13.5" thickBot="1" x14ac:dyDescent="0.25">
      <c r="A35" s="90"/>
      <c r="B35" s="91">
        <f t="shared" ref="B35:AA35" si="134">SUM(B25:B34)</f>
        <v>1469.3299999999997</v>
      </c>
      <c r="C35" s="102">
        <f t="shared" si="134"/>
        <v>1.0000000000000002</v>
      </c>
      <c r="D35" s="91">
        <f t="shared" si="134"/>
        <v>1290.3500000000001</v>
      </c>
      <c r="E35" s="102">
        <f t="shared" si="134"/>
        <v>1</v>
      </c>
      <c r="F35" s="91">
        <f t="shared" si="134"/>
        <v>1385.39</v>
      </c>
      <c r="G35" s="102">
        <f t="shared" si="134"/>
        <v>1</v>
      </c>
      <c r="H35" s="91">
        <f t="shared" si="134"/>
        <v>1383.3999999999996</v>
      </c>
      <c r="I35" s="102">
        <f t="shared" si="134"/>
        <v>1.0000000000000002</v>
      </c>
      <c r="J35" s="91">
        <f t="shared" si="134"/>
        <v>1292.31</v>
      </c>
      <c r="K35" s="102">
        <f t="shared" si="134"/>
        <v>1.0000000000000002</v>
      </c>
      <c r="L35" s="91">
        <f t="shared" si="134"/>
        <v>1237.25</v>
      </c>
      <c r="M35" s="102">
        <f t="shared" si="134"/>
        <v>1</v>
      </c>
      <c r="N35" s="91">
        <f t="shared" si="134"/>
        <v>1282.9099999999996</v>
      </c>
      <c r="O35" s="102">
        <f t="shared" si="134"/>
        <v>1.0000000000000002</v>
      </c>
      <c r="P35" s="91">
        <f t="shared" si="134"/>
        <v>1491.7699999999998</v>
      </c>
      <c r="Q35" s="102">
        <f t="shared" si="134"/>
        <v>1</v>
      </c>
      <c r="R35" s="91">
        <f t="shared" si="134"/>
        <v>1105.1726000000001</v>
      </c>
      <c r="S35" s="102">
        <f t="shared" si="134"/>
        <v>1</v>
      </c>
      <c r="T35" s="91">
        <f t="shared" si="134"/>
        <v>1299.7366040000002</v>
      </c>
      <c r="U35" s="102">
        <f t="shared" si="134"/>
        <v>1.0000000000000002</v>
      </c>
      <c r="V35" s="91">
        <f t="shared" si="134"/>
        <v>1633.9400000000003</v>
      </c>
      <c r="W35" s="102">
        <f t="shared" si="134"/>
        <v>0.99999999999999978</v>
      </c>
      <c r="X35" s="249">
        <f t="shared" si="134"/>
        <v>1306.1945049999999</v>
      </c>
      <c r="Y35" s="102">
        <f t="shared" si="134"/>
        <v>1</v>
      </c>
      <c r="Z35" s="91">
        <f t="shared" si="134"/>
        <v>16177.753708999999</v>
      </c>
      <c r="AA35" s="102">
        <f t="shared" si="134"/>
        <v>1.0000000000000002</v>
      </c>
    </row>
    <row r="36" spans="1:27" ht="13.5" thickTop="1" x14ac:dyDescent="0.2">
      <c r="X36" s="219"/>
    </row>
    <row r="37" spans="1:27" ht="15" x14ac:dyDescent="0.35">
      <c r="A37" s="85" t="s">
        <v>68</v>
      </c>
      <c r="B37" s="126">
        <f>299.54+12.32+3.93</f>
        <v>315.79000000000002</v>
      </c>
      <c r="C37" s="127"/>
      <c r="D37" s="147">
        <f>246.92+10.22+1.55</f>
        <v>258.69</v>
      </c>
      <c r="E37" s="127"/>
      <c r="F37" s="136">
        <f>228.38+10.9+2.11</f>
        <v>241.39000000000001</v>
      </c>
      <c r="G37" s="127"/>
      <c r="H37" s="136">
        <f>1.46+11+222.5</f>
        <v>234.96</v>
      </c>
      <c r="I37" s="127"/>
      <c r="J37" s="136">
        <f>1.82+10.95+215.49</f>
        <v>228.26000000000002</v>
      </c>
      <c r="K37" s="127"/>
      <c r="L37" s="178">
        <f>1.2+9.34+258.29</f>
        <v>268.83000000000004</v>
      </c>
      <c r="M37" s="127"/>
      <c r="N37" s="218">
        <f>1.3+6.67+336.93</f>
        <v>344.90000000000003</v>
      </c>
      <c r="O37" s="127"/>
      <c r="P37" s="218">
        <f>0.91+9.06+311.08</f>
        <v>321.05</v>
      </c>
      <c r="Q37" s="127"/>
      <c r="R37" s="218">
        <v>203.654775</v>
      </c>
      <c r="S37" s="127"/>
      <c r="T37" s="218">
        <v>274.25071600000001</v>
      </c>
      <c r="U37" s="127"/>
      <c r="V37" s="218">
        <v>362.12</v>
      </c>
      <c r="W37" s="127"/>
      <c r="X37" s="218">
        <f>284.463696+11.05</f>
        <v>295.51369600000004</v>
      </c>
      <c r="Y37" s="127"/>
      <c r="Z37" s="126">
        <f t="shared" ref="Z37" si="135">+B37+D37+F37+H37+J37+L37+N37+P37+R37+T37+V37+X37</f>
        <v>3349.4091870000002</v>
      </c>
      <c r="AA37" s="127"/>
    </row>
    <row r="38" spans="1:27" x14ac:dyDescent="0.2">
      <c r="X38" s="219"/>
    </row>
    <row r="39" spans="1:27" ht="15" x14ac:dyDescent="0.35">
      <c r="A39" s="86" t="s">
        <v>93</v>
      </c>
      <c r="B39" s="125">
        <f t="shared" ref="B39" si="136">+B37+B35</f>
        <v>1785.1199999999997</v>
      </c>
      <c r="C39" s="125"/>
      <c r="D39" s="125">
        <f t="shared" ref="D39" si="137">+D37+D35</f>
        <v>1549.0400000000002</v>
      </c>
      <c r="E39" s="125"/>
      <c r="F39" s="125">
        <f t="shared" ref="F39" si="138">+F37+F35</f>
        <v>1626.7800000000002</v>
      </c>
      <c r="G39" s="125"/>
      <c r="H39" s="125">
        <f t="shared" ref="H39" si="139">+H37+H35</f>
        <v>1618.3599999999997</v>
      </c>
      <c r="I39" s="125"/>
      <c r="J39" s="125">
        <f t="shared" ref="J39" si="140">+J37+J35</f>
        <v>1520.57</v>
      </c>
      <c r="K39" s="125"/>
      <c r="L39" s="125">
        <f t="shared" ref="L39" si="141">+L37+L35</f>
        <v>1506.08</v>
      </c>
      <c r="M39" s="125"/>
      <c r="N39" s="125">
        <f t="shared" ref="N39" si="142">+N37+N35</f>
        <v>1627.8099999999997</v>
      </c>
      <c r="O39" s="125"/>
      <c r="P39" s="125">
        <f t="shared" ref="P39" si="143">+P37+P35</f>
        <v>1812.8199999999997</v>
      </c>
      <c r="Q39" s="125"/>
      <c r="R39" s="125">
        <f t="shared" ref="R39" si="144">+R37+R35</f>
        <v>1308.8273750000001</v>
      </c>
      <c r="S39" s="125"/>
      <c r="T39" s="125">
        <f t="shared" ref="T39" si="145">+T37+T35</f>
        <v>1573.9873200000002</v>
      </c>
      <c r="U39" s="125"/>
      <c r="V39" s="125">
        <f t="shared" ref="V39" si="146">+V37+V35</f>
        <v>1996.0600000000004</v>
      </c>
      <c r="W39" s="125"/>
      <c r="X39" s="125">
        <f t="shared" ref="X39" si="147">+X37+X35</f>
        <v>1601.7082009999999</v>
      </c>
      <c r="Y39" s="125"/>
      <c r="Z39" s="125">
        <f t="shared" ref="Z39" si="148">+Z37+Z35</f>
        <v>19527.162895999998</v>
      </c>
    </row>
    <row r="40" spans="1:27" x14ac:dyDescent="0.2">
      <c r="B40" s="261">
        <f>+B37/B39</f>
        <v>0.17690127274356909</v>
      </c>
      <c r="C40" s="261"/>
      <c r="D40" s="261">
        <f t="shared" ref="D40:Z40" si="149">+D37/D39</f>
        <v>0.16700020657955894</v>
      </c>
      <c r="E40" s="261"/>
      <c r="F40" s="261">
        <f t="shared" si="149"/>
        <v>0.14838515349340414</v>
      </c>
      <c r="G40" s="261"/>
      <c r="H40" s="261">
        <f t="shared" si="149"/>
        <v>0.1451840134457105</v>
      </c>
      <c r="I40" s="261"/>
      <c r="J40" s="261">
        <f t="shared" si="149"/>
        <v>0.15011475959673018</v>
      </c>
      <c r="K40" s="261"/>
      <c r="L40" s="261">
        <f t="shared" si="149"/>
        <v>0.17849649421013494</v>
      </c>
      <c r="M40" s="261"/>
      <c r="N40" s="261">
        <f t="shared" si="149"/>
        <v>0.21187976483741966</v>
      </c>
      <c r="O40" s="261"/>
      <c r="P40" s="261">
        <f t="shared" si="149"/>
        <v>0.17709976721351267</v>
      </c>
      <c r="Q40" s="261"/>
      <c r="R40" s="261">
        <f t="shared" si="149"/>
        <v>0.15560094393655236</v>
      </c>
      <c r="S40" s="261"/>
      <c r="T40" s="261">
        <f t="shared" si="149"/>
        <v>0.17423946973092513</v>
      </c>
      <c r="U40" s="261"/>
      <c r="V40" s="261">
        <f t="shared" si="149"/>
        <v>0.1814173922627576</v>
      </c>
      <c r="W40" s="261"/>
      <c r="X40" s="261">
        <f t="shared" si="149"/>
        <v>0.18449908405007914</v>
      </c>
      <c r="Y40" s="261"/>
      <c r="Z40" s="261">
        <f t="shared" si="149"/>
        <v>0.17152564378341428</v>
      </c>
    </row>
    <row r="42" spans="1:27" x14ac:dyDescent="0.2">
      <c r="A42" s="85"/>
      <c r="B42" s="299">
        <v>45078</v>
      </c>
      <c r="C42" s="299"/>
      <c r="D42" s="299">
        <v>45108</v>
      </c>
      <c r="E42" s="299"/>
      <c r="F42" s="299">
        <v>45139</v>
      </c>
      <c r="G42" s="299"/>
      <c r="H42" s="299">
        <v>45170</v>
      </c>
      <c r="I42" s="299"/>
      <c r="J42" s="299">
        <v>45200</v>
      </c>
      <c r="K42" s="299"/>
      <c r="L42" s="299">
        <v>45231</v>
      </c>
      <c r="M42" s="299"/>
      <c r="N42" s="299">
        <v>45261</v>
      </c>
      <c r="O42" s="299"/>
      <c r="P42" s="299">
        <v>45292</v>
      </c>
      <c r="Q42" s="299"/>
      <c r="R42" s="299">
        <v>45323</v>
      </c>
      <c r="S42" s="299"/>
      <c r="T42" s="299">
        <v>45352</v>
      </c>
      <c r="U42" s="299"/>
      <c r="V42" s="299">
        <v>45383</v>
      </c>
      <c r="W42" s="299"/>
      <c r="X42" s="299">
        <v>45413</v>
      </c>
      <c r="Y42" s="299"/>
      <c r="Z42" s="299" t="s">
        <v>3</v>
      </c>
      <c r="AA42" s="299"/>
    </row>
    <row r="43" spans="1:27" x14ac:dyDescent="0.2">
      <c r="A43" s="85"/>
      <c r="B43" s="87" t="s">
        <v>12</v>
      </c>
      <c r="C43" s="87" t="s">
        <v>4</v>
      </c>
      <c r="D43" s="87" t="s">
        <v>12</v>
      </c>
      <c r="E43" s="87" t="s">
        <v>4</v>
      </c>
      <c r="F43" s="87" t="s">
        <v>12</v>
      </c>
      <c r="G43" s="87" t="s">
        <v>4</v>
      </c>
      <c r="H43" s="87" t="s">
        <v>12</v>
      </c>
      <c r="I43" s="87" t="s">
        <v>4</v>
      </c>
      <c r="J43" s="87" t="s">
        <v>12</v>
      </c>
      <c r="K43" s="87" t="s">
        <v>4</v>
      </c>
      <c r="L43" s="87" t="s">
        <v>12</v>
      </c>
      <c r="M43" s="87" t="s">
        <v>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 t="s">
        <v>12</v>
      </c>
      <c r="AA43" s="87" t="s">
        <v>4</v>
      </c>
    </row>
    <row r="44" spans="1:27" x14ac:dyDescent="0.2">
      <c r="A44" s="85" t="s">
        <v>35</v>
      </c>
      <c r="B44" s="88"/>
      <c r="C44" s="89" t="e">
        <f>+B44/B$54</f>
        <v>#DIV/0!</v>
      </c>
      <c r="D44" s="137"/>
      <c r="E44" s="89" t="e">
        <f>+D44/D$54</f>
        <v>#DIV/0!</v>
      </c>
      <c r="F44" s="137"/>
      <c r="G44" s="89" t="e">
        <f>+F44/F$54</f>
        <v>#DIV/0!</v>
      </c>
      <c r="H44" s="88"/>
      <c r="I44" s="89" t="e">
        <f>+H44/H$54</f>
        <v>#DIV/0!</v>
      </c>
      <c r="J44" s="88"/>
      <c r="K44" s="89" t="e">
        <f>+J44/J$54</f>
        <v>#DIV/0!</v>
      </c>
      <c r="L44" s="88"/>
      <c r="M44" s="89" t="e">
        <f>+L44/L$54</f>
        <v>#DIV/0!</v>
      </c>
      <c r="N44" s="88"/>
      <c r="O44" s="89" t="e">
        <f>+N44/N$54</f>
        <v>#DIV/0!</v>
      </c>
      <c r="P44" s="88"/>
      <c r="Q44" s="89" t="e">
        <f>+P44/P$54</f>
        <v>#DIV/0!</v>
      </c>
      <c r="R44" s="88"/>
      <c r="S44" s="89" t="e">
        <f>+R44/R$54</f>
        <v>#DIV/0!</v>
      </c>
      <c r="T44" s="88"/>
      <c r="U44" s="89" t="e">
        <f>+T44/T$54</f>
        <v>#DIV/0!</v>
      </c>
      <c r="V44" s="171"/>
      <c r="W44" s="89" t="e">
        <f>+V44/V$54</f>
        <v>#DIV/0!</v>
      </c>
      <c r="X44" s="171"/>
      <c r="Y44" s="89" t="e">
        <f>+X44/X$54</f>
        <v>#DIV/0!</v>
      </c>
      <c r="Z44" s="88">
        <f>+B44+D44+F44+H44+J44+L44+N44+P44+R44+T44+V44+X44</f>
        <v>0</v>
      </c>
      <c r="AA44" s="89">
        <f>+Z44/Z$35</f>
        <v>0</v>
      </c>
    </row>
    <row r="45" spans="1:27" x14ac:dyDescent="0.2">
      <c r="A45" s="85" t="s">
        <v>64</v>
      </c>
      <c r="B45" s="88"/>
      <c r="C45" s="89" t="e">
        <f t="shared" ref="C45:E53" si="150">+B45/B$54</f>
        <v>#DIV/0!</v>
      </c>
      <c r="D45" s="137"/>
      <c r="E45" s="89" t="e">
        <f t="shared" si="150"/>
        <v>#DIV/0!</v>
      </c>
      <c r="F45" s="137"/>
      <c r="G45" s="89" t="e">
        <f t="shared" ref="G45" si="151">+F45/F$54</f>
        <v>#DIV/0!</v>
      </c>
      <c r="H45" s="88"/>
      <c r="I45" s="89" t="e">
        <f t="shared" ref="I45" si="152">+H45/H$54</f>
        <v>#DIV/0!</v>
      </c>
      <c r="J45" s="88"/>
      <c r="K45" s="89" t="e">
        <f t="shared" ref="K45" si="153">+J45/J$54</f>
        <v>#DIV/0!</v>
      </c>
      <c r="L45" s="88"/>
      <c r="M45" s="89" t="e">
        <f t="shared" ref="M45" si="154">+L45/L$54</f>
        <v>#DIV/0!</v>
      </c>
      <c r="N45" s="88"/>
      <c r="O45" s="89" t="e">
        <f t="shared" ref="O45" si="155">+N45/N$54</f>
        <v>#DIV/0!</v>
      </c>
      <c r="P45" s="88"/>
      <c r="Q45" s="89" t="e">
        <f t="shared" ref="Q45" si="156">+P45/P$54</f>
        <v>#DIV/0!</v>
      </c>
      <c r="R45" s="88"/>
      <c r="S45" s="89" t="e">
        <f t="shared" ref="S45" si="157">+R45/R$54</f>
        <v>#DIV/0!</v>
      </c>
      <c r="T45" s="88"/>
      <c r="U45" s="89" t="e">
        <f t="shared" ref="U45" si="158">+T45/T$54</f>
        <v>#DIV/0!</v>
      </c>
      <c r="V45" s="171"/>
      <c r="W45" s="89" t="e">
        <f t="shared" ref="W45" si="159">+V45/V$54</f>
        <v>#DIV/0!</v>
      </c>
      <c r="X45" s="171"/>
      <c r="Y45" s="89" t="e">
        <f t="shared" ref="Y45" si="160">+X45/X$54</f>
        <v>#DIV/0!</v>
      </c>
      <c r="Z45" s="88">
        <f t="shared" ref="Z45:Z53" si="161">+B45+D45+F45+H45+J45+L45+N45+P45+R45+T45+V45+X45</f>
        <v>0</v>
      </c>
      <c r="AA45" s="89">
        <f t="shared" ref="AA45:AA53" si="162">+Z45/Z$35</f>
        <v>0</v>
      </c>
    </row>
    <row r="46" spans="1:27" x14ac:dyDescent="0.2">
      <c r="A46" s="85" t="s">
        <v>19</v>
      </c>
      <c r="B46" s="88"/>
      <c r="C46" s="89" t="e">
        <f t="shared" si="150"/>
        <v>#DIV/0!</v>
      </c>
      <c r="D46" s="137"/>
      <c r="E46" s="89" t="e">
        <f t="shared" si="150"/>
        <v>#DIV/0!</v>
      </c>
      <c r="F46" s="137"/>
      <c r="G46" s="89" t="e">
        <f t="shared" ref="G46" si="163">+F46/F$54</f>
        <v>#DIV/0!</v>
      </c>
      <c r="H46" s="88"/>
      <c r="I46" s="89" t="e">
        <f t="shared" ref="I46" si="164">+H46/H$54</f>
        <v>#DIV/0!</v>
      </c>
      <c r="J46" s="88"/>
      <c r="K46" s="89" t="e">
        <f t="shared" ref="K46" si="165">+J46/J$54</f>
        <v>#DIV/0!</v>
      </c>
      <c r="L46" s="88"/>
      <c r="M46" s="89" t="e">
        <f t="shared" ref="M46" si="166">+L46/L$54</f>
        <v>#DIV/0!</v>
      </c>
      <c r="N46" s="88"/>
      <c r="O46" s="89" t="e">
        <f t="shared" ref="O46" si="167">+N46/N$54</f>
        <v>#DIV/0!</v>
      </c>
      <c r="P46" s="88"/>
      <c r="Q46" s="89" t="e">
        <f t="shared" ref="Q46" si="168">+P46/P$54</f>
        <v>#DIV/0!</v>
      </c>
      <c r="R46" s="88"/>
      <c r="S46" s="89" t="e">
        <f t="shared" ref="S46" si="169">+R46/R$54</f>
        <v>#DIV/0!</v>
      </c>
      <c r="T46" s="88"/>
      <c r="U46" s="89" t="e">
        <f t="shared" ref="U46" si="170">+T46/T$54</f>
        <v>#DIV/0!</v>
      </c>
      <c r="V46" s="171"/>
      <c r="W46" s="89" t="e">
        <f t="shared" ref="W46" si="171">+V46/V$54</f>
        <v>#DIV/0!</v>
      </c>
      <c r="X46" s="171"/>
      <c r="Y46" s="89" t="e">
        <f t="shared" ref="Y46" si="172">+X46/X$54</f>
        <v>#DIV/0!</v>
      </c>
      <c r="Z46" s="88">
        <f t="shared" si="161"/>
        <v>0</v>
      </c>
      <c r="AA46" s="89">
        <f t="shared" si="162"/>
        <v>0</v>
      </c>
    </row>
    <row r="47" spans="1:27" x14ac:dyDescent="0.2">
      <c r="A47" s="85" t="s">
        <v>17</v>
      </c>
      <c r="B47" s="88"/>
      <c r="C47" s="89" t="e">
        <f t="shared" si="150"/>
        <v>#DIV/0!</v>
      </c>
      <c r="D47" s="137"/>
      <c r="E47" s="89" t="e">
        <f t="shared" si="150"/>
        <v>#DIV/0!</v>
      </c>
      <c r="F47" s="137"/>
      <c r="G47" s="89" t="e">
        <f t="shared" ref="G47" si="173">+F47/F$54</f>
        <v>#DIV/0!</v>
      </c>
      <c r="H47" s="88"/>
      <c r="I47" s="89" t="e">
        <f t="shared" ref="I47" si="174">+H47/H$54</f>
        <v>#DIV/0!</v>
      </c>
      <c r="J47" s="88"/>
      <c r="K47" s="89" t="e">
        <f t="shared" ref="K47" si="175">+J47/J$54</f>
        <v>#DIV/0!</v>
      </c>
      <c r="L47" s="88"/>
      <c r="M47" s="89" t="e">
        <f t="shared" ref="M47" si="176">+L47/L$54</f>
        <v>#DIV/0!</v>
      </c>
      <c r="N47" s="88"/>
      <c r="O47" s="89" t="e">
        <f t="shared" ref="O47" si="177">+N47/N$54</f>
        <v>#DIV/0!</v>
      </c>
      <c r="P47" s="88"/>
      <c r="Q47" s="89" t="e">
        <f t="shared" ref="Q47" si="178">+P47/P$54</f>
        <v>#DIV/0!</v>
      </c>
      <c r="R47" s="122"/>
      <c r="S47" s="89" t="e">
        <f t="shared" ref="S47" si="179">+R47/R$54</f>
        <v>#DIV/0!</v>
      </c>
      <c r="T47" s="122"/>
      <c r="U47" s="89" t="e">
        <f t="shared" ref="U47" si="180">+T47/T$54</f>
        <v>#DIV/0!</v>
      </c>
      <c r="V47" s="171"/>
      <c r="W47" s="89" t="e">
        <f t="shared" ref="W47" si="181">+V47/V$54</f>
        <v>#DIV/0!</v>
      </c>
      <c r="X47" s="171"/>
      <c r="Y47" s="89" t="e">
        <f t="shared" ref="Y47" si="182">+X47/X$54</f>
        <v>#DIV/0!</v>
      </c>
      <c r="Z47" s="88">
        <f t="shared" si="161"/>
        <v>0</v>
      </c>
      <c r="AA47" s="89">
        <f t="shared" si="162"/>
        <v>0</v>
      </c>
    </row>
    <row r="48" spans="1:27" x14ac:dyDescent="0.2">
      <c r="A48" s="85" t="s">
        <v>11</v>
      </c>
      <c r="B48" s="88"/>
      <c r="C48" s="89" t="e">
        <f t="shared" si="150"/>
        <v>#DIV/0!</v>
      </c>
      <c r="D48" s="137"/>
      <c r="E48" s="89" t="e">
        <f t="shared" si="150"/>
        <v>#DIV/0!</v>
      </c>
      <c r="F48" s="137"/>
      <c r="G48" s="89" t="e">
        <f t="shared" ref="G48" si="183">+F48/F$54</f>
        <v>#DIV/0!</v>
      </c>
      <c r="H48" s="88"/>
      <c r="I48" s="89" t="e">
        <f t="shared" ref="I48" si="184">+H48/H$54</f>
        <v>#DIV/0!</v>
      </c>
      <c r="J48" s="88"/>
      <c r="K48" s="89" t="e">
        <f t="shared" ref="K48" si="185">+J48/J$54</f>
        <v>#DIV/0!</v>
      </c>
      <c r="L48" s="88"/>
      <c r="M48" s="89" t="e">
        <f t="shared" ref="M48" si="186">+L48/L$54</f>
        <v>#DIV/0!</v>
      </c>
      <c r="N48" s="88"/>
      <c r="O48" s="89" t="e">
        <f t="shared" ref="O48" si="187">+N48/N$54</f>
        <v>#DIV/0!</v>
      </c>
      <c r="P48" s="88"/>
      <c r="Q48" s="89" t="e">
        <f t="shared" ref="Q48" si="188">+P48/P$54</f>
        <v>#DIV/0!</v>
      </c>
      <c r="R48" s="122"/>
      <c r="S48" s="89" t="e">
        <f t="shared" ref="S48" si="189">+R48/R$54</f>
        <v>#DIV/0!</v>
      </c>
      <c r="T48" s="122"/>
      <c r="U48" s="89" t="e">
        <f t="shared" ref="U48" si="190">+T48/T$54</f>
        <v>#DIV/0!</v>
      </c>
      <c r="V48" s="171"/>
      <c r="W48" s="89" t="e">
        <f t="shared" ref="W48" si="191">+V48/V$54</f>
        <v>#DIV/0!</v>
      </c>
      <c r="X48" s="171"/>
      <c r="Y48" s="89" t="e">
        <f t="shared" ref="Y48" si="192">+X48/X$54</f>
        <v>#DIV/0!</v>
      </c>
      <c r="Z48" s="88">
        <f t="shared" si="161"/>
        <v>0</v>
      </c>
      <c r="AA48" s="89">
        <f t="shared" si="162"/>
        <v>0</v>
      </c>
    </row>
    <row r="49" spans="1:27" x14ac:dyDescent="0.2">
      <c r="A49" s="85" t="s">
        <v>95</v>
      </c>
      <c r="B49" s="88"/>
      <c r="C49" s="89" t="e">
        <f t="shared" si="150"/>
        <v>#DIV/0!</v>
      </c>
      <c r="D49" s="137"/>
      <c r="E49" s="89" t="e">
        <f t="shared" si="150"/>
        <v>#DIV/0!</v>
      </c>
      <c r="F49" s="137"/>
      <c r="G49" s="89" t="e">
        <f t="shared" ref="G49" si="193">+F49/F$54</f>
        <v>#DIV/0!</v>
      </c>
      <c r="H49" s="88"/>
      <c r="I49" s="89" t="e">
        <f t="shared" ref="I49" si="194">+H49/H$54</f>
        <v>#DIV/0!</v>
      </c>
      <c r="J49" s="88"/>
      <c r="K49" s="89" t="e">
        <f t="shared" ref="K49" si="195">+J49/J$54</f>
        <v>#DIV/0!</v>
      </c>
      <c r="L49" s="88"/>
      <c r="M49" s="89" t="e">
        <f t="shared" ref="M49" si="196">+L49/L$54</f>
        <v>#DIV/0!</v>
      </c>
      <c r="N49" s="88"/>
      <c r="O49" s="89" t="e">
        <f t="shared" ref="O49" si="197">+N49/N$54</f>
        <v>#DIV/0!</v>
      </c>
      <c r="P49" s="88"/>
      <c r="Q49" s="89" t="e">
        <f t="shared" ref="Q49" si="198">+P49/P$54</f>
        <v>#DIV/0!</v>
      </c>
      <c r="R49" s="122"/>
      <c r="S49" s="89" t="e">
        <f t="shared" ref="S49" si="199">+R49/R$54</f>
        <v>#DIV/0!</v>
      </c>
      <c r="T49" s="122"/>
      <c r="U49" s="89" t="e">
        <f t="shared" ref="U49" si="200">+T49/T$54</f>
        <v>#DIV/0!</v>
      </c>
      <c r="V49" s="171"/>
      <c r="W49" s="89" t="e">
        <f t="shared" ref="W49" si="201">+V49/V$54</f>
        <v>#DIV/0!</v>
      </c>
      <c r="X49" s="171"/>
      <c r="Y49" s="89" t="e">
        <f t="shared" ref="Y49" si="202">+X49/X$54</f>
        <v>#DIV/0!</v>
      </c>
      <c r="Z49" s="88">
        <f t="shared" si="161"/>
        <v>0</v>
      </c>
      <c r="AA49" s="89">
        <f t="shared" si="162"/>
        <v>0</v>
      </c>
    </row>
    <row r="50" spans="1:27" x14ac:dyDescent="0.2">
      <c r="A50" s="85" t="s">
        <v>1</v>
      </c>
      <c r="B50" s="88"/>
      <c r="C50" s="89" t="e">
        <f t="shared" si="150"/>
        <v>#DIV/0!</v>
      </c>
      <c r="D50" s="137"/>
      <c r="E50" s="89" t="e">
        <f t="shared" si="150"/>
        <v>#DIV/0!</v>
      </c>
      <c r="F50" s="137"/>
      <c r="G50" s="89" t="e">
        <f t="shared" ref="G50" si="203">+F50/F$54</f>
        <v>#DIV/0!</v>
      </c>
      <c r="H50" s="88"/>
      <c r="I50" s="89" t="e">
        <f t="shared" ref="I50" si="204">+H50/H$54</f>
        <v>#DIV/0!</v>
      </c>
      <c r="J50" s="88"/>
      <c r="K50" s="89" t="e">
        <f t="shared" ref="K50" si="205">+J50/J$54</f>
        <v>#DIV/0!</v>
      </c>
      <c r="L50" s="88"/>
      <c r="M50" s="89" t="e">
        <f t="shared" ref="M50" si="206">+L50/L$54</f>
        <v>#DIV/0!</v>
      </c>
      <c r="N50" s="88"/>
      <c r="O50" s="89" t="e">
        <f t="shared" ref="O50" si="207">+N50/N$54</f>
        <v>#DIV/0!</v>
      </c>
      <c r="P50" s="88"/>
      <c r="Q50" s="89" t="e">
        <f t="shared" ref="Q50" si="208">+P50/P$54</f>
        <v>#DIV/0!</v>
      </c>
      <c r="R50" s="122"/>
      <c r="S50" s="89" t="e">
        <f t="shared" ref="S50" si="209">+R50/R$54</f>
        <v>#DIV/0!</v>
      </c>
      <c r="T50" s="122"/>
      <c r="U50" s="89" t="e">
        <f t="shared" ref="U50" si="210">+T50/T$54</f>
        <v>#DIV/0!</v>
      </c>
      <c r="V50" s="171"/>
      <c r="W50" s="89" t="e">
        <f t="shared" ref="W50" si="211">+V50/V$54</f>
        <v>#DIV/0!</v>
      </c>
      <c r="X50" s="171"/>
      <c r="Y50" s="89" t="e">
        <f t="shared" ref="Y50" si="212">+X50/X$54</f>
        <v>#DIV/0!</v>
      </c>
      <c r="Z50" s="88">
        <f t="shared" si="161"/>
        <v>0</v>
      </c>
      <c r="AA50" s="89">
        <f t="shared" si="162"/>
        <v>0</v>
      </c>
    </row>
    <row r="51" spans="1:27" x14ac:dyDescent="0.2">
      <c r="A51" s="85" t="s">
        <v>65</v>
      </c>
      <c r="B51" s="88"/>
      <c r="C51" s="89" t="e">
        <f t="shared" si="150"/>
        <v>#DIV/0!</v>
      </c>
      <c r="D51" s="137"/>
      <c r="E51" s="89" t="e">
        <f t="shared" si="150"/>
        <v>#DIV/0!</v>
      </c>
      <c r="F51" s="137"/>
      <c r="G51" s="89" t="e">
        <f t="shared" ref="G51" si="213">+F51/F$54</f>
        <v>#DIV/0!</v>
      </c>
      <c r="H51" s="88"/>
      <c r="I51" s="89" t="e">
        <f t="shared" ref="I51" si="214">+H51/H$54</f>
        <v>#DIV/0!</v>
      </c>
      <c r="J51" s="88"/>
      <c r="K51" s="89" t="e">
        <f t="shared" ref="K51" si="215">+J51/J$54</f>
        <v>#DIV/0!</v>
      </c>
      <c r="L51" s="88"/>
      <c r="M51" s="89" t="e">
        <f t="shared" ref="M51" si="216">+L51/L$54</f>
        <v>#DIV/0!</v>
      </c>
      <c r="N51" s="88"/>
      <c r="O51" s="89" t="e">
        <f t="shared" ref="O51" si="217">+N51/N$54</f>
        <v>#DIV/0!</v>
      </c>
      <c r="P51" s="88"/>
      <c r="Q51" s="89" t="e">
        <f t="shared" ref="Q51" si="218">+P51/P$54</f>
        <v>#DIV/0!</v>
      </c>
      <c r="R51" s="122"/>
      <c r="S51" s="89" t="e">
        <f t="shared" ref="S51" si="219">+R51/R$54</f>
        <v>#DIV/0!</v>
      </c>
      <c r="T51" s="122"/>
      <c r="U51" s="89" t="e">
        <f t="shared" ref="U51" si="220">+T51/T$54</f>
        <v>#DIV/0!</v>
      </c>
      <c r="V51" s="171"/>
      <c r="W51" s="89" t="e">
        <f t="shared" ref="W51" si="221">+V51/V$54</f>
        <v>#DIV/0!</v>
      </c>
      <c r="X51" s="171"/>
      <c r="Y51" s="89" t="e">
        <f t="shared" ref="Y51" si="222">+X51/X$54</f>
        <v>#DIV/0!</v>
      </c>
      <c r="Z51" s="88">
        <f t="shared" si="161"/>
        <v>0</v>
      </c>
      <c r="AA51" s="89">
        <f t="shared" si="162"/>
        <v>0</v>
      </c>
    </row>
    <row r="52" spans="1:27" x14ac:dyDescent="0.2">
      <c r="A52" s="85" t="s">
        <v>66</v>
      </c>
      <c r="B52" s="88"/>
      <c r="C52" s="89" t="e">
        <f t="shared" si="150"/>
        <v>#DIV/0!</v>
      </c>
      <c r="D52" s="137"/>
      <c r="E52" s="89" t="e">
        <f t="shared" si="150"/>
        <v>#DIV/0!</v>
      </c>
      <c r="F52" s="137"/>
      <c r="G52" s="89" t="e">
        <f t="shared" ref="G52" si="223">+F52/F$54</f>
        <v>#DIV/0!</v>
      </c>
      <c r="H52" s="88"/>
      <c r="I52" s="89" t="e">
        <f t="shared" ref="I52" si="224">+H52/H$54</f>
        <v>#DIV/0!</v>
      </c>
      <c r="J52" s="88"/>
      <c r="K52" s="89" t="e">
        <f t="shared" ref="K52" si="225">+J52/J$54</f>
        <v>#DIV/0!</v>
      </c>
      <c r="L52" s="88"/>
      <c r="M52" s="89" t="e">
        <f t="shared" ref="M52" si="226">+L52/L$54</f>
        <v>#DIV/0!</v>
      </c>
      <c r="N52" s="88"/>
      <c r="O52" s="89" t="e">
        <f t="shared" ref="O52" si="227">+N52/N$54</f>
        <v>#DIV/0!</v>
      </c>
      <c r="P52" s="88"/>
      <c r="Q52" s="89" t="e">
        <f t="shared" ref="Q52" si="228">+P52/P$54</f>
        <v>#DIV/0!</v>
      </c>
      <c r="R52" s="122"/>
      <c r="S52" s="89" t="e">
        <f t="shared" ref="S52" si="229">+R52/R$54</f>
        <v>#DIV/0!</v>
      </c>
      <c r="T52" s="122"/>
      <c r="U52" s="89" t="e">
        <f t="shared" ref="U52" si="230">+T52/T$54</f>
        <v>#DIV/0!</v>
      </c>
      <c r="V52" s="171"/>
      <c r="W52" s="89" t="e">
        <f t="shared" ref="W52" si="231">+V52/V$54</f>
        <v>#DIV/0!</v>
      </c>
      <c r="X52" s="171"/>
      <c r="Y52" s="89" t="e">
        <f t="shared" ref="Y52" si="232">+X52/X$54</f>
        <v>#DIV/0!</v>
      </c>
      <c r="Z52" s="88">
        <f t="shared" si="161"/>
        <v>0</v>
      </c>
      <c r="AA52" s="89">
        <f t="shared" si="162"/>
        <v>0</v>
      </c>
    </row>
    <row r="53" spans="1:27" x14ac:dyDescent="0.2">
      <c r="A53" s="85" t="s">
        <v>67</v>
      </c>
      <c r="B53" s="88"/>
      <c r="C53" s="89" t="e">
        <f t="shared" si="150"/>
        <v>#DIV/0!</v>
      </c>
      <c r="D53" s="137"/>
      <c r="E53" s="89" t="e">
        <f t="shared" si="150"/>
        <v>#DIV/0!</v>
      </c>
      <c r="F53" s="137"/>
      <c r="G53" s="89" t="e">
        <f t="shared" ref="G53" si="233">+F53/F$54</f>
        <v>#DIV/0!</v>
      </c>
      <c r="H53" s="88"/>
      <c r="I53" s="89" t="e">
        <f t="shared" ref="I53" si="234">+H53/H$54</f>
        <v>#DIV/0!</v>
      </c>
      <c r="J53" s="88"/>
      <c r="K53" s="89" t="e">
        <f t="shared" ref="K53" si="235">+J53/J$54</f>
        <v>#DIV/0!</v>
      </c>
      <c r="L53" s="88"/>
      <c r="M53" s="89" t="e">
        <f t="shared" ref="M53" si="236">+L53/L$54</f>
        <v>#DIV/0!</v>
      </c>
      <c r="N53" s="88"/>
      <c r="O53" s="89" t="e">
        <f t="shared" ref="O53" si="237">+N53/N$54</f>
        <v>#DIV/0!</v>
      </c>
      <c r="P53" s="88"/>
      <c r="Q53" s="89" t="e">
        <f t="shared" ref="Q53" si="238">+P53/P$54</f>
        <v>#DIV/0!</v>
      </c>
      <c r="R53" s="122"/>
      <c r="S53" s="89" t="e">
        <f t="shared" ref="S53" si="239">+R53/R$54</f>
        <v>#DIV/0!</v>
      </c>
      <c r="T53" s="122"/>
      <c r="U53" s="89" t="e">
        <f t="shared" ref="U53" si="240">+T53/T$54</f>
        <v>#DIV/0!</v>
      </c>
      <c r="V53" s="171"/>
      <c r="W53" s="89" t="e">
        <f t="shared" ref="W53" si="241">+V53/V$54</f>
        <v>#DIV/0!</v>
      </c>
      <c r="X53" s="171"/>
      <c r="Y53" s="89" t="e">
        <f t="shared" ref="Y53" si="242">+X53/X$54</f>
        <v>#DIV/0!</v>
      </c>
      <c r="Z53" s="88">
        <f t="shared" si="161"/>
        <v>0</v>
      </c>
      <c r="AA53" s="89">
        <f t="shared" si="162"/>
        <v>0</v>
      </c>
    </row>
    <row r="54" spans="1:27" ht="13.5" thickBot="1" x14ac:dyDescent="0.25">
      <c r="A54" s="90"/>
      <c r="B54" s="91">
        <f t="shared" ref="B54:AA54" si="243">SUM(B44:B53)</f>
        <v>0</v>
      </c>
      <c r="C54" s="102" t="e">
        <f t="shared" si="243"/>
        <v>#DIV/0!</v>
      </c>
      <c r="D54" s="91">
        <f t="shared" si="243"/>
        <v>0</v>
      </c>
      <c r="E54" s="102" t="e">
        <f t="shared" si="243"/>
        <v>#DIV/0!</v>
      </c>
      <c r="F54" s="91">
        <f t="shared" si="243"/>
        <v>0</v>
      </c>
      <c r="G54" s="102" t="e">
        <f t="shared" si="243"/>
        <v>#DIV/0!</v>
      </c>
      <c r="H54" s="91">
        <f t="shared" si="243"/>
        <v>0</v>
      </c>
      <c r="I54" s="102" t="e">
        <f t="shared" si="243"/>
        <v>#DIV/0!</v>
      </c>
      <c r="J54" s="91">
        <f t="shared" si="243"/>
        <v>0</v>
      </c>
      <c r="K54" s="102" t="e">
        <f t="shared" si="243"/>
        <v>#DIV/0!</v>
      </c>
      <c r="L54" s="91">
        <f t="shared" si="243"/>
        <v>0</v>
      </c>
      <c r="M54" s="102" t="e">
        <f t="shared" si="243"/>
        <v>#DIV/0!</v>
      </c>
      <c r="N54" s="91">
        <f t="shared" si="243"/>
        <v>0</v>
      </c>
      <c r="O54" s="102" t="e">
        <f t="shared" si="243"/>
        <v>#DIV/0!</v>
      </c>
      <c r="P54" s="91">
        <f t="shared" si="243"/>
        <v>0</v>
      </c>
      <c r="Q54" s="102" t="e">
        <f t="shared" si="243"/>
        <v>#DIV/0!</v>
      </c>
      <c r="R54" s="91">
        <f t="shared" si="243"/>
        <v>0</v>
      </c>
      <c r="S54" s="102" t="e">
        <f t="shared" si="243"/>
        <v>#DIV/0!</v>
      </c>
      <c r="T54" s="91">
        <f t="shared" si="243"/>
        <v>0</v>
      </c>
      <c r="U54" s="102" t="e">
        <f t="shared" si="243"/>
        <v>#DIV/0!</v>
      </c>
      <c r="V54" s="91">
        <f t="shared" si="243"/>
        <v>0</v>
      </c>
      <c r="W54" s="102" t="e">
        <f t="shared" si="243"/>
        <v>#DIV/0!</v>
      </c>
      <c r="X54" s="249">
        <f t="shared" si="243"/>
        <v>0</v>
      </c>
      <c r="Y54" s="102" t="e">
        <f t="shared" si="243"/>
        <v>#DIV/0!</v>
      </c>
      <c r="Z54" s="91">
        <f t="shared" si="243"/>
        <v>0</v>
      </c>
      <c r="AA54" s="102">
        <f t="shared" si="243"/>
        <v>0</v>
      </c>
    </row>
    <row r="55" spans="1:27" ht="13.5" thickTop="1" x14ac:dyDescent="0.2">
      <c r="X55" s="219"/>
    </row>
    <row r="56" spans="1:27" ht="15" x14ac:dyDescent="0.35">
      <c r="A56" s="85" t="s">
        <v>68</v>
      </c>
      <c r="B56" s="126"/>
      <c r="C56" s="127"/>
      <c r="D56" s="147"/>
      <c r="E56" s="127"/>
      <c r="F56" s="136"/>
      <c r="G56" s="127"/>
      <c r="H56" s="136"/>
      <c r="I56" s="127"/>
      <c r="J56" s="136"/>
      <c r="K56" s="127"/>
      <c r="L56" s="178"/>
      <c r="M56" s="127"/>
      <c r="N56" s="218"/>
      <c r="O56" s="127"/>
      <c r="P56" s="218"/>
      <c r="Q56" s="127"/>
      <c r="R56" s="218"/>
      <c r="S56" s="127"/>
      <c r="T56" s="218"/>
      <c r="U56" s="127"/>
      <c r="V56" s="218"/>
      <c r="W56" s="127"/>
      <c r="X56" s="248"/>
      <c r="Y56" s="127"/>
      <c r="Z56" s="126">
        <f t="shared" ref="Z56" si="244">+B56+D56+F56+H56+J56+L56+N56+P56+R56+T56+V56+X56</f>
        <v>0</v>
      </c>
      <c r="AA56" s="127"/>
    </row>
    <row r="57" spans="1:27" x14ac:dyDescent="0.2">
      <c r="X57" s="219"/>
    </row>
    <row r="58" spans="1:27" ht="15" x14ac:dyDescent="0.35">
      <c r="A58" s="86" t="s">
        <v>93</v>
      </c>
      <c r="B58" s="125">
        <f t="shared" ref="B58" si="245">+B56+B54</f>
        <v>0</v>
      </c>
      <c r="C58" s="125"/>
      <c r="D58" s="125">
        <f t="shared" ref="D58" si="246">+D56+D54</f>
        <v>0</v>
      </c>
      <c r="E58" s="125"/>
      <c r="F58" s="125">
        <f t="shared" ref="F58" si="247">+F56+F54</f>
        <v>0</v>
      </c>
      <c r="G58" s="125"/>
      <c r="H58" s="125">
        <f t="shared" ref="H58" si="248">+H56+H54</f>
        <v>0</v>
      </c>
      <c r="I58" s="125"/>
      <c r="J58" s="125">
        <f t="shared" ref="J58" si="249">+J56+J54</f>
        <v>0</v>
      </c>
      <c r="K58" s="125"/>
      <c r="L58" s="125">
        <f t="shared" ref="L58" si="250">+L56+L54</f>
        <v>0</v>
      </c>
      <c r="M58" s="125"/>
      <c r="N58" s="125">
        <f t="shared" ref="N58" si="251">+N56+N54</f>
        <v>0</v>
      </c>
      <c r="O58" s="125"/>
      <c r="P58" s="125">
        <f t="shared" ref="P58" si="252">+P56+P54</f>
        <v>0</v>
      </c>
      <c r="Q58" s="125"/>
      <c r="R58" s="125">
        <f t="shared" ref="R58" si="253">+R56+R54</f>
        <v>0</v>
      </c>
      <c r="S58" s="125"/>
      <c r="T58" s="125">
        <f t="shared" ref="T58" si="254">+T56+T54</f>
        <v>0</v>
      </c>
      <c r="U58" s="125"/>
      <c r="V58" s="125">
        <f t="shared" ref="V58" si="255">+V56+V54</f>
        <v>0</v>
      </c>
      <c r="W58" s="125"/>
      <c r="X58" s="125">
        <f t="shared" ref="X58" si="256">+X56+X54</f>
        <v>0</v>
      </c>
      <c r="Y58" s="125"/>
      <c r="Z58" s="125">
        <f t="shared" ref="Z58" si="257">+Z56+Z54</f>
        <v>0</v>
      </c>
    </row>
  </sheetData>
  <mergeCells count="33">
    <mergeCell ref="V42:W42"/>
    <mergeCell ref="X42:Y42"/>
    <mergeCell ref="B23:C23"/>
    <mergeCell ref="Z42:AA42"/>
    <mergeCell ref="L42:M42"/>
    <mergeCell ref="N42:O42"/>
    <mergeCell ref="P42:Q42"/>
    <mergeCell ref="R42:S42"/>
    <mergeCell ref="T42:U42"/>
    <mergeCell ref="B42:C42"/>
    <mergeCell ref="D42:E42"/>
    <mergeCell ref="F42:G42"/>
    <mergeCell ref="H42:I42"/>
    <mergeCell ref="J42:K42"/>
    <mergeCell ref="Z23:AA23"/>
    <mergeCell ref="D23:E23"/>
    <mergeCell ref="Z4:AA4"/>
    <mergeCell ref="D4:E4"/>
    <mergeCell ref="F4:G4"/>
    <mergeCell ref="H4:I4"/>
    <mergeCell ref="B4:C4"/>
    <mergeCell ref="J4:K4"/>
    <mergeCell ref="L4:M4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2"/>
  <sheetViews>
    <sheetView workbookViewId="0">
      <selection activeCell="B10" sqref="B10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69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70</v>
      </c>
      <c r="C4" s="95" t="s">
        <v>71</v>
      </c>
      <c r="D4" s="95" t="s">
        <v>19</v>
      </c>
      <c r="E4" s="95" t="s">
        <v>72</v>
      </c>
      <c r="F4" s="95" t="s">
        <v>18</v>
      </c>
      <c r="G4" s="95" t="s">
        <v>11</v>
      </c>
      <c r="H4" s="95" t="s">
        <v>1</v>
      </c>
      <c r="I4" s="95" t="s">
        <v>73</v>
      </c>
      <c r="J4" s="95" t="s">
        <v>74</v>
      </c>
      <c r="K4" s="96" t="s">
        <v>75</v>
      </c>
    </row>
    <row r="5" spans="1:11" x14ac:dyDescent="0.2">
      <c r="A5" s="97">
        <v>44713</v>
      </c>
      <c r="B5" s="98">
        <v>99.38</v>
      </c>
      <c r="C5" s="98">
        <v>0</v>
      </c>
      <c r="D5" s="98">
        <v>132.5</v>
      </c>
      <c r="E5" s="98">
        <v>1615.88</v>
      </c>
      <c r="F5" s="98">
        <v>214.93</v>
      </c>
      <c r="G5" s="98">
        <v>-58.5</v>
      </c>
      <c r="H5" s="98">
        <v>600</v>
      </c>
      <c r="I5" s="98">
        <v>1145</v>
      </c>
      <c r="J5" s="98">
        <v>480</v>
      </c>
      <c r="K5" s="98">
        <v>-205</v>
      </c>
    </row>
    <row r="6" spans="1:11" x14ac:dyDescent="0.2">
      <c r="A6" s="97">
        <v>44743</v>
      </c>
      <c r="B6" s="98">
        <v>101.68</v>
      </c>
      <c r="C6" s="98">
        <v>0</v>
      </c>
      <c r="D6" s="98">
        <v>142.5</v>
      </c>
      <c r="E6" s="98">
        <v>1488.14</v>
      </c>
      <c r="F6" s="98">
        <v>170.77</v>
      </c>
      <c r="G6" s="98">
        <v>-58.5</v>
      </c>
      <c r="H6" s="98">
        <v>310.97000000000003</v>
      </c>
      <c r="I6" s="98">
        <v>860</v>
      </c>
      <c r="J6" s="98">
        <v>340</v>
      </c>
      <c r="K6" s="98">
        <v>-205</v>
      </c>
    </row>
    <row r="7" spans="1:11" x14ac:dyDescent="0.2">
      <c r="A7" s="97">
        <v>44774</v>
      </c>
      <c r="B7" s="98">
        <v>103.84</v>
      </c>
      <c r="C7" s="98">
        <v>0</v>
      </c>
      <c r="D7" s="98">
        <v>132.5</v>
      </c>
      <c r="E7" s="98">
        <v>1477.2</v>
      </c>
      <c r="F7" s="98">
        <v>161.69</v>
      </c>
      <c r="G7" s="98">
        <v>-58.5</v>
      </c>
      <c r="H7" s="98">
        <v>102.25</v>
      </c>
      <c r="I7" s="98">
        <v>780</v>
      </c>
      <c r="J7" s="98">
        <v>200</v>
      </c>
      <c r="K7" s="98">
        <v>-205</v>
      </c>
    </row>
    <row r="8" spans="1:11" x14ac:dyDescent="0.2">
      <c r="A8" s="97">
        <v>44805</v>
      </c>
      <c r="B8" s="98">
        <v>84.29</v>
      </c>
      <c r="C8" s="98">
        <v>0</v>
      </c>
      <c r="D8" s="98">
        <v>95.11</v>
      </c>
      <c r="E8" s="98">
        <v>1285.56</v>
      </c>
      <c r="F8" s="98">
        <v>160.51</v>
      </c>
      <c r="G8" s="98">
        <v>-58.5</v>
      </c>
      <c r="H8" s="98">
        <v>60</v>
      </c>
      <c r="I8" s="98">
        <v>680</v>
      </c>
      <c r="J8" s="98">
        <v>110</v>
      </c>
      <c r="K8" s="98">
        <v>-205</v>
      </c>
    </row>
    <row r="9" spans="1:11" x14ac:dyDescent="0.2">
      <c r="A9" s="97">
        <v>44835</v>
      </c>
      <c r="B9" s="98">
        <v>-15.51</v>
      </c>
      <c r="C9" s="98">
        <v>0</v>
      </c>
      <c r="D9" s="98">
        <v>62.5</v>
      </c>
      <c r="E9" s="98">
        <v>1199.49</v>
      </c>
      <c r="F9" s="98">
        <v>150.80000000000001</v>
      </c>
      <c r="G9" s="98">
        <v>-58.5</v>
      </c>
      <c r="H9" s="98">
        <v>60</v>
      </c>
      <c r="I9" s="98">
        <v>780</v>
      </c>
      <c r="J9" s="98">
        <v>130</v>
      </c>
      <c r="K9" s="98">
        <v>-205</v>
      </c>
    </row>
    <row r="10" spans="1:11" x14ac:dyDescent="0.2">
      <c r="A10" s="97">
        <v>44866</v>
      </c>
      <c r="B10" s="98">
        <v>-7.32</v>
      </c>
      <c r="C10" s="98">
        <v>0</v>
      </c>
      <c r="D10" s="98">
        <v>47.5</v>
      </c>
      <c r="E10" s="98">
        <v>1268.21</v>
      </c>
      <c r="F10" s="98">
        <v>140.88999999999999</v>
      </c>
      <c r="G10" s="98">
        <v>-58.5</v>
      </c>
      <c r="H10" s="98">
        <v>86.94</v>
      </c>
      <c r="I10" s="98">
        <v>1090</v>
      </c>
      <c r="J10" s="98">
        <v>160</v>
      </c>
      <c r="K10" s="98">
        <v>-205</v>
      </c>
    </row>
    <row r="11" spans="1:11" ht="11.25" customHeight="1" x14ac:dyDescent="0.2">
      <c r="A11" s="97">
        <v>44896</v>
      </c>
      <c r="B11" s="98">
        <v>32.31</v>
      </c>
      <c r="C11" s="98">
        <v>0</v>
      </c>
      <c r="D11" s="98">
        <v>47.5</v>
      </c>
      <c r="E11" s="98">
        <v>1278.6400000000001</v>
      </c>
      <c r="F11" s="98">
        <v>151.63</v>
      </c>
      <c r="G11" s="98">
        <v>-58.5</v>
      </c>
      <c r="H11" s="98">
        <v>80</v>
      </c>
      <c r="I11" s="98">
        <v>1090</v>
      </c>
      <c r="J11" s="98">
        <v>160</v>
      </c>
      <c r="K11" s="98">
        <v>-205</v>
      </c>
    </row>
    <row r="12" spans="1:11" ht="11.25" customHeight="1" x14ac:dyDescent="0.2">
      <c r="A12" s="97">
        <v>44927</v>
      </c>
      <c r="B12" s="98">
        <v>27.51</v>
      </c>
      <c r="C12" s="98">
        <v>0</v>
      </c>
      <c r="D12" s="98">
        <v>47.5</v>
      </c>
      <c r="E12" s="98">
        <v>1565.92</v>
      </c>
      <c r="F12" s="98">
        <v>181.51</v>
      </c>
      <c r="G12" s="98">
        <v>-60.55</v>
      </c>
      <c r="H12" s="98">
        <v>120</v>
      </c>
      <c r="I12" s="98">
        <v>1120</v>
      </c>
      <c r="J12" s="98">
        <v>100</v>
      </c>
      <c r="K12" s="98">
        <v>-205</v>
      </c>
    </row>
    <row r="13" spans="1:11" ht="11.25" customHeight="1" x14ac:dyDescent="0.2">
      <c r="A13" s="97">
        <v>44958</v>
      </c>
      <c r="B13" s="98">
        <v>41.35</v>
      </c>
      <c r="C13" s="98">
        <v>0</v>
      </c>
      <c r="D13" s="98">
        <v>69.7</v>
      </c>
      <c r="E13" s="98">
        <v>1422</v>
      </c>
      <c r="F13" s="98">
        <v>206.05</v>
      </c>
      <c r="G13" s="98">
        <v>-60.55</v>
      </c>
      <c r="H13" s="98">
        <v>120</v>
      </c>
      <c r="I13" s="98">
        <v>1200</v>
      </c>
      <c r="J13" s="98">
        <v>150</v>
      </c>
      <c r="K13" s="98">
        <v>-205</v>
      </c>
    </row>
    <row r="14" spans="1:11" ht="11.25" customHeight="1" x14ac:dyDescent="0.2">
      <c r="A14" s="97">
        <v>44986</v>
      </c>
      <c r="B14" s="98">
        <v>35.39</v>
      </c>
      <c r="C14" s="98">
        <v>0</v>
      </c>
      <c r="D14" s="98">
        <v>75.489999999999995</v>
      </c>
      <c r="E14" s="98">
        <v>1374.53</v>
      </c>
      <c r="F14" s="98">
        <v>235.39</v>
      </c>
      <c r="G14" s="98">
        <v>-60.55</v>
      </c>
      <c r="H14" s="98">
        <v>180</v>
      </c>
      <c r="I14" s="98">
        <v>1270</v>
      </c>
      <c r="J14" s="98">
        <v>140</v>
      </c>
      <c r="K14" s="98">
        <v>-205</v>
      </c>
    </row>
    <row r="15" spans="1:11" ht="11.25" customHeight="1" x14ac:dyDescent="0.2">
      <c r="A15" s="97">
        <v>45017</v>
      </c>
      <c r="B15" s="98">
        <v>30.68</v>
      </c>
      <c r="C15" s="98">
        <v>0</v>
      </c>
      <c r="D15" s="98">
        <v>77.650000000000006</v>
      </c>
      <c r="E15" s="98">
        <v>1411.06</v>
      </c>
      <c r="F15" s="98">
        <v>225.38</v>
      </c>
      <c r="G15" s="98">
        <v>-60.55</v>
      </c>
      <c r="H15" s="98">
        <v>200</v>
      </c>
      <c r="I15" s="98">
        <v>1313.68</v>
      </c>
      <c r="J15" s="98">
        <v>140</v>
      </c>
      <c r="K15" s="98">
        <v>-205</v>
      </c>
    </row>
    <row r="16" spans="1:11" ht="14.25" x14ac:dyDescent="0.35">
      <c r="A16" s="97">
        <v>45047</v>
      </c>
      <c r="B16" s="247">
        <v>17.61</v>
      </c>
      <c r="C16" s="247">
        <v>0</v>
      </c>
      <c r="D16" s="247">
        <v>78.36</v>
      </c>
      <c r="E16" s="247">
        <v>1389.4</v>
      </c>
      <c r="F16" s="247">
        <v>196.81</v>
      </c>
      <c r="G16" s="266">
        <v>-60.55</v>
      </c>
      <c r="H16" s="247">
        <v>200</v>
      </c>
      <c r="I16" s="247">
        <v>1400.35</v>
      </c>
      <c r="J16" s="247">
        <v>220</v>
      </c>
      <c r="K16" s="247">
        <v>-205</v>
      </c>
    </row>
    <row r="17" spans="1:13" x14ac:dyDescent="0.2">
      <c r="A17" s="90" t="s">
        <v>114</v>
      </c>
      <c r="B17" s="153">
        <f t="shared" ref="B17:K17" si="0">AVERAGE(B5:B15)</f>
        <v>48.509090909090908</v>
      </c>
      <c r="C17" s="153">
        <f t="shared" si="0"/>
        <v>0</v>
      </c>
      <c r="D17" s="153">
        <f t="shared" si="0"/>
        <v>84.586363636363643</v>
      </c>
      <c r="E17" s="153">
        <f t="shared" si="0"/>
        <v>1398.7845454545454</v>
      </c>
      <c r="F17" s="153">
        <f t="shared" si="0"/>
        <v>181.77727272727273</v>
      </c>
      <c r="G17" s="153">
        <f t="shared" si="0"/>
        <v>-59.245454545454542</v>
      </c>
      <c r="H17" s="153">
        <f t="shared" si="0"/>
        <v>174.56</v>
      </c>
      <c r="I17" s="153">
        <f t="shared" si="0"/>
        <v>1029.8800000000001</v>
      </c>
      <c r="J17" s="153">
        <f t="shared" si="0"/>
        <v>191.81818181818181</v>
      </c>
      <c r="K17" s="153">
        <f t="shared" si="0"/>
        <v>-205</v>
      </c>
    </row>
    <row r="19" spans="1:13" x14ac:dyDescent="0.2">
      <c r="A19" s="97"/>
      <c r="B19" s="216"/>
      <c r="C19" s="98"/>
      <c r="D19" s="216"/>
      <c r="E19" s="216"/>
      <c r="F19" s="216"/>
      <c r="G19" s="98"/>
      <c r="H19" s="216"/>
      <c r="I19" s="216"/>
      <c r="J19" s="216"/>
      <c r="K19" s="216"/>
      <c r="L19" s="216"/>
      <c r="M19" s="216"/>
    </row>
    <row r="20" spans="1:13" ht="12.75" customHeight="1" x14ac:dyDescent="0.2">
      <c r="A20" s="97">
        <v>45078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3" ht="12.75" customHeight="1" x14ac:dyDescent="0.2">
      <c r="A21" s="97">
        <v>45108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3" x14ac:dyDescent="0.2">
      <c r="A22" s="97">
        <v>45139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3" x14ac:dyDescent="0.2">
      <c r="A23" s="97">
        <v>45170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3" x14ac:dyDescent="0.2">
      <c r="A24" s="97">
        <v>45200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3" x14ac:dyDescent="0.2">
      <c r="A25" s="97">
        <v>45231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3" x14ac:dyDescent="0.2">
      <c r="A26" s="97">
        <v>45261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3" x14ac:dyDescent="0.2">
      <c r="A27" s="97">
        <v>45292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3" x14ac:dyDescent="0.2">
      <c r="A28" s="97">
        <v>45323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3" x14ac:dyDescent="0.2">
      <c r="A29" s="97">
        <v>45352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3" x14ac:dyDescent="0.2">
      <c r="A30" s="97">
        <v>45383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3" ht="14.25" x14ac:dyDescent="0.35">
      <c r="A31" s="97">
        <v>45413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spans="1:13" x14ac:dyDescent="0.2">
      <c r="A32" s="90" t="s">
        <v>114</v>
      </c>
      <c r="B32" s="153" t="e">
        <f t="shared" ref="B32:K32" si="1">AVERAGE(B20:B30)</f>
        <v>#DIV/0!</v>
      </c>
      <c r="C32" s="153" t="e">
        <f t="shared" si="1"/>
        <v>#DIV/0!</v>
      </c>
      <c r="D32" s="153" t="e">
        <f t="shared" si="1"/>
        <v>#DIV/0!</v>
      </c>
      <c r="E32" s="153" t="e">
        <f t="shared" si="1"/>
        <v>#DIV/0!</v>
      </c>
      <c r="F32" s="153" t="e">
        <f t="shared" si="1"/>
        <v>#DIV/0!</v>
      </c>
      <c r="G32" s="153" t="e">
        <f t="shared" si="1"/>
        <v>#DIV/0!</v>
      </c>
      <c r="H32" s="153" t="e">
        <f t="shared" si="1"/>
        <v>#DIV/0!</v>
      </c>
      <c r="I32" s="153" t="e">
        <f t="shared" si="1"/>
        <v>#DIV/0!</v>
      </c>
      <c r="J32" s="153" t="e">
        <f t="shared" si="1"/>
        <v>#DIV/0!</v>
      </c>
      <c r="K32" s="153" t="e">
        <f t="shared" si="1"/>
        <v>#DIV/0!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tabSelected="1" workbookViewId="0">
      <selection activeCell="I28" sqref="I28:I32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92</v>
      </c>
    </row>
    <row r="4" spans="1:19" x14ac:dyDescent="0.2">
      <c r="A4" s="3"/>
      <c r="B4" s="3"/>
      <c r="C4" s="106">
        <v>44713</v>
      </c>
      <c r="D4" s="106">
        <v>44743</v>
      </c>
      <c r="E4" s="106">
        <v>44774</v>
      </c>
      <c r="F4" s="106">
        <v>44805</v>
      </c>
      <c r="G4" s="106">
        <v>44835</v>
      </c>
      <c r="H4" s="106">
        <v>44866</v>
      </c>
      <c r="I4" s="106">
        <v>44896</v>
      </c>
      <c r="J4" s="106">
        <v>44927</v>
      </c>
      <c r="K4" s="106">
        <v>44958</v>
      </c>
      <c r="L4" s="106">
        <v>44986</v>
      </c>
      <c r="M4" s="106">
        <v>45017</v>
      </c>
      <c r="N4" s="106">
        <v>45047</v>
      </c>
      <c r="O4" s="107"/>
      <c r="P4" s="101" t="s">
        <v>114</v>
      </c>
    </row>
    <row r="5" spans="1:19" x14ac:dyDescent="0.2">
      <c r="A5" s="3" t="s">
        <v>86</v>
      </c>
      <c r="B5" s="1"/>
      <c r="N5" s="63"/>
    </row>
    <row r="6" spans="1:19" x14ac:dyDescent="0.2">
      <c r="A6" s="105" t="s">
        <v>79</v>
      </c>
      <c r="B6" s="104"/>
      <c r="C6" s="75">
        <v>917</v>
      </c>
      <c r="D6" s="146">
        <v>917</v>
      </c>
      <c r="E6" s="146">
        <v>907</v>
      </c>
      <c r="F6" s="146">
        <v>907</v>
      </c>
      <c r="G6" s="146">
        <v>908</v>
      </c>
      <c r="H6" s="146">
        <v>913</v>
      </c>
      <c r="I6" s="146">
        <v>907</v>
      </c>
      <c r="J6" s="146">
        <v>914</v>
      </c>
      <c r="K6" s="146">
        <v>916</v>
      </c>
      <c r="L6" s="146">
        <v>924</v>
      </c>
      <c r="M6" s="146">
        <v>910</v>
      </c>
      <c r="N6" s="146">
        <v>909</v>
      </c>
      <c r="O6" s="103"/>
      <c r="P6" s="103"/>
    </row>
    <row r="7" spans="1:19" x14ac:dyDescent="0.2">
      <c r="A7" s="105" t="s">
        <v>78</v>
      </c>
      <c r="B7" s="104"/>
      <c r="C7" s="75">
        <v>1512</v>
      </c>
      <c r="D7" s="146">
        <v>1512</v>
      </c>
      <c r="E7" s="146">
        <v>1515</v>
      </c>
      <c r="F7" s="146">
        <v>1523</v>
      </c>
      <c r="G7" s="146">
        <v>1517</v>
      </c>
      <c r="H7" s="146">
        <v>1515</v>
      </c>
      <c r="I7" s="146">
        <v>1514</v>
      </c>
      <c r="J7" s="146">
        <v>1515</v>
      </c>
      <c r="K7" s="146">
        <v>1511</v>
      </c>
      <c r="L7" s="146">
        <v>1509</v>
      </c>
      <c r="M7" s="146">
        <v>1528</v>
      </c>
      <c r="N7" s="146">
        <v>1632</v>
      </c>
      <c r="O7" s="103"/>
      <c r="P7" s="103"/>
    </row>
    <row r="8" spans="1:19" x14ac:dyDescent="0.2">
      <c r="A8" s="105" t="s">
        <v>80</v>
      </c>
      <c r="B8" s="104"/>
      <c r="C8" s="75">
        <v>3989</v>
      </c>
      <c r="D8" s="146">
        <v>4011</v>
      </c>
      <c r="E8" s="146">
        <v>4032</v>
      </c>
      <c r="F8" s="146">
        <v>4025</v>
      </c>
      <c r="G8" s="146">
        <v>4012</v>
      </c>
      <c r="H8" s="146">
        <v>4006</v>
      </c>
      <c r="I8" s="146">
        <v>4000</v>
      </c>
      <c r="J8" s="146">
        <v>3970</v>
      </c>
      <c r="K8" s="146">
        <v>4010</v>
      </c>
      <c r="L8" s="146">
        <v>4056</v>
      </c>
      <c r="M8" s="146">
        <v>4081</v>
      </c>
      <c r="N8" s="146">
        <v>4124</v>
      </c>
      <c r="O8" s="103"/>
      <c r="P8" s="103"/>
    </row>
    <row r="9" spans="1:19" ht="15" x14ac:dyDescent="0.35">
      <c r="A9" s="105" t="s">
        <v>81</v>
      </c>
      <c r="B9" s="104"/>
      <c r="C9" s="108">
        <v>26175</v>
      </c>
      <c r="D9" s="108">
        <v>26174</v>
      </c>
      <c r="E9" s="108">
        <v>26253</v>
      </c>
      <c r="F9" s="108">
        <v>26268</v>
      </c>
      <c r="G9" s="108">
        <v>26198</v>
      </c>
      <c r="H9" s="108">
        <v>26179</v>
      </c>
      <c r="I9" s="108">
        <v>26137</v>
      </c>
      <c r="J9" s="108">
        <v>26112</v>
      </c>
      <c r="K9" s="108">
        <v>26243</v>
      </c>
      <c r="L9" s="108">
        <v>26430</v>
      </c>
      <c r="M9" s="108">
        <v>26326</v>
      </c>
      <c r="N9" s="108">
        <v>26415</v>
      </c>
      <c r="O9" s="103"/>
      <c r="P9" s="103"/>
    </row>
    <row r="10" spans="1:19" ht="15" x14ac:dyDescent="0.35">
      <c r="A10" s="104" t="s">
        <v>85</v>
      </c>
      <c r="B10" s="104"/>
      <c r="C10" s="112">
        <f t="shared" ref="C10:N10" si="0">SUM(C6:C9)</f>
        <v>32593</v>
      </c>
      <c r="D10" s="112">
        <f t="shared" si="0"/>
        <v>32614</v>
      </c>
      <c r="E10" s="112">
        <f t="shared" si="0"/>
        <v>32707</v>
      </c>
      <c r="F10" s="112">
        <f t="shared" si="0"/>
        <v>32723</v>
      </c>
      <c r="G10" s="112">
        <f t="shared" si="0"/>
        <v>32635</v>
      </c>
      <c r="H10" s="112">
        <f t="shared" si="0"/>
        <v>32613</v>
      </c>
      <c r="I10" s="112">
        <f t="shared" si="0"/>
        <v>32558</v>
      </c>
      <c r="J10" s="112">
        <f t="shared" si="0"/>
        <v>32511</v>
      </c>
      <c r="K10" s="112">
        <f t="shared" si="0"/>
        <v>32680</v>
      </c>
      <c r="L10" s="112">
        <f t="shared" si="0"/>
        <v>32919</v>
      </c>
      <c r="M10" s="112">
        <f t="shared" si="0"/>
        <v>32845</v>
      </c>
      <c r="N10" s="112">
        <f t="shared" si="0"/>
        <v>33080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84</v>
      </c>
      <c r="B12" s="110"/>
      <c r="C12" s="111">
        <f>26964+3</f>
        <v>26967</v>
      </c>
      <c r="D12" s="111">
        <f>27016+3</f>
        <v>27019</v>
      </c>
      <c r="E12" s="111">
        <f>27005+3</f>
        <v>27008</v>
      </c>
      <c r="F12" s="111">
        <f>27031+3</f>
        <v>27034</v>
      </c>
      <c r="G12" s="111">
        <f>3+26983</f>
        <v>26986</v>
      </c>
      <c r="H12" s="111">
        <f>3+26970</f>
        <v>26973</v>
      </c>
      <c r="I12" s="111">
        <f>3+26907</f>
        <v>26910</v>
      </c>
      <c r="J12" s="111">
        <f>1+3+26901</f>
        <v>26905</v>
      </c>
      <c r="K12" s="111">
        <v>26856</v>
      </c>
      <c r="L12" s="111">
        <v>27037</v>
      </c>
      <c r="M12" s="111">
        <v>27108</v>
      </c>
      <c r="N12" s="111">
        <v>27209</v>
      </c>
      <c r="O12" s="110"/>
      <c r="P12" s="111">
        <f>AVERAGE(C12:N12)</f>
        <v>27001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59560</v>
      </c>
      <c r="D14" s="14">
        <f t="shared" si="1"/>
        <v>59633</v>
      </c>
      <c r="E14" s="14">
        <f t="shared" si="1"/>
        <v>59715</v>
      </c>
      <c r="F14" s="14">
        <f t="shared" si="1"/>
        <v>59757</v>
      </c>
      <c r="G14" s="14">
        <f t="shared" si="1"/>
        <v>59621</v>
      </c>
      <c r="H14" s="14">
        <f t="shared" si="1"/>
        <v>59586</v>
      </c>
      <c r="I14" s="14">
        <f t="shared" si="1"/>
        <v>59468</v>
      </c>
      <c r="J14" s="14">
        <f t="shared" si="1"/>
        <v>59416</v>
      </c>
      <c r="K14" s="14">
        <f t="shared" si="1"/>
        <v>59536</v>
      </c>
      <c r="L14" s="14">
        <f t="shared" si="1"/>
        <v>59956</v>
      </c>
      <c r="M14" s="14">
        <f t="shared" si="1"/>
        <v>59953</v>
      </c>
      <c r="N14" s="14">
        <f t="shared" si="1"/>
        <v>60289</v>
      </c>
    </row>
    <row r="16" spans="1:19" x14ac:dyDescent="0.2">
      <c r="A16" s="1" t="s">
        <v>87</v>
      </c>
      <c r="C16" s="100">
        <f t="shared" ref="C16:F16" si="2">+C12/C14</f>
        <v>0.45277031564808595</v>
      </c>
      <c r="D16" s="100">
        <f t="shared" si="2"/>
        <v>0.45308805527141011</v>
      </c>
      <c r="E16" s="100">
        <f t="shared" si="2"/>
        <v>0.45228167127187474</v>
      </c>
      <c r="F16" s="100">
        <f t="shared" si="2"/>
        <v>0.45239888213933094</v>
      </c>
      <c r="G16" s="100">
        <f t="shared" ref="G16:N16" si="3">+G12/G14</f>
        <v>0.45262575267103872</v>
      </c>
      <c r="H16" s="100">
        <f t="shared" si="3"/>
        <v>0.4526734467828013</v>
      </c>
      <c r="I16" s="100">
        <f t="shared" si="3"/>
        <v>0.45251227550951773</v>
      </c>
      <c r="J16" s="100">
        <f t="shared" si="3"/>
        <v>0.45282415510973473</v>
      </c>
      <c r="K16" s="100">
        <f t="shared" si="3"/>
        <v>0.45108841709217951</v>
      </c>
      <c r="L16" s="100">
        <f t="shared" si="3"/>
        <v>0.45094736139835878</v>
      </c>
      <c r="M16" s="100">
        <f t="shared" si="3"/>
        <v>0.45215418744683333</v>
      </c>
      <c r="N16" s="100">
        <f t="shared" si="3"/>
        <v>0.45130952578413974</v>
      </c>
    </row>
    <row r="18" spans="1:29" x14ac:dyDescent="0.2">
      <c r="A18" s="1" t="s">
        <v>88</v>
      </c>
      <c r="C18" s="114">
        <f t="shared" ref="C18:F18" si="4">1-C16</f>
        <v>0.54722968435191399</v>
      </c>
      <c r="D18" s="114">
        <f t="shared" si="4"/>
        <v>0.54691194472858995</v>
      </c>
      <c r="E18" s="114">
        <f t="shared" si="4"/>
        <v>0.54771832872812531</v>
      </c>
      <c r="F18" s="114">
        <f t="shared" si="4"/>
        <v>0.54760111786066901</v>
      </c>
      <c r="G18" s="114">
        <f t="shared" ref="G18:N18" si="5">1-G16</f>
        <v>0.54737424732896134</v>
      </c>
      <c r="H18" s="114">
        <f t="shared" si="5"/>
        <v>0.5473265532171987</v>
      </c>
      <c r="I18" s="114">
        <f t="shared" si="5"/>
        <v>0.54748772449048233</v>
      </c>
      <c r="J18" s="114">
        <f t="shared" si="5"/>
        <v>0.54717584489026527</v>
      </c>
      <c r="K18" s="114">
        <f t="shared" si="5"/>
        <v>0.54891158290782049</v>
      </c>
      <c r="L18" s="114">
        <f t="shared" si="5"/>
        <v>0.54905263860164122</v>
      </c>
      <c r="M18" s="114">
        <f t="shared" si="5"/>
        <v>0.54784581255316667</v>
      </c>
      <c r="N18" s="114">
        <f t="shared" si="5"/>
        <v>0.54869047421586026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91</v>
      </c>
      <c r="B21" s="1"/>
      <c r="C21" s="120">
        <f>SUM(C28:C32)</f>
        <v>-331.69</v>
      </c>
      <c r="D21" s="120">
        <f t="shared" ref="D21:N21" si="6">SUM(D28:D32)</f>
        <v>-352.71</v>
      </c>
      <c r="E21" s="120">
        <f t="shared" si="6"/>
        <v>-910.35</v>
      </c>
      <c r="F21" s="120">
        <f t="shared" si="6"/>
        <v>-908.46</v>
      </c>
      <c r="G21" s="120">
        <f t="shared" si="6"/>
        <v>-908.33</v>
      </c>
      <c r="H21" s="120">
        <f t="shared" si="6"/>
        <v>-936.82</v>
      </c>
      <c r="I21" s="120">
        <f t="shared" si="6"/>
        <v>-899.78000000000009</v>
      </c>
      <c r="J21" s="120">
        <f t="shared" si="6"/>
        <v>-912.36</v>
      </c>
      <c r="K21" s="120">
        <f t="shared" si="6"/>
        <v>-870.43999999999994</v>
      </c>
      <c r="L21" s="120">
        <f t="shared" si="6"/>
        <v>-874.33999999999992</v>
      </c>
      <c r="M21" s="120">
        <f t="shared" si="6"/>
        <v>-843.14</v>
      </c>
      <c r="N21" s="120">
        <f t="shared" si="6"/>
        <v>-936.82</v>
      </c>
      <c r="O21" s="120"/>
      <c r="P21" s="120">
        <f>SUM(C21:N21)</f>
        <v>-9685.239999999998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89</v>
      </c>
      <c r="C23" s="115">
        <v>0.15</v>
      </c>
      <c r="D23" s="115">
        <v>0.15</v>
      </c>
      <c r="E23" s="115">
        <v>0.45</v>
      </c>
      <c r="F23" s="115">
        <v>0.45</v>
      </c>
      <c r="G23" s="115">
        <v>0.45</v>
      </c>
      <c r="H23" s="115">
        <v>0.45</v>
      </c>
      <c r="I23" s="115">
        <v>0.45</v>
      </c>
      <c r="J23" s="115">
        <v>0.45</v>
      </c>
      <c r="K23" s="115">
        <v>0.45</v>
      </c>
      <c r="L23" s="115">
        <v>0.45</v>
      </c>
      <c r="M23" s="115">
        <v>0.45</v>
      </c>
      <c r="N23" s="115">
        <v>0.45</v>
      </c>
      <c r="O23" s="115"/>
      <c r="P23" s="115"/>
    </row>
    <row r="25" spans="1:29" ht="15" x14ac:dyDescent="0.35">
      <c r="A25" s="1" t="s">
        <v>90</v>
      </c>
      <c r="B25" s="116"/>
      <c r="C25" s="117">
        <f t="shared" ref="C25:N25" si="7">-(C21)/C23</f>
        <v>2211.2666666666669</v>
      </c>
      <c r="D25" s="117">
        <f t="shared" si="7"/>
        <v>2351.4</v>
      </c>
      <c r="E25" s="117">
        <f t="shared" si="7"/>
        <v>2023</v>
      </c>
      <c r="F25" s="117">
        <f t="shared" si="7"/>
        <v>2018.8</v>
      </c>
      <c r="G25" s="117">
        <f t="shared" si="7"/>
        <v>2018.5111111111112</v>
      </c>
      <c r="H25" s="117">
        <f t="shared" si="7"/>
        <v>2081.8222222222221</v>
      </c>
      <c r="I25" s="117">
        <f t="shared" si="7"/>
        <v>1999.5111111111112</v>
      </c>
      <c r="J25" s="117">
        <f t="shared" si="7"/>
        <v>2027.4666666666667</v>
      </c>
      <c r="K25" s="117">
        <f t="shared" si="7"/>
        <v>1934.3111111111109</v>
      </c>
      <c r="L25" s="117">
        <f t="shared" si="7"/>
        <v>1942.9777777777776</v>
      </c>
      <c r="M25" s="117">
        <f t="shared" si="7"/>
        <v>1873.6444444444444</v>
      </c>
      <c r="N25" s="117">
        <f t="shared" si="7"/>
        <v>2081.8222222222221</v>
      </c>
      <c r="O25" s="118"/>
      <c r="P25" s="14">
        <f>SUM(C25:O25)</f>
        <v>24564.533333333333</v>
      </c>
    </row>
    <row r="28" spans="1:29" x14ac:dyDescent="0.2">
      <c r="A28" s="17" t="s">
        <v>154</v>
      </c>
      <c r="B28" t="s">
        <v>153</v>
      </c>
      <c r="C28" s="76">
        <v>-11.7</v>
      </c>
      <c r="D28" s="76">
        <v>-11.7</v>
      </c>
      <c r="E28" s="76">
        <v>-11.7</v>
      </c>
      <c r="F28" s="76">
        <v>-11.7</v>
      </c>
      <c r="G28" s="76">
        <v>-11.7</v>
      </c>
      <c r="H28" s="76">
        <v>-11.7</v>
      </c>
      <c r="I28" s="265">
        <v>-3.02</v>
      </c>
      <c r="J28" s="265"/>
      <c r="K28" s="265"/>
      <c r="L28" s="265"/>
      <c r="M28" s="265"/>
      <c r="N28" s="265">
        <v>-11.7</v>
      </c>
      <c r="O28" s="76"/>
      <c r="P28" s="76"/>
      <c r="Q28" s="76"/>
    </row>
    <row r="29" spans="1:29" x14ac:dyDescent="0.2">
      <c r="A29" s="17" t="s">
        <v>162</v>
      </c>
      <c r="B29" t="s">
        <v>153</v>
      </c>
      <c r="C29" s="76">
        <v>-10.4</v>
      </c>
      <c r="D29" s="76">
        <v>-10.4</v>
      </c>
      <c r="E29" s="76">
        <v>-31.2</v>
      </c>
      <c r="F29" s="76">
        <v>-31.2</v>
      </c>
      <c r="G29" s="76">
        <v>-31.2</v>
      </c>
      <c r="H29" s="76">
        <v>-31.2</v>
      </c>
      <c r="I29" s="265">
        <v>-31.2</v>
      </c>
      <c r="J29" s="265">
        <v>-46.8</v>
      </c>
      <c r="K29" s="265">
        <v>-46.8</v>
      </c>
      <c r="L29" s="265">
        <v>-46.8</v>
      </c>
      <c r="M29" s="265">
        <v>-78</v>
      </c>
      <c r="N29" s="265">
        <v>-31.2</v>
      </c>
      <c r="O29" s="76"/>
      <c r="P29" s="76"/>
      <c r="Q29" s="76"/>
    </row>
    <row r="30" spans="1:29" x14ac:dyDescent="0.2">
      <c r="A30" s="17" t="s">
        <v>155</v>
      </c>
      <c r="B30" t="s">
        <v>153</v>
      </c>
      <c r="C30" s="76"/>
      <c r="D30" s="76"/>
      <c r="E30" s="76"/>
      <c r="F30" s="76"/>
      <c r="G30" s="76"/>
      <c r="H30" s="76"/>
      <c r="I30" s="265"/>
      <c r="J30" s="265"/>
      <c r="K30" s="265"/>
      <c r="L30" s="265"/>
      <c r="M30" s="265"/>
      <c r="N30" s="265"/>
      <c r="O30" s="76"/>
      <c r="P30" s="76"/>
      <c r="Q30" s="76"/>
    </row>
    <row r="31" spans="1:29" x14ac:dyDescent="0.2">
      <c r="A31" s="17" t="s">
        <v>156</v>
      </c>
      <c r="B31" t="s">
        <v>153</v>
      </c>
      <c r="C31" s="76">
        <v>-15.6</v>
      </c>
      <c r="D31" s="76">
        <v>-15.6</v>
      </c>
      <c r="E31" s="76">
        <v>-15.6</v>
      </c>
      <c r="F31" s="76">
        <v>-15.6</v>
      </c>
      <c r="G31" s="76">
        <v>-15.6</v>
      </c>
      <c r="H31" s="76">
        <v>-15.6</v>
      </c>
      <c r="I31" s="265">
        <v>-15.6</v>
      </c>
      <c r="J31" s="265">
        <v>-15.6</v>
      </c>
      <c r="K31" s="265"/>
      <c r="L31" s="265"/>
      <c r="M31" s="265"/>
      <c r="N31" s="265">
        <v>-15.6</v>
      </c>
      <c r="O31" s="76"/>
      <c r="P31" s="76"/>
      <c r="Q31" s="76"/>
    </row>
    <row r="32" spans="1:29" x14ac:dyDescent="0.2">
      <c r="A32" s="17" t="s">
        <v>157</v>
      </c>
      <c r="B32" t="s">
        <v>153</v>
      </c>
      <c r="C32" s="76">
        <v>-293.99</v>
      </c>
      <c r="D32" s="76">
        <v>-315.01</v>
      </c>
      <c r="E32" s="76">
        <v>-851.85</v>
      </c>
      <c r="F32" s="76">
        <v>-849.96</v>
      </c>
      <c r="G32" s="76">
        <v>-849.83</v>
      </c>
      <c r="H32" s="76">
        <v>-878.32</v>
      </c>
      <c r="I32" s="265">
        <v>-849.96</v>
      </c>
      <c r="J32" s="265">
        <v>-849.96</v>
      </c>
      <c r="K32" s="265">
        <v>-823.64</v>
      </c>
      <c r="L32" s="265">
        <v>-827.54</v>
      </c>
      <c r="M32" s="265">
        <v>-765.14</v>
      </c>
      <c r="N32" s="265">
        <v>-878.32</v>
      </c>
      <c r="O32" s="76"/>
      <c r="P32" s="76"/>
      <c r="Q32" s="76"/>
    </row>
    <row r="33" spans="1:17" x14ac:dyDescent="0.2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5" spans="1:17" x14ac:dyDescent="0.2">
      <c r="A35" s="3"/>
      <c r="B35" s="3"/>
      <c r="C35" s="106">
        <v>45078</v>
      </c>
      <c r="D35" s="106">
        <v>45108</v>
      </c>
      <c r="E35" s="106">
        <v>45139</v>
      </c>
      <c r="F35" s="106">
        <v>45170</v>
      </c>
      <c r="G35" s="106">
        <v>45200</v>
      </c>
      <c r="H35" s="106">
        <v>45231</v>
      </c>
      <c r="I35" s="106">
        <v>45261</v>
      </c>
      <c r="J35" s="106">
        <v>45292</v>
      </c>
      <c r="K35" s="106">
        <v>45323</v>
      </c>
      <c r="L35" s="106">
        <v>45352</v>
      </c>
      <c r="M35" s="106">
        <v>45383</v>
      </c>
      <c r="N35" s="106">
        <v>45413</v>
      </c>
      <c r="O35" s="106"/>
      <c r="P35" s="101" t="s">
        <v>114</v>
      </c>
    </row>
    <row r="36" spans="1:17" x14ac:dyDescent="0.2">
      <c r="A36" s="3" t="s">
        <v>86</v>
      </c>
      <c r="B36" s="1"/>
      <c r="N36" s="63"/>
    </row>
    <row r="37" spans="1:17" x14ac:dyDescent="0.2">
      <c r="A37" s="105" t="s">
        <v>79</v>
      </c>
      <c r="B37" s="104"/>
      <c r="C37" s="7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3"/>
      <c r="P37" s="103"/>
    </row>
    <row r="38" spans="1:17" x14ac:dyDescent="0.2">
      <c r="A38" s="105" t="s">
        <v>78</v>
      </c>
      <c r="B38" s="104"/>
      <c r="C38" s="7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3"/>
      <c r="P38" s="103"/>
    </row>
    <row r="39" spans="1:17" x14ac:dyDescent="0.2">
      <c r="A39" s="105" t="s">
        <v>80</v>
      </c>
      <c r="B39" s="104"/>
      <c r="C39" s="7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3"/>
      <c r="P39" s="103"/>
    </row>
    <row r="40" spans="1:17" ht="15" x14ac:dyDescent="0.35">
      <c r="A40" s="105" t="s">
        <v>81</v>
      </c>
      <c r="B40" s="104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3"/>
      <c r="P40" s="103"/>
    </row>
    <row r="41" spans="1:17" ht="15" x14ac:dyDescent="0.35">
      <c r="A41" s="104" t="s">
        <v>85</v>
      </c>
      <c r="B41" s="104"/>
      <c r="C41" s="112">
        <f t="shared" ref="C41:N41" si="8">SUM(C37:C40)</f>
        <v>0</v>
      </c>
      <c r="D41" s="112">
        <f t="shared" si="8"/>
        <v>0</v>
      </c>
      <c r="E41" s="112">
        <f t="shared" si="8"/>
        <v>0</v>
      </c>
      <c r="F41" s="112">
        <f t="shared" si="8"/>
        <v>0</v>
      </c>
      <c r="G41" s="112">
        <f t="shared" si="8"/>
        <v>0</v>
      </c>
      <c r="H41" s="112">
        <f t="shared" si="8"/>
        <v>0</v>
      </c>
      <c r="I41" s="112">
        <f t="shared" si="8"/>
        <v>0</v>
      </c>
      <c r="J41" s="112">
        <f t="shared" si="8"/>
        <v>0</v>
      </c>
      <c r="K41" s="112">
        <f t="shared" si="8"/>
        <v>0</v>
      </c>
      <c r="L41" s="112">
        <f t="shared" si="8"/>
        <v>0</v>
      </c>
      <c r="M41" s="112">
        <f t="shared" si="8"/>
        <v>0</v>
      </c>
      <c r="N41" s="112">
        <f t="shared" si="8"/>
        <v>0</v>
      </c>
      <c r="O41" s="103"/>
      <c r="P41" s="103"/>
    </row>
    <row r="42" spans="1:17" x14ac:dyDescent="0.2">
      <c r="A42" s="104"/>
      <c r="B42" s="104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/>
      <c r="P42" s="103"/>
    </row>
    <row r="43" spans="1:17" x14ac:dyDescent="0.2">
      <c r="A43" s="104" t="s">
        <v>84</v>
      </c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0"/>
      <c r="P43" s="111" t="e">
        <f>AVERAGE(C43:N43)</f>
        <v>#DIV/0!</v>
      </c>
    </row>
    <row r="44" spans="1:17" x14ac:dyDescent="0.2">
      <c r="N44" s="63"/>
    </row>
    <row r="45" spans="1:17" ht="15" x14ac:dyDescent="0.35">
      <c r="C45" s="14">
        <f t="shared" ref="C45:N45" si="9">+C43+C41</f>
        <v>0</v>
      </c>
      <c r="D45" s="14">
        <f t="shared" si="9"/>
        <v>0</v>
      </c>
      <c r="E45" s="14">
        <f t="shared" si="9"/>
        <v>0</v>
      </c>
      <c r="F45" s="14">
        <f t="shared" si="9"/>
        <v>0</v>
      </c>
      <c r="G45" s="14">
        <f t="shared" si="9"/>
        <v>0</v>
      </c>
      <c r="H45" s="14">
        <f t="shared" si="9"/>
        <v>0</v>
      </c>
      <c r="I45" s="14">
        <f t="shared" si="9"/>
        <v>0</v>
      </c>
      <c r="J45" s="14">
        <f t="shared" si="9"/>
        <v>0</v>
      </c>
      <c r="K45" s="14">
        <f t="shared" si="9"/>
        <v>0</v>
      </c>
      <c r="L45" s="14">
        <f t="shared" si="9"/>
        <v>0</v>
      </c>
      <c r="M45" s="14">
        <f t="shared" si="9"/>
        <v>0</v>
      </c>
      <c r="N45" s="14">
        <f t="shared" si="9"/>
        <v>0</v>
      </c>
    </row>
    <row r="47" spans="1:17" x14ac:dyDescent="0.2">
      <c r="A47" s="1" t="s">
        <v>87</v>
      </c>
      <c r="C47" s="100" t="e">
        <f t="shared" ref="C47:N47" si="10">+C43/C45</f>
        <v>#DIV/0!</v>
      </c>
      <c r="D47" s="100" t="e">
        <f t="shared" si="10"/>
        <v>#DIV/0!</v>
      </c>
      <c r="E47" s="100" t="e">
        <f t="shared" si="10"/>
        <v>#DIV/0!</v>
      </c>
      <c r="F47" s="100" t="e">
        <f t="shared" si="10"/>
        <v>#DIV/0!</v>
      </c>
      <c r="G47" s="100" t="e">
        <f t="shared" si="10"/>
        <v>#DIV/0!</v>
      </c>
      <c r="H47" s="100" t="e">
        <f t="shared" si="10"/>
        <v>#DIV/0!</v>
      </c>
      <c r="I47" s="100" t="e">
        <f t="shared" si="10"/>
        <v>#DIV/0!</v>
      </c>
      <c r="J47" s="100" t="e">
        <f t="shared" si="10"/>
        <v>#DIV/0!</v>
      </c>
      <c r="K47" s="100" t="e">
        <f t="shared" si="10"/>
        <v>#DIV/0!</v>
      </c>
      <c r="L47" s="100" t="e">
        <f t="shared" si="10"/>
        <v>#DIV/0!</v>
      </c>
      <c r="M47" s="100" t="e">
        <f t="shared" si="10"/>
        <v>#DIV/0!</v>
      </c>
      <c r="N47" s="100" t="e">
        <f t="shared" si="10"/>
        <v>#DIV/0!</v>
      </c>
    </row>
    <row r="49" spans="1:16" x14ac:dyDescent="0.2">
      <c r="A49" s="1" t="s">
        <v>88</v>
      </c>
      <c r="C49" s="114" t="e">
        <f t="shared" ref="C49:N49" si="11">1-C47</f>
        <v>#DIV/0!</v>
      </c>
      <c r="D49" s="114" t="e">
        <f t="shared" si="11"/>
        <v>#DIV/0!</v>
      </c>
      <c r="E49" s="114" t="e">
        <f t="shared" si="11"/>
        <v>#DIV/0!</v>
      </c>
      <c r="F49" s="114" t="e">
        <f t="shared" si="11"/>
        <v>#DIV/0!</v>
      </c>
      <c r="G49" s="114" t="e">
        <f t="shared" si="11"/>
        <v>#DIV/0!</v>
      </c>
      <c r="H49" s="114" t="e">
        <f t="shared" si="11"/>
        <v>#DIV/0!</v>
      </c>
      <c r="I49" s="114" t="e">
        <f t="shared" si="11"/>
        <v>#DIV/0!</v>
      </c>
      <c r="J49" s="114" t="e">
        <f t="shared" si="11"/>
        <v>#DIV/0!</v>
      </c>
      <c r="K49" s="114" t="e">
        <f t="shared" si="11"/>
        <v>#DIV/0!</v>
      </c>
      <c r="L49" s="114" t="e">
        <f t="shared" si="11"/>
        <v>#DIV/0!</v>
      </c>
      <c r="M49" s="114" t="e">
        <f t="shared" si="11"/>
        <v>#DIV/0!</v>
      </c>
      <c r="N49" s="114" t="e">
        <f t="shared" si="11"/>
        <v>#DIV/0!</v>
      </c>
    </row>
    <row r="52" spans="1:16" x14ac:dyDescent="0.2">
      <c r="A52" s="1" t="s">
        <v>91</v>
      </c>
      <c r="B52" s="1"/>
      <c r="C52" s="120">
        <f>SUM(C59:C63)</f>
        <v>0</v>
      </c>
      <c r="D52" s="120">
        <f t="shared" ref="D52:N52" si="12">SUM(D59:D63)</f>
        <v>0</v>
      </c>
      <c r="E52" s="120">
        <f t="shared" si="12"/>
        <v>0</v>
      </c>
      <c r="F52" s="120">
        <f t="shared" si="12"/>
        <v>0</v>
      </c>
      <c r="G52" s="120">
        <f t="shared" si="12"/>
        <v>0</v>
      </c>
      <c r="H52" s="120">
        <f t="shared" si="12"/>
        <v>0</v>
      </c>
      <c r="I52" s="120">
        <f t="shared" si="12"/>
        <v>0</v>
      </c>
      <c r="J52" s="120">
        <f t="shared" si="12"/>
        <v>0</v>
      </c>
      <c r="K52" s="120">
        <f t="shared" si="12"/>
        <v>0</v>
      </c>
      <c r="L52" s="120">
        <f t="shared" si="12"/>
        <v>0</v>
      </c>
      <c r="M52" s="120">
        <f t="shared" si="12"/>
        <v>0</v>
      </c>
      <c r="N52" s="120">
        <f t="shared" si="12"/>
        <v>0</v>
      </c>
      <c r="O52" s="120"/>
      <c r="P52" s="120">
        <f>SUM(C52:N52)</f>
        <v>0</v>
      </c>
    </row>
    <row r="53" spans="1:16" x14ac:dyDescent="0.2">
      <c r="A53" s="6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3"/>
    </row>
    <row r="54" spans="1:16" ht="15" x14ac:dyDescent="0.35">
      <c r="A54" s="1" t="s">
        <v>89</v>
      </c>
      <c r="C54" s="115">
        <v>0.45</v>
      </c>
      <c r="D54" s="115">
        <v>0.45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</row>
    <row r="56" spans="1:16" ht="15" x14ac:dyDescent="0.35">
      <c r="A56" s="1" t="s">
        <v>90</v>
      </c>
      <c r="B56" s="116"/>
      <c r="C56" s="117">
        <f t="shared" ref="C56:N56" si="13">-(C52)/C54</f>
        <v>0</v>
      </c>
      <c r="D56" s="117">
        <f t="shared" si="13"/>
        <v>0</v>
      </c>
      <c r="E56" s="117" t="e">
        <f t="shared" si="13"/>
        <v>#DIV/0!</v>
      </c>
      <c r="F56" s="117" t="e">
        <f t="shared" si="13"/>
        <v>#DIV/0!</v>
      </c>
      <c r="G56" s="117" t="e">
        <f t="shared" si="13"/>
        <v>#DIV/0!</v>
      </c>
      <c r="H56" s="117" t="e">
        <f t="shared" si="13"/>
        <v>#DIV/0!</v>
      </c>
      <c r="I56" s="117" t="e">
        <f t="shared" si="13"/>
        <v>#DIV/0!</v>
      </c>
      <c r="J56" s="117" t="e">
        <f t="shared" si="13"/>
        <v>#DIV/0!</v>
      </c>
      <c r="K56" s="117" t="e">
        <f t="shared" si="13"/>
        <v>#DIV/0!</v>
      </c>
      <c r="L56" s="117" t="e">
        <f t="shared" si="13"/>
        <v>#DIV/0!</v>
      </c>
      <c r="M56" s="117" t="e">
        <f t="shared" si="13"/>
        <v>#DIV/0!</v>
      </c>
      <c r="N56" s="117" t="e">
        <f t="shared" si="13"/>
        <v>#DIV/0!</v>
      </c>
      <c r="O56" s="118"/>
      <c r="P56" s="14" t="e">
        <f>SUM(C56:O56)</f>
        <v>#DIV/0!</v>
      </c>
    </row>
    <row r="59" spans="1:16" x14ac:dyDescent="0.2">
      <c r="A59" s="17" t="s">
        <v>154</v>
      </c>
      <c r="B59" t="s">
        <v>153</v>
      </c>
      <c r="J59" s="63"/>
      <c r="K59" s="63"/>
      <c r="L59" s="63"/>
      <c r="M59" s="63"/>
      <c r="N59" s="63"/>
    </row>
    <row r="60" spans="1:16" x14ac:dyDescent="0.2">
      <c r="A60" s="17" t="s">
        <v>162</v>
      </c>
      <c r="B60" t="s">
        <v>153</v>
      </c>
      <c r="J60" s="63"/>
      <c r="K60" s="63"/>
      <c r="L60" s="63"/>
      <c r="M60" s="63"/>
      <c r="N60" s="63"/>
    </row>
    <row r="61" spans="1:16" x14ac:dyDescent="0.2">
      <c r="A61" s="17" t="s">
        <v>155</v>
      </c>
      <c r="B61" t="s">
        <v>153</v>
      </c>
      <c r="J61" s="251"/>
      <c r="K61" s="251"/>
      <c r="L61" s="251"/>
      <c r="M61" s="63"/>
      <c r="N61" s="63"/>
    </row>
    <row r="62" spans="1:16" x14ac:dyDescent="0.2">
      <c r="A62" s="17" t="s">
        <v>156</v>
      </c>
      <c r="B62" t="s">
        <v>153</v>
      </c>
      <c r="J62" s="63"/>
      <c r="K62" s="63"/>
      <c r="L62" s="63"/>
      <c r="M62" s="63"/>
      <c r="N62" s="63"/>
    </row>
    <row r="63" spans="1:16" x14ac:dyDescent="0.2">
      <c r="A63" s="17" t="s">
        <v>157</v>
      </c>
      <c r="B63" t="s">
        <v>153</v>
      </c>
      <c r="J63" s="63"/>
      <c r="K63" s="63"/>
      <c r="L63" s="63"/>
      <c r="M63" s="63"/>
      <c r="N63" s="63"/>
    </row>
    <row r="64" spans="1:16" x14ac:dyDescent="0.2">
      <c r="M64" s="63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496-9BDC-4D7C-9550-B5563DBC7232}">
  <sheetPr>
    <tabColor rgb="FF0070C0"/>
  </sheetPr>
  <dimension ref="A1:D28"/>
  <sheetViews>
    <sheetView topLeftCell="A25" workbookViewId="0">
      <selection activeCell="A22" sqref="A22"/>
    </sheetView>
  </sheetViews>
  <sheetFormatPr defaultRowHeight="12.75" x14ac:dyDescent="0.2"/>
  <cols>
    <col min="1" max="1" width="61.42578125" bestFit="1" customWidth="1"/>
    <col min="4" max="4" width="11.28515625" bestFit="1" customWidth="1"/>
  </cols>
  <sheetData>
    <row r="1" spans="1:4" ht="23.25" x14ac:dyDescent="0.35">
      <c r="A1" s="140" t="s">
        <v>120</v>
      </c>
      <c r="B1" s="140"/>
      <c r="C1" s="141"/>
      <c r="D1" s="141"/>
    </row>
    <row r="2" spans="1:4" ht="15.75" x14ac:dyDescent="0.25">
      <c r="A2" s="142" t="s">
        <v>174</v>
      </c>
      <c r="B2" s="142"/>
      <c r="C2" s="143"/>
      <c r="D2" s="144"/>
    </row>
    <row r="3" spans="1:4" x14ac:dyDescent="0.2">
      <c r="A3" s="185"/>
      <c r="B3" s="185"/>
      <c r="C3" s="186"/>
      <c r="D3" s="187"/>
    </row>
    <row r="4" spans="1:4" ht="15" x14ac:dyDescent="0.35">
      <c r="A4" s="180"/>
      <c r="B4" s="180"/>
      <c r="C4" s="186"/>
      <c r="D4" s="188" t="s">
        <v>104</v>
      </c>
    </row>
    <row r="5" spans="1:4" x14ac:dyDescent="0.2">
      <c r="A5" s="189" t="s">
        <v>105</v>
      </c>
      <c r="B5" s="189"/>
      <c r="C5" s="186"/>
      <c r="D5" s="190"/>
    </row>
    <row r="6" spans="1:4" ht="15" x14ac:dyDescent="0.35">
      <c r="A6" s="180" t="s">
        <v>21</v>
      </c>
      <c r="B6" s="180"/>
      <c r="C6" s="186"/>
      <c r="D6" s="191">
        <v>26635</v>
      </c>
    </row>
    <row r="7" spans="1:4" x14ac:dyDescent="0.2">
      <c r="A7" s="180"/>
      <c r="B7" s="180"/>
      <c r="C7" s="186"/>
      <c r="D7" s="192"/>
    </row>
    <row r="8" spans="1:4" x14ac:dyDescent="0.2">
      <c r="A8" s="189" t="s">
        <v>106</v>
      </c>
      <c r="B8" s="189"/>
      <c r="C8" s="186"/>
      <c r="D8" s="192"/>
    </row>
    <row r="9" spans="1:4" ht="15" x14ac:dyDescent="0.35">
      <c r="A9" s="193" t="s">
        <v>118</v>
      </c>
      <c r="B9" s="193"/>
      <c r="C9" s="186"/>
      <c r="D9" s="194">
        <v>10409</v>
      </c>
    </row>
    <row r="10" spans="1:4" x14ac:dyDescent="0.2">
      <c r="A10" s="181"/>
      <c r="B10" s="181"/>
      <c r="C10" s="186"/>
      <c r="D10" s="192"/>
    </row>
    <row r="11" spans="1:4" x14ac:dyDescent="0.2">
      <c r="A11" s="189" t="s">
        <v>107</v>
      </c>
      <c r="B11" s="189"/>
      <c r="C11" s="186"/>
      <c r="D11" s="190"/>
    </row>
    <row r="12" spans="1:4" ht="34.5" customHeight="1" x14ac:dyDescent="0.35">
      <c r="A12" s="195" t="s">
        <v>160</v>
      </c>
      <c r="B12" s="195"/>
      <c r="C12" s="183"/>
      <c r="D12" s="196">
        <v>1736530</v>
      </c>
    </row>
    <row r="13" spans="1:4" x14ac:dyDescent="0.2">
      <c r="A13" s="195"/>
      <c r="B13" s="195"/>
      <c r="C13" s="183"/>
      <c r="D13" s="197"/>
    </row>
    <row r="14" spans="1:4" x14ac:dyDescent="0.2">
      <c r="A14" s="189" t="s">
        <v>108</v>
      </c>
      <c r="B14" s="195"/>
      <c r="C14" s="183"/>
      <c r="D14" s="197"/>
    </row>
    <row r="15" spans="1:4" x14ac:dyDescent="0.2">
      <c r="A15" s="195" t="s">
        <v>109</v>
      </c>
      <c r="B15" s="195"/>
      <c r="C15" s="198">
        <v>0.5</v>
      </c>
      <c r="D15" s="199">
        <f>ROUND(+D12*C15,-2)</f>
        <v>868300</v>
      </c>
    </row>
    <row r="16" spans="1:4" x14ac:dyDescent="0.2">
      <c r="A16" s="200" t="s">
        <v>119</v>
      </c>
      <c r="B16" s="180"/>
      <c r="C16" s="201">
        <v>0.05</v>
      </c>
      <c r="D16" s="202">
        <f>-ROUND(+D25*C16,-1)</f>
        <v>-41350</v>
      </c>
    </row>
    <row r="17" spans="1:4" ht="15" x14ac:dyDescent="0.35">
      <c r="A17" s="200"/>
      <c r="B17" s="180"/>
      <c r="C17" s="186"/>
      <c r="D17" s="203">
        <f>+D15+D16</f>
        <v>826950</v>
      </c>
    </row>
    <row r="18" spans="1:4" ht="15" x14ac:dyDescent="0.35">
      <c r="A18" s="204"/>
      <c r="B18" s="204"/>
      <c r="C18" s="206"/>
      <c r="D18" s="207"/>
    </row>
    <row r="19" spans="1:4" ht="15" x14ac:dyDescent="0.35">
      <c r="A19" s="208" t="s">
        <v>111</v>
      </c>
      <c r="B19" s="208"/>
      <c r="C19" s="182"/>
      <c r="D19" s="207"/>
    </row>
    <row r="20" spans="1:4" ht="15" x14ac:dyDescent="0.25">
      <c r="A20" s="240" t="s">
        <v>161</v>
      </c>
      <c r="B20" s="184"/>
      <c r="C20" s="209"/>
      <c r="D20" s="210">
        <v>411950</v>
      </c>
    </row>
    <row r="21" spans="1:4" ht="15" x14ac:dyDescent="0.25">
      <c r="A21" s="240" t="s">
        <v>175</v>
      </c>
      <c r="B21" s="184"/>
      <c r="C21" s="209"/>
      <c r="D21" s="210">
        <v>50000</v>
      </c>
    </row>
    <row r="22" spans="1:4" ht="15" x14ac:dyDescent="0.25">
      <c r="A22" s="240" t="s">
        <v>176</v>
      </c>
      <c r="B22" s="184"/>
      <c r="C22" s="183"/>
      <c r="D22" s="210">
        <v>20000</v>
      </c>
    </row>
    <row r="23" spans="1:4" ht="15" x14ac:dyDescent="0.25">
      <c r="A23" s="240" t="s">
        <v>177</v>
      </c>
      <c r="B23" s="184"/>
      <c r="C23" s="211"/>
      <c r="D23" s="210">
        <v>290000</v>
      </c>
    </row>
    <row r="24" spans="1:4" ht="16.5" x14ac:dyDescent="0.35">
      <c r="A24" s="240" t="s">
        <v>178</v>
      </c>
      <c r="B24" s="184"/>
      <c r="C24" s="211"/>
      <c r="D24" s="212">
        <v>55000</v>
      </c>
    </row>
    <row r="25" spans="1:4" ht="19.5" customHeight="1" x14ac:dyDescent="0.35">
      <c r="A25" s="204" t="s">
        <v>179</v>
      </c>
      <c r="B25" s="204"/>
      <c r="C25" s="183"/>
      <c r="D25" s="215">
        <f>SUM(D20:D24)</f>
        <v>826950</v>
      </c>
    </row>
    <row r="26" spans="1:4" x14ac:dyDescent="0.2">
      <c r="A26" s="204"/>
      <c r="B26" s="204"/>
      <c r="C26" s="213"/>
      <c r="D26" s="214"/>
    </row>
    <row r="27" spans="1:4" ht="15" x14ac:dyDescent="0.35">
      <c r="A27" s="204"/>
      <c r="B27" s="204"/>
      <c r="C27" s="213"/>
      <c r="D27" s="215"/>
    </row>
    <row r="28" spans="1:4" ht="15" x14ac:dyDescent="0.35">
      <c r="A28" s="204"/>
      <c r="B28" s="204"/>
      <c r="C28" s="213"/>
      <c r="D28" s="2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132-82EB-4B6F-AB1B-6EB1AF7A12AE}">
  <dimension ref="A1:I29"/>
  <sheetViews>
    <sheetView zoomScale="130" zoomScaleNormal="130" workbookViewId="0">
      <selection activeCell="A6" sqref="A6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252" t="s">
        <v>120</v>
      </c>
      <c r="B1" s="252"/>
    </row>
    <row r="2" spans="1:9" ht="15.75" x14ac:dyDescent="0.25">
      <c r="A2" s="142" t="s">
        <v>174</v>
      </c>
      <c r="B2" s="142"/>
      <c r="C2" s="143"/>
      <c r="D2" s="144"/>
    </row>
    <row r="3" spans="1:9" x14ac:dyDescent="0.2">
      <c r="A3" s="185"/>
      <c r="B3" s="185"/>
      <c r="C3" s="186"/>
      <c r="D3" s="187"/>
      <c r="E3" s="63"/>
      <c r="F3" s="4" t="s">
        <v>171</v>
      </c>
      <c r="H3" s="4"/>
      <c r="I3" s="4"/>
    </row>
    <row r="4" spans="1:9" ht="15" x14ac:dyDescent="0.35">
      <c r="A4" s="63"/>
      <c r="B4" s="63"/>
      <c r="C4" s="186"/>
      <c r="D4" s="188" t="s">
        <v>104</v>
      </c>
      <c r="E4" s="63"/>
      <c r="F4" s="101" t="s">
        <v>185</v>
      </c>
      <c r="H4" s="101" t="s">
        <v>172</v>
      </c>
      <c r="I4" s="101"/>
    </row>
    <row r="5" spans="1:9" x14ac:dyDescent="0.2">
      <c r="A5" s="254" t="s">
        <v>105</v>
      </c>
      <c r="B5" s="254"/>
      <c r="C5" s="186"/>
      <c r="D5" s="253"/>
      <c r="E5" s="63"/>
      <c r="H5" s="63"/>
      <c r="I5" s="63"/>
    </row>
    <row r="6" spans="1:9" ht="15" x14ac:dyDescent="0.35">
      <c r="A6" s="63" t="s">
        <v>21</v>
      </c>
      <c r="B6" s="63"/>
      <c r="C6" s="186"/>
      <c r="D6" s="256">
        <f>+'2022-2024 Budget'!D6</f>
        <v>26635</v>
      </c>
      <c r="E6" s="63"/>
      <c r="F6" s="156"/>
      <c r="H6" s="14">
        <f>+F6-D6</f>
        <v>-26635</v>
      </c>
      <c r="I6" s="63"/>
    </row>
    <row r="7" spans="1:9" x14ac:dyDescent="0.2">
      <c r="A7" s="63"/>
      <c r="B7" s="63"/>
      <c r="C7" s="186"/>
      <c r="D7" s="192"/>
      <c r="E7" s="63"/>
      <c r="H7" s="63"/>
      <c r="I7" s="63"/>
    </row>
    <row r="8" spans="1:9" x14ac:dyDescent="0.2">
      <c r="A8" s="254" t="s">
        <v>106</v>
      </c>
      <c r="B8" s="254"/>
      <c r="C8" s="186"/>
      <c r="D8" s="192"/>
      <c r="E8" s="63"/>
      <c r="H8" s="63"/>
      <c r="I8" s="63"/>
    </row>
    <row r="9" spans="1:9" ht="15" x14ac:dyDescent="0.35">
      <c r="A9" s="255" t="s">
        <v>118</v>
      </c>
      <c r="B9" s="255"/>
      <c r="C9" s="186"/>
      <c r="D9" s="257">
        <f>+'2022-2024 Budget'!D9</f>
        <v>10409</v>
      </c>
      <c r="E9" s="63"/>
      <c r="F9" s="14"/>
      <c r="H9" s="14">
        <f>+F9-D9</f>
        <v>-10409</v>
      </c>
      <c r="I9" s="63"/>
    </row>
    <row r="10" spans="1:9" x14ac:dyDescent="0.2">
      <c r="A10" s="63"/>
      <c r="B10" s="63"/>
      <c r="C10" s="186"/>
      <c r="D10" s="192"/>
      <c r="E10" s="63"/>
      <c r="H10" s="63"/>
      <c r="I10" s="63"/>
    </row>
    <row r="11" spans="1:9" x14ac:dyDescent="0.2">
      <c r="A11" s="254" t="s">
        <v>107</v>
      </c>
      <c r="B11" s="254"/>
      <c r="C11" s="186"/>
      <c r="D11" s="253"/>
      <c r="E11" s="63"/>
      <c r="H11" s="63"/>
      <c r="I11" s="63"/>
    </row>
    <row r="12" spans="1:9" ht="20.25" customHeight="1" x14ac:dyDescent="0.35">
      <c r="A12" s="195" t="s">
        <v>173</v>
      </c>
      <c r="B12" s="195"/>
      <c r="C12" s="183"/>
      <c r="D12" s="196">
        <f>+'2022-2024 Budget'!D12</f>
        <v>1736530</v>
      </c>
      <c r="E12" s="63"/>
      <c r="F12" s="11"/>
      <c r="H12" s="11">
        <f>+F12-D12</f>
        <v>-1736530</v>
      </c>
      <c r="I12" s="258"/>
    </row>
    <row r="13" spans="1:9" x14ac:dyDescent="0.2">
      <c r="A13" s="195"/>
      <c r="B13" s="195"/>
      <c r="C13" s="183"/>
      <c r="D13" s="197"/>
      <c r="E13" s="63"/>
      <c r="H13" s="63"/>
      <c r="I13" s="63"/>
    </row>
    <row r="14" spans="1:9" x14ac:dyDescent="0.2">
      <c r="A14" s="254" t="s">
        <v>108</v>
      </c>
      <c r="B14" s="195"/>
      <c r="C14" s="183"/>
      <c r="D14" s="197"/>
      <c r="E14" s="63"/>
      <c r="H14" s="63"/>
      <c r="I14" s="63"/>
    </row>
    <row r="15" spans="1:9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63"/>
      <c r="F15" s="259"/>
      <c r="H15" s="259">
        <f>+F15-D15</f>
        <v>-868300</v>
      </c>
      <c r="I15" s="259"/>
    </row>
    <row r="16" spans="1:9" ht="15" x14ac:dyDescent="0.35">
      <c r="A16" s="195" t="s">
        <v>119</v>
      </c>
      <c r="B16" s="63"/>
      <c r="C16" s="201">
        <v>0.05</v>
      </c>
      <c r="D16" s="202">
        <f>-ROUND(+D26*C16,-1)</f>
        <v>-41350</v>
      </c>
      <c r="E16" s="63"/>
      <c r="F16" s="10"/>
      <c r="H16" s="10">
        <f>+F16-D16</f>
        <v>41350</v>
      </c>
      <c r="I16" s="10"/>
    </row>
    <row r="17" spans="1:9" ht="15" x14ac:dyDescent="0.35">
      <c r="A17" s="195"/>
      <c r="B17" s="63"/>
      <c r="C17" s="186"/>
      <c r="D17" s="203">
        <f>+D15+D16</f>
        <v>826950</v>
      </c>
      <c r="E17" s="63"/>
      <c r="F17" s="203">
        <f>+F15+F16</f>
        <v>0</v>
      </c>
      <c r="H17" s="203">
        <f>+H15+H16</f>
        <v>-826950</v>
      </c>
      <c r="I17" s="203"/>
    </row>
    <row r="18" spans="1:9" x14ac:dyDescent="0.2">
      <c r="A18" s="254" t="s">
        <v>110</v>
      </c>
      <c r="B18" s="254"/>
      <c r="C18" s="186"/>
      <c r="D18" s="253"/>
      <c r="E18" s="63"/>
      <c r="H18" s="63"/>
      <c r="I18" s="63"/>
    </row>
    <row r="19" spans="1:9" ht="15" x14ac:dyDescent="0.35">
      <c r="A19" s="204"/>
      <c r="B19" s="204"/>
      <c r="C19" s="206"/>
      <c r="D19" s="207"/>
      <c r="E19" s="63"/>
      <c r="F19" s="207"/>
      <c r="H19" s="63"/>
      <c r="I19" s="63"/>
    </row>
    <row r="20" spans="1:9" ht="15" x14ac:dyDescent="0.35">
      <c r="A20" s="254" t="s">
        <v>111</v>
      </c>
      <c r="B20" s="254"/>
      <c r="C20" s="63"/>
      <c r="D20" s="207"/>
      <c r="E20" s="63"/>
      <c r="F20" s="207"/>
      <c r="H20" s="63"/>
      <c r="I20" s="63"/>
    </row>
    <row r="21" spans="1:9" x14ac:dyDescent="0.2">
      <c r="A21" s="184" t="str">
        <f>+'2022-2024 Budget'!A20</f>
        <v>Task 1 - Knowledge Sharing</v>
      </c>
      <c r="B21" s="184"/>
      <c r="C21" s="209"/>
      <c r="D21" s="210">
        <f>+'2022-2024 Budget'!D20</f>
        <v>411950</v>
      </c>
      <c r="E21" s="63"/>
      <c r="F21" s="210"/>
      <c r="H21" s="259">
        <f>+F21-D21</f>
        <v>-411950</v>
      </c>
      <c r="I21" s="259"/>
    </row>
    <row r="22" spans="1:9" x14ac:dyDescent="0.2">
      <c r="A22" s="184" t="str">
        <f>+'2022-2024 Budget'!A21</f>
        <v>Task 2 - Equitable Outreach</v>
      </c>
      <c r="B22" s="184"/>
      <c r="C22" s="183"/>
      <c r="D22" s="210">
        <f>+'2022-2024 Budget'!D21</f>
        <v>50000</v>
      </c>
      <c r="E22" s="63"/>
      <c r="F22" s="210"/>
      <c r="H22" s="259">
        <f t="shared" ref="H22:H25" si="0">+F22-D22</f>
        <v>-50000</v>
      </c>
      <c r="I22" s="259"/>
    </row>
    <row r="23" spans="1:9" x14ac:dyDescent="0.2">
      <c r="A23" s="184" t="str">
        <f>+'2022-2024 Budget'!A22</f>
        <v>Task 3 - Community Events - Reducing Contamination and Waste</v>
      </c>
      <c r="B23" s="184"/>
      <c r="C23" s="186"/>
      <c r="D23" s="210">
        <f>+'2022-2024 Budget'!D22</f>
        <v>20000</v>
      </c>
      <c r="E23" s="63"/>
      <c r="F23" s="210"/>
      <c r="H23" s="259">
        <f t="shared" si="0"/>
        <v>-20000</v>
      </c>
      <c r="I23" s="259"/>
    </row>
    <row r="24" spans="1:9" x14ac:dyDescent="0.2">
      <c r="A24" s="184" t="str">
        <f>+'2022-2024 Budget'!A23</f>
        <v>Task 4 - Focused Education for Younger Minds</v>
      </c>
      <c r="B24" s="184"/>
      <c r="C24" s="186"/>
      <c r="D24" s="210">
        <f>+'2022-2024 Budget'!D23</f>
        <v>290000</v>
      </c>
      <c r="E24" s="63"/>
      <c r="F24" s="210"/>
      <c r="H24" s="259">
        <f t="shared" si="0"/>
        <v>-290000</v>
      </c>
      <c r="I24" s="259"/>
    </row>
    <row r="25" spans="1:9" ht="15" x14ac:dyDescent="0.35">
      <c r="A25" s="184" t="str">
        <f>+'2022-2024 Budget'!A24</f>
        <v>Task 5 - Multifamily recycling and Reduction of Contamination</v>
      </c>
      <c r="B25" s="184"/>
      <c r="C25" s="186"/>
      <c r="D25" s="212">
        <f>+'2022-2024 Budget'!D24</f>
        <v>55000</v>
      </c>
      <c r="E25" s="63"/>
      <c r="F25" s="212"/>
      <c r="H25" s="10">
        <f t="shared" si="0"/>
        <v>-55000</v>
      </c>
      <c r="I25" s="10"/>
    </row>
    <row r="26" spans="1:9" ht="15" x14ac:dyDescent="0.35">
      <c r="A26" s="204" t="s">
        <v>112</v>
      </c>
      <c r="B26" s="204"/>
      <c r="C26" s="183"/>
      <c r="D26" s="205">
        <f>SUM(D21:D25)</f>
        <v>826950</v>
      </c>
      <c r="E26" s="260"/>
      <c r="F26" s="205">
        <f>SUM(F21:F25)</f>
        <v>0</v>
      </c>
      <c r="H26" s="205">
        <f>SUM(H21:H25)</f>
        <v>-826950</v>
      </c>
      <c r="I26" s="205"/>
    </row>
    <row r="27" spans="1:9" x14ac:dyDescent="0.2">
      <c r="A27" s="63"/>
      <c r="B27" s="63"/>
      <c r="C27" s="63"/>
      <c r="D27" s="63"/>
      <c r="E27" s="63"/>
      <c r="G27" s="63"/>
      <c r="H27" s="63"/>
      <c r="I27" s="63"/>
    </row>
    <row r="28" spans="1:9" x14ac:dyDescent="0.2">
      <c r="A28" s="63"/>
      <c r="B28" s="63"/>
      <c r="C28" s="63"/>
      <c r="D28" s="63"/>
      <c r="E28" s="63"/>
      <c r="G28" s="63"/>
      <c r="H28" s="63"/>
      <c r="I28" s="63"/>
    </row>
    <row r="29" spans="1:9" x14ac:dyDescent="0.2">
      <c r="A29" s="63"/>
      <c r="B29" s="63"/>
      <c r="C29" s="63"/>
      <c r="D29" s="63"/>
      <c r="E29" s="63"/>
      <c r="G29" s="63"/>
      <c r="H29" s="63"/>
      <c r="I29" s="6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36869DE43E2E4684AAD5F5568FD3AE" ma:contentTypeVersion="24" ma:contentTypeDescription="" ma:contentTypeScope="" ma:versionID="3069158a9b69c049136d44dff1e0d1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2023-06-21T07:00:00+00:00</OpenedDate>
    <SignificantOrder xmlns="dc463f71-b30c-4ab2-9473-d307f9d35888">false</SignificantOrder>
    <Date1 xmlns="dc463f71-b30c-4ab2-9473-d307f9d35888">2023-06-21T07:00:00+00:00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230529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6FD2D-1BA6-4D7E-9BC1-3A9985E90C5D}"/>
</file>

<file path=customXml/itemProps2.xml><?xml version="1.0" encoding="utf-8"?>
<ds:datastoreItem xmlns:ds="http://schemas.openxmlformats.org/officeDocument/2006/customXml" ds:itemID="{96D3C28A-513C-4968-B62F-42A413AD3A77}"/>
</file>

<file path=customXml/itemProps3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2022-2024 Budget</vt:lpstr>
      <vt:lpstr>Budget vs Actual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Administrator</cp:lastModifiedBy>
  <cp:lastPrinted>2018-06-12T15:36:38Z</cp:lastPrinted>
  <dcterms:created xsi:type="dcterms:W3CDTF">2004-02-20T19:40:08Z</dcterms:created>
  <dcterms:modified xsi:type="dcterms:W3CDTF">2023-06-20T22:07:14Z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0x0101006E56B4D1795A2E4DB2F0B01679ED314A007036869DE43E2E4684AAD5F5568FD3AE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</Properties>
</file>