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Kalahiki Consulting LLC\Beeline\2023 GRC\Filing Documents\Finals\"/>
    </mc:Choice>
  </mc:AlternateContent>
  <xr:revisionPtr revIDLastSave="0" documentId="13_ncr:1_{16BE87C0-47B3-4ABE-BC4C-15D014D630B7}" xr6:coauthVersionLast="47" xr6:coauthVersionMax="47" xr10:uidLastSave="{00000000-0000-0000-0000-000000000000}"/>
  <bookViews>
    <workbookView xWindow="-120" yWindow="-120" windowWidth="29040" windowHeight="15720" tabRatio="876" firstSheet="2" activeTab="4" xr2:uid="{B4138065-DD93-47EB-9515-99FE41FE64A1}"/>
  </bookViews>
  <sheets>
    <sheet name="SE 2022 BS" sheetId="17" r:id="rId1"/>
    <sheet name="Comb 12-mon P&amp;L" sheetId="2" r:id="rId2"/>
    <sheet name="Bee 12-mon P&amp;L" sheetId="4" r:id="rId3"/>
    <sheet name="SE 12-mon P&amp;L" sheetId="5" r:id="rId4"/>
    <sheet name="Results of Oper" sheetId="3" r:id="rId5"/>
    <sheet name="Adjustments" sheetId="6" r:id="rId6"/>
    <sheet name="Support --&gt;" sheetId="18" r:id="rId7"/>
    <sheet name="Reg Depr" sheetId="7" r:id="rId8"/>
    <sheet name="SE 2022 Pax" sheetId="16" r:id="rId9"/>
    <sheet name="Payroll" sheetId="13" r:id="rId10"/>
    <sheet name="Rate Case Exp" sheetId="8" r:id="rId11"/>
    <sheet name="Allocations" sheetId="11" r:id="rId12"/>
    <sheet name="SE Allocations" sheetId="12" r:id="rId13"/>
    <sheet name="Rev - Cash Basis" sheetId="15" r:id="rId14"/>
    <sheet name="Price-Out" sheetId="9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8" l="1"/>
  <c r="O13" i="13" l="1"/>
  <c r="O12" i="13"/>
  <c r="L12" i="13"/>
  <c r="K12" i="13"/>
  <c r="J12" i="13"/>
  <c r="I12" i="13"/>
  <c r="H12" i="13"/>
  <c r="G12" i="13"/>
  <c r="F12" i="13"/>
  <c r="G11" i="13" l="1"/>
  <c r="H11" i="13"/>
  <c r="I11" i="13"/>
  <c r="J11" i="13"/>
  <c r="K11" i="13"/>
  <c r="L11" i="13"/>
  <c r="F11" i="13"/>
  <c r="C10" i="13"/>
  <c r="D39" i="11"/>
  <c r="E39" i="11"/>
  <c r="F39" i="11"/>
  <c r="G39" i="11"/>
  <c r="H39" i="11"/>
  <c r="I39" i="11"/>
  <c r="J39" i="11"/>
  <c r="K39" i="11"/>
  <c r="L39" i="11"/>
  <c r="M39" i="11"/>
  <c r="N39" i="11"/>
  <c r="C39" i="11"/>
  <c r="C42" i="11" s="1"/>
  <c r="D18" i="9" l="1"/>
  <c r="D26" i="9"/>
  <c r="C26" i="9"/>
  <c r="E26" i="9" s="1"/>
  <c r="D25" i="9"/>
  <c r="C25" i="9"/>
  <c r="D19" i="9"/>
  <c r="C19" i="9"/>
  <c r="C18" i="9"/>
  <c r="E19" i="9" l="1"/>
  <c r="E25" i="9"/>
  <c r="E27" i="9" s="1"/>
  <c r="E18" i="9"/>
  <c r="E20" i="9" l="1"/>
  <c r="E29" i="9" s="1"/>
  <c r="E10" i="6" l="1"/>
  <c r="F12" i="3" s="1"/>
  <c r="D26" i="16"/>
  <c r="C26" i="16"/>
  <c r="C44" i="12" l="1"/>
  <c r="C50" i="12"/>
  <c r="C38" i="12"/>
  <c r="C37" i="12" l="1"/>
  <c r="C26" i="17" l="1"/>
  <c r="C25" i="17"/>
  <c r="C23" i="17"/>
  <c r="C27" i="17" s="1"/>
  <c r="C22" i="17"/>
  <c r="C15" i="17"/>
  <c r="C14" i="17"/>
  <c r="C9" i="8" l="1"/>
  <c r="E16" i="6" s="1"/>
  <c r="D7" i="13"/>
  <c r="C21" i="12" l="1"/>
  <c r="D19" i="16"/>
  <c r="C19" i="16"/>
  <c r="D11" i="15" l="1"/>
  <c r="E11" i="15"/>
  <c r="F11" i="15"/>
  <c r="G11" i="15"/>
  <c r="H11" i="15"/>
  <c r="I11" i="15"/>
  <c r="J11" i="15"/>
  <c r="K11" i="15"/>
  <c r="L11" i="15"/>
  <c r="M11" i="15"/>
  <c r="N11" i="15"/>
  <c r="O11" i="15"/>
  <c r="C11" i="15"/>
  <c r="D6" i="9" l="1"/>
  <c r="E30" i="9" s="1"/>
  <c r="D49" i="12" l="1"/>
  <c r="E49" i="12"/>
  <c r="F49" i="12"/>
  <c r="G49" i="12"/>
  <c r="H49" i="12"/>
  <c r="I49" i="12"/>
  <c r="C49" i="12"/>
  <c r="D43" i="12"/>
  <c r="E43" i="12"/>
  <c r="F43" i="12"/>
  <c r="G43" i="12"/>
  <c r="H43" i="12"/>
  <c r="I43" i="12"/>
  <c r="C43" i="12"/>
  <c r="D37" i="12"/>
  <c r="E37" i="12"/>
  <c r="F37" i="12"/>
  <c r="G37" i="12"/>
  <c r="H37" i="12"/>
  <c r="I37" i="12"/>
  <c r="D22" i="12"/>
  <c r="E22" i="12"/>
  <c r="F22" i="12"/>
  <c r="G22" i="12"/>
  <c r="H22" i="12"/>
  <c r="I22" i="12"/>
  <c r="C22" i="12"/>
  <c r="N10" i="13"/>
  <c r="D10" i="13"/>
  <c r="E10" i="13"/>
  <c r="F10" i="13"/>
  <c r="G10" i="13"/>
  <c r="H10" i="13"/>
  <c r="I10" i="13"/>
  <c r="J10" i="13"/>
  <c r="K10" i="13"/>
  <c r="L10" i="13"/>
  <c r="M10" i="13"/>
  <c r="E7" i="13"/>
  <c r="F7" i="13"/>
  <c r="G7" i="13"/>
  <c r="H7" i="13"/>
  <c r="I7" i="13"/>
  <c r="J7" i="13"/>
  <c r="K7" i="13"/>
  <c r="L7" i="13"/>
  <c r="M7" i="13"/>
  <c r="N7" i="13"/>
  <c r="C7" i="13"/>
  <c r="D83" i="13"/>
  <c r="E83" i="13"/>
  <c r="F83" i="13"/>
  <c r="G83" i="13"/>
  <c r="H83" i="13"/>
  <c r="I83" i="13"/>
  <c r="J83" i="13"/>
  <c r="K83" i="13"/>
  <c r="L83" i="13"/>
  <c r="M83" i="13"/>
  <c r="N83" i="13"/>
  <c r="C83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79" i="13"/>
  <c r="O80" i="13"/>
  <c r="O81" i="13"/>
  <c r="O82" i="13"/>
  <c r="O18" i="13"/>
  <c r="D89" i="13"/>
  <c r="E89" i="13"/>
  <c r="F89" i="13"/>
  <c r="G89" i="13"/>
  <c r="H89" i="13"/>
  <c r="I89" i="13"/>
  <c r="J89" i="13"/>
  <c r="K89" i="13"/>
  <c r="L89" i="13"/>
  <c r="M89" i="13"/>
  <c r="N89" i="13"/>
  <c r="C89" i="13"/>
  <c r="D21" i="12"/>
  <c r="E21" i="12"/>
  <c r="F21" i="12"/>
  <c r="G21" i="12"/>
  <c r="H21" i="12"/>
  <c r="I21" i="12"/>
  <c r="D10" i="12"/>
  <c r="D14" i="12" s="1"/>
  <c r="E10" i="12"/>
  <c r="E14" i="12" s="1"/>
  <c r="F10" i="12"/>
  <c r="F15" i="12" s="1"/>
  <c r="G10" i="12"/>
  <c r="G15" i="12" s="1"/>
  <c r="H10" i="12"/>
  <c r="H14" i="12" s="1"/>
  <c r="I10" i="12"/>
  <c r="I14" i="12" s="1"/>
  <c r="J10" i="12"/>
  <c r="C10" i="12"/>
  <c r="C14" i="12" s="1"/>
  <c r="D50" i="11"/>
  <c r="D51" i="11" s="1"/>
  <c r="D25" i="11"/>
  <c r="D24" i="11"/>
  <c r="D15" i="11"/>
  <c r="D14" i="11"/>
  <c r="D16" i="11" s="1"/>
  <c r="H53" i="11" l="1"/>
  <c r="J53" i="11"/>
  <c r="G53" i="11"/>
  <c r="I53" i="11"/>
  <c r="K53" i="11"/>
  <c r="L53" i="11"/>
  <c r="F53" i="11"/>
  <c r="D26" i="11"/>
  <c r="O7" i="13"/>
  <c r="O83" i="13"/>
  <c r="O10" i="13"/>
  <c r="E23" i="12"/>
  <c r="E24" i="12" s="1"/>
  <c r="D23" i="12"/>
  <c r="D24" i="12" s="1"/>
  <c r="H23" i="12"/>
  <c r="H24" i="12" s="1"/>
  <c r="I38" i="12"/>
  <c r="I44" i="12"/>
  <c r="H44" i="12"/>
  <c r="F23" i="12"/>
  <c r="J49" i="12"/>
  <c r="H50" i="12"/>
  <c r="D50" i="12"/>
  <c r="J43" i="12"/>
  <c r="I50" i="12"/>
  <c r="E50" i="12"/>
  <c r="H38" i="12"/>
  <c r="J37" i="12"/>
  <c r="J21" i="12"/>
  <c r="I23" i="12"/>
  <c r="I24" i="12" s="1"/>
  <c r="E38" i="12"/>
  <c r="E44" i="12"/>
  <c r="D38" i="12"/>
  <c r="D44" i="12"/>
  <c r="G23" i="12"/>
  <c r="J22" i="12"/>
  <c r="C23" i="12"/>
  <c r="C24" i="12" s="1"/>
  <c r="C30" i="12" s="1"/>
  <c r="F43" i="11" s="1"/>
  <c r="D15" i="12"/>
  <c r="D16" i="12" s="1"/>
  <c r="O89" i="13"/>
  <c r="G14" i="12"/>
  <c r="H15" i="12"/>
  <c r="H16" i="12" s="1"/>
  <c r="E15" i="12"/>
  <c r="E16" i="12" s="1"/>
  <c r="F14" i="12"/>
  <c r="I15" i="12"/>
  <c r="I16" i="12" s="1"/>
  <c r="C15" i="12"/>
  <c r="C16" i="12" s="1"/>
  <c r="O8" i="13" l="1"/>
  <c r="E12" i="6" s="1"/>
  <c r="H27" i="3" s="1"/>
  <c r="G16" i="12"/>
  <c r="G50" i="12"/>
  <c r="G44" i="12"/>
  <c r="G38" i="12"/>
  <c r="G24" i="12"/>
  <c r="F16" i="12"/>
  <c r="F50" i="12"/>
  <c r="F44" i="12"/>
  <c r="F38" i="12"/>
  <c r="F24" i="12"/>
  <c r="D35" i="11"/>
  <c r="D34" i="11"/>
  <c r="D98" i="3"/>
  <c r="C98" i="3"/>
  <c r="B98" i="3"/>
  <c r="D36" i="11" l="1"/>
  <c r="C28" i="12" s="1"/>
  <c r="G30" i="12" s="1"/>
  <c r="J43" i="11" s="1"/>
  <c r="P53" i="11"/>
  <c r="P39" i="11"/>
  <c r="J38" i="12"/>
  <c r="J24" i="12"/>
  <c r="J44" i="12"/>
  <c r="J50" i="12"/>
  <c r="E98" i="3"/>
  <c r="G98" i="3" s="1"/>
  <c r="I98" i="3" s="1"/>
  <c r="K98" i="3" s="1"/>
  <c r="K57" i="3"/>
  <c r="K58" i="3"/>
  <c r="I30" i="3"/>
  <c r="K30" i="3" s="1"/>
  <c r="I38" i="3"/>
  <c r="K38" i="3" s="1"/>
  <c r="I46" i="3"/>
  <c r="K46" i="3" s="1"/>
  <c r="I94" i="3"/>
  <c r="K94" i="3" s="1"/>
  <c r="I11" i="3"/>
  <c r="K11" i="3" s="1"/>
  <c r="G104" i="3"/>
  <c r="G76" i="3"/>
  <c r="I76" i="3" s="1"/>
  <c r="K76" i="3" s="1"/>
  <c r="F22" i="3"/>
  <c r="H22" i="3"/>
  <c r="J22" i="3"/>
  <c r="G11" i="3"/>
  <c r="H99" i="3"/>
  <c r="K13" i="7"/>
  <c r="U12" i="7"/>
  <c r="S12" i="7"/>
  <c r="R12" i="7"/>
  <c r="L12" i="7"/>
  <c r="J12" i="7"/>
  <c r="T12" i="7" s="1"/>
  <c r="M12" i="7" s="1"/>
  <c r="M13" i="7" s="1"/>
  <c r="F110" i="3"/>
  <c r="H110" i="3"/>
  <c r="J110" i="3"/>
  <c r="F109" i="3"/>
  <c r="H109" i="3"/>
  <c r="J109" i="3"/>
  <c r="D105" i="3"/>
  <c r="D110" i="3" s="1"/>
  <c r="F105" i="3"/>
  <c r="H105" i="3"/>
  <c r="J105" i="3"/>
  <c r="J100" i="3"/>
  <c r="E107" i="3"/>
  <c r="G107" i="3" s="1"/>
  <c r="I107" i="3" s="1"/>
  <c r="E104" i="3"/>
  <c r="D108" i="3"/>
  <c r="D107" i="3"/>
  <c r="D109" i="3" s="1"/>
  <c r="D104" i="3"/>
  <c r="D103" i="3"/>
  <c r="E28" i="3"/>
  <c r="G28" i="3" s="1"/>
  <c r="I28" i="3" s="1"/>
  <c r="K28" i="3" s="1"/>
  <c r="E29" i="3"/>
  <c r="G29" i="3" s="1"/>
  <c r="I29" i="3" s="1"/>
  <c r="K29" i="3" s="1"/>
  <c r="E44" i="3"/>
  <c r="G44" i="3" s="1"/>
  <c r="I44" i="3" s="1"/>
  <c r="K44" i="3" s="1"/>
  <c r="E53" i="3"/>
  <c r="G53" i="3" s="1"/>
  <c r="I53" i="3" s="1"/>
  <c r="K53" i="3" s="1"/>
  <c r="E60" i="3"/>
  <c r="G60" i="3" s="1"/>
  <c r="I60" i="3" s="1"/>
  <c r="K60" i="3" s="1"/>
  <c r="E61" i="3"/>
  <c r="G61" i="3" s="1"/>
  <c r="I61" i="3" s="1"/>
  <c r="K61" i="3" s="1"/>
  <c r="E76" i="3"/>
  <c r="E85" i="3"/>
  <c r="G85" i="3" s="1"/>
  <c r="I85" i="3" s="1"/>
  <c r="K85" i="3" s="1"/>
  <c r="E92" i="3"/>
  <c r="G92" i="3" s="1"/>
  <c r="I92" i="3" s="1"/>
  <c r="K92" i="3" s="1"/>
  <c r="E93" i="3"/>
  <c r="G93" i="3" s="1"/>
  <c r="I93" i="3" s="1"/>
  <c r="K93" i="3" s="1"/>
  <c r="D28" i="3"/>
  <c r="D29" i="3"/>
  <c r="D30" i="3"/>
  <c r="D31" i="3"/>
  <c r="D32" i="3"/>
  <c r="D33" i="3"/>
  <c r="D34" i="3"/>
  <c r="D35" i="3"/>
  <c r="E35" i="3" s="1"/>
  <c r="G35" i="3" s="1"/>
  <c r="I35" i="3" s="1"/>
  <c r="K35" i="3" s="1"/>
  <c r="D36" i="3"/>
  <c r="E36" i="3" s="1"/>
  <c r="G36" i="3" s="1"/>
  <c r="I36" i="3" s="1"/>
  <c r="K36" i="3" s="1"/>
  <c r="D37" i="3"/>
  <c r="E37" i="3" s="1"/>
  <c r="G37" i="3" s="1"/>
  <c r="I37" i="3" s="1"/>
  <c r="K37" i="3" s="1"/>
  <c r="D38" i="3"/>
  <c r="D39" i="3"/>
  <c r="D40" i="3"/>
  <c r="D41" i="3"/>
  <c r="D42" i="3"/>
  <c r="D43" i="3"/>
  <c r="E43" i="3" s="1"/>
  <c r="G43" i="3" s="1"/>
  <c r="I43" i="3" s="1"/>
  <c r="K43" i="3" s="1"/>
  <c r="D44" i="3"/>
  <c r="D45" i="3"/>
  <c r="E45" i="3" s="1"/>
  <c r="G45" i="3" s="1"/>
  <c r="I45" i="3" s="1"/>
  <c r="K45" i="3" s="1"/>
  <c r="D46" i="3"/>
  <c r="D47" i="3"/>
  <c r="D48" i="3"/>
  <c r="D49" i="3"/>
  <c r="D50" i="3"/>
  <c r="D51" i="3"/>
  <c r="E51" i="3" s="1"/>
  <c r="G51" i="3" s="1"/>
  <c r="I51" i="3" s="1"/>
  <c r="K51" i="3" s="1"/>
  <c r="D52" i="3"/>
  <c r="E52" i="3" s="1"/>
  <c r="G52" i="3" s="1"/>
  <c r="I52" i="3" s="1"/>
  <c r="K52" i="3" s="1"/>
  <c r="D53" i="3"/>
  <c r="D54" i="3"/>
  <c r="D55" i="3"/>
  <c r="D56" i="3"/>
  <c r="D57" i="3"/>
  <c r="D58" i="3"/>
  <c r="D59" i="3"/>
  <c r="E59" i="3" s="1"/>
  <c r="G59" i="3" s="1"/>
  <c r="I59" i="3" s="1"/>
  <c r="K59" i="3" s="1"/>
  <c r="D60" i="3"/>
  <c r="D61" i="3"/>
  <c r="D62" i="3"/>
  <c r="D63" i="3"/>
  <c r="D64" i="3"/>
  <c r="D65" i="3"/>
  <c r="D66" i="3"/>
  <c r="D67" i="3"/>
  <c r="E67" i="3" s="1"/>
  <c r="G67" i="3" s="1"/>
  <c r="I67" i="3" s="1"/>
  <c r="K67" i="3" s="1"/>
  <c r="D68" i="3"/>
  <c r="E68" i="3" s="1"/>
  <c r="G68" i="3" s="1"/>
  <c r="I68" i="3" s="1"/>
  <c r="K68" i="3" s="1"/>
  <c r="D69" i="3"/>
  <c r="E69" i="3" s="1"/>
  <c r="G69" i="3" s="1"/>
  <c r="I69" i="3" s="1"/>
  <c r="K69" i="3" s="1"/>
  <c r="D70" i="3"/>
  <c r="D71" i="3"/>
  <c r="D72" i="3"/>
  <c r="D73" i="3"/>
  <c r="D74" i="3"/>
  <c r="D75" i="3"/>
  <c r="E75" i="3" s="1"/>
  <c r="G75" i="3" s="1"/>
  <c r="I75" i="3" s="1"/>
  <c r="K75" i="3" s="1"/>
  <c r="D76" i="3"/>
  <c r="D77" i="3"/>
  <c r="E77" i="3" s="1"/>
  <c r="G77" i="3" s="1"/>
  <c r="I77" i="3" s="1"/>
  <c r="K77" i="3" s="1"/>
  <c r="D78" i="3"/>
  <c r="D79" i="3"/>
  <c r="D80" i="3"/>
  <c r="D81" i="3"/>
  <c r="D82" i="3"/>
  <c r="D83" i="3"/>
  <c r="E83" i="3" s="1"/>
  <c r="G83" i="3" s="1"/>
  <c r="I83" i="3" s="1"/>
  <c r="K83" i="3" s="1"/>
  <c r="D84" i="3"/>
  <c r="E84" i="3" s="1"/>
  <c r="G84" i="3" s="1"/>
  <c r="I84" i="3" s="1"/>
  <c r="K84" i="3" s="1"/>
  <c r="D85" i="3"/>
  <c r="D86" i="3"/>
  <c r="D87" i="3"/>
  <c r="D88" i="3"/>
  <c r="D89" i="3"/>
  <c r="D90" i="3"/>
  <c r="D91" i="3"/>
  <c r="E91" i="3" s="1"/>
  <c r="G91" i="3" s="1"/>
  <c r="I91" i="3" s="1"/>
  <c r="K91" i="3" s="1"/>
  <c r="D92" i="3"/>
  <c r="D93" i="3"/>
  <c r="D94" i="3"/>
  <c r="D95" i="3"/>
  <c r="D96" i="3"/>
  <c r="D97" i="3"/>
  <c r="D26" i="3"/>
  <c r="D27" i="3"/>
  <c r="E27" i="3" s="1"/>
  <c r="G27" i="3" s="1"/>
  <c r="I27" i="3" s="1"/>
  <c r="K27" i="3" s="1"/>
  <c r="D25" i="3"/>
  <c r="E25" i="3" s="1"/>
  <c r="G25" i="3" s="1"/>
  <c r="I25" i="3" s="1"/>
  <c r="K25" i="3" s="1"/>
  <c r="D20" i="3"/>
  <c r="D21" i="3"/>
  <c r="D19" i="3"/>
  <c r="D22" i="3" s="1"/>
  <c r="D14" i="3"/>
  <c r="F14" i="3"/>
  <c r="F15" i="3" s="1"/>
  <c r="F17" i="3" s="1"/>
  <c r="F23" i="3" s="1"/>
  <c r="H14" i="3"/>
  <c r="H15" i="3" s="1"/>
  <c r="H17" i="3" s="1"/>
  <c r="H23" i="3" s="1"/>
  <c r="D16" i="3"/>
  <c r="D10" i="3"/>
  <c r="D15" i="3" s="1"/>
  <c r="D17" i="3" s="1"/>
  <c r="D23" i="3" s="1"/>
  <c r="C108" i="3"/>
  <c r="E108" i="3" s="1"/>
  <c r="G108" i="3" s="1"/>
  <c r="C107" i="3"/>
  <c r="B108" i="3"/>
  <c r="B107" i="3"/>
  <c r="C104" i="3"/>
  <c r="C103" i="3"/>
  <c r="E103" i="3" s="1"/>
  <c r="B104" i="3"/>
  <c r="B103" i="3"/>
  <c r="C26" i="3"/>
  <c r="E26" i="3" s="1"/>
  <c r="G26" i="3" s="1"/>
  <c r="C27" i="3"/>
  <c r="C28" i="3"/>
  <c r="C29" i="3"/>
  <c r="C30" i="3"/>
  <c r="E30" i="3" s="1"/>
  <c r="G30" i="3" s="1"/>
  <c r="C31" i="3"/>
  <c r="E31" i="3" s="1"/>
  <c r="G31" i="3" s="1"/>
  <c r="I31" i="3" s="1"/>
  <c r="K31" i="3" s="1"/>
  <c r="C32" i="3"/>
  <c r="E32" i="3" s="1"/>
  <c r="G32" i="3" s="1"/>
  <c r="I32" i="3" s="1"/>
  <c r="K32" i="3" s="1"/>
  <c r="C33" i="3"/>
  <c r="E33" i="3" s="1"/>
  <c r="G33" i="3" s="1"/>
  <c r="I33" i="3" s="1"/>
  <c r="K33" i="3" s="1"/>
  <c r="C34" i="3"/>
  <c r="E34" i="3" s="1"/>
  <c r="G34" i="3" s="1"/>
  <c r="I34" i="3" s="1"/>
  <c r="K34" i="3" s="1"/>
  <c r="C35" i="3"/>
  <c r="C36" i="3"/>
  <c r="C37" i="3"/>
  <c r="C38" i="3"/>
  <c r="E38" i="3" s="1"/>
  <c r="G38" i="3" s="1"/>
  <c r="C39" i="3"/>
  <c r="E39" i="3" s="1"/>
  <c r="G39" i="3" s="1"/>
  <c r="I39" i="3" s="1"/>
  <c r="K39" i="3" s="1"/>
  <c r="C40" i="3"/>
  <c r="E40" i="3" s="1"/>
  <c r="G40" i="3" s="1"/>
  <c r="I40" i="3" s="1"/>
  <c r="K40" i="3" s="1"/>
  <c r="C41" i="3"/>
  <c r="E41" i="3" s="1"/>
  <c r="G41" i="3" s="1"/>
  <c r="I41" i="3" s="1"/>
  <c r="K41" i="3" s="1"/>
  <c r="C42" i="3"/>
  <c r="E42" i="3" s="1"/>
  <c r="G42" i="3" s="1"/>
  <c r="I42" i="3" s="1"/>
  <c r="K42" i="3" s="1"/>
  <c r="C43" i="3"/>
  <c r="C44" i="3"/>
  <c r="C45" i="3"/>
  <c r="C46" i="3"/>
  <c r="E46" i="3" s="1"/>
  <c r="G46" i="3" s="1"/>
  <c r="C47" i="3"/>
  <c r="E47" i="3" s="1"/>
  <c r="G47" i="3" s="1"/>
  <c r="I47" i="3" s="1"/>
  <c r="K47" i="3" s="1"/>
  <c r="C48" i="3"/>
  <c r="E48" i="3" s="1"/>
  <c r="G48" i="3" s="1"/>
  <c r="I48" i="3" s="1"/>
  <c r="K48" i="3" s="1"/>
  <c r="C49" i="3"/>
  <c r="E49" i="3" s="1"/>
  <c r="G49" i="3" s="1"/>
  <c r="I49" i="3" s="1"/>
  <c r="K49" i="3" s="1"/>
  <c r="C50" i="3"/>
  <c r="E50" i="3" s="1"/>
  <c r="G50" i="3" s="1"/>
  <c r="I50" i="3" s="1"/>
  <c r="K50" i="3" s="1"/>
  <c r="C51" i="3"/>
  <c r="C52" i="3"/>
  <c r="C53" i="3"/>
  <c r="C54" i="3"/>
  <c r="E54" i="3" s="1"/>
  <c r="G54" i="3" s="1"/>
  <c r="I54" i="3" s="1"/>
  <c r="K54" i="3" s="1"/>
  <c r="C55" i="3"/>
  <c r="E55" i="3" s="1"/>
  <c r="G55" i="3" s="1"/>
  <c r="I55" i="3" s="1"/>
  <c r="K55" i="3" s="1"/>
  <c r="C56" i="3"/>
  <c r="E56" i="3" s="1"/>
  <c r="G56" i="3" s="1"/>
  <c r="I56" i="3" s="1"/>
  <c r="K56" i="3" s="1"/>
  <c r="C57" i="3"/>
  <c r="E57" i="3" s="1"/>
  <c r="G57" i="3" s="1"/>
  <c r="I57" i="3" s="1"/>
  <c r="C58" i="3"/>
  <c r="E58" i="3" s="1"/>
  <c r="G58" i="3" s="1"/>
  <c r="I58" i="3" s="1"/>
  <c r="C59" i="3"/>
  <c r="C60" i="3"/>
  <c r="C61" i="3"/>
  <c r="C62" i="3"/>
  <c r="E62" i="3" s="1"/>
  <c r="G62" i="3" s="1"/>
  <c r="I62" i="3" s="1"/>
  <c r="K62" i="3" s="1"/>
  <c r="C63" i="3"/>
  <c r="E63" i="3" s="1"/>
  <c r="G63" i="3" s="1"/>
  <c r="I63" i="3" s="1"/>
  <c r="K63" i="3" s="1"/>
  <c r="C64" i="3"/>
  <c r="E64" i="3" s="1"/>
  <c r="G64" i="3" s="1"/>
  <c r="I64" i="3" s="1"/>
  <c r="K64" i="3" s="1"/>
  <c r="C65" i="3"/>
  <c r="E65" i="3" s="1"/>
  <c r="C66" i="3"/>
  <c r="E66" i="3" s="1"/>
  <c r="G66" i="3" s="1"/>
  <c r="I66" i="3" s="1"/>
  <c r="K66" i="3" s="1"/>
  <c r="C67" i="3"/>
  <c r="C68" i="3"/>
  <c r="C69" i="3"/>
  <c r="C70" i="3"/>
  <c r="E70" i="3" s="1"/>
  <c r="G70" i="3" s="1"/>
  <c r="I70" i="3" s="1"/>
  <c r="K70" i="3" s="1"/>
  <c r="C71" i="3"/>
  <c r="E71" i="3" s="1"/>
  <c r="G71" i="3" s="1"/>
  <c r="I71" i="3" s="1"/>
  <c r="K71" i="3" s="1"/>
  <c r="C72" i="3"/>
  <c r="E72" i="3" s="1"/>
  <c r="G72" i="3" s="1"/>
  <c r="I72" i="3" s="1"/>
  <c r="K72" i="3" s="1"/>
  <c r="C73" i="3"/>
  <c r="E73" i="3" s="1"/>
  <c r="G73" i="3" s="1"/>
  <c r="I73" i="3" s="1"/>
  <c r="K73" i="3" s="1"/>
  <c r="C74" i="3"/>
  <c r="E74" i="3" s="1"/>
  <c r="G74" i="3" s="1"/>
  <c r="I74" i="3" s="1"/>
  <c r="K74" i="3" s="1"/>
  <c r="C75" i="3"/>
  <c r="C76" i="3"/>
  <c r="C77" i="3"/>
  <c r="C78" i="3"/>
  <c r="E78" i="3" s="1"/>
  <c r="G78" i="3" s="1"/>
  <c r="I78" i="3" s="1"/>
  <c r="K78" i="3" s="1"/>
  <c r="C79" i="3"/>
  <c r="E79" i="3" s="1"/>
  <c r="G79" i="3" s="1"/>
  <c r="I79" i="3" s="1"/>
  <c r="K79" i="3" s="1"/>
  <c r="C80" i="3"/>
  <c r="E80" i="3" s="1"/>
  <c r="G80" i="3" s="1"/>
  <c r="I80" i="3" s="1"/>
  <c r="K80" i="3" s="1"/>
  <c r="C81" i="3"/>
  <c r="E81" i="3" s="1"/>
  <c r="G81" i="3" s="1"/>
  <c r="I81" i="3" s="1"/>
  <c r="K81" i="3" s="1"/>
  <c r="C82" i="3"/>
  <c r="E82" i="3" s="1"/>
  <c r="G82" i="3" s="1"/>
  <c r="I82" i="3" s="1"/>
  <c r="K82" i="3" s="1"/>
  <c r="C83" i="3"/>
  <c r="C84" i="3"/>
  <c r="C85" i="3"/>
  <c r="C86" i="3"/>
  <c r="E86" i="3" s="1"/>
  <c r="G86" i="3" s="1"/>
  <c r="I86" i="3" s="1"/>
  <c r="K86" i="3" s="1"/>
  <c r="C87" i="3"/>
  <c r="E87" i="3" s="1"/>
  <c r="G87" i="3" s="1"/>
  <c r="I87" i="3" s="1"/>
  <c r="K87" i="3" s="1"/>
  <c r="C88" i="3"/>
  <c r="E88" i="3" s="1"/>
  <c r="G88" i="3" s="1"/>
  <c r="I88" i="3" s="1"/>
  <c r="K88" i="3" s="1"/>
  <c r="C89" i="3"/>
  <c r="E89" i="3" s="1"/>
  <c r="G89" i="3" s="1"/>
  <c r="I89" i="3" s="1"/>
  <c r="K89" i="3" s="1"/>
  <c r="C90" i="3"/>
  <c r="E90" i="3" s="1"/>
  <c r="G90" i="3" s="1"/>
  <c r="I90" i="3" s="1"/>
  <c r="K90" i="3" s="1"/>
  <c r="C91" i="3"/>
  <c r="C92" i="3"/>
  <c r="C93" i="3"/>
  <c r="C94" i="3"/>
  <c r="E94" i="3" s="1"/>
  <c r="G94" i="3" s="1"/>
  <c r="C95" i="3"/>
  <c r="E95" i="3" s="1"/>
  <c r="G95" i="3" s="1"/>
  <c r="I95" i="3" s="1"/>
  <c r="K95" i="3" s="1"/>
  <c r="C96" i="3"/>
  <c r="E96" i="3" s="1"/>
  <c r="G96" i="3" s="1"/>
  <c r="I96" i="3" s="1"/>
  <c r="K96" i="3" s="1"/>
  <c r="C97" i="3"/>
  <c r="E97" i="3" s="1"/>
  <c r="G97" i="3" s="1"/>
  <c r="I97" i="3" s="1"/>
  <c r="K97" i="3" s="1"/>
  <c r="E99" i="3"/>
  <c r="G99" i="3" s="1"/>
  <c r="C25" i="3"/>
  <c r="B97" i="3"/>
  <c r="B91" i="3"/>
  <c r="B92" i="3"/>
  <c r="B93" i="3"/>
  <c r="B94" i="3"/>
  <c r="B95" i="3"/>
  <c r="B96" i="3"/>
  <c r="B86" i="3"/>
  <c r="B87" i="3"/>
  <c r="B88" i="3"/>
  <c r="B89" i="3"/>
  <c r="B90" i="3"/>
  <c r="B81" i="3"/>
  <c r="B82" i="3"/>
  <c r="B83" i="3"/>
  <c r="B84" i="3"/>
  <c r="B85" i="3"/>
  <c r="B80" i="3"/>
  <c r="B76" i="3"/>
  <c r="B77" i="3"/>
  <c r="B78" i="3"/>
  <c r="B79" i="3"/>
  <c r="B71" i="3"/>
  <c r="B72" i="3"/>
  <c r="B73" i="3"/>
  <c r="B74" i="3"/>
  <c r="B75" i="3"/>
  <c r="B61" i="3"/>
  <c r="B62" i="3"/>
  <c r="B63" i="3"/>
  <c r="B64" i="3"/>
  <c r="B65" i="3"/>
  <c r="B66" i="3"/>
  <c r="B67" i="3"/>
  <c r="B68" i="3"/>
  <c r="B69" i="3"/>
  <c r="B70" i="3"/>
  <c r="B56" i="3"/>
  <c r="B57" i="3"/>
  <c r="B58" i="3"/>
  <c r="B59" i="3"/>
  <c r="B60" i="3"/>
  <c r="B50" i="3"/>
  <c r="B51" i="3"/>
  <c r="B52" i="3"/>
  <c r="B53" i="3"/>
  <c r="B54" i="3"/>
  <c r="B55" i="3"/>
  <c r="B44" i="3"/>
  <c r="B45" i="3"/>
  <c r="B46" i="3"/>
  <c r="B47" i="3"/>
  <c r="B48" i="3"/>
  <c r="B49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25" i="3"/>
  <c r="C20" i="3"/>
  <c r="C21" i="3"/>
  <c r="E21" i="3" s="1"/>
  <c r="G21" i="3" s="1"/>
  <c r="I21" i="3" s="1"/>
  <c r="K21" i="3" s="1"/>
  <c r="C19" i="3"/>
  <c r="B21" i="3"/>
  <c r="C16" i="3"/>
  <c r="E16" i="3" s="1"/>
  <c r="G16" i="3" s="1"/>
  <c r="I16" i="3" s="1"/>
  <c r="K16" i="3" s="1"/>
  <c r="C12" i="2"/>
  <c r="C13" i="3"/>
  <c r="E13" i="3" s="1"/>
  <c r="G13" i="3" s="1"/>
  <c r="I13" i="3" s="1"/>
  <c r="C12" i="3"/>
  <c r="C14" i="3" s="1"/>
  <c r="C10" i="3"/>
  <c r="B19" i="3"/>
  <c r="B20" i="3"/>
  <c r="B16" i="3"/>
  <c r="B15" i="3"/>
  <c r="B11" i="3"/>
  <c r="B12" i="3"/>
  <c r="B13" i="3"/>
  <c r="B14" i="3"/>
  <c r="B10" i="3"/>
  <c r="G96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O103" i="5"/>
  <c r="O105" i="5" s="1"/>
  <c r="N101" i="5"/>
  <c r="M101" i="5"/>
  <c r="L101" i="5"/>
  <c r="L106" i="5" s="1"/>
  <c r="K101" i="5"/>
  <c r="J101" i="5"/>
  <c r="J106" i="5" s="1"/>
  <c r="I101" i="5"/>
  <c r="H101" i="5"/>
  <c r="G101" i="5"/>
  <c r="F101" i="5"/>
  <c r="E101" i="5"/>
  <c r="D101" i="5"/>
  <c r="D106" i="5" s="1"/>
  <c r="C101" i="5"/>
  <c r="O100" i="5"/>
  <c r="O99" i="5"/>
  <c r="O101" i="5" s="1"/>
  <c r="N96" i="5"/>
  <c r="M96" i="5"/>
  <c r="L96" i="5"/>
  <c r="K96" i="5"/>
  <c r="J96" i="5"/>
  <c r="I96" i="5"/>
  <c r="H96" i="5"/>
  <c r="F96" i="5"/>
  <c r="E96" i="5"/>
  <c r="D96" i="5"/>
  <c r="C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O17" i="5"/>
  <c r="O16" i="5"/>
  <c r="O13" i="5"/>
  <c r="N11" i="5"/>
  <c r="N12" i="5" s="1"/>
  <c r="M11" i="5"/>
  <c r="M12" i="5" s="1"/>
  <c r="L11" i="5"/>
  <c r="L12" i="5" s="1"/>
  <c r="K11" i="5"/>
  <c r="K12" i="5" s="1"/>
  <c r="J11" i="5"/>
  <c r="J12" i="5" s="1"/>
  <c r="I11" i="5"/>
  <c r="I12" i="5" s="1"/>
  <c r="H11" i="5"/>
  <c r="H12" i="5" s="1"/>
  <c r="G11" i="5"/>
  <c r="G12" i="5" s="1"/>
  <c r="F11" i="5"/>
  <c r="F12" i="5" s="1"/>
  <c r="E11" i="5"/>
  <c r="E12" i="5" s="1"/>
  <c r="D11" i="5"/>
  <c r="D12" i="5" s="1"/>
  <c r="C11" i="5"/>
  <c r="C12" i="5" s="1"/>
  <c r="C8" i="11" s="1"/>
  <c r="O10" i="5"/>
  <c r="O9" i="5"/>
  <c r="O7" i="5"/>
  <c r="F20" i="4"/>
  <c r="C20" i="4"/>
  <c r="N106" i="4"/>
  <c r="M106" i="4"/>
  <c r="G106" i="4"/>
  <c r="F106" i="4"/>
  <c r="E106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O104" i="4"/>
  <c r="O103" i="4"/>
  <c r="O105" i="4" s="1"/>
  <c r="N101" i="4"/>
  <c r="M101" i="4"/>
  <c r="L101" i="4"/>
  <c r="L106" i="4" s="1"/>
  <c r="K101" i="4"/>
  <c r="K106" i="4" s="1"/>
  <c r="J101" i="4"/>
  <c r="J106" i="4" s="1"/>
  <c r="I101" i="4"/>
  <c r="I106" i="4" s="1"/>
  <c r="H101" i="4"/>
  <c r="H106" i="4" s="1"/>
  <c r="G101" i="4"/>
  <c r="F101" i="4"/>
  <c r="E101" i="4"/>
  <c r="D101" i="4"/>
  <c r="D106" i="4" s="1"/>
  <c r="C101" i="4"/>
  <c r="C106" i="4" s="1"/>
  <c r="O100" i="4"/>
  <c r="O99" i="4"/>
  <c r="O101" i="4" s="1"/>
  <c r="O106" i="4" s="1"/>
  <c r="N96" i="4"/>
  <c r="M96" i="4"/>
  <c r="L96" i="4"/>
  <c r="K96" i="4"/>
  <c r="J96" i="4"/>
  <c r="I96" i="4"/>
  <c r="H96" i="4"/>
  <c r="G96" i="4"/>
  <c r="F96" i="4"/>
  <c r="E96" i="4"/>
  <c r="D96" i="4"/>
  <c r="C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O17" i="4"/>
  <c r="O16" i="4"/>
  <c r="O13" i="4"/>
  <c r="N11" i="4"/>
  <c r="N12" i="4" s="1"/>
  <c r="N14" i="4" s="1"/>
  <c r="N20" i="4" s="1"/>
  <c r="M11" i="4"/>
  <c r="M12" i="4" s="1"/>
  <c r="M14" i="4" s="1"/>
  <c r="M20" i="4" s="1"/>
  <c r="L11" i="4"/>
  <c r="L12" i="4" s="1"/>
  <c r="L14" i="4" s="1"/>
  <c r="L20" i="4" s="1"/>
  <c r="K11" i="4"/>
  <c r="K12" i="4" s="1"/>
  <c r="K14" i="4" s="1"/>
  <c r="K20" i="4" s="1"/>
  <c r="J11" i="4"/>
  <c r="J12" i="4" s="1"/>
  <c r="J14" i="4" s="1"/>
  <c r="J20" i="4" s="1"/>
  <c r="I11" i="4"/>
  <c r="I12" i="4" s="1"/>
  <c r="I14" i="4" s="1"/>
  <c r="I20" i="4" s="1"/>
  <c r="H11" i="4"/>
  <c r="H12" i="4" s="1"/>
  <c r="H14" i="4" s="1"/>
  <c r="H20" i="4" s="1"/>
  <c r="G11" i="4"/>
  <c r="G12" i="4" s="1"/>
  <c r="G14" i="4" s="1"/>
  <c r="F11" i="4"/>
  <c r="F12" i="4" s="1"/>
  <c r="F14" i="4" s="1"/>
  <c r="E11" i="4"/>
  <c r="E12" i="4" s="1"/>
  <c r="E14" i="4" s="1"/>
  <c r="E20" i="4" s="1"/>
  <c r="D11" i="4"/>
  <c r="D12" i="4" s="1"/>
  <c r="D14" i="4" s="1"/>
  <c r="D20" i="4" s="1"/>
  <c r="C11" i="4"/>
  <c r="C12" i="4" s="1"/>
  <c r="O10" i="4"/>
  <c r="O9" i="4"/>
  <c r="O7" i="4"/>
  <c r="D107" i="2"/>
  <c r="E107" i="2"/>
  <c r="F107" i="2"/>
  <c r="G107" i="2"/>
  <c r="H107" i="2"/>
  <c r="I107" i="2"/>
  <c r="J107" i="2"/>
  <c r="K107" i="2"/>
  <c r="L107" i="2"/>
  <c r="M107" i="2"/>
  <c r="N107" i="2"/>
  <c r="O107" i="2"/>
  <c r="C107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6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5" i="2"/>
  <c r="O104" i="2"/>
  <c r="O103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1" i="2"/>
  <c r="O100" i="2"/>
  <c r="O99" i="2"/>
  <c r="D97" i="2"/>
  <c r="E97" i="2"/>
  <c r="F97" i="2"/>
  <c r="G97" i="2"/>
  <c r="H97" i="2"/>
  <c r="I97" i="2"/>
  <c r="J97" i="2"/>
  <c r="K97" i="2"/>
  <c r="L97" i="2"/>
  <c r="M97" i="2"/>
  <c r="N97" i="2"/>
  <c r="O97" i="2"/>
  <c r="C97" i="2"/>
  <c r="D96" i="2"/>
  <c r="E96" i="2"/>
  <c r="F96" i="2"/>
  <c r="G96" i="2"/>
  <c r="H96" i="2"/>
  <c r="I96" i="2"/>
  <c r="J96" i="2"/>
  <c r="K96" i="2"/>
  <c r="L96" i="2"/>
  <c r="M96" i="2"/>
  <c r="N96" i="2"/>
  <c r="O96" i="2"/>
  <c r="C96" i="2"/>
  <c r="O95" i="2"/>
  <c r="O93" i="2"/>
  <c r="O94" i="2"/>
  <c r="O89" i="2"/>
  <c r="O90" i="2"/>
  <c r="O91" i="2"/>
  <c r="O92" i="2"/>
  <c r="O84" i="2"/>
  <c r="O85" i="2"/>
  <c r="O86" i="2"/>
  <c r="O87" i="2"/>
  <c r="O88" i="2"/>
  <c r="O77" i="2"/>
  <c r="O78" i="2"/>
  <c r="O79" i="2"/>
  <c r="O80" i="2"/>
  <c r="O81" i="2"/>
  <c r="O82" i="2"/>
  <c r="O83" i="2"/>
  <c r="O68" i="2"/>
  <c r="O69" i="2"/>
  <c r="O70" i="2"/>
  <c r="O71" i="2"/>
  <c r="O72" i="2"/>
  <c r="O73" i="2"/>
  <c r="O74" i="2"/>
  <c r="O75" i="2"/>
  <c r="O76" i="2"/>
  <c r="O57" i="2"/>
  <c r="O58" i="2"/>
  <c r="O59" i="2"/>
  <c r="O60" i="2"/>
  <c r="O61" i="2"/>
  <c r="O62" i="2"/>
  <c r="O63" i="2"/>
  <c r="O64" i="2"/>
  <c r="O65" i="2"/>
  <c r="O66" i="2"/>
  <c r="O67" i="2"/>
  <c r="O49" i="2"/>
  <c r="O50" i="2"/>
  <c r="O51" i="2"/>
  <c r="O52" i="2"/>
  <c r="O53" i="2"/>
  <c r="O54" i="2"/>
  <c r="O55" i="2"/>
  <c r="O56" i="2"/>
  <c r="O41" i="2"/>
  <c r="O42" i="2"/>
  <c r="O43" i="2"/>
  <c r="O44" i="2"/>
  <c r="O45" i="2"/>
  <c r="O46" i="2"/>
  <c r="O47" i="2"/>
  <c r="O48" i="2"/>
  <c r="O37" i="2"/>
  <c r="O38" i="2"/>
  <c r="O39" i="2"/>
  <c r="O40" i="2"/>
  <c r="O36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22" i="2"/>
  <c r="O17" i="2"/>
  <c r="O19" i="2" s="1"/>
  <c r="O18" i="2"/>
  <c r="O16" i="2"/>
  <c r="D19" i="2"/>
  <c r="E19" i="2"/>
  <c r="F19" i="2"/>
  <c r="G19" i="2"/>
  <c r="H19" i="2"/>
  <c r="I19" i="2"/>
  <c r="J19" i="2"/>
  <c r="K19" i="2"/>
  <c r="L19" i="2"/>
  <c r="M19" i="2"/>
  <c r="N19" i="2"/>
  <c r="C19" i="2"/>
  <c r="O13" i="2"/>
  <c r="G12" i="2"/>
  <c r="G14" i="2" s="1"/>
  <c r="G20" i="2" s="1"/>
  <c r="D11" i="2"/>
  <c r="D12" i="2" s="1"/>
  <c r="D14" i="2" s="1"/>
  <c r="D20" i="2" s="1"/>
  <c r="E11" i="2"/>
  <c r="E12" i="2" s="1"/>
  <c r="E14" i="2" s="1"/>
  <c r="F11" i="2"/>
  <c r="F12" i="2" s="1"/>
  <c r="F14" i="2" s="1"/>
  <c r="F20" i="2" s="1"/>
  <c r="G11" i="2"/>
  <c r="H11" i="2"/>
  <c r="H12" i="2" s="1"/>
  <c r="H14" i="2" s="1"/>
  <c r="H20" i="2" s="1"/>
  <c r="I11" i="2"/>
  <c r="I12" i="2" s="1"/>
  <c r="I14" i="2" s="1"/>
  <c r="I20" i="2" s="1"/>
  <c r="J11" i="2"/>
  <c r="J12" i="2" s="1"/>
  <c r="J14" i="2" s="1"/>
  <c r="K11" i="2"/>
  <c r="K12" i="2" s="1"/>
  <c r="K14" i="2" s="1"/>
  <c r="K20" i="2" s="1"/>
  <c r="L11" i="2"/>
  <c r="L12" i="2" s="1"/>
  <c r="L14" i="2" s="1"/>
  <c r="L20" i="2" s="1"/>
  <c r="M11" i="2"/>
  <c r="M12" i="2" s="1"/>
  <c r="M14" i="2" s="1"/>
  <c r="N11" i="2"/>
  <c r="N12" i="2" s="1"/>
  <c r="N14" i="2" s="1"/>
  <c r="N20" i="2" s="1"/>
  <c r="C11" i="2"/>
  <c r="C14" i="2" s="1"/>
  <c r="C20" i="2" s="1"/>
  <c r="O9" i="2"/>
  <c r="O10" i="2"/>
  <c r="O7" i="2"/>
  <c r="I106" i="5" l="1"/>
  <c r="E106" i="5"/>
  <c r="M106" i="5"/>
  <c r="H14" i="5"/>
  <c r="H20" i="5" s="1"/>
  <c r="H8" i="11"/>
  <c r="C18" i="11"/>
  <c r="C28" i="11"/>
  <c r="K14" i="5"/>
  <c r="K20" i="5" s="1"/>
  <c r="K97" i="5" s="1"/>
  <c r="K107" i="5" s="1"/>
  <c r="K8" i="11"/>
  <c r="H106" i="5"/>
  <c r="L14" i="5"/>
  <c r="L20" i="5" s="1"/>
  <c r="L97" i="5" s="1"/>
  <c r="L107" i="5" s="1"/>
  <c r="L8" i="11"/>
  <c r="E14" i="5"/>
  <c r="E20" i="5" s="1"/>
  <c r="E8" i="11"/>
  <c r="M14" i="5"/>
  <c r="M20" i="5" s="1"/>
  <c r="M97" i="5" s="1"/>
  <c r="M107" i="5" s="1"/>
  <c r="M8" i="11"/>
  <c r="I14" i="5"/>
  <c r="I20" i="5" s="1"/>
  <c r="I97" i="5" s="1"/>
  <c r="I107" i="5" s="1"/>
  <c r="I8" i="11"/>
  <c r="J14" i="5"/>
  <c r="J20" i="5" s="1"/>
  <c r="J97" i="5" s="1"/>
  <c r="J107" i="5" s="1"/>
  <c r="J8" i="11"/>
  <c r="D14" i="5"/>
  <c r="D20" i="5" s="1"/>
  <c r="D8" i="11"/>
  <c r="F14" i="5"/>
  <c r="F20" i="5" s="1"/>
  <c r="F97" i="5" s="1"/>
  <c r="F8" i="11"/>
  <c r="N14" i="5"/>
  <c r="N20" i="5" s="1"/>
  <c r="N97" i="5" s="1"/>
  <c r="N8" i="11"/>
  <c r="G14" i="5"/>
  <c r="G20" i="5" s="1"/>
  <c r="G97" i="5" s="1"/>
  <c r="G8" i="11"/>
  <c r="D42" i="11"/>
  <c r="D44" i="11" s="1"/>
  <c r="L42" i="11"/>
  <c r="K42" i="11"/>
  <c r="E42" i="11"/>
  <c r="E44" i="11" s="1"/>
  <c r="M42" i="11"/>
  <c r="M44" i="11" s="1"/>
  <c r="F42" i="11"/>
  <c r="N42" i="11"/>
  <c r="N44" i="11" s="1"/>
  <c r="G42" i="11"/>
  <c r="H42" i="11"/>
  <c r="I42" i="11"/>
  <c r="J42" i="11"/>
  <c r="F30" i="12"/>
  <c r="I43" i="11" s="1"/>
  <c r="E31" i="12"/>
  <c r="F31" i="12"/>
  <c r="C31" i="12"/>
  <c r="G31" i="12"/>
  <c r="G32" i="12" s="1"/>
  <c r="I31" i="12"/>
  <c r="D31" i="12"/>
  <c r="H31" i="12"/>
  <c r="E30" i="12"/>
  <c r="H43" i="11" s="1"/>
  <c r="D30" i="12"/>
  <c r="G43" i="11" s="1"/>
  <c r="I30" i="12"/>
  <c r="L43" i="11" s="1"/>
  <c r="H30" i="12"/>
  <c r="K43" i="11" s="1"/>
  <c r="I99" i="3"/>
  <c r="K99" i="3" s="1"/>
  <c r="K13" i="3"/>
  <c r="E105" i="3"/>
  <c r="E110" i="3" s="1"/>
  <c r="G103" i="3"/>
  <c r="I103" i="3" s="1"/>
  <c r="M16" i="7"/>
  <c r="G109" i="3"/>
  <c r="G110" i="3" s="1"/>
  <c r="D100" i="3"/>
  <c r="D101" i="3" s="1"/>
  <c r="D111" i="3" s="1"/>
  <c r="I108" i="3"/>
  <c r="K108" i="3" s="1"/>
  <c r="G105" i="3"/>
  <c r="I104" i="3"/>
  <c r="K104" i="3" s="1"/>
  <c r="C105" i="3"/>
  <c r="E100" i="3"/>
  <c r="K107" i="3"/>
  <c r="K109" i="3" s="1"/>
  <c r="I109" i="3"/>
  <c r="C15" i="3"/>
  <c r="C17" i="3" s="1"/>
  <c r="D8" i="3"/>
  <c r="E10" i="3"/>
  <c r="E12" i="3"/>
  <c r="E109" i="3"/>
  <c r="C100" i="3"/>
  <c r="E20" i="3"/>
  <c r="G20" i="3" s="1"/>
  <c r="I20" i="3" s="1"/>
  <c r="K20" i="3" s="1"/>
  <c r="M17" i="7"/>
  <c r="E8" i="6" s="1"/>
  <c r="F65" i="3" s="1"/>
  <c r="F100" i="3" s="1"/>
  <c r="F101" i="3" s="1"/>
  <c r="F111" i="3" s="1"/>
  <c r="O12" i="7"/>
  <c r="E19" i="3"/>
  <c r="C109" i="3"/>
  <c r="C110" i="3" s="1"/>
  <c r="C22" i="3"/>
  <c r="C23" i="3" s="1"/>
  <c r="C106" i="5"/>
  <c r="K106" i="5"/>
  <c r="F106" i="5"/>
  <c r="N106" i="5"/>
  <c r="G106" i="5"/>
  <c r="H97" i="5"/>
  <c r="E97" i="5"/>
  <c r="D97" i="5"/>
  <c r="D107" i="5" s="1"/>
  <c r="O96" i="5"/>
  <c r="O19" i="5"/>
  <c r="C14" i="5"/>
  <c r="O12" i="5"/>
  <c r="O106" i="5"/>
  <c r="O11" i="5"/>
  <c r="D97" i="4"/>
  <c r="D107" i="4" s="1"/>
  <c r="L97" i="4"/>
  <c r="L107" i="4" s="1"/>
  <c r="F97" i="4"/>
  <c r="F107" i="4" s="1"/>
  <c r="N97" i="4"/>
  <c r="N107" i="4" s="1"/>
  <c r="E97" i="4"/>
  <c r="E107" i="4" s="1"/>
  <c r="M97" i="4"/>
  <c r="M107" i="4" s="1"/>
  <c r="H97" i="4"/>
  <c r="H107" i="4" s="1"/>
  <c r="I97" i="4"/>
  <c r="I107" i="4" s="1"/>
  <c r="O96" i="4"/>
  <c r="J97" i="4"/>
  <c r="J107" i="4" s="1"/>
  <c r="K97" i="4"/>
  <c r="K107" i="4" s="1"/>
  <c r="G20" i="4"/>
  <c r="G97" i="4" s="1"/>
  <c r="G107" i="4" s="1"/>
  <c r="O19" i="4"/>
  <c r="O12" i="4"/>
  <c r="C14" i="4"/>
  <c r="O11" i="4"/>
  <c r="M20" i="2"/>
  <c r="E20" i="2"/>
  <c r="J20" i="2"/>
  <c r="O12" i="2"/>
  <c r="O11" i="2"/>
  <c r="O14" i="2"/>
  <c r="O20" i="2" s="1"/>
  <c r="N107" i="5" l="1"/>
  <c r="E107" i="5"/>
  <c r="N18" i="11"/>
  <c r="N28" i="11"/>
  <c r="G107" i="5"/>
  <c r="F18" i="11"/>
  <c r="F28" i="11"/>
  <c r="M18" i="11"/>
  <c r="M28" i="11"/>
  <c r="I18" i="11"/>
  <c r="I28" i="11"/>
  <c r="K18" i="11"/>
  <c r="K28" i="11"/>
  <c r="D18" i="11"/>
  <c r="D28" i="11"/>
  <c r="E18" i="11"/>
  <c r="E28" i="11"/>
  <c r="P8" i="11"/>
  <c r="G18" i="11"/>
  <c r="G28" i="11"/>
  <c r="J18" i="11"/>
  <c r="J28" i="11"/>
  <c r="L18" i="11"/>
  <c r="L28" i="11"/>
  <c r="H18" i="11"/>
  <c r="H28" i="11"/>
  <c r="H107" i="5"/>
  <c r="E14" i="6"/>
  <c r="H26" i="3" s="1"/>
  <c r="K44" i="11"/>
  <c r="F44" i="11"/>
  <c r="C44" i="11"/>
  <c r="P42" i="11"/>
  <c r="I44" i="11"/>
  <c r="H44" i="11"/>
  <c r="L44" i="11"/>
  <c r="J44" i="11"/>
  <c r="G44" i="11"/>
  <c r="H32" i="12"/>
  <c r="F32" i="12"/>
  <c r="I32" i="12"/>
  <c r="J31" i="12"/>
  <c r="D32" i="12"/>
  <c r="J30" i="12"/>
  <c r="C32" i="12"/>
  <c r="E32" i="12"/>
  <c r="C101" i="3"/>
  <c r="C111" i="3" s="1"/>
  <c r="C114" i="3"/>
  <c r="K103" i="3"/>
  <c r="K105" i="3" s="1"/>
  <c r="K110" i="3" s="1"/>
  <c r="I105" i="3"/>
  <c r="I110" i="3" s="1"/>
  <c r="G65" i="3"/>
  <c r="E22" i="3"/>
  <c r="G19" i="3"/>
  <c r="G12" i="3"/>
  <c r="E14" i="3"/>
  <c r="E15" i="3"/>
  <c r="E17" i="3" s="1"/>
  <c r="G10" i="3"/>
  <c r="O13" i="7"/>
  <c r="P12" i="7"/>
  <c r="F107" i="5"/>
  <c r="C20" i="5"/>
  <c r="C97" i="5" s="1"/>
  <c r="C107" i="5" s="1"/>
  <c r="O14" i="5"/>
  <c r="O20" i="5" s="1"/>
  <c r="O97" i="5" s="1"/>
  <c r="O107" i="5" s="1"/>
  <c r="C97" i="4"/>
  <c r="C107" i="4" s="1"/>
  <c r="O14" i="4"/>
  <c r="O20" i="4" s="1"/>
  <c r="O97" i="4" s="1"/>
  <c r="O107" i="4" s="1"/>
  <c r="P18" i="11" l="1"/>
  <c r="P28" i="11"/>
  <c r="I26" i="3"/>
  <c r="K26" i="3" s="1"/>
  <c r="H100" i="3"/>
  <c r="H101" i="3" s="1"/>
  <c r="H111" i="3" s="1"/>
  <c r="P43" i="11"/>
  <c r="P44" i="11"/>
  <c r="J32" i="12"/>
  <c r="I10" i="3"/>
  <c r="E23" i="3"/>
  <c r="I19" i="3"/>
  <c r="G22" i="3"/>
  <c r="I65" i="3"/>
  <c r="G100" i="3"/>
  <c r="I12" i="3"/>
  <c r="I14" i="3" s="1"/>
  <c r="G14" i="3"/>
  <c r="G15" i="3" s="1"/>
  <c r="G17" i="3" s="1"/>
  <c r="G23" i="3" s="1"/>
  <c r="P13" i="7"/>
  <c r="Q12" i="7"/>
  <c r="Q13" i="7" s="1"/>
  <c r="K65" i="3" l="1"/>
  <c r="K100" i="3" s="1"/>
  <c r="I100" i="3"/>
  <c r="I22" i="3"/>
  <c r="K19" i="3"/>
  <c r="K22" i="3" s="1"/>
  <c r="I15" i="3"/>
  <c r="I17" i="3" s="1"/>
  <c r="I23" i="3" s="1"/>
  <c r="K10" i="3"/>
  <c r="G101" i="3"/>
  <c r="G111" i="3" s="1"/>
  <c r="G114" i="3"/>
  <c r="E101" i="3"/>
  <c r="E111" i="3" s="1"/>
  <c r="E114" i="3"/>
  <c r="I116" i="3" l="1"/>
  <c r="I101" i="3"/>
  <c r="I111" i="3" s="1"/>
  <c r="I114" i="3"/>
  <c r="D7" i="9" l="1"/>
  <c r="E7" i="9" s="1"/>
  <c r="F18" i="9" s="1"/>
  <c r="J12" i="3"/>
  <c r="F19" i="9" l="1"/>
  <c r="F26" i="9"/>
  <c r="F25" i="9"/>
  <c r="D8" i="9"/>
  <c r="K12" i="3"/>
  <c r="K14" i="3" s="1"/>
  <c r="K15" i="3" s="1"/>
  <c r="K17" i="3" s="1"/>
  <c r="K23" i="3" s="1"/>
  <c r="K114" i="3" s="1"/>
  <c r="J14" i="3"/>
  <c r="J15" i="3" s="1"/>
  <c r="J17" i="3" s="1"/>
  <c r="J23" i="3" s="1"/>
  <c r="J101" i="3" s="1"/>
  <c r="J25" i="9" l="1"/>
  <c r="G25" i="9"/>
  <c r="J18" i="9"/>
  <c r="G18" i="9"/>
  <c r="G26" i="9"/>
  <c r="J26" i="9"/>
  <c r="J19" i="9"/>
  <c r="G19" i="9"/>
  <c r="J111" i="3"/>
  <c r="K101" i="3"/>
  <c r="K111" i="3" s="1"/>
  <c r="G20" i="9" l="1"/>
  <c r="G27" i="9"/>
  <c r="G29" i="9" l="1"/>
  <c r="H18" i="9" l="1"/>
  <c r="H19" i="9"/>
  <c r="H26" i="9"/>
  <c r="H25" i="9"/>
</calcChain>
</file>

<file path=xl/sharedStrings.xml><?xml version="1.0" encoding="utf-8"?>
<sst xmlns="http://schemas.openxmlformats.org/spreadsheetml/2006/main" count="724" uniqueCount="398">
  <si>
    <t>Beeline Charters &amp; Tours and Seattle Express</t>
  </si>
  <si>
    <t>12-month Profit and Loss</t>
  </si>
  <si>
    <t>for the year ending 12/31/2022</t>
  </si>
  <si>
    <t>Income</t>
  </si>
  <si>
    <t>41100 Transportation Revenues - Beeline</t>
  </si>
  <si>
    <t>49000 Charter Refund</t>
  </si>
  <si>
    <t>Total Income</t>
  </si>
  <si>
    <t>Cost of Goods Sold</t>
  </si>
  <si>
    <t>51100 Coach Farm Outs</t>
  </si>
  <si>
    <t>51120 WA Excise Tax</t>
  </si>
  <si>
    <t>52400 Other Tour COGS</t>
  </si>
  <si>
    <t>Total Cost of Goods Sold</t>
  </si>
  <si>
    <t>Gross Profit</t>
  </si>
  <si>
    <t>Expenses</t>
  </si>
  <si>
    <t>61110 Wages - unallocated</t>
  </si>
  <si>
    <t>61510 Payroll Taxes</t>
  </si>
  <si>
    <t>61515 ER 401k Contributions</t>
  </si>
  <si>
    <t>61521 Employee Healthcare Benefits</t>
  </si>
  <si>
    <t>61523 401k Management Fee</t>
  </si>
  <si>
    <t>61525 Reimbursements</t>
  </si>
  <si>
    <t>61530 Drug Testing</t>
  </si>
  <si>
    <t>61531 Recruiting</t>
  </si>
  <si>
    <t>61560 Lunches</t>
  </si>
  <si>
    <t>61570 Uniforms</t>
  </si>
  <si>
    <t>61585 Drivers Training</t>
  </si>
  <si>
    <t>61750 Contractors - Commissions/Sales Referrals</t>
  </si>
  <si>
    <t>62100 Bus Repairs</t>
  </si>
  <si>
    <t>62110 Tires</t>
  </si>
  <si>
    <t>62150 Materials &amp; Supplies</t>
  </si>
  <si>
    <t>63100 Fuel</t>
  </si>
  <si>
    <t>63200 Tolls &amp; Fines</t>
  </si>
  <si>
    <t>63210 Parking Fees</t>
  </si>
  <si>
    <t>63300 Drivers Travel Costs</t>
  </si>
  <si>
    <t>63400 Airport Fees</t>
  </si>
  <si>
    <t>63500 Entrance Fees</t>
  </si>
  <si>
    <t>63700 Towing</t>
  </si>
  <si>
    <t>64005 Accrued Interest</t>
  </si>
  <si>
    <t>64020 Advertising - All</t>
  </si>
  <si>
    <t>64023 Billboard</t>
  </si>
  <si>
    <t>64025 Decals</t>
  </si>
  <si>
    <t>64035 Trade Associations</t>
  </si>
  <si>
    <t>64045 Website</t>
  </si>
  <si>
    <t>64050 Online</t>
  </si>
  <si>
    <t>64055 Consulting</t>
  </si>
  <si>
    <t>64100 Bank Fees (returned checks etc)</t>
  </si>
  <si>
    <t>64120 Business Licenses and Permits</t>
  </si>
  <si>
    <t>64140 Charitable Donations</t>
  </si>
  <si>
    <t>64205 Contractors</t>
  </si>
  <si>
    <t>64210 Credit Card Processing Fees</t>
  </si>
  <si>
    <t>64230 Depreciation - Administrative</t>
  </si>
  <si>
    <t>64240 Dues and Subscriptions</t>
  </si>
  <si>
    <t>64250 Equipment Rental</t>
  </si>
  <si>
    <t>64300 Internet</t>
  </si>
  <si>
    <t>64310 Interest - Administrative</t>
  </si>
  <si>
    <t>64313 Credit Card Interest</t>
  </si>
  <si>
    <t>64380 Meals - Business</t>
  </si>
  <si>
    <t>64410 Office Supplies</t>
  </si>
  <si>
    <t>64420 Merchant Fees</t>
  </si>
  <si>
    <t>64500 Postage and Delivery</t>
  </si>
  <si>
    <t>64541 Payroll Processing Fee</t>
  </si>
  <si>
    <t>64542 Accounting</t>
  </si>
  <si>
    <t>64543 Consulting &amp; Legal Services</t>
  </si>
  <si>
    <t>64544 Hardware Tech</t>
  </si>
  <si>
    <t>64580 Software Subscriptions</t>
  </si>
  <si>
    <t>64605 WA State Public Utils Tax</t>
  </si>
  <si>
    <t>64620 Telephone</t>
  </si>
  <si>
    <t>64630 Travel - Admin</t>
  </si>
  <si>
    <t>64631 Travel</t>
  </si>
  <si>
    <t>64632 Hotel</t>
  </si>
  <si>
    <t>65100 Rent Expense</t>
  </si>
  <si>
    <t>65200 Utilities</t>
  </si>
  <si>
    <t>65400 Repairs (Building)</t>
  </si>
  <si>
    <t>65600 Depreciation - Facilities</t>
  </si>
  <si>
    <t>65999 Fixed Facilities Expense - allocated (Seattle Express)</t>
  </si>
  <si>
    <t>66100 Bus Lease expense - Delby</t>
  </si>
  <si>
    <t>66200 Interest Paid</t>
  </si>
  <si>
    <t>66300 Insurance</t>
  </si>
  <si>
    <t>66410 Amortization Expense</t>
  </si>
  <si>
    <t>Unapplied Cash Bill Payment Expense</t>
  </si>
  <si>
    <t>Total Expenses</t>
  </si>
  <si>
    <t>Net Operating Income</t>
  </si>
  <si>
    <t>Other Income</t>
  </si>
  <si>
    <t>70100 Other Income</t>
  </si>
  <si>
    <t>70300 Interest Income</t>
  </si>
  <si>
    <t>Total Other Income</t>
  </si>
  <si>
    <t>Other Expenses</t>
  </si>
  <si>
    <t>80100 Other Expenses</t>
  </si>
  <si>
    <t>84030 Reconciliation Adjustments</t>
  </si>
  <si>
    <t>Total Other Expenses</t>
  </si>
  <si>
    <t>Net Other Income</t>
  </si>
  <si>
    <t>Net Income</t>
  </si>
  <si>
    <t>Total</t>
  </si>
  <si>
    <t>41200 Transportation Revenues - Seattle Express</t>
  </si>
  <si>
    <t xml:space="preserve">         41210 Earned Revenue - Seattle Express</t>
  </si>
  <si>
    <t xml:space="preserve">         41220 Customer Deposits - Seattle Express</t>
  </si>
  <si>
    <t xml:space="preserve">   Total 41000 Transportation Revenue</t>
  </si>
  <si>
    <t>61198 Seasonal payroll allocated to Seattle Express</t>
  </si>
  <si>
    <t>61199 Wages specifically identified as Seattle Express</t>
  </si>
  <si>
    <t>61598 Payroll-related expenses allocated to Seattle Express</t>
  </si>
  <si>
    <t>62199 Repairs allocated to Seattle Express</t>
  </si>
  <si>
    <t>63998 Transportation expenses allocated to Seattle Express</t>
  </si>
  <si>
    <t>64540 Professional Fees - All</t>
  </si>
  <si>
    <t>66350 Insurance allocated to Seattle Express</t>
  </si>
  <si>
    <t>66400 Depreciation - Revenue Vehicles</t>
  </si>
  <si>
    <t>65999 Fixed facilities expense allocated to Seattle Express</t>
  </si>
  <si>
    <t xml:space="preserve">Beeline Charters &amp; Tours </t>
  </si>
  <si>
    <t>Seattle Express</t>
  </si>
  <si>
    <t>Results of Operations</t>
  </si>
  <si>
    <t>Per Books</t>
  </si>
  <si>
    <t>Remove</t>
  </si>
  <si>
    <t xml:space="preserve">Restating </t>
  </si>
  <si>
    <t>Restated</t>
  </si>
  <si>
    <t xml:space="preserve">ProForma </t>
  </si>
  <si>
    <t>Pro Forma</t>
  </si>
  <si>
    <t xml:space="preserve">Rate </t>
  </si>
  <si>
    <t xml:space="preserve">Pro Forma </t>
  </si>
  <si>
    <t>Account &amp; Description</t>
  </si>
  <si>
    <t>TYE 12-31-22</t>
  </si>
  <si>
    <t>Nonregulated</t>
  </si>
  <si>
    <t>Regulated</t>
  </si>
  <si>
    <t>Adjustments</t>
  </si>
  <si>
    <t>Results</t>
  </si>
  <si>
    <t>Adjustment</t>
  </si>
  <si>
    <t>with Rates</t>
  </si>
  <si>
    <t xml:space="preserve">        </t>
  </si>
  <si>
    <t>Operating Ratio</t>
  </si>
  <si>
    <t>Company Adjustments</t>
  </si>
  <si>
    <t>Adjustment #</t>
  </si>
  <si>
    <t>Account</t>
  </si>
  <si>
    <t>Explanation</t>
  </si>
  <si>
    <t>Increase (Decrease)</t>
  </si>
  <si>
    <t>R-01</t>
  </si>
  <si>
    <t>To adjust to straight line depreciation</t>
  </si>
  <si>
    <t>P-01</t>
  </si>
  <si>
    <t>Rate Case Expense</t>
  </si>
  <si>
    <t>Regulatory Depreciation</t>
  </si>
  <si>
    <t>Months in first year</t>
  </si>
  <si>
    <t>Months in second year</t>
  </si>
  <si>
    <t>A.</t>
  </si>
  <si>
    <t>Purchase date</t>
  </si>
  <si>
    <t>First year</t>
  </si>
  <si>
    <t>B.</t>
  </si>
  <si>
    <t>End of Test Period</t>
  </si>
  <si>
    <t>Second year</t>
  </si>
  <si>
    <t>C</t>
  </si>
  <si>
    <t>Date fully Depr</t>
  </si>
  <si>
    <t>D.</t>
  </si>
  <si>
    <t>Beg of Test Period</t>
  </si>
  <si>
    <t>Beginning</t>
  </si>
  <si>
    <t>Ending</t>
  </si>
  <si>
    <t>Date in</t>
  </si>
  <si>
    <t>Salvage</t>
  </si>
  <si>
    <t>Year</t>
  </si>
  <si>
    <t>Accumulated</t>
  </si>
  <si>
    <t>Service</t>
  </si>
  <si>
    <t>Value</t>
  </si>
  <si>
    <t>Method</t>
  </si>
  <si>
    <t>Life</t>
  </si>
  <si>
    <t>Fully</t>
  </si>
  <si>
    <t>Asset</t>
  </si>
  <si>
    <t>Monthly</t>
  </si>
  <si>
    <t>Test year</t>
  </si>
  <si>
    <t>%</t>
  </si>
  <si>
    <t>Depreciation</t>
  </si>
  <si>
    <t>EOP</t>
  </si>
  <si>
    <t>Asset #</t>
  </si>
  <si>
    <t>Description</t>
  </si>
  <si>
    <t>Mo.</t>
  </si>
  <si>
    <t>Depreciated</t>
  </si>
  <si>
    <t>Cost</t>
  </si>
  <si>
    <t>Allo.</t>
  </si>
  <si>
    <t>Investment</t>
  </si>
  <si>
    <t>B</t>
  </si>
  <si>
    <t>C.</t>
  </si>
  <si>
    <t>Apple Computer</t>
  </si>
  <si>
    <t>SL</t>
  </si>
  <si>
    <t>Total Office Equipment</t>
  </si>
  <si>
    <t>per books depreciaiton</t>
  </si>
  <si>
    <t>Price-Out</t>
  </si>
  <si>
    <t>Test Year Revenue</t>
  </si>
  <si>
    <t>Revenue Requirement</t>
  </si>
  <si>
    <t>Proposed increase</t>
  </si>
  <si>
    <t>City Hotels to Piers 66 or 91</t>
  </si>
  <si>
    <t>2022 Passenger Trips</t>
  </si>
  <si>
    <t>Passengers</t>
  </si>
  <si>
    <t>Current Max Fares</t>
  </si>
  <si>
    <t>Revenue</t>
  </si>
  <si>
    <t>Proposed Max Fares</t>
  </si>
  <si>
    <t>Hotel Routes</t>
  </si>
  <si>
    <t>One Way Fares</t>
  </si>
  <si>
    <t>One-Way</t>
  </si>
  <si>
    <t>Round Trip Fares</t>
  </si>
  <si>
    <t>Round-Trip</t>
  </si>
  <si>
    <t>Airport Routes</t>
  </si>
  <si>
    <t>SeaTac to Piers 66 or 91</t>
  </si>
  <si>
    <t>Piers 66 or 91</t>
  </si>
  <si>
    <t>Hotels</t>
  </si>
  <si>
    <t>Ariport</t>
  </si>
  <si>
    <t>Total Price-Out Revenue</t>
  </si>
  <si>
    <t>One Way</t>
  </si>
  <si>
    <t>Round Trip</t>
  </si>
  <si>
    <t>Test Year Ending 12/31/2022</t>
  </si>
  <si>
    <t>Rate Case Expenses</t>
  </si>
  <si>
    <t>Payroll Related Expenses</t>
  </si>
  <si>
    <t>Total payroll related expenses (61500) as a percentage of total payroll (61100)</t>
  </si>
  <si>
    <t>OG&amp;A Allocation</t>
  </si>
  <si>
    <t>Beeline administrative expenses (64000) as a percentage of total revenue (41000)</t>
  </si>
  <si>
    <t>64000 Bee</t>
  </si>
  <si>
    <t>Fixed Facility Expense</t>
  </si>
  <si>
    <t>Total fixed facility expense (65000) as a percentage of total revenue (41000)</t>
  </si>
  <si>
    <t>Bus Lease</t>
  </si>
  <si>
    <t>Total bus lease expense paid to Delby divided by 7 (seasonal operation)</t>
  </si>
  <si>
    <t>2022 Lease</t>
  </si>
  <si>
    <t>Monthly Payment</t>
  </si>
  <si>
    <r>
      <t xml:space="preserve">Seattle Express </t>
    </r>
    <r>
      <rPr>
        <sz val="9"/>
        <color theme="1"/>
        <rFont val="Calibri"/>
        <family val="2"/>
      </rPr>
      <t>(source: Fareharbor)</t>
    </r>
  </si>
  <si>
    <r>
      <t>Beeline</t>
    </r>
    <r>
      <rPr>
        <sz val="9"/>
        <color theme="1"/>
        <rFont val="Calibri"/>
        <family val="2"/>
      </rPr>
      <t xml:space="preserve"> (source: Distinctive)</t>
    </r>
  </si>
  <si>
    <t>Percentage of Revenue</t>
  </si>
  <si>
    <r>
      <t>Revenue Dollars</t>
    </r>
    <r>
      <rPr>
        <b/>
        <sz val="9"/>
        <color theme="1"/>
        <rFont val="Calibri"/>
        <family val="2"/>
      </rPr>
      <t xml:space="preserve"> (Based on run date)</t>
    </r>
  </si>
  <si>
    <t>Beeline</t>
  </si>
  <si>
    <t>61198 - Seasonal Payroll allocated to Seattle Express</t>
  </si>
  <si>
    <t>Bus-Related Payroll</t>
  </si>
  <si>
    <t>Wages (61100)</t>
  </si>
  <si>
    <t>Wages specfically identified as SE (61199)</t>
  </si>
  <si>
    <t>Wages remaining to be allocated</t>
  </si>
  <si>
    <t>Adams - Mechanic</t>
  </si>
  <si>
    <t>Bermudez - B - Sales Manager</t>
  </si>
  <si>
    <t>Boden - Executive</t>
  </si>
  <si>
    <t>Brennan - Safety/Compliance Manager</t>
  </si>
  <si>
    <t>Brice - X - Luggage Handlers</t>
  </si>
  <si>
    <t>x</t>
  </si>
  <si>
    <t>Carr - B - Driver</t>
  </si>
  <si>
    <t>Connors - Fleet Manager</t>
  </si>
  <si>
    <t>Da'Briel - B - Sales Support</t>
  </si>
  <si>
    <t>Delbrune - Bookeeping</t>
  </si>
  <si>
    <t>Dimings - Cleaner</t>
  </si>
  <si>
    <t>Dwyer - B - Driver</t>
  </si>
  <si>
    <t>Dyles - X - Luggage Handlers</t>
  </si>
  <si>
    <t>England - X - Drivers</t>
  </si>
  <si>
    <t>Falanga - X - Luggage Handlers</t>
  </si>
  <si>
    <t>Gormly - X - Drivers</t>
  </si>
  <si>
    <t>Gregory - B - Driver</t>
  </si>
  <si>
    <t>Grindle - B - Driver</t>
  </si>
  <si>
    <t>Groh - B - Driver</t>
  </si>
  <si>
    <t>Gunn - X - Drivers</t>
  </si>
  <si>
    <t>Harris - X - Drivers</t>
  </si>
  <si>
    <t>Hernandez - B - Driver</t>
  </si>
  <si>
    <t>Holloway - X - Sales Person</t>
  </si>
  <si>
    <t>Holtgreven - Coordinator</t>
  </si>
  <si>
    <t>Holtgreven - X - Drivers</t>
  </si>
  <si>
    <t>Hussein - X - Drivers</t>
  </si>
  <si>
    <t>Imholt - B - Driver</t>
  </si>
  <si>
    <t>Jackson - B - Driver</t>
  </si>
  <si>
    <t>King - B - Driver</t>
  </si>
  <si>
    <t>Klugh - Show Me Seattle</t>
  </si>
  <si>
    <t>Krohn - X - Luggage Handlers</t>
  </si>
  <si>
    <t>Landvatter - B - Driver</t>
  </si>
  <si>
    <t>Law - B - Operations Manager</t>
  </si>
  <si>
    <t>Martinson - X - Sales Person</t>
  </si>
  <si>
    <t>Maslov - Mechanic</t>
  </si>
  <si>
    <t>McCane - B - Driver</t>
  </si>
  <si>
    <t>McDonald - X - Luggage Handlers</t>
  </si>
  <si>
    <t>Miller - Coordinator</t>
  </si>
  <si>
    <t>Parker-Henderson - B - Driver</t>
  </si>
  <si>
    <t>Pascua - B - Driver</t>
  </si>
  <si>
    <t>Prentis - X - Drivers</t>
  </si>
  <si>
    <t>Pressley - X - Drivers</t>
  </si>
  <si>
    <t>Preston - B - Driver</t>
  </si>
  <si>
    <t>Pugh - B - Driver</t>
  </si>
  <si>
    <t>Quinteros - B - Driver</t>
  </si>
  <si>
    <t>Randell - X - Drivers</t>
  </si>
  <si>
    <t>Rogers - Coordinator</t>
  </si>
  <si>
    <t>Rogers - Owner</t>
  </si>
  <si>
    <t>rogers - X - Sales Support</t>
  </si>
  <si>
    <t>Schmer - X - Operations Manager</t>
  </si>
  <si>
    <t>Schott - B - Driver</t>
  </si>
  <si>
    <t>Schultz - B - Driver</t>
  </si>
  <si>
    <t>Sherwood - B - Driver</t>
  </si>
  <si>
    <t>Simmons - X - Sales Person</t>
  </si>
  <si>
    <t>Smith - B - Driver</t>
  </si>
  <si>
    <t>Steadman - X - Sales Support</t>
  </si>
  <si>
    <t>Stewart - X - Luggage Handlers</t>
  </si>
  <si>
    <t>Stewart Jr. - X - Luggage Handlers</t>
  </si>
  <si>
    <t>Sullivan - B - Driver</t>
  </si>
  <si>
    <t>Szymusiak - B - Driver</t>
  </si>
  <si>
    <t>Terhune - B - Sales Person</t>
  </si>
  <si>
    <t>Whittington - X - Luggage Handlers</t>
  </si>
  <si>
    <t xml:space="preserve">Williams - </t>
  </si>
  <si>
    <t>Williams - Coordinator</t>
  </si>
  <si>
    <t>Womack - B - Driver</t>
  </si>
  <si>
    <t>Seattle Express Specific Payroll</t>
  </si>
  <si>
    <t>Seattle Express Actual Wages / mo (GL 61199)</t>
  </si>
  <si>
    <t>Employee</t>
  </si>
  <si>
    <t>** 60%  SEATTLE EXPRESS**</t>
  </si>
  <si>
    <t>64999 Office general &amp; admin exp allocated to Seattle Express</t>
  </si>
  <si>
    <t>Seattle Express 2022 Driver Wages</t>
  </si>
  <si>
    <t>P-02</t>
  </si>
  <si>
    <t>2023 5% wage increase for Shared drivers</t>
  </si>
  <si>
    <t>2022 Shared Driver Wages</t>
  </si>
  <si>
    <t>61598 - Payroll Related Allocated to Seattle Express</t>
  </si>
  <si>
    <t>Payroll-related expenses allocated for seasonal payroll</t>
  </si>
  <si>
    <t>Payroll-related expenses specifically identified for SE</t>
  </si>
  <si>
    <t>Repairs &amp; Maintenance</t>
  </si>
  <si>
    <t>62199 - Seasonal Repairs &amp; Maintenance Allocated to Seattled Express</t>
  </si>
  <si>
    <t>Repairs &amp; Maintenance (62000)</t>
  </si>
  <si>
    <t>Allocation 62199</t>
  </si>
  <si>
    <t>63998 - Seasonal Fuel Allocated to Seattle Express</t>
  </si>
  <si>
    <t>Fuel</t>
  </si>
  <si>
    <t>Fuel (63000)</t>
  </si>
  <si>
    <t>Allocation 63998</t>
  </si>
  <si>
    <t>66350 - Insurance Allocated to Seattle</t>
  </si>
  <si>
    <t>Insurance</t>
  </si>
  <si>
    <t>Insurance (63500)</t>
  </si>
  <si>
    <t>Allocation 66350</t>
  </si>
  <si>
    <t>Allocation 61598</t>
  </si>
  <si>
    <t>Allocation 61198</t>
  </si>
  <si>
    <t># of Pax</t>
  </si>
  <si>
    <t xml:space="preserve">Seattle Express </t>
  </si>
  <si>
    <t>Seattle Express Total Transportation Revenue (41200)</t>
  </si>
  <si>
    <t>Seattle Express Earned Revenue (41210)</t>
  </si>
  <si>
    <t>Customer Deposits (41220)</t>
  </si>
  <si>
    <t>Sum of column P values marked with "x" from above rows, plus Schmer</t>
  </si>
  <si>
    <t>Service Item</t>
  </si>
  <si>
    <t>Book Return Transfer Here Total</t>
  </si>
  <si>
    <t>Hotel to Pier Total</t>
  </si>
  <si>
    <t>One-Way: Airport to Pier Total</t>
  </si>
  <si>
    <t>Pier to Sea-Tac Hotel Total</t>
  </si>
  <si>
    <t>Post Cruise City Tour Total</t>
  </si>
  <si>
    <t>Pre Cruise City Tours Total</t>
  </si>
  <si>
    <t>Quick Transfer: Pier to Airport Total</t>
  </si>
  <si>
    <t>Quick Transfer: Pier to Hotel Total</t>
  </si>
  <si>
    <t>Roundtrip Total</t>
  </si>
  <si>
    <t>Roundtrip: Airport to Pier Total</t>
  </si>
  <si>
    <t>Transfer from Seattle Pier to Sea-Tac with Pre Cruise Tour Total</t>
  </si>
  <si>
    <t>2023 driver wage increase</t>
  </si>
  <si>
    <t>Payroll Support</t>
  </si>
  <si>
    <t>2022 Payroll Support</t>
  </si>
  <si>
    <t>P-03</t>
  </si>
  <si>
    <t>Total Rate Case Expense</t>
  </si>
  <si>
    <t>Amortize over 2 years</t>
  </si>
  <si>
    <t>2023 5% wage increase for Seattle Express drivers</t>
  </si>
  <si>
    <t>Balance Sheet</t>
  </si>
  <si>
    <t>as of December 31, 2022</t>
  </si>
  <si>
    <t>ASSETS</t>
  </si>
  <si>
    <t xml:space="preserve">   Current Assets</t>
  </si>
  <si>
    <t xml:space="preserve">         10300 Sea Exp Checking (0649)</t>
  </si>
  <si>
    <t xml:space="preserve">      Total Current Assets</t>
  </si>
  <si>
    <t xml:space="preserve">   Fixed Assets</t>
  </si>
  <si>
    <t xml:space="preserve">         17400 Seattle Express Assets</t>
  </si>
  <si>
    <t xml:space="preserve">            17401 Apple Laptop (2.7.22)</t>
  </si>
  <si>
    <t xml:space="preserve">            17499 Accumulated Depreciation - Seattle Express</t>
  </si>
  <si>
    <t xml:space="preserve">         Total 17400 Seattle Express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</si>
  <si>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</si>
  <si>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</si>
  <si>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</si>
  <si>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</si>
  <si>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   21010 Sea Exp BOA CC (3849)</t>
  </si>
  <si>
    <t xml:space="preserve">            Intercompany</t>
  </si>
  <si>
    <t xml:space="preserve">            23405 Apple Laptop Financing - Seattle Express</t>
  </si>
  <si>
    <t xml:space="preserve">      Total Current Liabilities</t>
  </si>
  <si>
    <t xml:space="preserve">   Total Liabilities</t>
  </si>
  <si>
    <t xml:space="preserve">   Equity</t>
  </si>
  <si>
    <t xml:space="preserve">      33100 Retained Earnings Seattle Express</t>
  </si>
  <si>
    <t xml:space="preserve">   Total Equity</t>
  </si>
  <si>
    <t>TOTAL LIABILITIES AND EQUITY</t>
  </si>
  <si>
    <t>BUSBooks</t>
  </si>
  <si>
    <t>Kalahiki Consulting</t>
  </si>
  <si>
    <t>Company Allocations</t>
  </si>
  <si>
    <t>Seasonal Expense Allocations</t>
  </si>
  <si>
    <t>Remove Unregulated</t>
  </si>
  <si>
    <t>R-02</t>
  </si>
  <si>
    <t>41210 Earned Revenue - Seattle Express</t>
  </si>
  <si>
    <t>To remove unregulated revenue</t>
  </si>
  <si>
    <t>Current Base Fares</t>
  </si>
  <si>
    <t>Current</t>
  </si>
  <si>
    <t>Test Year</t>
  </si>
  <si>
    <t>Proposed</t>
  </si>
  <si>
    <t>Base Fares</t>
  </si>
  <si>
    <t>Difference from Test Year Revenue</t>
  </si>
  <si>
    <t>OG&amp;A (Account 64999)</t>
  </si>
  <si>
    <t>Seattle Express - Cash Basis Revenue (41200)</t>
  </si>
  <si>
    <t>Annual Total</t>
  </si>
  <si>
    <t>Fixed Facilty (65999)</t>
  </si>
  <si>
    <t>Seattle Express Wages (61199)</t>
  </si>
  <si>
    <t>April - October Payroll Booked with Seasonal Allocation Entry</t>
  </si>
  <si>
    <t>Seasonal Payroll-related Expenses</t>
  </si>
  <si>
    <t xml:space="preserve">Seattle Express Payroll-related </t>
  </si>
  <si>
    <t>Total Payroll-related Expenses (61598)</t>
  </si>
  <si>
    <t>Bus Lease Expense</t>
  </si>
  <si>
    <t>Revenue Requirement Increase</t>
  </si>
  <si>
    <t>Edmonds - X - Sales Manager</t>
  </si>
  <si>
    <t>Seasonal Wage Allocator (from SE Allocations)</t>
  </si>
  <si>
    <t>Allocated Driver Wages</t>
  </si>
  <si>
    <t>Support Information</t>
  </si>
  <si>
    <t>To amortize rate case expenses over two years</t>
  </si>
  <si>
    <t>Revenue - Cash Basis &amp; Earned Revenue</t>
  </si>
  <si>
    <t>NOTE:</t>
  </si>
  <si>
    <t>2022 Bookings (Passengers &amp; Earned Revenue)</t>
  </si>
  <si>
    <t>Seattle Express keeps its books on a cash basis, but customers purchase tickets throughout the year for future dates (sometimes for the following year).  Transportation revenue represents the total booked cash-basis revenue for passenger trips for the test period.  Earned revenue represents the reservation revenue from the test period, of which $101,145.86 was for reservations outside the 2022 test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</si>
</sst>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;[Red]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2"/>
      <color indexed="8"/>
      <name val="Calibri"/>
      <family val="2"/>
    </font>
    <font>
      <b/>
      <u/>
      <sz val="11"/>
      <name val="Calibri"/>
      <family val="2"/>
      <scheme val="minor"/>
    </font>
    <font>
      <sz val="11"/>
      <color theme="1"/>
      <name val="Bookman Old Style"/>
      <family val="2"/>
    </font>
    <font>
      <sz val="10"/>
      <color indexed="8"/>
      <name val="Helvetica Neue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20"/>
      <color rgb="FFFFFFCC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rgb="FF0066FF"/>
        <bgColor indexed="64"/>
      </patternFill>
    </fill>
    <fill>
      <patternFill patternType="gray0625">
        <fgColor theme="4"/>
      </patternFill>
    </fill>
    <fill>
      <patternFill patternType="gray0625">
        <fgColor theme="4"/>
        <bgColor theme="0" tint="-4.9989318521683403E-2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9" fontId="16" fillId="0" borderId="0" applyFont="0" applyFill="0" applyBorder="0" applyAlignment="0" applyProtection="0"/>
    <xf numFmtId="0" fontId="17" fillId="0" borderId="0" applyNumberFormat="0" applyFill="0" applyBorder="0" applyProtection="0">
      <alignment vertical="top" wrapText="1"/>
    </xf>
    <xf numFmtId="0" fontId="1" fillId="0" borderId="0"/>
    <xf numFmtId="43" fontId="7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3" applyFont="1"/>
    <xf numFmtId="0" fontId="5" fillId="0" borderId="0" xfId="3" applyFont="1"/>
    <xf numFmtId="0" fontId="6" fillId="2" borderId="0" xfId="3" applyFont="1" applyFill="1" applyAlignment="1">
      <alignment horizontal="left"/>
    </xf>
    <xf numFmtId="0" fontId="7" fillId="0" borderId="0" xfId="3" applyFont="1" applyAlignment="1">
      <alignment horizontal="left" indent="1"/>
    </xf>
    <xf numFmtId="0" fontId="6" fillId="0" borderId="0" xfId="3" applyFont="1" applyAlignment="1">
      <alignment horizontal="left"/>
    </xf>
    <xf numFmtId="0" fontId="2" fillId="2" borderId="0" xfId="1" applyNumberFormat="1" applyFont="1" applyFill="1" applyAlignment="1">
      <alignment horizontal="left"/>
    </xf>
    <xf numFmtId="0" fontId="0" fillId="0" borderId="0" xfId="0" applyAlignment="1">
      <alignment horizontal="left" indent="1"/>
    </xf>
    <xf numFmtId="0" fontId="0" fillId="0" borderId="0" xfId="1" applyNumberFormat="1" applyFont="1" applyAlignment="1">
      <alignment horizontal="left" indent="1"/>
    </xf>
    <xf numFmtId="0" fontId="2" fillId="0" borderId="0" xfId="1" applyNumberFormat="1" applyFont="1"/>
    <xf numFmtId="0" fontId="7" fillId="0" borderId="0" xfId="4" applyAlignment="1">
      <alignment horizontal="left" wrapText="1" indent="1"/>
    </xf>
    <xf numFmtId="0" fontId="7" fillId="0" borderId="0" xfId="3" applyFont="1" applyAlignment="1">
      <alignment horizontal="left"/>
    </xf>
    <xf numFmtId="43" fontId="0" fillId="0" borderId="0" xfId="1" applyFont="1"/>
    <xf numFmtId="164" fontId="0" fillId="0" borderId="0" xfId="1" applyNumberFormat="1" applyFont="1"/>
    <xf numFmtId="164" fontId="2" fillId="0" borderId="0" xfId="1" applyNumberFormat="1" applyFont="1" applyAlignment="1">
      <alignment horizontal="center"/>
    </xf>
    <xf numFmtId="164" fontId="0" fillId="2" borderId="0" xfId="1" applyNumberFormat="1" applyFont="1" applyFill="1"/>
    <xf numFmtId="165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1" fillId="0" borderId="0" xfId="1" applyNumberFormat="1" applyFont="1"/>
    <xf numFmtId="164" fontId="1" fillId="0" borderId="2" xfId="1" applyNumberFormat="1" applyFont="1" applyBorder="1"/>
    <xf numFmtId="164" fontId="1" fillId="0" borderId="0" xfId="1" applyNumberFormat="1" applyFont="1" applyBorder="1"/>
    <xf numFmtId="0" fontId="2" fillId="0" borderId="0" xfId="0" applyFont="1"/>
    <xf numFmtId="164" fontId="0" fillId="0" borderId="1" xfId="1" applyNumberFormat="1" applyFont="1" applyBorder="1"/>
    <xf numFmtId="164" fontId="2" fillId="0" borderId="1" xfId="1" applyNumberFormat="1" applyFont="1" applyBorder="1"/>
    <xf numFmtId="0" fontId="0" fillId="0" borderId="0" xfId="0" applyAlignment="1">
      <alignment horizontal="left"/>
    </xf>
    <xf numFmtId="164" fontId="2" fillId="2" borderId="3" xfId="1" applyNumberFormat="1" applyFont="1" applyFill="1" applyBorder="1"/>
    <xf numFmtId="0" fontId="1" fillId="0" borderId="0" xfId="5"/>
    <xf numFmtId="0" fontId="2" fillId="0" borderId="0" xfId="5" applyFont="1" applyAlignment="1">
      <alignment horizontal="center"/>
    </xf>
    <xf numFmtId="0" fontId="2" fillId="2" borderId="0" xfId="5" applyFont="1" applyFill="1"/>
    <xf numFmtId="43" fontId="0" fillId="2" borderId="0" xfId="6" applyFont="1" applyFill="1"/>
    <xf numFmtId="0" fontId="1" fillId="2" borderId="0" xfId="5" applyFill="1"/>
    <xf numFmtId="164" fontId="1" fillId="0" borderId="0" xfId="1" applyNumberFormat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164" fontId="1" fillId="2" borderId="0" xfId="1" applyNumberFormat="1" applyFill="1"/>
    <xf numFmtId="0" fontId="2" fillId="0" borderId="0" xfId="5" applyFont="1"/>
    <xf numFmtId="43" fontId="1" fillId="2" borderId="0" xfId="5" applyNumberFormat="1" applyFill="1"/>
    <xf numFmtId="10" fontId="0" fillId="0" borderId="0" xfId="2" applyNumberFormat="1" applyFont="1"/>
    <xf numFmtId="164" fontId="0" fillId="0" borderId="2" xfId="1" applyNumberFormat="1" applyFont="1" applyBorder="1"/>
    <xf numFmtId="0" fontId="7" fillId="0" borderId="0" xfId="4" applyAlignment="1">
      <alignment horizontal="left"/>
    </xf>
    <xf numFmtId="0" fontId="7" fillId="0" borderId="0" xfId="4"/>
    <xf numFmtId="0" fontId="1" fillId="0" borderId="0" xfId="10" applyAlignment="1">
      <alignment horizontal="left"/>
    </xf>
    <xf numFmtId="0" fontId="6" fillId="0" borderId="0" xfId="4" applyFont="1" applyAlignment="1">
      <alignment horizontal="left"/>
    </xf>
    <xf numFmtId="10" fontId="2" fillId="0" borderId="0" xfId="11" applyNumberFormat="1" applyFont="1" applyAlignment="1">
      <alignment horizontal="left"/>
    </xf>
    <xf numFmtId="10" fontId="1" fillId="0" borderId="0" xfId="11" applyNumberFormat="1" applyAlignment="1">
      <alignment horizontal="left"/>
    </xf>
    <xf numFmtId="0" fontId="10" fillId="0" borderId="0" xfId="12" applyFont="1" applyAlignment="1">
      <alignment horizontal="center"/>
    </xf>
    <xf numFmtId="3" fontId="12" fillId="0" borderId="0" xfId="13" applyNumberFormat="1" applyFont="1" applyAlignment="1">
      <alignment horizontal="centerContinuous"/>
    </xf>
    <xf numFmtId="3" fontId="10" fillId="0" borderId="0" xfId="13" applyNumberFormat="1" applyFont="1" applyAlignment="1">
      <alignment horizontal="centerContinuous"/>
    </xf>
    <xf numFmtId="3" fontId="10" fillId="0" borderId="0" xfId="13" applyNumberFormat="1" applyFont="1"/>
    <xf numFmtId="0" fontId="9" fillId="0" borderId="0" xfId="12"/>
    <xf numFmtId="3" fontId="13" fillId="0" borderId="0" xfId="13" applyNumberFormat="1" applyFont="1"/>
    <xf numFmtId="3" fontId="13" fillId="0" borderId="0" xfId="13" applyNumberFormat="1" applyFont="1" applyAlignment="1">
      <alignment horizontal="left"/>
    </xf>
    <xf numFmtId="3" fontId="10" fillId="0" borderId="0" xfId="13" applyNumberFormat="1" applyFont="1" applyAlignment="1">
      <alignment horizontal="center"/>
    </xf>
    <xf numFmtId="1" fontId="13" fillId="0" borderId="0" xfId="13" applyNumberFormat="1" applyFont="1"/>
    <xf numFmtId="3" fontId="12" fillId="0" borderId="0" xfId="13" applyNumberFormat="1" applyFont="1" applyAlignment="1">
      <alignment horizontal="center"/>
    </xf>
    <xf numFmtId="3" fontId="10" fillId="0" borderId="0" xfId="13" applyNumberFormat="1" applyFont="1" applyAlignment="1">
      <alignment horizontal="left"/>
    </xf>
    <xf numFmtId="3" fontId="12" fillId="0" borderId="0" xfId="13" applyNumberFormat="1" applyFont="1"/>
    <xf numFmtId="0" fontId="12" fillId="0" borderId="0" xfId="12" applyFont="1" applyAlignment="1">
      <alignment horizontal="center"/>
    </xf>
    <xf numFmtId="43" fontId="12" fillId="0" borderId="0" xfId="14" applyFont="1" applyAlignment="1">
      <alignment horizontal="left" indent="1"/>
    </xf>
    <xf numFmtId="14" fontId="12" fillId="0" borderId="0" xfId="13" quotePrefix="1" applyNumberFormat="1" applyFont="1" applyAlignment="1">
      <alignment horizontal="center"/>
    </xf>
    <xf numFmtId="14" fontId="12" fillId="0" borderId="0" xfId="13" applyNumberFormat="1" applyFont="1" applyAlignment="1">
      <alignment horizontal="center"/>
    </xf>
    <xf numFmtId="3" fontId="15" fillId="0" borderId="0" xfId="13" applyNumberFormat="1" applyFont="1" applyAlignment="1">
      <alignment horizontal="left"/>
    </xf>
    <xf numFmtId="1" fontId="10" fillId="0" borderId="0" xfId="13" applyNumberFormat="1" applyFont="1" applyAlignment="1">
      <alignment horizontal="center"/>
    </xf>
    <xf numFmtId="1" fontId="10" fillId="0" borderId="0" xfId="13" applyNumberFormat="1" applyFont="1"/>
    <xf numFmtId="4" fontId="10" fillId="0" borderId="0" xfId="13" applyNumberFormat="1" applyFont="1"/>
    <xf numFmtId="0" fontId="10" fillId="0" borderId="0" xfId="12" applyFont="1"/>
    <xf numFmtId="9" fontId="10" fillId="0" borderId="0" xfId="12" applyNumberFormat="1" applyFont="1"/>
    <xf numFmtId="164" fontId="10" fillId="0" borderId="0" xfId="14" applyNumberFormat="1" applyFont="1"/>
    <xf numFmtId="9" fontId="10" fillId="0" borderId="0" xfId="15" applyFont="1" applyFill="1"/>
    <xf numFmtId="166" fontId="10" fillId="0" borderId="0" xfId="12" applyNumberFormat="1" applyFont="1"/>
    <xf numFmtId="0" fontId="2" fillId="0" borderId="0" xfId="12" applyFont="1" applyAlignment="1">
      <alignment horizontal="center"/>
    </xf>
    <xf numFmtId="0" fontId="2" fillId="0" borderId="0" xfId="12" applyFont="1"/>
    <xf numFmtId="14" fontId="2" fillId="0" borderId="0" xfId="12" applyNumberFormat="1" applyFont="1"/>
    <xf numFmtId="164" fontId="2" fillId="0" borderId="1" xfId="14" applyNumberFormat="1" applyFont="1" applyBorder="1"/>
    <xf numFmtId="164" fontId="2" fillId="0" borderId="0" xfId="14" applyNumberFormat="1" applyFont="1"/>
    <xf numFmtId="3" fontId="2" fillId="0" borderId="0" xfId="12" applyNumberFormat="1" applyFont="1"/>
    <xf numFmtId="166" fontId="12" fillId="0" borderId="0" xfId="12" applyNumberFormat="1" applyFont="1"/>
    <xf numFmtId="14" fontId="10" fillId="0" borderId="0" xfId="12" applyNumberFormat="1" applyFont="1"/>
    <xf numFmtId="43" fontId="10" fillId="0" borderId="0" xfId="1" applyFont="1"/>
    <xf numFmtId="43" fontId="12" fillId="0" borderId="1" xfId="1" applyFont="1" applyBorder="1"/>
    <xf numFmtId="0" fontId="12" fillId="0" borderId="0" xfId="12" applyFont="1"/>
    <xf numFmtId="0" fontId="9" fillId="0" borderId="0" xfId="12" applyAlignment="1">
      <alignment horizontal="center"/>
    </xf>
    <xf numFmtId="43" fontId="10" fillId="0" borderId="0" xfId="12" applyNumberFormat="1" applyFont="1"/>
    <xf numFmtId="43" fontId="0" fillId="0" borderId="0" xfId="0" applyNumberFormat="1"/>
    <xf numFmtId="44" fontId="0" fillId="0" borderId="0" xfId="0" applyNumberFormat="1"/>
    <xf numFmtId="164" fontId="0" fillId="0" borderId="0" xfId="1" applyNumberFormat="1" applyFont="1" applyBorder="1"/>
    <xf numFmtId="0" fontId="2" fillId="0" borderId="0" xfId="0" applyFont="1" applyAlignment="1">
      <alignment horizontal="left"/>
    </xf>
    <xf numFmtId="44" fontId="2" fillId="0" borderId="4" xfId="0" applyNumberFormat="1" applyFont="1" applyBorder="1"/>
    <xf numFmtId="10" fontId="0" fillId="0" borderId="0" xfId="1" applyNumberFormat="1" applyFont="1"/>
    <xf numFmtId="44" fontId="0" fillId="0" borderId="3" xfId="0" applyNumberFormat="1" applyBorder="1"/>
    <xf numFmtId="0" fontId="0" fillId="0" borderId="0" xfId="0" applyAlignment="1">
      <alignment horizontal="center"/>
    </xf>
    <xf numFmtId="0" fontId="2" fillId="0" borderId="0" xfId="16" applyFont="1"/>
    <xf numFmtId="0" fontId="1" fillId="0" borderId="0" xfId="16" applyFont="1"/>
    <xf numFmtId="43" fontId="0" fillId="0" borderId="4" xfId="1" applyFont="1" applyBorder="1"/>
    <xf numFmtId="44" fontId="0" fillId="0" borderId="0" xfId="17" applyFont="1" applyFill="1"/>
    <xf numFmtId="10" fontId="0" fillId="0" borderId="0" xfId="2" applyNumberFormat="1" applyFont="1" applyAlignment="1">
      <alignment horizontal="center"/>
    </xf>
    <xf numFmtId="164" fontId="0" fillId="0" borderId="0" xfId="0" applyNumberFormat="1"/>
    <xf numFmtId="0" fontId="18" fillId="0" borderId="0" xfId="0" applyFont="1"/>
    <xf numFmtId="0" fontId="8" fillId="0" borderId="0" xfId="0" applyFont="1"/>
    <xf numFmtId="0" fontId="0" fillId="0" borderId="0" xfId="0" applyAlignment="1">
      <alignment horizontal="left" indent="2"/>
    </xf>
    <xf numFmtId="0" fontId="1" fillId="0" borderId="0" xfId="5" applyAlignment="1">
      <alignment horizontal="left" indent="1"/>
    </xf>
    <xf numFmtId="10" fontId="1" fillId="0" borderId="0" xfId="2" applyNumberFormat="1" applyFont="1"/>
    <xf numFmtId="0" fontId="1" fillId="0" borderId="0" xfId="3" applyFont="1" applyAlignment="1">
      <alignment horizontal="center"/>
    </xf>
    <xf numFmtId="9" fontId="0" fillId="0" borderId="0" xfId="2" applyFont="1"/>
    <xf numFmtId="0" fontId="1" fillId="0" borderId="0" xfId="0" applyFont="1"/>
    <xf numFmtId="9" fontId="0" fillId="0" borderId="1" xfId="2" applyFont="1" applyBorder="1"/>
    <xf numFmtId="9" fontId="0" fillId="0" borderId="0" xfId="2" applyFont="1" applyBorder="1"/>
    <xf numFmtId="164" fontId="0" fillId="0" borderId="3" xfId="1" applyNumberFormat="1" applyFont="1" applyBorder="1"/>
    <xf numFmtId="43" fontId="0" fillId="0" borderId="0" xfId="18" applyFont="1"/>
    <xf numFmtId="43" fontId="0" fillId="0" borderId="0" xfId="18" applyFont="1" applyFill="1"/>
    <xf numFmtId="43" fontId="0" fillId="0" borderId="0" xfId="18" quotePrefix="1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1" xfId="18" applyFont="1" applyBorder="1"/>
    <xf numFmtId="43" fontId="0" fillId="2" borderId="0" xfId="18" applyFont="1" applyFill="1"/>
    <xf numFmtId="43" fontId="0" fillId="2" borderId="0" xfId="0" applyNumberFormat="1" applyFill="1"/>
    <xf numFmtId="43" fontId="0" fillId="5" borderId="0" xfId="18" applyFont="1" applyFill="1"/>
    <xf numFmtId="43" fontId="0" fillId="3" borderId="0" xfId="0" applyNumberFormat="1" applyFill="1"/>
    <xf numFmtId="43" fontId="0" fillId="3" borderId="0" xfId="18" applyFont="1" applyFill="1"/>
    <xf numFmtId="43" fontId="2" fillId="0" borderId="0" xfId="18" applyFont="1" applyFill="1"/>
    <xf numFmtId="43" fontId="8" fillId="0" borderId="0" xfId="18" applyFont="1" applyAlignment="1"/>
    <xf numFmtId="43" fontId="2" fillId="0" borderId="0" xfId="1" applyFont="1" applyFill="1"/>
    <xf numFmtId="43" fontId="0" fillId="0" borderId="0" xfId="18" applyFont="1" applyAlignment="1"/>
    <xf numFmtId="43" fontId="0" fillId="0" borderId="0" xfId="1" applyFont="1" applyFill="1" applyAlignment="1">
      <alignment horizontal="left"/>
    </xf>
    <xf numFmtId="43" fontId="2" fillId="0" borderId="0" xfId="1" applyFont="1"/>
    <xf numFmtId="43" fontId="0" fillId="0" borderId="0" xfId="1" applyFont="1" applyAlignment="1">
      <alignment horizontal="left"/>
    </xf>
    <xf numFmtId="43" fontId="0" fillId="2" borderId="0" xfId="1" applyFont="1" applyFill="1" applyAlignment="1">
      <alignment horizontal="left"/>
    </xf>
    <xf numFmtId="43" fontId="0" fillId="5" borderId="0" xfId="1" applyFont="1" applyFill="1" applyAlignment="1">
      <alignment horizontal="left"/>
    </xf>
    <xf numFmtId="43" fontId="0" fillId="3" borderId="0" xfId="1" applyFont="1" applyFill="1" applyAlignment="1">
      <alignment horizontal="left"/>
    </xf>
    <xf numFmtId="43" fontId="2" fillId="0" borderId="0" xfId="1" applyFont="1" applyAlignment="1">
      <alignment horizontal="left"/>
    </xf>
    <xf numFmtId="43" fontId="2" fillId="4" borderId="0" xfId="0" applyNumberFormat="1" applyFont="1" applyFill="1"/>
    <xf numFmtId="0" fontId="2" fillId="4" borderId="0" xfId="0" applyFont="1" applyFill="1" applyAlignment="1">
      <alignment horizontal="right"/>
    </xf>
    <xf numFmtId="164" fontId="7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left"/>
    </xf>
    <xf numFmtId="164" fontId="1" fillId="0" borderId="0" xfId="1" applyNumberFormat="1" applyAlignment="1">
      <alignment horizontal="left"/>
    </xf>
    <xf numFmtId="43" fontId="2" fillId="0" borderId="0" xfId="0" applyNumberFormat="1" applyFont="1"/>
    <xf numFmtId="10" fontId="0" fillId="0" borderId="0" xfId="0" applyNumberFormat="1"/>
    <xf numFmtId="164" fontId="2" fillId="0" borderId="0" xfId="0" applyNumberFormat="1" applyFont="1"/>
    <xf numFmtId="43" fontId="2" fillId="0" borderId="1" xfId="0" applyNumberFormat="1" applyFont="1" applyBorder="1"/>
    <xf numFmtId="0" fontId="18" fillId="0" borderId="0" xfId="16" applyFont="1"/>
    <xf numFmtId="0" fontId="8" fillId="0" borderId="0" xfId="16" applyFont="1"/>
    <xf numFmtId="0" fontId="4" fillId="0" borderId="0" xfId="8" applyFont="1"/>
    <xf numFmtId="0" fontId="8" fillId="0" borderId="0" xfId="9" applyNumberFormat="1" applyFont="1" applyAlignment="1"/>
    <xf numFmtId="0" fontId="1" fillId="0" borderId="0" xfId="10"/>
    <xf numFmtId="43" fontId="0" fillId="0" borderId="1" xfId="1" applyFont="1" applyBorder="1"/>
    <xf numFmtId="43" fontId="0" fillId="0" borderId="0" xfId="1" applyFont="1" applyBorder="1"/>
    <xf numFmtId="0" fontId="3" fillId="0" borderId="0" xfId="3"/>
    <xf numFmtId="43" fontId="0" fillId="0" borderId="1" xfId="0" applyNumberFormat="1" applyBorder="1"/>
    <xf numFmtId="43" fontId="21" fillId="0" borderId="0" xfId="18" applyFont="1" applyAlignment="1"/>
    <xf numFmtId="43" fontId="2" fillId="2" borderId="0" xfId="1" applyFont="1" applyFill="1"/>
    <xf numFmtId="9" fontId="2" fillId="2" borderId="0" xfId="0" applyNumberFormat="1" applyFont="1" applyFill="1" applyAlignment="1">
      <alignment horizontal="center"/>
    </xf>
    <xf numFmtId="0" fontId="0" fillId="2" borderId="0" xfId="0" applyFill="1"/>
    <xf numFmtId="0" fontId="2" fillId="4" borderId="0" xfId="0" applyFont="1" applyFill="1"/>
    <xf numFmtId="0" fontId="4" fillId="0" borderId="0" xfId="21" applyFont="1"/>
    <xf numFmtId="0" fontId="7" fillId="0" borderId="0" xfId="21"/>
    <xf numFmtId="0" fontId="5" fillId="0" borderId="0" xfId="21" applyFont="1"/>
    <xf numFmtId="0" fontId="7" fillId="0" borderId="0" xfId="21" applyAlignment="1">
      <alignment wrapText="1"/>
    </xf>
    <xf numFmtId="0" fontId="7" fillId="0" borderId="0" xfId="21" applyAlignment="1">
      <alignment horizontal="left" wrapText="1"/>
    </xf>
    <xf numFmtId="43" fontId="0" fillId="0" borderId="4" xfId="25" applyFont="1" applyBorder="1"/>
    <xf numFmtId="43" fontId="7" fillId="0" borderId="0" xfId="21" applyNumberFormat="1"/>
    <xf numFmtId="43" fontId="7" fillId="0" borderId="4" xfId="21" applyNumberFormat="1" applyBorder="1"/>
    <xf numFmtId="43" fontId="7" fillId="0" borderId="3" xfId="21" applyNumberFormat="1" applyBorder="1"/>
    <xf numFmtId="43" fontId="7" fillId="0" borderId="2" xfId="21" applyNumberFormat="1" applyBorder="1"/>
    <xf numFmtId="164" fontId="2" fillId="4" borderId="0" xfId="1" applyNumberFormat="1" applyFont="1" applyFill="1"/>
    <xf numFmtId="0" fontId="0" fillId="6" borderId="0" xfId="0" applyFill="1"/>
    <xf numFmtId="0" fontId="22" fillId="6" borderId="0" xfId="0" applyFont="1" applyFill="1"/>
    <xf numFmtId="0" fontId="0" fillId="0" borderId="0" xfId="16" applyFont="1" applyAlignment="1">
      <alignment horizontal="left" indent="1"/>
    </xf>
    <xf numFmtId="43" fontId="3" fillId="0" borderId="0" xfId="1" applyFont="1"/>
    <xf numFmtId="0" fontId="2" fillId="0" borderId="0" xfId="3" applyFont="1"/>
    <xf numFmtId="43" fontId="1" fillId="0" borderId="0" xfId="1" applyFont="1"/>
    <xf numFmtId="0" fontId="1" fillId="0" borderId="0" xfId="3" applyFont="1"/>
    <xf numFmtId="164" fontId="1" fillId="0" borderId="0" xfId="18" applyNumberFormat="1" applyFont="1"/>
    <xf numFmtId="164" fontId="2" fillId="0" borderId="1" xfId="3" applyNumberFormat="1" applyFont="1" applyBorder="1"/>
    <xf numFmtId="164" fontId="2" fillId="4" borderId="1" xfId="3" applyNumberFormat="1" applyFont="1" applyFill="1" applyBorder="1"/>
    <xf numFmtId="43" fontId="2" fillId="4" borderId="0" xfId="1" applyFont="1" applyFill="1"/>
    <xf numFmtId="43" fontId="2" fillId="0" borderId="0" xfId="1" applyFont="1" applyFill="1" applyAlignment="1">
      <alignment horizontal="center"/>
    </xf>
    <xf numFmtId="44" fontId="2" fillId="0" borderId="0" xfId="0" applyNumberFormat="1" applyFont="1"/>
    <xf numFmtId="0" fontId="2" fillId="3" borderId="0" xfId="0" applyFont="1" applyFill="1"/>
    <xf numFmtId="0" fontId="2" fillId="2" borderId="0" xfId="0" applyFont="1" applyFill="1"/>
    <xf numFmtId="43" fontId="2" fillId="2" borderId="0" xfId="0" applyNumberFormat="1" applyFont="1" applyFill="1"/>
    <xf numFmtId="43" fontId="0" fillId="8" borderId="0" xfId="0" applyNumberFormat="1" applyFill="1"/>
    <xf numFmtId="43" fontId="2" fillId="2" borderId="1" xfId="0" applyNumberFormat="1" applyFont="1" applyFill="1" applyBorder="1"/>
    <xf numFmtId="43" fontId="2" fillId="8" borderId="1" xfId="0" applyNumberFormat="1" applyFont="1" applyFill="1" applyBorder="1"/>
    <xf numFmtId="0" fontId="7" fillId="0" borderId="0" xfId="4" applyAlignment="1">
      <alignment horizontal="center"/>
    </xf>
    <xf numFmtId="9" fontId="0" fillId="0" borderId="0" xfId="0" applyNumberFormat="1"/>
    <xf numFmtId="43" fontId="2" fillId="0" borderId="0" xfId="1" applyFont="1" applyBorder="1"/>
    <xf numFmtId="0" fontId="4" fillId="0" borderId="0" xfId="8" applyFont="1" applyAlignment="1">
      <alignment horizontal="left"/>
    </xf>
    <xf numFmtId="0" fontId="8" fillId="0" borderId="0" xfId="9" applyNumberFormat="1" applyFont="1" applyAlignment="1">
      <alignment horizontal="left"/>
    </xf>
    <xf numFmtId="0" fontId="1" fillId="0" borderId="0" xfId="10" applyAlignment="1">
      <alignment horizontal="left"/>
    </xf>
    <xf numFmtId="3" fontId="13" fillId="0" borderId="0" xfId="13" applyNumberFormat="1" applyFont="1" applyAlignment="1">
      <alignment horizontal="left"/>
    </xf>
    <xf numFmtId="0" fontId="0" fillId="0" borderId="0" xfId="0" applyAlignment="1">
      <alignment horizontal="left"/>
    </xf>
    <xf numFmtId="0" fontId="2" fillId="7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24" fillId="0" borderId="0" xfId="0" applyFont="1"/>
  </cellXfs>
  <cellStyles count="26">
    <cellStyle name="Comma" xfId="1" builtinId="3"/>
    <cellStyle name="Comma 2" xfId="6" xr:uid="{1F8A332D-1A2B-4D4D-8751-848F18739429}"/>
    <cellStyle name="Comma 2 2" xfId="14" xr:uid="{98642B1A-F5FD-4295-BD76-18796D51BE45}"/>
    <cellStyle name="Comma 2 2 3" xfId="9" xr:uid="{EF642802-34DF-4C83-8DFC-58D57D19AA36}"/>
    <cellStyle name="Comma 3" xfId="18" xr:uid="{FFFD6598-8FD6-47F4-88C8-CB29CFD0202F}"/>
    <cellStyle name="Comma 4" xfId="25" xr:uid="{0535383C-E39E-4769-A4D7-BCA953978ED2}"/>
    <cellStyle name="Currency 2" xfId="17" xr:uid="{CC242A56-F895-48B1-8EC9-27ACCEF9018C}"/>
    <cellStyle name="Currency 3" xfId="19" xr:uid="{900B4D0A-07D5-463F-A207-2CD47F568AAE}"/>
    <cellStyle name="Normal" xfId="0" builtinId="0"/>
    <cellStyle name="Normal 2" xfId="3" xr:uid="{0A3EBDE8-EF1D-4686-9270-BBF561D7C100}"/>
    <cellStyle name="Normal 2 2" xfId="5" xr:uid="{329D864A-AC8F-478E-BACB-7F27BD1DA475}"/>
    <cellStyle name="Normal 2 2 2" xfId="10" xr:uid="{A42CAEB7-EC4C-44BB-9AB3-C26090639E4B}"/>
    <cellStyle name="Normal 2 2 3" xfId="8" xr:uid="{47C74336-DCAD-45BB-BBD5-94349AC4CFA0}"/>
    <cellStyle name="Normal 2 3" xfId="12" xr:uid="{1D76868F-C620-46A2-9D09-37EF5A386AB4}"/>
    <cellStyle name="Normal 2 4" xfId="21" xr:uid="{4C9A1CA6-AE00-4DB9-AF19-9EF0C71DBB0E}"/>
    <cellStyle name="Normal 3" xfId="4" xr:uid="{EDE0074B-A8D4-47DE-83A1-DF505109C2CF}"/>
    <cellStyle name="Normal 3 2" xfId="24" xr:uid="{EEFDB2EE-4078-414A-A698-C85E79140B5A}"/>
    <cellStyle name="Normal 3 3" xfId="16" xr:uid="{DC2D36BF-C180-4B9E-8A02-182257A51463}"/>
    <cellStyle name="Normal 4" xfId="23" xr:uid="{360D52C4-EC31-44DD-9342-FDABB7226F47}"/>
    <cellStyle name="Normal_Sheet2" xfId="13" xr:uid="{2E721477-3B85-40AF-836B-1A71123DA867}"/>
    <cellStyle name="Percent" xfId="2" builtinId="5"/>
    <cellStyle name="Percent 2" xfId="7" xr:uid="{524EF806-025B-4520-9D42-E4A16F597337}"/>
    <cellStyle name="Percent 2 2" xfId="15" xr:uid="{704758A8-717F-4FCE-9DC1-31B019E25F17}"/>
    <cellStyle name="Percent 2 3" xfId="22" xr:uid="{0C6FD814-1BE0-410F-B03B-CBD6532E2278}"/>
    <cellStyle name="Percent 3" xfId="20" xr:uid="{6880E311-A5CA-45E6-9196-1AB4FB3BA33F}"/>
    <cellStyle name="Percent 3 2" xfId="11" xr:uid="{327C9017-5588-4BF8-8394-BFE7397A82F1}"/>
  </cellStyles>
  <dxfs count="0"/>
  <tableStyles count="0" defaultTableStyle="TableStyleMedium2" defaultPivotStyle="PivotStyleLight16"/>
  <colors>
    <mruColors>
      <color rgb="FF0000FF"/>
      <color rgb="FFFF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18</xdr:row>
      <xdr:rowOff>28575</xdr:rowOff>
    </xdr:from>
    <xdr:to>
      <xdr:col>14</xdr:col>
      <xdr:colOff>428625</xdr:colOff>
      <xdr:row>21</xdr:row>
      <xdr:rowOff>9525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962650" y="3457575"/>
          <a:ext cx="3000375" cy="695325"/>
        </a:xfrm>
        <a:prstGeom prst="rightArrow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90</xdr:row>
          <xdr:rowOff>142875</xdr:rowOff>
        </xdr:from>
        <xdr:to>
          <xdr:col>8</xdr:col>
          <xdr:colOff>200025</xdr:colOff>
          <xdr:row>138</xdr:row>
          <xdr:rowOff>114300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9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0852A-4520-43E0-BB9D-1DC163E0D865}">
  <sheetPr>
    <pageSetUpPr fitToPage="1"/>
  </sheetPr>
  <dimension ref="B1:C28"/>
  <sheetViews>
    <sheetView workbookViewId="0">
      <selection activeCell="B2" sqref="B2"/>
    </sheetView>
  </sheetViews>
  <sheetFormatPr defaultRowHeight="15"/>
  <cols>
    <col min="1" max="1" width="2.7109375" style="155" customWidth="1"/>
    <col min="2" max="2" width="51.42578125" style="155" bestFit="1" customWidth="1"/>
    <col min="3" max="3" width="12.28515625" style="155" bestFit="1" customWidth="1"/>
    <col min="4" max="16384" width="9.140625" style="155"/>
  </cols>
  <sheetData>
    <row r="1" spans="2:3" ht="18.75">
      <c r="B1" s="154" t="s">
        <v>106</v>
      </c>
    </row>
    <row r="2" spans="2:3" ht="15.75">
      <c r="B2" s="156" t="s">
        <v>340</v>
      </c>
    </row>
    <row r="3" spans="2:3">
      <c r="B3" s="155" t="s">
        <v>341</v>
      </c>
    </row>
    <row r="5" spans="2:3">
      <c r="B5" s="157"/>
    </row>
    <row r="6" spans="2:3">
      <c r="B6" s="158" t="s">
        <v>342</v>
      </c>
    </row>
    <row r="7" spans="2:3">
      <c r="B7" s="158" t="s">
        <v>343</v>
      </c>
    </row>
    <row r="8" spans="2:3">
      <c r="B8" s="158" t="s">
        <v>344</v>
      </c>
      <c r="C8" s="159">
        <v>3209.42</v>
      </c>
    </row>
    <row r="9" spans="2:3">
      <c r="B9" s="158" t="s">
        <v>345</v>
      </c>
      <c r="C9" s="159">
        <v>3209.42</v>
      </c>
    </row>
    <row r="10" spans="2:3">
      <c r="B10" s="158" t="s">
        <v>346</v>
      </c>
      <c r="C10" s="160"/>
    </row>
    <row r="11" spans="2:3">
      <c r="B11" s="158" t="s">
        <v>347</v>
      </c>
      <c r="C11" s="160"/>
    </row>
    <row r="12" spans="2:3">
      <c r="B12" s="158" t="s">
        <v>348</v>
      </c>
      <c r="C12" s="160">
        <v>3899</v>
      </c>
    </row>
    <row r="13" spans="2:3">
      <c r="B13" s="158" t="s">
        <v>349</v>
      </c>
      <c r="C13" s="160">
        <v>-363</v>
      </c>
    </row>
    <row r="14" spans="2:3">
      <c r="B14" s="158" t="s">
        <v>350</v>
      </c>
      <c r="C14" s="161">
        <f>SUM(C12:C13)</f>
        <v>3536</v>
      </c>
    </row>
    <row r="15" spans="2:3" ht="15.75" thickBot="1">
      <c r="B15" s="158" t="s">
        <v>351</v>
      </c>
      <c r="C15" s="162">
        <f>C9+C14</f>
        <v>6745.42</v>
      </c>
    </row>
    <row r="16" spans="2:3" ht="15.75" thickTop="1">
      <c r="B16" s="158" t="s">
        <v>352</v>
      </c>
      <c r="C16" s="160"/>
    </row>
    <row r="17" spans="2:3">
      <c r="B17" s="158" t="s">
        <v>353</v>
      </c>
      <c r="C17" s="160"/>
    </row>
    <row r="18" spans="2:3">
      <c r="B18" s="158" t="s">
        <v>354</v>
      </c>
      <c r="C18" s="160"/>
    </row>
    <row r="19" spans="2:3">
      <c r="B19" s="158" t="s">
        <v>355</v>
      </c>
      <c r="C19" s="160">
        <v>23168.36</v>
      </c>
    </row>
    <row r="20" spans="2:3">
      <c r="B20" s="158" t="s">
        <v>356</v>
      </c>
      <c r="C20" s="160">
        <v>383249</v>
      </c>
    </row>
    <row r="21" spans="2:3">
      <c r="B21" s="158" t="s">
        <v>357</v>
      </c>
      <c r="C21" s="161">
        <v>649.9</v>
      </c>
    </row>
    <row r="22" spans="2:3">
      <c r="B22" s="158" t="s">
        <v>358</v>
      </c>
      <c r="C22" s="163">
        <f>SUM(C19:C21)</f>
        <v>407067.26</v>
      </c>
    </row>
    <row r="23" spans="2:3">
      <c r="B23" s="158" t="s">
        <v>359</v>
      </c>
      <c r="C23" s="160">
        <f>C22</f>
        <v>407067.26</v>
      </c>
    </row>
    <row r="24" spans="2:3">
      <c r="B24" s="158" t="s">
        <v>360</v>
      </c>
      <c r="C24" s="160"/>
    </row>
    <row r="25" spans="2:3">
      <c r="B25" s="158" t="s">
        <v>361</v>
      </c>
      <c r="C25" s="161">
        <f>-400322+0.16</f>
        <v>-400321.84</v>
      </c>
    </row>
    <row r="26" spans="2:3">
      <c r="B26" s="158" t="s">
        <v>362</v>
      </c>
      <c r="C26" s="163">
        <f>C25</f>
        <v>-400321.84</v>
      </c>
    </row>
    <row r="27" spans="2:3" ht="15.75" thickBot="1">
      <c r="B27" s="158" t="s">
        <v>363</v>
      </c>
      <c r="C27" s="162">
        <f>C23+C26</f>
        <v>6745.4199999999837</v>
      </c>
    </row>
    <row r="28" spans="2:3" ht="15.75" thickTop="1">
      <c r="B28" s="15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25CC1-0915-4FCC-9D58-4501605D07A2}">
  <sheetPr>
    <pageSetUpPr fitToPage="1"/>
  </sheetPr>
  <dimension ref="B1:Q93"/>
  <sheetViews>
    <sheetView workbookViewId="0">
      <selection activeCell="B2" sqref="B2"/>
    </sheetView>
  </sheetViews>
  <sheetFormatPr defaultRowHeight="15"/>
  <cols>
    <col min="1" max="1" width="2.7109375" customWidth="1"/>
    <col min="2" max="2" width="43.5703125" bestFit="1" customWidth="1"/>
    <col min="3" max="3" width="13.28515625" bestFit="1" customWidth="1"/>
    <col min="4" max="5" width="10.5703125" bestFit="1" customWidth="1"/>
    <col min="6" max="12" width="11.5703125" bestFit="1" customWidth="1"/>
    <col min="13" max="14" width="10.5703125" bestFit="1" customWidth="1"/>
    <col min="15" max="15" width="13.28515625" bestFit="1" customWidth="1"/>
    <col min="16" max="16" width="51.5703125" bestFit="1" customWidth="1"/>
    <col min="17" max="17" width="10.5703125" bestFit="1" customWidth="1"/>
  </cols>
  <sheetData>
    <row r="1" spans="2:16" ht="18.75">
      <c r="B1" s="1" t="s">
        <v>106</v>
      </c>
    </row>
    <row r="2" spans="2:16" ht="15.75">
      <c r="B2" s="2" t="s">
        <v>334</v>
      </c>
    </row>
    <row r="3" spans="2:16">
      <c r="B3" t="s">
        <v>201</v>
      </c>
    </row>
    <row r="6" spans="2:16">
      <c r="B6" s="150" t="s">
        <v>333</v>
      </c>
      <c r="C6" s="151">
        <v>0.05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2:16">
      <c r="B7" s="12" t="s">
        <v>294</v>
      </c>
      <c r="C7" s="84">
        <f t="shared" ref="C7:N7" si="0">C31+C33+C37+C38+C42+C43+C58+C59+C63</f>
        <v>115.55</v>
      </c>
      <c r="D7" s="84">
        <f t="shared" si="0"/>
        <v>57</v>
      </c>
      <c r="E7" s="84">
        <f t="shared" si="0"/>
        <v>0</v>
      </c>
      <c r="F7" s="84">
        <f t="shared" si="0"/>
        <v>2723.7599999999998</v>
      </c>
      <c r="G7" s="84">
        <f t="shared" si="0"/>
        <v>10031.469999999999</v>
      </c>
      <c r="H7" s="84">
        <f t="shared" si="0"/>
        <v>10211.26</v>
      </c>
      <c r="I7" s="84">
        <f t="shared" si="0"/>
        <v>17856.55</v>
      </c>
      <c r="J7" s="84">
        <f t="shared" si="0"/>
        <v>17227.89</v>
      </c>
      <c r="K7" s="84">
        <f t="shared" si="0"/>
        <v>14642.25</v>
      </c>
      <c r="L7" s="84">
        <f t="shared" si="0"/>
        <v>3126.0099999999998</v>
      </c>
      <c r="M7" s="84">
        <f t="shared" si="0"/>
        <v>0</v>
      </c>
      <c r="N7" s="84">
        <f t="shared" si="0"/>
        <v>0</v>
      </c>
      <c r="O7" s="120">
        <f>SUM(C7:N7)</f>
        <v>75991.739999999991</v>
      </c>
    </row>
    <row r="8" spans="2:16">
      <c r="B8" s="12"/>
      <c r="N8" s="132" t="s">
        <v>133</v>
      </c>
      <c r="O8" s="131">
        <f>O7*C6</f>
        <v>3799.5869999999995</v>
      </c>
      <c r="P8" s="21"/>
    </row>
    <row r="9" spans="2:16">
      <c r="B9" s="12"/>
    </row>
    <row r="10" spans="2:16">
      <c r="B10" s="12" t="s">
        <v>297</v>
      </c>
      <c r="C10" s="13">
        <f t="shared" ref="C10:N10" si="1">C23+C28+C34+C35+C36+C39+C44+C45+C46+C49+C53+C56+C57+C60+C61+C62+C68+C69+C70+C72+C76+C77+C82</f>
        <v>24732.6</v>
      </c>
      <c r="D10" s="13">
        <f t="shared" si="1"/>
        <v>42184.56</v>
      </c>
      <c r="E10" s="13">
        <f t="shared" si="1"/>
        <v>44846.15</v>
      </c>
      <c r="F10" s="13">
        <f t="shared" si="1"/>
        <v>80858.81</v>
      </c>
      <c r="G10" s="13">
        <f t="shared" si="1"/>
        <v>89796.779999999984</v>
      </c>
      <c r="H10" s="13">
        <f t="shared" si="1"/>
        <v>88555.330000000016</v>
      </c>
      <c r="I10" s="13">
        <f t="shared" si="1"/>
        <v>96582.579999999987</v>
      </c>
      <c r="J10" s="13">
        <f t="shared" si="1"/>
        <v>109138.15000000001</v>
      </c>
      <c r="K10" s="13">
        <f t="shared" si="1"/>
        <v>150023.26</v>
      </c>
      <c r="L10" s="13">
        <f t="shared" si="1"/>
        <v>86727.3</v>
      </c>
      <c r="M10" s="13">
        <f t="shared" si="1"/>
        <v>52681.49</v>
      </c>
      <c r="N10" s="13">
        <f t="shared" si="1"/>
        <v>54412.04</v>
      </c>
      <c r="O10" s="120">
        <f>SUM(C10:N10)</f>
        <v>920539.05</v>
      </c>
    </row>
    <row r="11" spans="2:16">
      <c r="B11" s="12" t="s">
        <v>390</v>
      </c>
      <c r="C11" s="13"/>
      <c r="D11" s="13"/>
      <c r="E11" s="13"/>
      <c r="F11" s="104">
        <f>'SE Allocations'!C14</f>
        <v>2.3393518395772021E-2</v>
      </c>
      <c r="G11" s="104">
        <f>'SE Allocations'!D14</f>
        <v>0.51496033563370869</v>
      </c>
      <c r="H11" s="104">
        <f>'SE Allocations'!E14</f>
        <v>0.65898343869710996</v>
      </c>
      <c r="I11" s="104">
        <f>'SE Allocations'!F14</f>
        <v>0.64870523604124297</v>
      </c>
      <c r="J11" s="104">
        <f>'SE Allocations'!G14</f>
        <v>0.57538280883927584</v>
      </c>
      <c r="K11" s="104">
        <f>'SE Allocations'!H14</f>
        <v>0.47917608925071614</v>
      </c>
      <c r="L11" s="104">
        <f>'SE Allocations'!I14</f>
        <v>9.6850867583613956E-2</v>
      </c>
      <c r="M11" s="13"/>
      <c r="N11" s="13"/>
      <c r="O11" s="120"/>
    </row>
    <row r="12" spans="2:16">
      <c r="B12" s="12" t="s">
        <v>391</v>
      </c>
      <c r="C12" s="137"/>
      <c r="F12" s="97">
        <f t="shared" ref="F12:L12" si="2">F10*F11</f>
        <v>1891.5720591952347</v>
      </c>
      <c r="G12" s="97">
        <f t="shared" si="2"/>
        <v>46241.779967626295</v>
      </c>
      <c r="H12" s="97">
        <f t="shared" si="2"/>
        <v>58356.495878357353</v>
      </c>
      <c r="I12" s="97">
        <f t="shared" si="2"/>
        <v>62653.625356372228</v>
      </c>
      <c r="J12" s="97">
        <f t="shared" si="2"/>
        <v>62796.21529852222</v>
      </c>
      <c r="K12" s="97">
        <f t="shared" si="2"/>
        <v>71887.559023443391</v>
      </c>
      <c r="L12" s="97">
        <f t="shared" si="2"/>
        <v>8399.6142481843635</v>
      </c>
      <c r="O12" s="136">
        <f>SUM(F12:L12)</f>
        <v>312226.86183170107</v>
      </c>
      <c r="P12" s="21"/>
    </row>
    <row r="13" spans="2:16">
      <c r="N13" s="132" t="s">
        <v>295</v>
      </c>
      <c r="O13" s="131">
        <f>O12*C6</f>
        <v>15611.343091585055</v>
      </c>
    </row>
    <row r="15" spans="2:16">
      <c r="B15" s="150" t="s">
        <v>335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</row>
    <row r="16" spans="2:16">
      <c r="C16" s="112">
        <v>44562</v>
      </c>
      <c r="D16" s="112">
        <v>44593</v>
      </c>
      <c r="E16" s="112">
        <v>44621</v>
      </c>
      <c r="F16" s="112">
        <v>44652</v>
      </c>
      <c r="G16" s="112">
        <v>44682</v>
      </c>
      <c r="H16" s="112">
        <v>44713</v>
      </c>
      <c r="I16" s="112">
        <v>44743</v>
      </c>
      <c r="J16" s="112">
        <v>44774</v>
      </c>
      <c r="K16" s="112">
        <v>44805</v>
      </c>
      <c r="L16" s="112">
        <v>44835</v>
      </c>
      <c r="M16" s="112">
        <v>44866</v>
      </c>
      <c r="N16" s="112">
        <v>44896</v>
      </c>
      <c r="O16" s="113" t="s">
        <v>91</v>
      </c>
    </row>
    <row r="17" spans="2:16">
      <c r="B17" s="125" t="s">
        <v>291</v>
      </c>
    </row>
    <row r="18" spans="2:16">
      <c r="B18" s="126" t="s">
        <v>224</v>
      </c>
      <c r="C18" s="109">
        <v>1382.6999999999998</v>
      </c>
      <c r="D18" s="109">
        <v>1503.7</v>
      </c>
      <c r="E18" s="109">
        <v>1264.26</v>
      </c>
      <c r="F18" s="109">
        <v>3063.87</v>
      </c>
      <c r="G18" s="109">
        <v>1816.83</v>
      </c>
      <c r="H18" s="109">
        <v>2170.67</v>
      </c>
      <c r="I18" s="109">
        <v>2424.7600000000002</v>
      </c>
      <c r="J18" s="109">
        <v>2265.2600000000002</v>
      </c>
      <c r="K18" s="109">
        <v>2643.85</v>
      </c>
      <c r="L18" s="109">
        <v>2427.08</v>
      </c>
      <c r="M18" s="109">
        <v>2011.6799999999998</v>
      </c>
      <c r="N18" s="109">
        <v>1924.18</v>
      </c>
      <c r="O18" s="84">
        <f>SUM(C18:N18)</f>
        <v>24898.840000000004</v>
      </c>
    </row>
    <row r="19" spans="2:16">
      <c r="B19" s="126" t="s">
        <v>225</v>
      </c>
      <c r="C19" s="109">
        <v>3601.38</v>
      </c>
      <c r="D19" s="109">
        <v>3207.61</v>
      </c>
      <c r="E19" s="109">
        <v>0</v>
      </c>
      <c r="F19" s="109"/>
      <c r="G19" s="109"/>
      <c r="H19" s="109"/>
      <c r="I19" s="109"/>
      <c r="J19" s="109"/>
      <c r="K19" s="109"/>
      <c r="L19" s="109"/>
      <c r="M19" s="109"/>
      <c r="N19" s="109"/>
      <c r="O19" s="84">
        <f t="shared" ref="O19:O82" si="3">SUM(C19:N19)</f>
        <v>6808.99</v>
      </c>
    </row>
    <row r="20" spans="2:16">
      <c r="B20" s="126" t="s">
        <v>226</v>
      </c>
      <c r="C20" s="109">
        <v>4615.38</v>
      </c>
      <c r="D20" s="109">
        <v>4615.38</v>
      </c>
      <c r="E20" s="109">
        <v>4615.38</v>
      </c>
      <c r="F20" s="109">
        <v>6923.07</v>
      </c>
      <c r="G20" s="109">
        <v>4615.38</v>
      </c>
      <c r="H20" s="109">
        <v>4615.38</v>
      </c>
      <c r="I20" s="109">
        <v>2140.38</v>
      </c>
      <c r="J20" s="109"/>
      <c r="K20" s="109"/>
      <c r="L20" s="109"/>
      <c r="M20" s="109"/>
      <c r="N20" s="109"/>
      <c r="O20" s="84">
        <f t="shared" si="3"/>
        <v>32140.350000000002</v>
      </c>
    </row>
    <row r="21" spans="2:16">
      <c r="B21" s="126" t="s">
        <v>227</v>
      </c>
      <c r="C21" s="109">
        <v>4480</v>
      </c>
      <c r="D21" s="109">
        <v>4740</v>
      </c>
      <c r="E21" s="109">
        <v>5459.24</v>
      </c>
      <c r="F21" s="109">
        <v>7548.86</v>
      </c>
      <c r="G21" s="109">
        <v>5109.24</v>
      </c>
      <c r="H21" s="109">
        <v>4824.24</v>
      </c>
      <c r="I21" s="109">
        <v>4819.24</v>
      </c>
      <c r="J21" s="109">
        <v>4769.24</v>
      </c>
      <c r="K21" s="109">
        <v>7678.86</v>
      </c>
      <c r="L21" s="109">
        <v>4769.24</v>
      </c>
      <c r="M21" s="109">
        <v>5469.24</v>
      </c>
      <c r="N21" s="109">
        <v>6107.24</v>
      </c>
      <c r="O21" s="84">
        <f t="shared" si="3"/>
        <v>65774.639999999985</v>
      </c>
    </row>
    <row r="22" spans="2:16">
      <c r="B22" s="127" t="s">
        <v>228</v>
      </c>
      <c r="C22" s="115"/>
      <c r="D22" s="115"/>
      <c r="E22" s="115"/>
      <c r="F22" s="115"/>
      <c r="G22" s="115">
        <v>780.89</v>
      </c>
      <c r="H22" s="115">
        <v>2486.98</v>
      </c>
      <c r="I22" s="115">
        <v>2604.3199999999997</v>
      </c>
      <c r="J22" s="115">
        <v>2620.38</v>
      </c>
      <c r="K22" s="115"/>
      <c r="L22" s="115"/>
      <c r="M22" s="115"/>
      <c r="N22" s="115"/>
      <c r="O22" s="116">
        <f t="shared" si="3"/>
        <v>8492.57</v>
      </c>
      <c r="P22" t="s">
        <v>229</v>
      </c>
    </row>
    <row r="23" spans="2:16">
      <c r="B23" s="126" t="s">
        <v>230</v>
      </c>
      <c r="C23" s="109">
        <v>2517.88</v>
      </c>
      <c r="D23" s="109">
        <v>3191.24</v>
      </c>
      <c r="E23" s="109">
        <v>3783.72</v>
      </c>
      <c r="F23" s="109">
        <v>6389.6</v>
      </c>
      <c r="G23" s="109">
        <v>4933.5</v>
      </c>
      <c r="H23" s="109">
        <v>5301.25</v>
      </c>
      <c r="I23" s="109">
        <v>4512.09</v>
      </c>
      <c r="J23" s="109">
        <v>5123.84</v>
      </c>
      <c r="K23" s="109">
        <v>6541.08</v>
      </c>
      <c r="L23" s="109">
        <v>3417.5</v>
      </c>
      <c r="M23" s="109">
        <v>3211.51</v>
      </c>
      <c r="N23" s="109">
        <v>3032.08</v>
      </c>
      <c r="O23" s="84">
        <f t="shared" si="3"/>
        <v>51955.290000000008</v>
      </c>
    </row>
    <row r="24" spans="2:16">
      <c r="B24" s="126" t="s">
        <v>231</v>
      </c>
      <c r="C24" s="109">
        <v>4501</v>
      </c>
      <c r="D24" s="109">
        <v>5270.73</v>
      </c>
      <c r="E24" s="109">
        <v>5384.62</v>
      </c>
      <c r="F24" s="109">
        <v>8076.93</v>
      </c>
      <c r="G24" s="109">
        <v>5384.62</v>
      </c>
      <c r="H24" s="109">
        <v>5384.62</v>
      </c>
      <c r="I24" s="109">
        <v>5384.62</v>
      </c>
      <c r="J24" s="109">
        <v>5384.62</v>
      </c>
      <c r="K24" s="109">
        <v>8276.93</v>
      </c>
      <c r="L24" s="109">
        <v>5384.62</v>
      </c>
      <c r="M24" s="109">
        <v>5384.62</v>
      </c>
      <c r="N24" s="109">
        <v>6384.62</v>
      </c>
      <c r="O24" s="84">
        <f t="shared" si="3"/>
        <v>70202.55</v>
      </c>
    </row>
    <row r="25" spans="2:16">
      <c r="B25" s="126" t="s">
        <v>232</v>
      </c>
      <c r="C25" s="109"/>
      <c r="D25" s="109"/>
      <c r="E25" s="109"/>
      <c r="F25" s="109">
        <v>254.18</v>
      </c>
      <c r="G25" s="109"/>
      <c r="H25" s="109">
        <v>0</v>
      </c>
      <c r="I25" s="109"/>
      <c r="J25" s="109"/>
      <c r="K25" s="109"/>
      <c r="L25" s="109"/>
      <c r="M25" s="109"/>
      <c r="N25" s="109"/>
      <c r="O25" s="84">
        <f t="shared" si="3"/>
        <v>254.18</v>
      </c>
    </row>
    <row r="26" spans="2:16">
      <c r="B26" s="126" t="s">
        <v>233</v>
      </c>
      <c r="C26" s="109">
        <v>1750</v>
      </c>
      <c r="D26" s="109">
        <v>1750</v>
      </c>
      <c r="E26" s="109">
        <v>1890</v>
      </c>
      <c r="F26" s="109">
        <v>2835</v>
      </c>
      <c r="G26" s="109">
        <v>1890</v>
      </c>
      <c r="H26" s="109">
        <v>1890</v>
      </c>
      <c r="I26" s="109">
        <v>1890</v>
      </c>
      <c r="J26" s="109">
        <v>1890</v>
      </c>
      <c r="K26" s="109">
        <v>2835</v>
      </c>
      <c r="L26" s="109">
        <v>1890</v>
      </c>
      <c r="M26" s="109">
        <v>1890</v>
      </c>
      <c r="N26" s="109">
        <v>1890</v>
      </c>
      <c r="O26" s="84">
        <f t="shared" si="3"/>
        <v>24290</v>
      </c>
    </row>
    <row r="27" spans="2:16">
      <c r="B27" s="126" t="s">
        <v>234</v>
      </c>
      <c r="C27" s="109">
        <v>2324.7000000000003</v>
      </c>
      <c r="D27" s="109">
        <v>2943.31</v>
      </c>
      <c r="E27" s="109">
        <v>3462.3199999999997</v>
      </c>
      <c r="F27" s="109">
        <v>5941.35</v>
      </c>
      <c r="G27" s="109">
        <v>4714.34</v>
      </c>
      <c r="H27" s="109">
        <v>5252.99</v>
      </c>
      <c r="I27" s="109">
        <v>4609.6000000000004</v>
      </c>
      <c r="J27" s="109">
        <v>4590</v>
      </c>
      <c r="K27" s="109">
        <v>6123.34</v>
      </c>
      <c r="L27" s="109">
        <v>4118.32</v>
      </c>
      <c r="M27" s="109">
        <v>3978</v>
      </c>
      <c r="N27" s="109">
        <v>3932.34</v>
      </c>
      <c r="O27" s="84">
        <f t="shared" si="3"/>
        <v>51990.61</v>
      </c>
    </row>
    <row r="28" spans="2:16">
      <c r="B28" s="126" t="s">
        <v>235</v>
      </c>
      <c r="C28" s="109">
        <v>1876.9299999999998</v>
      </c>
      <c r="D28" s="109">
        <v>3476.6</v>
      </c>
      <c r="E28" s="109">
        <v>3277.9300000000003</v>
      </c>
      <c r="F28" s="109">
        <v>6442.4800000000005</v>
      </c>
      <c r="G28" s="109">
        <v>6258.76</v>
      </c>
      <c r="H28" s="109">
        <v>4457.5</v>
      </c>
      <c r="I28" s="109">
        <v>5053.1399999999994</v>
      </c>
      <c r="J28" s="109">
        <v>6396.4400000000005</v>
      </c>
      <c r="K28" s="109">
        <v>9633.86</v>
      </c>
      <c r="L28" s="109">
        <v>5371.68</v>
      </c>
      <c r="M28" s="109">
        <v>3562.9300000000003</v>
      </c>
      <c r="N28" s="109">
        <v>4071.04</v>
      </c>
      <c r="O28" s="84">
        <f t="shared" si="3"/>
        <v>59879.29</v>
      </c>
    </row>
    <row r="29" spans="2:16">
      <c r="B29" s="127" t="s">
        <v>236</v>
      </c>
      <c r="C29" s="115"/>
      <c r="D29" s="115"/>
      <c r="E29" s="115"/>
      <c r="F29" s="115"/>
      <c r="G29" s="115">
        <v>1073.57</v>
      </c>
      <c r="H29" s="115">
        <v>2499</v>
      </c>
      <c r="I29" s="115">
        <v>2815.52</v>
      </c>
      <c r="J29" s="115">
        <v>3118.83</v>
      </c>
      <c r="K29" s="115"/>
      <c r="L29" s="115"/>
      <c r="M29" s="115"/>
      <c r="N29" s="115"/>
      <c r="O29" s="116">
        <f t="shared" si="3"/>
        <v>9506.92</v>
      </c>
      <c r="P29" t="s">
        <v>229</v>
      </c>
    </row>
    <row r="30" spans="2:16">
      <c r="B30" s="128" t="s">
        <v>389</v>
      </c>
      <c r="C30" s="117">
        <v>465.02</v>
      </c>
      <c r="D30" s="117">
        <v>626.4</v>
      </c>
      <c r="E30" s="117">
        <v>1198.52</v>
      </c>
      <c r="F30" s="117">
        <v>2359.9299999999998</v>
      </c>
      <c r="G30" s="117">
        <v>6304.64</v>
      </c>
      <c r="H30" s="117">
        <v>6843.74</v>
      </c>
      <c r="I30" s="117">
        <v>5987.57</v>
      </c>
      <c r="J30" s="117">
        <v>5278.51</v>
      </c>
      <c r="K30" s="117">
        <v>6959.6399999999994</v>
      </c>
      <c r="L30" s="117">
        <v>3098.94</v>
      </c>
      <c r="M30" s="117">
        <v>2733.94</v>
      </c>
      <c r="N30" s="117">
        <v>1947.1000000000001</v>
      </c>
      <c r="O30" s="118">
        <f t="shared" si="3"/>
        <v>43803.950000000004</v>
      </c>
      <c r="P30" t="s">
        <v>229</v>
      </c>
    </row>
    <row r="31" spans="2:16">
      <c r="B31" s="127" t="s">
        <v>237</v>
      </c>
      <c r="C31" s="115"/>
      <c r="D31" s="115"/>
      <c r="E31" s="115"/>
      <c r="F31" s="115"/>
      <c r="G31" s="115">
        <v>1209.6099999999999</v>
      </c>
      <c r="H31" s="115">
        <v>1179.1600000000001</v>
      </c>
      <c r="I31" s="115">
        <v>2104.1799999999998</v>
      </c>
      <c r="J31" s="115">
        <v>1830.86</v>
      </c>
      <c r="K31" s="115">
        <v>2215.0100000000002</v>
      </c>
      <c r="L31" s="115">
        <v>946.68000000000006</v>
      </c>
      <c r="M31" s="115"/>
      <c r="N31" s="115"/>
      <c r="O31" s="116">
        <f t="shared" si="3"/>
        <v>9485.5</v>
      </c>
      <c r="P31" t="s">
        <v>229</v>
      </c>
    </row>
    <row r="32" spans="2:16">
      <c r="B32" s="127" t="s">
        <v>238</v>
      </c>
      <c r="C32" s="115"/>
      <c r="D32" s="115"/>
      <c r="E32" s="115"/>
      <c r="F32" s="115"/>
      <c r="G32" s="115"/>
      <c r="H32" s="115"/>
      <c r="I32" s="115">
        <v>117</v>
      </c>
      <c r="J32" s="115">
        <v>50</v>
      </c>
      <c r="K32" s="115">
        <v>1766.1100000000001</v>
      </c>
      <c r="L32" s="115">
        <v>447.31</v>
      </c>
      <c r="M32" s="115"/>
      <c r="N32" s="115"/>
      <c r="O32" s="116">
        <f t="shared" si="3"/>
        <v>2380.42</v>
      </c>
      <c r="P32" t="s">
        <v>229</v>
      </c>
    </row>
    <row r="33" spans="2:16">
      <c r="B33" s="127" t="s">
        <v>239</v>
      </c>
      <c r="C33" s="115"/>
      <c r="D33" s="115"/>
      <c r="E33" s="115"/>
      <c r="F33" s="115">
        <v>2472.08</v>
      </c>
      <c r="G33" s="115">
        <v>6544.35</v>
      </c>
      <c r="H33" s="115">
        <v>3391.26</v>
      </c>
      <c r="I33" s="115">
        <v>3020.24</v>
      </c>
      <c r="J33" s="115">
        <v>4283.54</v>
      </c>
      <c r="K33" s="115">
        <v>4074.19</v>
      </c>
      <c r="L33" s="115"/>
      <c r="M33" s="115"/>
      <c r="N33" s="115"/>
      <c r="O33" s="116">
        <f t="shared" si="3"/>
        <v>23785.66</v>
      </c>
      <c r="P33" t="s">
        <v>229</v>
      </c>
    </row>
    <row r="34" spans="2:16">
      <c r="B34" s="126" t="s">
        <v>240</v>
      </c>
      <c r="C34" s="109"/>
      <c r="D34" s="109"/>
      <c r="E34" s="109"/>
      <c r="F34" s="109"/>
      <c r="G34" s="109">
        <v>5779.71</v>
      </c>
      <c r="H34" s="109">
        <v>4716.05</v>
      </c>
      <c r="I34" s="109">
        <v>6196.0499999999993</v>
      </c>
      <c r="J34" s="109">
        <v>7850.8700000000008</v>
      </c>
      <c r="K34" s="109">
        <v>10539.25</v>
      </c>
      <c r="L34" s="109">
        <v>5543.92</v>
      </c>
      <c r="M34" s="109">
        <v>2734.36</v>
      </c>
      <c r="N34" s="109">
        <v>2557.8000000000002</v>
      </c>
      <c r="O34" s="84">
        <f t="shared" si="3"/>
        <v>45918.01</v>
      </c>
    </row>
    <row r="35" spans="2:16">
      <c r="B35" s="126" t="s">
        <v>241</v>
      </c>
      <c r="C35" s="109"/>
      <c r="D35" s="109">
        <v>613.32000000000005</v>
      </c>
      <c r="E35" s="109">
        <v>121.28</v>
      </c>
      <c r="F35" s="109">
        <v>1016.82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76</v>
      </c>
      <c r="M35" s="109">
        <v>356.71</v>
      </c>
      <c r="N35" s="109">
        <v>701</v>
      </c>
      <c r="O35" s="84">
        <f t="shared" si="3"/>
        <v>2885.13</v>
      </c>
    </row>
    <row r="36" spans="2:16">
      <c r="B36" s="126" t="s">
        <v>242</v>
      </c>
      <c r="C36" s="109">
        <v>3716.01</v>
      </c>
      <c r="D36" s="109">
        <v>4650.6000000000004</v>
      </c>
      <c r="E36" s="109">
        <v>3857.24</v>
      </c>
      <c r="F36" s="109">
        <v>5963.3499999999995</v>
      </c>
      <c r="G36" s="109">
        <v>7168.12</v>
      </c>
      <c r="H36" s="109">
        <v>6361.87</v>
      </c>
      <c r="I36" s="109">
        <v>5133.93</v>
      </c>
      <c r="J36" s="109">
        <v>6345.01</v>
      </c>
      <c r="K36" s="109">
        <v>8825.61</v>
      </c>
      <c r="L36" s="109">
        <v>3448.33</v>
      </c>
      <c r="M36" s="109">
        <v>1774.58</v>
      </c>
      <c r="N36" s="109">
        <v>2805</v>
      </c>
      <c r="O36" s="84">
        <f t="shared" si="3"/>
        <v>60049.65</v>
      </c>
    </row>
    <row r="37" spans="2:16">
      <c r="B37" s="127" t="s">
        <v>243</v>
      </c>
      <c r="C37" s="115"/>
      <c r="D37" s="115"/>
      <c r="E37" s="115"/>
      <c r="F37" s="115"/>
      <c r="G37" s="115"/>
      <c r="H37" s="115">
        <v>1030.01</v>
      </c>
      <c r="I37" s="115">
        <v>3838.14</v>
      </c>
      <c r="J37" s="115">
        <v>3365.68</v>
      </c>
      <c r="K37" s="115">
        <v>2656.77</v>
      </c>
      <c r="L37" s="115">
        <v>568.09999999999991</v>
      </c>
      <c r="M37" s="115">
        <v>0</v>
      </c>
      <c r="N37" s="115">
        <v>0</v>
      </c>
      <c r="O37" s="116">
        <f t="shared" si="3"/>
        <v>11458.7</v>
      </c>
      <c r="P37" t="s">
        <v>229</v>
      </c>
    </row>
    <row r="38" spans="2:16">
      <c r="B38" s="127" t="s">
        <v>244</v>
      </c>
      <c r="C38" s="115"/>
      <c r="D38" s="115"/>
      <c r="E38" s="115"/>
      <c r="F38" s="115"/>
      <c r="G38" s="115"/>
      <c r="H38" s="115"/>
      <c r="I38" s="115">
        <v>955.57999999999993</v>
      </c>
      <c r="J38" s="115">
        <v>194.4</v>
      </c>
      <c r="K38" s="115">
        <v>82.8</v>
      </c>
      <c r="L38" s="115"/>
      <c r="M38" s="115"/>
      <c r="N38" s="115"/>
      <c r="O38" s="116">
        <f t="shared" si="3"/>
        <v>1232.78</v>
      </c>
      <c r="P38" t="s">
        <v>229</v>
      </c>
    </row>
    <row r="39" spans="2:16">
      <c r="B39" s="126" t="s">
        <v>245</v>
      </c>
      <c r="C39" s="109"/>
      <c r="D39" s="109"/>
      <c r="E39" s="109">
        <v>1537.5</v>
      </c>
      <c r="F39" s="109">
        <v>2109.2600000000002</v>
      </c>
      <c r="G39" s="109">
        <v>1638.44</v>
      </c>
      <c r="H39" s="109">
        <v>1399.18</v>
      </c>
      <c r="I39" s="109">
        <v>3965.9799999999996</v>
      </c>
      <c r="J39" s="109">
        <v>5019.1900000000005</v>
      </c>
      <c r="K39" s="109">
        <v>8492.0800000000017</v>
      </c>
      <c r="L39" s="109">
        <v>3785.7</v>
      </c>
      <c r="M39" s="109">
        <v>3655.61</v>
      </c>
      <c r="N39" s="109">
        <v>3218.48</v>
      </c>
      <c r="O39" s="84">
        <f t="shared" si="3"/>
        <v>34821.420000000006</v>
      </c>
    </row>
    <row r="40" spans="2:16">
      <c r="B40" s="127" t="s">
        <v>246</v>
      </c>
      <c r="C40" s="115"/>
      <c r="D40" s="115"/>
      <c r="E40" s="115"/>
      <c r="F40" s="115"/>
      <c r="G40" s="115"/>
      <c r="H40" s="115"/>
      <c r="I40" s="115">
        <v>310.19</v>
      </c>
      <c r="J40" s="115">
        <v>259.39</v>
      </c>
      <c r="K40" s="115">
        <v>1428.3000000000002</v>
      </c>
      <c r="L40" s="115">
        <v>706.51</v>
      </c>
      <c r="M40" s="115">
        <v>0</v>
      </c>
      <c r="N40" s="115">
        <v>0</v>
      </c>
      <c r="O40" s="116">
        <f t="shared" si="3"/>
        <v>2704.3900000000003</v>
      </c>
      <c r="P40" t="s">
        <v>229</v>
      </c>
    </row>
    <row r="41" spans="2:16">
      <c r="B41" s="126" t="s">
        <v>247</v>
      </c>
      <c r="C41" s="109"/>
      <c r="D41" s="109"/>
      <c r="E41" s="109"/>
      <c r="F41" s="109"/>
      <c r="G41" s="109">
        <v>835.37</v>
      </c>
      <c r="H41" s="109">
        <v>1161.21</v>
      </c>
      <c r="I41" s="109">
        <v>1940.5300000000002</v>
      </c>
      <c r="J41" s="109">
        <v>1240.07</v>
      </c>
      <c r="K41" s="109">
        <v>1333.17</v>
      </c>
      <c r="L41" s="109"/>
      <c r="M41" s="109"/>
      <c r="N41" s="109"/>
      <c r="O41" s="84">
        <f t="shared" si="3"/>
        <v>6510.35</v>
      </c>
    </row>
    <row r="42" spans="2:16">
      <c r="B42" s="127" t="s">
        <v>248</v>
      </c>
      <c r="C42" s="115">
        <v>115.55</v>
      </c>
      <c r="D42" s="115">
        <v>57</v>
      </c>
      <c r="E42" s="115">
        <v>0</v>
      </c>
      <c r="F42" s="115">
        <v>251.68</v>
      </c>
      <c r="G42" s="115">
        <v>1299.1799999999998</v>
      </c>
      <c r="H42" s="115">
        <v>1711.66</v>
      </c>
      <c r="I42" s="115">
        <v>1256.25</v>
      </c>
      <c r="J42" s="115">
        <v>3815.01</v>
      </c>
      <c r="K42" s="115">
        <v>2011.26</v>
      </c>
      <c r="L42" s="115">
        <v>454.58</v>
      </c>
      <c r="M42" s="115">
        <v>0</v>
      </c>
      <c r="N42" s="115">
        <v>0</v>
      </c>
      <c r="O42" s="116">
        <f t="shared" si="3"/>
        <v>10972.17</v>
      </c>
      <c r="P42" t="s">
        <v>229</v>
      </c>
    </row>
    <row r="43" spans="2:16">
      <c r="B43" s="127" t="s">
        <v>249</v>
      </c>
      <c r="C43" s="115"/>
      <c r="D43" s="115"/>
      <c r="E43" s="115"/>
      <c r="F43" s="115"/>
      <c r="G43" s="115"/>
      <c r="H43" s="115">
        <v>814.59</v>
      </c>
      <c r="I43" s="115">
        <v>2135.94</v>
      </c>
      <c r="J43" s="115">
        <v>351.51</v>
      </c>
      <c r="K43" s="115">
        <v>0</v>
      </c>
      <c r="L43" s="115"/>
      <c r="M43" s="115"/>
      <c r="N43" s="115"/>
      <c r="O43" s="116">
        <f t="shared" si="3"/>
        <v>3302.04</v>
      </c>
      <c r="P43" t="s">
        <v>229</v>
      </c>
    </row>
    <row r="44" spans="2:16">
      <c r="B44" s="126" t="s">
        <v>250</v>
      </c>
      <c r="C44" s="109"/>
      <c r="D44" s="109"/>
      <c r="E44" s="109"/>
      <c r="F44" s="109"/>
      <c r="G44" s="109">
        <v>3379.38</v>
      </c>
      <c r="H44" s="109">
        <v>6780.6399999999994</v>
      </c>
      <c r="I44" s="109">
        <v>5970.0599999999995</v>
      </c>
      <c r="J44" s="109">
        <v>7904.3700000000008</v>
      </c>
      <c r="K44" s="109">
        <v>8739.4500000000007</v>
      </c>
      <c r="L44" s="109">
        <v>4712.07</v>
      </c>
      <c r="M44" s="109">
        <v>2578.6899999999996</v>
      </c>
      <c r="N44" s="109">
        <v>3544.1800000000003</v>
      </c>
      <c r="O44" s="84">
        <f t="shared" si="3"/>
        <v>43608.840000000004</v>
      </c>
    </row>
    <row r="45" spans="2:16">
      <c r="B45" s="126" t="s">
        <v>251</v>
      </c>
      <c r="C45" s="109"/>
      <c r="D45" s="109"/>
      <c r="E45" s="109"/>
      <c r="F45" s="109"/>
      <c r="G45" s="109">
        <v>5385.9</v>
      </c>
      <c r="H45" s="109">
        <v>5328.1100000000006</v>
      </c>
      <c r="I45" s="109">
        <v>5991</v>
      </c>
      <c r="J45" s="109">
        <v>5357.9500000000007</v>
      </c>
      <c r="K45" s="109">
        <v>8761.18</v>
      </c>
      <c r="L45" s="109">
        <v>4917.26</v>
      </c>
      <c r="M45" s="109">
        <v>4167.25</v>
      </c>
      <c r="N45" s="109">
        <v>2767.5</v>
      </c>
      <c r="O45" s="84">
        <f t="shared" si="3"/>
        <v>42676.15</v>
      </c>
    </row>
    <row r="46" spans="2:16">
      <c r="B46" s="126" t="s">
        <v>252</v>
      </c>
      <c r="C46" s="109">
        <v>729</v>
      </c>
      <c r="D46" s="109">
        <v>1828.02</v>
      </c>
      <c r="E46" s="109">
        <v>1680.51</v>
      </c>
      <c r="F46" s="109">
        <v>3816.31</v>
      </c>
      <c r="G46" s="109">
        <v>4664.99</v>
      </c>
      <c r="H46" s="109">
        <v>3704.88</v>
      </c>
      <c r="I46" s="109">
        <v>6257.1</v>
      </c>
      <c r="J46" s="109">
        <v>7605.81</v>
      </c>
      <c r="K46" s="109">
        <v>10092.61</v>
      </c>
      <c r="L46" s="109">
        <v>5408.03</v>
      </c>
      <c r="M46" s="109"/>
      <c r="N46" s="109"/>
      <c r="O46" s="84">
        <f t="shared" si="3"/>
        <v>45787.259999999995</v>
      </c>
    </row>
    <row r="47" spans="2:16">
      <c r="B47" s="126" t="s">
        <v>253</v>
      </c>
      <c r="C47" s="109">
        <v>156.69</v>
      </c>
      <c r="D47" s="109">
        <v>270.64</v>
      </c>
      <c r="E47" s="109">
        <v>0</v>
      </c>
      <c r="F47" s="109">
        <v>445.44000000000005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84">
        <f t="shared" si="3"/>
        <v>872.77</v>
      </c>
    </row>
    <row r="48" spans="2:16">
      <c r="B48" s="127" t="s">
        <v>254</v>
      </c>
      <c r="C48" s="115"/>
      <c r="D48" s="115"/>
      <c r="E48" s="115"/>
      <c r="F48" s="115"/>
      <c r="G48" s="115"/>
      <c r="H48" s="115"/>
      <c r="I48" s="115"/>
      <c r="J48" s="115">
        <v>1544.72</v>
      </c>
      <c r="K48" s="115"/>
      <c r="L48" s="115"/>
      <c r="M48" s="115"/>
      <c r="N48" s="115"/>
      <c r="O48" s="116">
        <f t="shared" si="3"/>
        <v>1544.72</v>
      </c>
      <c r="P48" t="s">
        <v>229</v>
      </c>
    </row>
    <row r="49" spans="2:16">
      <c r="B49" s="126" t="s">
        <v>255</v>
      </c>
      <c r="C49" s="109">
        <v>2921.33</v>
      </c>
      <c r="D49" s="109">
        <v>3644.75</v>
      </c>
      <c r="E49" s="109">
        <v>4882.01</v>
      </c>
      <c r="F49" s="109">
        <v>8894.6899999999987</v>
      </c>
      <c r="G49" s="109">
        <v>6358.3899999999994</v>
      </c>
      <c r="H49" s="109">
        <v>6176.02</v>
      </c>
      <c r="I49" s="109">
        <v>6970.3899999999994</v>
      </c>
      <c r="J49" s="109">
        <v>7489.59</v>
      </c>
      <c r="K49" s="109">
        <v>7769.41</v>
      </c>
      <c r="L49" s="109">
        <v>4833.6099999999997</v>
      </c>
      <c r="M49" s="109">
        <v>3964.8900000000003</v>
      </c>
      <c r="N49" s="109">
        <v>3178.3999999999996</v>
      </c>
      <c r="O49" s="84">
        <f t="shared" si="3"/>
        <v>67083.48</v>
      </c>
    </row>
    <row r="50" spans="2:16">
      <c r="B50" s="126" t="s">
        <v>256</v>
      </c>
      <c r="C50" s="109">
        <v>0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  <c r="J50" s="109">
        <v>0</v>
      </c>
      <c r="K50" s="109">
        <v>0</v>
      </c>
      <c r="L50" s="109">
        <v>0</v>
      </c>
      <c r="M50" s="109">
        <v>0</v>
      </c>
      <c r="N50" s="109">
        <v>0</v>
      </c>
      <c r="O50" s="84">
        <f t="shared" si="3"/>
        <v>0</v>
      </c>
    </row>
    <row r="51" spans="2:16">
      <c r="B51" s="127" t="s">
        <v>257</v>
      </c>
      <c r="C51" s="115"/>
      <c r="D51" s="115"/>
      <c r="E51" s="115"/>
      <c r="F51" s="115"/>
      <c r="G51" s="115">
        <v>1281.8699999999999</v>
      </c>
      <c r="H51" s="115">
        <v>2015.86</v>
      </c>
      <c r="I51" s="115">
        <v>2328.4299999999998</v>
      </c>
      <c r="J51" s="115">
        <v>3231.5299999999997</v>
      </c>
      <c r="K51" s="115">
        <v>4047.28</v>
      </c>
      <c r="L51" s="115">
        <v>1575.65</v>
      </c>
      <c r="M51" s="115"/>
      <c r="N51" s="115"/>
      <c r="O51" s="116">
        <f t="shared" si="3"/>
        <v>14480.619999999999</v>
      </c>
      <c r="P51" t="s">
        <v>229</v>
      </c>
    </row>
    <row r="52" spans="2:16">
      <c r="B52" s="126" t="s">
        <v>258</v>
      </c>
      <c r="C52" s="109">
        <v>0</v>
      </c>
      <c r="D52" s="109">
        <v>0</v>
      </c>
      <c r="E52" s="109">
        <v>0</v>
      </c>
      <c r="F52" s="109">
        <v>0</v>
      </c>
      <c r="G52" s="109">
        <v>3200</v>
      </c>
      <c r="H52" s="109">
        <v>3200</v>
      </c>
      <c r="I52" s="109">
        <v>3200</v>
      </c>
      <c r="J52" s="109">
        <v>0</v>
      </c>
      <c r="K52" s="109">
        <v>0</v>
      </c>
      <c r="L52" s="109">
        <v>2000</v>
      </c>
      <c r="M52" s="109">
        <v>2271.6</v>
      </c>
      <c r="N52" s="109">
        <v>0</v>
      </c>
      <c r="O52" s="84">
        <f t="shared" si="3"/>
        <v>13871.6</v>
      </c>
    </row>
    <row r="53" spans="2:16">
      <c r="B53" s="126" t="s">
        <v>259</v>
      </c>
      <c r="C53" s="109"/>
      <c r="D53" s="109"/>
      <c r="E53" s="109"/>
      <c r="F53" s="109"/>
      <c r="G53" s="109"/>
      <c r="H53" s="109"/>
      <c r="I53" s="109">
        <v>2027.8200000000002</v>
      </c>
      <c r="J53" s="109">
        <v>4962.51</v>
      </c>
      <c r="K53" s="109">
        <v>7207.4900000000007</v>
      </c>
      <c r="L53" s="109">
        <v>4759.59</v>
      </c>
      <c r="M53" s="109">
        <v>2700.01</v>
      </c>
      <c r="N53" s="109">
        <v>5816.05</v>
      </c>
      <c r="O53" s="84">
        <f t="shared" si="3"/>
        <v>27473.469999999998</v>
      </c>
    </row>
    <row r="54" spans="2:16">
      <c r="B54" s="127" t="s">
        <v>260</v>
      </c>
      <c r="C54" s="115"/>
      <c r="D54" s="115"/>
      <c r="E54" s="115"/>
      <c r="F54" s="115"/>
      <c r="G54" s="115">
        <v>1067.08</v>
      </c>
      <c r="H54" s="115">
        <v>2159.69</v>
      </c>
      <c r="I54" s="115">
        <v>939.15</v>
      </c>
      <c r="J54" s="115"/>
      <c r="K54" s="115">
        <v>0</v>
      </c>
      <c r="L54" s="115"/>
      <c r="M54" s="115"/>
      <c r="N54" s="115"/>
      <c r="O54" s="116">
        <f t="shared" si="3"/>
        <v>4165.92</v>
      </c>
      <c r="P54" t="s">
        <v>229</v>
      </c>
    </row>
    <row r="55" spans="2:16">
      <c r="B55" s="127" t="s">
        <v>261</v>
      </c>
      <c r="C55" s="115"/>
      <c r="D55" s="115"/>
      <c r="E55" s="115"/>
      <c r="F55" s="115"/>
      <c r="G55" s="115"/>
      <c r="H55" s="115"/>
      <c r="I55" s="115">
        <v>972.59</v>
      </c>
      <c r="J55" s="115">
        <v>1457.69</v>
      </c>
      <c r="K55" s="115">
        <v>1186.51</v>
      </c>
      <c r="L55" s="115">
        <v>0</v>
      </c>
      <c r="M55" s="115"/>
      <c r="N55" s="115"/>
      <c r="O55" s="116">
        <f t="shared" si="3"/>
        <v>3616.79</v>
      </c>
      <c r="P55" t="s">
        <v>229</v>
      </c>
    </row>
    <row r="56" spans="2:16">
      <c r="B56" s="126" t="s">
        <v>262</v>
      </c>
      <c r="C56" s="109"/>
      <c r="D56" s="109"/>
      <c r="E56" s="109"/>
      <c r="F56" s="109"/>
      <c r="G56" s="109">
        <v>620.96</v>
      </c>
      <c r="H56" s="109">
        <v>726.7</v>
      </c>
      <c r="I56" s="109">
        <v>2311.66</v>
      </c>
      <c r="J56" s="109">
        <v>1072.06</v>
      </c>
      <c r="K56" s="109">
        <v>802.1</v>
      </c>
      <c r="L56" s="109">
        <v>176.36</v>
      </c>
      <c r="M56" s="109">
        <v>0</v>
      </c>
      <c r="N56" s="109">
        <v>0</v>
      </c>
      <c r="O56" s="84">
        <f t="shared" si="3"/>
        <v>5709.8399999999992</v>
      </c>
    </row>
    <row r="57" spans="2:16">
      <c r="B57" s="126" t="s">
        <v>263</v>
      </c>
      <c r="C57" s="109">
        <v>5325.7999999999993</v>
      </c>
      <c r="D57" s="109">
        <v>6318.85</v>
      </c>
      <c r="E57" s="109">
        <v>5504.41</v>
      </c>
      <c r="F57" s="109">
        <v>11650.24</v>
      </c>
      <c r="G57" s="109">
        <v>9975.19</v>
      </c>
      <c r="H57" s="109">
        <v>8743.76</v>
      </c>
      <c r="I57" s="109">
        <v>8106.66</v>
      </c>
      <c r="J57" s="109">
        <v>9611.4699999999993</v>
      </c>
      <c r="K57" s="109">
        <v>12100.73</v>
      </c>
      <c r="L57" s="109">
        <v>8581.2200000000012</v>
      </c>
      <c r="M57" s="109">
        <v>6870.16</v>
      </c>
      <c r="N57" s="109">
        <v>6924.65</v>
      </c>
      <c r="O57" s="84">
        <f t="shared" si="3"/>
        <v>99713.14</v>
      </c>
    </row>
    <row r="58" spans="2:16">
      <c r="B58" s="127" t="s">
        <v>264</v>
      </c>
      <c r="C58" s="115"/>
      <c r="D58" s="115"/>
      <c r="E58" s="115"/>
      <c r="F58" s="115"/>
      <c r="G58" s="115"/>
      <c r="H58" s="115"/>
      <c r="I58" s="115">
        <v>949.99</v>
      </c>
      <c r="J58" s="115">
        <v>726</v>
      </c>
      <c r="K58" s="115">
        <v>312.41000000000003</v>
      </c>
      <c r="L58" s="115"/>
      <c r="M58" s="115"/>
      <c r="N58" s="115"/>
      <c r="O58" s="116">
        <f t="shared" si="3"/>
        <v>1988.4</v>
      </c>
      <c r="P58" t="s">
        <v>229</v>
      </c>
    </row>
    <row r="59" spans="2:16">
      <c r="B59" s="127" t="s">
        <v>265</v>
      </c>
      <c r="C59" s="115"/>
      <c r="D59" s="115"/>
      <c r="E59" s="115"/>
      <c r="F59" s="115"/>
      <c r="G59" s="115"/>
      <c r="H59" s="115">
        <v>0</v>
      </c>
      <c r="I59" s="115">
        <v>1540.8200000000002</v>
      </c>
      <c r="J59" s="115">
        <v>1089.6300000000001</v>
      </c>
      <c r="K59" s="115">
        <v>1713.15</v>
      </c>
      <c r="L59" s="115">
        <v>677.97</v>
      </c>
      <c r="M59" s="115"/>
      <c r="N59" s="115"/>
      <c r="O59" s="116">
        <f t="shared" si="3"/>
        <v>5021.5700000000006</v>
      </c>
      <c r="P59" t="s">
        <v>229</v>
      </c>
    </row>
    <row r="60" spans="2:16">
      <c r="B60" s="126" t="s">
        <v>266</v>
      </c>
      <c r="C60" s="109"/>
      <c r="D60" s="109"/>
      <c r="E60" s="109"/>
      <c r="F60" s="109">
        <v>2827.8599999999997</v>
      </c>
      <c r="G60" s="109">
        <v>4618.3999999999996</v>
      </c>
      <c r="H60" s="109">
        <v>4426.12</v>
      </c>
      <c r="I60" s="109">
        <v>4613.16</v>
      </c>
      <c r="J60" s="109">
        <v>4280.13</v>
      </c>
      <c r="K60" s="109">
        <v>6685.29</v>
      </c>
      <c r="L60" s="109">
        <v>3736.19</v>
      </c>
      <c r="M60" s="109">
        <v>2509.25</v>
      </c>
      <c r="N60" s="109">
        <v>2113.7600000000002</v>
      </c>
      <c r="O60" s="84">
        <f t="shared" si="3"/>
        <v>35810.160000000003</v>
      </c>
    </row>
    <row r="61" spans="2:16">
      <c r="B61" s="126" t="s">
        <v>267</v>
      </c>
      <c r="C61" s="109">
        <v>75</v>
      </c>
      <c r="D61" s="109">
        <v>808.75</v>
      </c>
      <c r="E61" s="109">
        <v>1036.05</v>
      </c>
      <c r="F61" s="109">
        <v>2799.59</v>
      </c>
      <c r="G61" s="109">
        <v>2646.99</v>
      </c>
      <c r="H61" s="109">
        <v>2549.2600000000002</v>
      </c>
      <c r="I61" s="109">
        <v>1167.29</v>
      </c>
      <c r="J61" s="109">
        <v>2387.2600000000002</v>
      </c>
      <c r="K61" s="109">
        <v>4449.1399999999994</v>
      </c>
      <c r="L61" s="109">
        <v>1479.6</v>
      </c>
      <c r="M61" s="109">
        <v>162</v>
      </c>
      <c r="N61" s="109">
        <v>831</v>
      </c>
      <c r="O61" s="84">
        <f t="shared" si="3"/>
        <v>20391.93</v>
      </c>
    </row>
    <row r="62" spans="2:16">
      <c r="B62" s="126" t="s">
        <v>268</v>
      </c>
      <c r="C62" s="109">
        <v>0</v>
      </c>
      <c r="D62" s="109">
        <v>5233.76</v>
      </c>
      <c r="E62" s="109">
        <v>6351.25</v>
      </c>
      <c r="F62" s="109">
        <v>11447.390000000001</v>
      </c>
      <c r="G62" s="109">
        <v>7094.78</v>
      </c>
      <c r="H62" s="109">
        <v>6514.09</v>
      </c>
      <c r="I62" s="109">
        <v>6653.9</v>
      </c>
      <c r="J62" s="109">
        <v>7659.2899999999991</v>
      </c>
      <c r="K62" s="109">
        <v>10757.849999999999</v>
      </c>
      <c r="L62" s="109">
        <v>8208.6899999999987</v>
      </c>
      <c r="M62" s="109">
        <v>3058</v>
      </c>
      <c r="N62" s="109">
        <v>1000</v>
      </c>
      <c r="O62" s="84">
        <f t="shared" si="3"/>
        <v>73979</v>
      </c>
    </row>
    <row r="63" spans="2:16">
      <c r="B63" s="127" t="s">
        <v>269</v>
      </c>
      <c r="C63" s="115"/>
      <c r="D63" s="115"/>
      <c r="E63" s="115"/>
      <c r="F63" s="115"/>
      <c r="G63" s="115">
        <v>978.33</v>
      </c>
      <c r="H63" s="115">
        <v>2084.58</v>
      </c>
      <c r="I63" s="115">
        <v>2055.41</v>
      </c>
      <c r="J63" s="115">
        <v>1571.2599999999998</v>
      </c>
      <c r="K63" s="115">
        <v>1576.6599999999999</v>
      </c>
      <c r="L63" s="115">
        <v>478.68</v>
      </c>
      <c r="M63" s="115"/>
      <c r="N63" s="115"/>
      <c r="O63" s="116">
        <f t="shared" si="3"/>
        <v>8744.92</v>
      </c>
      <c r="P63" t="s">
        <v>229</v>
      </c>
    </row>
    <row r="64" spans="2:16">
      <c r="B64" s="127" t="s">
        <v>270</v>
      </c>
      <c r="C64" s="115"/>
      <c r="D64" s="115"/>
      <c r="E64" s="115"/>
      <c r="F64" s="115"/>
      <c r="G64" s="115">
        <v>275</v>
      </c>
      <c r="H64" s="115">
        <v>1340.34</v>
      </c>
      <c r="I64" s="115">
        <v>2895</v>
      </c>
      <c r="J64" s="115">
        <v>3346.32</v>
      </c>
      <c r="K64" s="115">
        <v>3469.17</v>
      </c>
      <c r="L64" s="115">
        <v>1325</v>
      </c>
      <c r="M64" s="115"/>
      <c r="N64" s="115"/>
      <c r="O64" s="116">
        <f t="shared" si="3"/>
        <v>12650.83</v>
      </c>
      <c r="P64" t="s">
        <v>229</v>
      </c>
    </row>
    <row r="65" spans="2:16">
      <c r="B65" s="126" t="s">
        <v>271</v>
      </c>
      <c r="C65" s="109">
        <v>6000</v>
      </c>
      <c r="D65" s="109">
        <v>6000</v>
      </c>
      <c r="E65" s="109">
        <v>6000</v>
      </c>
      <c r="F65" s="109">
        <v>9000</v>
      </c>
      <c r="G65" s="109">
        <v>6000</v>
      </c>
      <c r="H65" s="109">
        <v>6000</v>
      </c>
      <c r="I65" s="109">
        <v>6000</v>
      </c>
      <c r="J65" s="109">
        <v>6000</v>
      </c>
      <c r="K65" s="109">
        <v>9000</v>
      </c>
      <c r="L65" s="109">
        <v>6000</v>
      </c>
      <c r="M65" s="109">
        <v>3000</v>
      </c>
      <c r="N65" s="109">
        <v>0</v>
      </c>
      <c r="O65" s="84">
        <f t="shared" si="3"/>
        <v>69000</v>
      </c>
    </row>
    <row r="66" spans="2:16">
      <c r="B66" s="127" t="s">
        <v>272</v>
      </c>
      <c r="C66" s="115"/>
      <c r="D66" s="115"/>
      <c r="E66" s="115"/>
      <c r="F66" s="115"/>
      <c r="G66" s="115">
        <v>1018.62</v>
      </c>
      <c r="H66" s="115">
        <v>639.95000000000005</v>
      </c>
      <c r="I66" s="115">
        <v>877.17</v>
      </c>
      <c r="J66" s="115">
        <v>1422.38</v>
      </c>
      <c r="K66" s="115">
        <v>1530.76</v>
      </c>
      <c r="L66" s="115">
        <v>302.63</v>
      </c>
      <c r="M66" s="115"/>
      <c r="N66" s="115"/>
      <c r="O66" s="116">
        <f t="shared" si="3"/>
        <v>5791.51</v>
      </c>
      <c r="P66" t="s">
        <v>229</v>
      </c>
    </row>
    <row r="67" spans="2:16">
      <c r="B67" s="129" t="s">
        <v>273</v>
      </c>
      <c r="C67" s="119">
        <v>4240</v>
      </c>
      <c r="D67" s="119">
        <v>4240</v>
      </c>
      <c r="E67" s="119">
        <v>4240</v>
      </c>
      <c r="F67" s="119">
        <v>6360</v>
      </c>
      <c r="G67" s="119">
        <v>4240</v>
      </c>
      <c r="H67" s="119">
        <v>4240</v>
      </c>
      <c r="I67" s="119">
        <v>4240</v>
      </c>
      <c r="J67" s="119">
        <v>4240</v>
      </c>
      <c r="K67" s="119">
        <v>6360</v>
      </c>
      <c r="L67" s="119">
        <v>4240</v>
      </c>
      <c r="M67" s="119">
        <v>4240</v>
      </c>
      <c r="N67" s="119">
        <v>4240</v>
      </c>
      <c r="O67" s="118">
        <f t="shared" si="3"/>
        <v>55120</v>
      </c>
      <c r="P67" t="s">
        <v>292</v>
      </c>
    </row>
    <row r="68" spans="2:16">
      <c r="B68" s="126" t="s">
        <v>274</v>
      </c>
      <c r="C68" s="109">
        <v>386.40000000000003</v>
      </c>
      <c r="D68" s="109">
        <v>902.66</v>
      </c>
      <c r="E68" s="109">
        <v>0</v>
      </c>
      <c r="F68" s="109">
        <v>348.45</v>
      </c>
      <c r="G68" s="109">
        <v>1575.01</v>
      </c>
      <c r="H68" s="109">
        <v>3697.31</v>
      </c>
      <c r="I68" s="109">
        <v>4571.87</v>
      </c>
      <c r="J68" s="109">
        <v>3882.2999999999997</v>
      </c>
      <c r="K68" s="109">
        <v>2850.86</v>
      </c>
      <c r="L68" s="109">
        <v>1265.4299999999998</v>
      </c>
      <c r="M68" s="109">
        <v>0</v>
      </c>
      <c r="N68" s="109">
        <v>450</v>
      </c>
      <c r="O68" s="84">
        <f t="shared" si="3"/>
        <v>19930.29</v>
      </c>
    </row>
    <row r="69" spans="2:16">
      <c r="B69" s="126" t="s">
        <v>275</v>
      </c>
      <c r="C69" s="109"/>
      <c r="D69" s="109"/>
      <c r="E69" s="109"/>
      <c r="F69" s="109">
        <v>913.56000000000006</v>
      </c>
      <c r="G69" s="109"/>
      <c r="H69" s="109">
        <v>0</v>
      </c>
      <c r="I69" s="109"/>
      <c r="J69" s="109"/>
      <c r="K69" s="109"/>
      <c r="L69" s="109"/>
      <c r="M69" s="109"/>
      <c r="N69" s="109"/>
      <c r="O69" s="84">
        <f t="shared" si="3"/>
        <v>913.56000000000006</v>
      </c>
    </row>
    <row r="70" spans="2:16">
      <c r="B70" s="126" t="s">
        <v>276</v>
      </c>
      <c r="C70" s="109">
        <v>0</v>
      </c>
      <c r="D70" s="109">
        <v>749.25</v>
      </c>
      <c r="E70" s="109">
        <v>382.08</v>
      </c>
      <c r="F70" s="109">
        <v>3103.3500000000004</v>
      </c>
      <c r="G70" s="109">
        <v>6914.62</v>
      </c>
      <c r="H70" s="109">
        <v>7210.63</v>
      </c>
      <c r="I70" s="109">
        <v>6666.47</v>
      </c>
      <c r="J70" s="109">
        <v>8873</v>
      </c>
      <c r="K70" s="109">
        <v>10150.43</v>
      </c>
      <c r="L70" s="109">
        <v>7130.82</v>
      </c>
      <c r="M70" s="109">
        <v>5895.6399999999994</v>
      </c>
      <c r="N70" s="109">
        <v>4022.93</v>
      </c>
      <c r="O70" s="84">
        <f t="shared" si="3"/>
        <v>61099.22</v>
      </c>
    </row>
    <row r="71" spans="2:16">
      <c r="B71" s="127" t="s">
        <v>277</v>
      </c>
      <c r="C71" s="115"/>
      <c r="D71" s="115"/>
      <c r="E71" s="115"/>
      <c r="F71" s="115"/>
      <c r="G71" s="115">
        <v>1651.51</v>
      </c>
      <c r="H71" s="115">
        <v>3040.2</v>
      </c>
      <c r="I71" s="115">
        <v>3143.99</v>
      </c>
      <c r="J71" s="115">
        <v>3404.68</v>
      </c>
      <c r="K71" s="115">
        <v>4960.1399999999994</v>
      </c>
      <c r="L71" s="115">
        <v>2018.5300000000002</v>
      </c>
      <c r="M71" s="115"/>
      <c r="N71" s="115">
        <v>366.3</v>
      </c>
      <c r="O71" s="116">
        <f t="shared" si="3"/>
        <v>18585.349999999999</v>
      </c>
      <c r="P71" t="s">
        <v>229</v>
      </c>
    </row>
    <row r="72" spans="2:16">
      <c r="B72" s="126" t="s">
        <v>278</v>
      </c>
      <c r="C72" s="109">
        <v>2092.34</v>
      </c>
      <c r="D72" s="109">
        <v>1975.51</v>
      </c>
      <c r="E72" s="109">
        <v>3456.44</v>
      </c>
      <c r="F72" s="109">
        <v>95</v>
      </c>
      <c r="G72" s="109"/>
      <c r="H72" s="109">
        <v>0</v>
      </c>
      <c r="I72" s="109"/>
      <c r="J72" s="109"/>
      <c r="K72" s="109"/>
      <c r="L72" s="109"/>
      <c r="M72" s="109"/>
      <c r="N72" s="109"/>
      <c r="O72" s="84">
        <f t="shared" si="3"/>
        <v>7619.2900000000009</v>
      </c>
    </row>
    <row r="73" spans="2:16">
      <c r="B73" s="127" t="s">
        <v>279</v>
      </c>
      <c r="C73" s="115"/>
      <c r="D73" s="115"/>
      <c r="E73" s="115"/>
      <c r="F73" s="115">
        <v>0</v>
      </c>
      <c r="G73" s="115">
        <v>978.59999999999991</v>
      </c>
      <c r="H73" s="115">
        <v>1977.54</v>
      </c>
      <c r="I73" s="115">
        <v>2273.5099999999998</v>
      </c>
      <c r="J73" s="115">
        <v>3016.2</v>
      </c>
      <c r="K73" s="115">
        <v>2721.76</v>
      </c>
      <c r="L73" s="115"/>
      <c r="M73" s="115"/>
      <c r="N73" s="115"/>
      <c r="O73" s="116">
        <f t="shared" si="3"/>
        <v>10967.609999999999</v>
      </c>
      <c r="P73" t="s">
        <v>229</v>
      </c>
    </row>
    <row r="74" spans="2:16">
      <c r="B74" s="127" t="s">
        <v>280</v>
      </c>
      <c r="C74" s="115"/>
      <c r="D74" s="115"/>
      <c r="E74" s="115"/>
      <c r="F74" s="115"/>
      <c r="G74" s="115"/>
      <c r="H74" s="115"/>
      <c r="I74" s="115">
        <v>938.39</v>
      </c>
      <c r="J74" s="115">
        <v>1119.8800000000001</v>
      </c>
      <c r="K74" s="115">
        <v>2295</v>
      </c>
      <c r="L74" s="115">
        <v>414.88</v>
      </c>
      <c r="M74" s="115"/>
      <c r="N74" s="115"/>
      <c r="O74" s="116">
        <f t="shared" si="3"/>
        <v>4768.1500000000005</v>
      </c>
      <c r="P74" t="s">
        <v>229</v>
      </c>
    </row>
    <row r="75" spans="2:16">
      <c r="B75" s="127" t="s">
        <v>281</v>
      </c>
      <c r="C75" s="115"/>
      <c r="D75" s="115"/>
      <c r="E75" s="115"/>
      <c r="F75" s="115"/>
      <c r="G75" s="115"/>
      <c r="H75" s="115"/>
      <c r="I75" s="115">
        <v>932.68000000000006</v>
      </c>
      <c r="J75" s="115">
        <v>549.9</v>
      </c>
      <c r="K75" s="115">
        <v>0</v>
      </c>
      <c r="L75" s="115"/>
      <c r="M75" s="115"/>
      <c r="N75" s="115"/>
      <c r="O75" s="116">
        <f t="shared" si="3"/>
        <v>1482.58</v>
      </c>
      <c r="P75" t="s">
        <v>229</v>
      </c>
    </row>
    <row r="76" spans="2:16">
      <c r="B76" s="126" t="s">
        <v>282</v>
      </c>
      <c r="C76" s="109">
        <v>3680.4300000000003</v>
      </c>
      <c r="D76" s="109">
        <v>4824.6400000000003</v>
      </c>
      <c r="E76" s="109">
        <v>4704.18</v>
      </c>
      <c r="F76" s="109">
        <v>7465.91</v>
      </c>
      <c r="G76" s="109">
        <v>6855.85</v>
      </c>
      <c r="H76" s="109">
        <v>6608.72</v>
      </c>
      <c r="I76" s="109">
        <v>6615.03</v>
      </c>
      <c r="J76" s="109">
        <v>5936.24</v>
      </c>
      <c r="K76" s="109">
        <v>9385.65</v>
      </c>
      <c r="L76" s="109">
        <v>5971.27</v>
      </c>
      <c r="M76" s="109">
        <v>4922.1099999999997</v>
      </c>
      <c r="N76" s="109">
        <v>3878.11</v>
      </c>
      <c r="O76" s="84">
        <f t="shared" si="3"/>
        <v>70848.14</v>
      </c>
    </row>
    <row r="77" spans="2:16">
      <c r="B77" s="126" t="s">
        <v>283</v>
      </c>
      <c r="C77" s="109"/>
      <c r="D77" s="109"/>
      <c r="E77" s="109"/>
      <c r="F77" s="109"/>
      <c r="G77" s="109"/>
      <c r="H77" s="109"/>
      <c r="I77" s="109">
        <v>0</v>
      </c>
      <c r="J77" s="109"/>
      <c r="K77" s="109"/>
      <c r="L77" s="109"/>
      <c r="M77" s="109"/>
      <c r="N77" s="109"/>
      <c r="O77" s="84">
        <f t="shared" si="3"/>
        <v>0</v>
      </c>
    </row>
    <row r="78" spans="2:16">
      <c r="B78" s="126" t="s">
        <v>284</v>
      </c>
      <c r="C78" s="109">
        <v>3101.54</v>
      </c>
      <c r="D78" s="109">
        <v>3291.51</v>
      </c>
      <c r="E78" s="109">
        <v>4239.4699999999993</v>
      </c>
      <c r="F78" s="109">
        <v>7434.38</v>
      </c>
      <c r="G78" s="109">
        <v>5873.17</v>
      </c>
      <c r="H78" s="109">
        <v>6198.2</v>
      </c>
      <c r="I78" s="109">
        <v>5021.41</v>
      </c>
      <c r="J78" s="109">
        <v>5699.49</v>
      </c>
      <c r="K78" s="109">
        <v>9704.3100000000013</v>
      </c>
      <c r="L78" s="109">
        <v>6566.9800000000005</v>
      </c>
      <c r="M78" s="109">
        <v>6453.23</v>
      </c>
      <c r="N78" s="109">
        <v>6463.1900000000005</v>
      </c>
      <c r="O78" s="84">
        <f t="shared" si="3"/>
        <v>70046.880000000005</v>
      </c>
    </row>
    <row r="79" spans="2:16">
      <c r="B79" s="127" t="s">
        <v>285</v>
      </c>
      <c r="C79" s="115"/>
      <c r="D79" s="115"/>
      <c r="E79" s="115"/>
      <c r="F79" s="115"/>
      <c r="G79" s="115"/>
      <c r="H79" s="115"/>
      <c r="I79" s="115">
        <v>405</v>
      </c>
      <c r="J79" s="115">
        <v>1809</v>
      </c>
      <c r="K79" s="115">
        <v>567.17999999999995</v>
      </c>
      <c r="L79" s="115"/>
      <c r="M79" s="115"/>
      <c r="N79" s="115"/>
      <c r="O79" s="116">
        <f t="shared" si="3"/>
        <v>2781.18</v>
      </c>
      <c r="P79" t="s">
        <v>229</v>
      </c>
    </row>
    <row r="80" spans="2:16">
      <c r="B80" s="126" t="s">
        <v>286</v>
      </c>
      <c r="C80" s="110"/>
      <c r="D80" s="110"/>
      <c r="E80" s="110"/>
      <c r="F80" s="110"/>
      <c r="G80" s="110">
        <v>1162</v>
      </c>
      <c r="H80" s="110">
        <v>840</v>
      </c>
      <c r="I80" s="110">
        <v>43.34</v>
      </c>
      <c r="J80" s="110">
        <v>0</v>
      </c>
      <c r="K80" s="110">
        <v>130.66</v>
      </c>
      <c r="L80" s="110"/>
      <c r="M80" s="110"/>
      <c r="N80" s="110"/>
      <c r="O80" s="84">
        <f t="shared" si="3"/>
        <v>2176</v>
      </c>
    </row>
    <row r="81" spans="2:17">
      <c r="B81" s="127" t="s">
        <v>287</v>
      </c>
      <c r="C81" s="115"/>
      <c r="D81" s="115">
        <v>1188</v>
      </c>
      <c r="E81" s="115">
        <v>0</v>
      </c>
      <c r="F81" s="115">
        <v>1680.99</v>
      </c>
      <c r="G81" s="115">
        <v>2384.66</v>
      </c>
      <c r="H81" s="115">
        <v>1965.74</v>
      </c>
      <c r="I81" s="115">
        <v>894.31</v>
      </c>
      <c r="J81" s="115">
        <v>806.91000000000008</v>
      </c>
      <c r="K81" s="115">
        <v>1815.85</v>
      </c>
      <c r="L81" s="115">
        <v>713.78</v>
      </c>
      <c r="M81" s="115">
        <v>0</v>
      </c>
      <c r="N81" s="115"/>
      <c r="O81" s="116">
        <f t="shared" si="3"/>
        <v>11450.24</v>
      </c>
      <c r="P81" t="s">
        <v>229</v>
      </c>
    </row>
    <row r="82" spans="2:17">
      <c r="B82" s="126" t="s">
        <v>288</v>
      </c>
      <c r="C82" s="109">
        <v>1411.48</v>
      </c>
      <c r="D82" s="109">
        <v>3966.6099999999997</v>
      </c>
      <c r="E82" s="109">
        <v>4271.55</v>
      </c>
      <c r="F82" s="109">
        <v>5574.95</v>
      </c>
      <c r="G82" s="109">
        <v>3927.79</v>
      </c>
      <c r="H82" s="109">
        <v>3853.24</v>
      </c>
      <c r="I82" s="109">
        <v>3798.98</v>
      </c>
      <c r="J82" s="109">
        <v>1380.8200000000002</v>
      </c>
      <c r="K82" s="109">
        <v>6239.19</v>
      </c>
      <c r="L82" s="109">
        <v>3904.03</v>
      </c>
      <c r="M82" s="109">
        <v>557.79</v>
      </c>
      <c r="N82" s="109">
        <v>3500.06</v>
      </c>
      <c r="O82" s="84">
        <f t="shared" si="3"/>
        <v>42386.49</v>
      </c>
    </row>
    <row r="83" spans="2:17" s="21" customFormat="1">
      <c r="B83" s="130" t="s">
        <v>91</v>
      </c>
      <c r="C83" s="114">
        <f>SUM(C18:C82)</f>
        <v>61466.560000000005</v>
      </c>
      <c r="D83" s="114">
        <f t="shared" ref="D83:O83" si="4">SUM(D18:D82)</f>
        <v>81888.839999999982</v>
      </c>
      <c r="E83" s="114">
        <f t="shared" si="4"/>
        <v>82599.960000000006</v>
      </c>
      <c r="F83" s="114">
        <f t="shared" si="4"/>
        <v>145506.57</v>
      </c>
      <c r="G83" s="114">
        <f t="shared" si="4"/>
        <v>161485.64000000004</v>
      </c>
      <c r="H83" s="114">
        <f t="shared" si="4"/>
        <v>169512.94</v>
      </c>
      <c r="I83" s="114">
        <f t="shared" si="4"/>
        <v>184587.83000000005</v>
      </c>
      <c r="J83" s="114">
        <f t="shared" si="4"/>
        <v>195481.04</v>
      </c>
      <c r="K83" s="114">
        <f t="shared" si="4"/>
        <v>251499.33000000005</v>
      </c>
      <c r="L83" s="114">
        <f t="shared" si="4"/>
        <v>137852.78</v>
      </c>
      <c r="M83" s="114">
        <f t="shared" si="4"/>
        <v>90113.799999999988</v>
      </c>
      <c r="N83" s="114">
        <f t="shared" si="4"/>
        <v>87667.010000000009</v>
      </c>
      <c r="O83" s="114">
        <f t="shared" si="4"/>
        <v>1649662.3</v>
      </c>
    </row>
    <row r="84" spans="2:17"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</row>
    <row r="85" spans="2:17" ht="15.75">
      <c r="B85" s="121" t="s">
        <v>289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</row>
    <row r="86" spans="2:17">
      <c r="B86" s="124" t="s">
        <v>273</v>
      </c>
      <c r="C86" s="110">
        <v>2544</v>
      </c>
      <c r="D86" s="110">
        <v>2544</v>
      </c>
      <c r="E86" s="110">
        <v>2544</v>
      </c>
      <c r="F86" s="110">
        <v>3816</v>
      </c>
      <c r="G86" s="110">
        <v>2544</v>
      </c>
      <c r="H86" s="110">
        <v>2544</v>
      </c>
      <c r="I86" s="110">
        <v>2544</v>
      </c>
      <c r="J86" s="110">
        <v>2544</v>
      </c>
      <c r="K86" s="110">
        <v>3816</v>
      </c>
      <c r="L86" s="110">
        <v>2544</v>
      </c>
      <c r="M86" s="110">
        <v>2544</v>
      </c>
      <c r="N86" s="110">
        <v>2544</v>
      </c>
      <c r="P86" t="s">
        <v>292</v>
      </c>
      <c r="Q86" s="84"/>
    </row>
    <row r="87" spans="2:17"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</row>
    <row r="88" spans="2:17" ht="15.75">
      <c r="C88" s="149" t="s">
        <v>320</v>
      </c>
      <c r="D88" s="149"/>
      <c r="E88" s="149"/>
      <c r="F88" s="149"/>
      <c r="G88" s="149"/>
      <c r="H88" s="149"/>
      <c r="I88" s="123"/>
      <c r="J88" s="123"/>
      <c r="K88" s="123"/>
      <c r="L88" s="111"/>
      <c r="N88" s="121"/>
      <c r="O88" s="121"/>
    </row>
    <row r="89" spans="2:17">
      <c r="B89" s="122" t="s">
        <v>290</v>
      </c>
      <c r="C89" s="120">
        <f t="shared" ref="C89:N89" si="5">SUMIF($P:$P,"x",C:C)+C86</f>
        <v>3124.5699999999997</v>
      </c>
      <c r="D89" s="120">
        <f t="shared" si="5"/>
        <v>4415.3999999999996</v>
      </c>
      <c r="E89" s="120">
        <f t="shared" si="5"/>
        <v>3742.52</v>
      </c>
      <c r="F89" s="120">
        <f t="shared" si="5"/>
        <v>10580.68</v>
      </c>
      <c r="G89" s="120">
        <f t="shared" si="5"/>
        <v>29391.91</v>
      </c>
      <c r="H89" s="120">
        <f t="shared" si="5"/>
        <v>37724.299999999996</v>
      </c>
      <c r="I89" s="120">
        <f t="shared" si="5"/>
        <v>48835.37</v>
      </c>
      <c r="J89" s="120">
        <f t="shared" si="5"/>
        <v>52808.21</v>
      </c>
      <c r="K89" s="120">
        <f t="shared" si="5"/>
        <v>51205.95</v>
      </c>
      <c r="L89" s="120">
        <f t="shared" si="5"/>
        <v>16273.24</v>
      </c>
      <c r="M89" s="120">
        <f t="shared" si="5"/>
        <v>5277.9400000000005</v>
      </c>
      <c r="N89" s="120">
        <f t="shared" si="5"/>
        <v>4857.3999999999996</v>
      </c>
      <c r="O89" s="120">
        <f>SUM(C89:N89)</f>
        <v>268237.49</v>
      </c>
    </row>
    <row r="93" spans="2:17">
      <c r="O93" s="12"/>
    </row>
  </sheetData>
  <pageMargins left="0.7" right="0.7" top="0.75" bottom="0.75" header="0.3" footer="0.3"/>
  <pageSetup scale="49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Acrobat.Document.DC" shapeId="11267" r:id="rId4">
          <objectPr defaultSize="0" autoPict="0" r:id="rId5">
            <anchor moveWithCells="1">
              <from>
                <xdr:col>1</xdr:col>
                <xdr:colOff>676275</xdr:colOff>
                <xdr:row>90</xdr:row>
                <xdr:rowOff>142875</xdr:rowOff>
              </from>
              <to>
                <xdr:col>8</xdr:col>
                <xdr:colOff>200025</xdr:colOff>
                <xdr:row>138</xdr:row>
                <xdr:rowOff>114300</xdr:rowOff>
              </to>
            </anchor>
          </objectPr>
        </oleObject>
      </mc:Choice>
      <mc:Fallback>
        <oleObject progId="Acrobat.Document.DC" shapeId="11267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9918-1148-42CE-9E6F-D17EC5D7C8D2}">
  <sheetPr>
    <pageSetUpPr fitToPage="1"/>
  </sheetPr>
  <dimension ref="B1:E14"/>
  <sheetViews>
    <sheetView workbookViewId="0">
      <selection activeCell="B2" sqref="B2"/>
    </sheetView>
  </sheetViews>
  <sheetFormatPr defaultRowHeight="15"/>
  <cols>
    <col min="1" max="1" width="2.7109375" customWidth="1"/>
    <col min="2" max="2" width="28.5703125" bestFit="1" customWidth="1"/>
    <col min="3" max="3" width="10.42578125" bestFit="1" customWidth="1"/>
    <col min="4" max="4" width="10.5703125" style="12" bestFit="1" customWidth="1"/>
  </cols>
  <sheetData>
    <row r="1" spans="2:5" ht="18.75">
      <c r="B1" s="1" t="s">
        <v>106</v>
      </c>
    </row>
    <row r="2" spans="2:5" ht="15.75">
      <c r="B2" s="2" t="s">
        <v>134</v>
      </c>
    </row>
    <row r="3" spans="2:5">
      <c r="B3" t="s">
        <v>201</v>
      </c>
    </row>
    <row r="6" spans="2:5">
      <c r="B6" s="21" t="s">
        <v>134</v>
      </c>
    </row>
    <row r="7" spans="2:5">
      <c r="B7" s="12" t="s">
        <v>364</v>
      </c>
      <c r="C7" s="13">
        <v>5727</v>
      </c>
    </row>
    <row r="8" spans="2:5">
      <c r="B8" s="12" t="s">
        <v>365</v>
      </c>
      <c r="C8" s="13">
        <v>15775</v>
      </c>
    </row>
    <row r="9" spans="2:5">
      <c r="B9" t="s">
        <v>337</v>
      </c>
      <c r="C9" s="22">
        <f>SUM(C7:C8)</f>
        <v>21502</v>
      </c>
    </row>
    <row r="10" spans="2:5">
      <c r="C10" s="13"/>
      <c r="E10" s="84"/>
    </row>
    <row r="11" spans="2:5">
      <c r="B11" t="s">
        <v>338</v>
      </c>
      <c r="C11" s="13">
        <v>2</v>
      </c>
    </row>
    <row r="12" spans="2:5">
      <c r="C12" s="13"/>
      <c r="D12"/>
    </row>
    <row r="13" spans="2:5">
      <c r="C13" s="164">
        <f>C9/C11</f>
        <v>10751</v>
      </c>
      <c r="D13" s="153" t="s">
        <v>336</v>
      </c>
    </row>
    <row r="14" spans="2:5">
      <c r="C14" s="12"/>
      <c r="D14"/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CD8AC-A70C-4737-A5AD-DAE7DE0681F9}">
  <sheetPr>
    <pageSetUpPr fitToPage="1"/>
  </sheetPr>
  <dimension ref="B1:P53"/>
  <sheetViews>
    <sheetView workbookViewId="0">
      <selection activeCell="B2" sqref="B2"/>
    </sheetView>
  </sheetViews>
  <sheetFormatPr defaultRowHeight="15"/>
  <cols>
    <col min="1" max="1" width="2.7109375" customWidth="1"/>
    <col min="2" max="2" width="41.140625" bestFit="1" customWidth="1"/>
    <col min="3" max="3" width="16.85546875" bestFit="1" customWidth="1"/>
    <col min="4" max="6" width="10.5703125" bestFit="1" customWidth="1"/>
    <col min="7" max="7" width="11.5703125" bestFit="1" customWidth="1"/>
    <col min="8" max="11" width="11.28515625" bestFit="1" customWidth="1"/>
    <col min="12" max="14" width="10.5703125" bestFit="1" customWidth="1"/>
    <col min="15" max="15" width="2.7109375" customWidth="1"/>
    <col min="16" max="16" width="13.28515625" bestFit="1" customWidth="1"/>
  </cols>
  <sheetData>
    <row r="1" spans="2:16" ht="18.75">
      <c r="B1" s="98" t="s">
        <v>106</v>
      </c>
    </row>
    <row r="2" spans="2:16" ht="15.75">
      <c r="B2" s="99" t="s">
        <v>366</v>
      </c>
    </row>
    <row r="3" spans="2:16">
      <c r="B3" t="s">
        <v>201</v>
      </c>
    </row>
    <row r="7" spans="2:16">
      <c r="C7" s="112">
        <v>44562</v>
      </c>
      <c r="D7" s="112">
        <v>44593</v>
      </c>
      <c r="E7" s="112">
        <v>44621</v>
      </c>
      <c r="F7" s="112">
        <v>44652</v>
      </c>
      <c r="G7" s="112">
        <v>44682</v>
      </c>
      <c r="H7" s="112">
        <v>44713</v>
      </c>
      <c r="I7" s="112">
        <v>44743</v>
      </c>
      <c r="J7" s="112">
        <v>44774</v>
      </c>
      <c r="K7" s="112">
        <v>44805</v>
      </c>
      <c r="L7" s="112">
        <v>44835</v>
      </c>
      <c r="M7" s="112">
        <v>44866</v>
      </c>
      <c r="N7" s="112">
        <v>44896</v>
      </c>
      <c r="O7" s="113"/>
      <c r="P7" s="113" t="s">
        <v>380</v>
      </c>
    </row>
    <row r="8" spans="2:16">
      <c r="B8" t="s">
        <v>379</v>
      </c>
      <c r="C8" s="12">
        <f>'SE 12-mon P&amp;L'!C12</f>
        <v>13528.9</v>
      </c>
      <c r="D8" s="12">
        <f>'SE 12-mon P&amp;L'!D12</f>
        <v>11982.58</v>
      </c>
      <c r="E8" s="12">
        <f>'SE 12-mon P&amp;L'!E12</f>
        <v>41209.08</v>
      </c>
      <c r="F8" s="12">
        <f>'SE 12-mon P&amp;L'!F12</f>
        <v>56456.45</v>
      </c>
      <c r="G8" s="12">
        <f>'SE 12-mon P&amp;L'!G12</f>
        <v>187256.61</v>
      </c>
      <c r="H8" s="12">
        <f>'SE 12-mon P&amp;L'!H12</f>
        <v>212923.46</v>
      </c>
      <c r="I8" s="12">
        <f>'SE 12-mon P&amp;L'!I12</f>
        <v>229725.14</v>
      </c>
      <c r="J8" s="12">
        <f>'SE 12-mon P&amp;L'!J12</f>
        <v>251440.40999999997</v>
      </c>
      <c r="K8" s="12">
        <f>'SE 12-mon P&amp;L'!K12</f>
        <v>136044.26999999999</v>
      </c>
      <c r="L8" s="12">
        <f>'SE 12-mon P&amp;L'!L12</f>
        <v>28009.41</v>
      </c>
      <c r="M8" s="12">
        <f>'SE 12-mon P&amp;L'!M12</f>
        <v>15664.36</v>
      </c>
      <c r="N8" s="12">
        <f>'SE 12-mon P&amp;L'!N12</f>
        <v>30328.89</v>
      </c>
      <c r="O8" s="12"/>
      <c r="P8" s="84">
        <f>SUM(C8:N8)</f>
        <v>1214569.5599999998</v>
      </c>
    </row>
    <row r="11" spans="2:16">
      <c r="B11" s="178" t="s">
        <v>205</v>
      </c>
    </row>
    <row r="12" spans="2:16">
      <c r="B12" s="191" t="s">
        <v>206</v>
      </c>
      <c r="C12" s="191"/>
      <c r="D12" s="191"/>
      <c r="E12" s="191"/>
    </row>
    <row r="14" spans="2:16">
      <c r="C14" s="91" t="s">
        <v>207</v>
      </c>
      <c r="D14" s="13">
        <f>SUM('Results of Oper'!D52:D85)</f>
        <v>337811.62999999995</v>
      </c>
      <c r="E14" s="13"/>
    </row>
    <row r="15" spans="2:16">
      <c r="C15" s="91">
        <v>41000</v>
      </c>
      <c r="D15" s="13">
        <f>'Results of Oper'!C17</f>
        <v>3718768.92</v>
      </c>
      <c r="E15" s="13"/>
      <c r="F15" s="13"/>
    </row>
    <row r="16" spans="2:16">
      <c r="D16" s="38">
        <f>D14/D15</f>
        <v>9.0839640017212994E-2</v>
      </c>
    </row>
    <row r="17" spans="2:16">
      <c r="D17" s="38"/>
    </row>
    <row r="18" spans="2:16">
      <c r="B18" s="152" t="s">
        <v>378</v>
      </c>
      <c r="C18" s="116">
        <f>$D$16*C8</f>
        <v>1228.9604058288728</v>
      </c>
      <c r="D18" s="116">
        <f t="shared" ref="D18:N18" si="0">$D$16*D8</f>
        <v>1088.4932536774561</v>
      </c>
      <c r="E18" s="116">
        <f t="shared" si="0"/>
        <v>3743.4179926405318</v>
      </c>
      <c r="F18" s="116">
        <f t="shared" si="0"/>
        <v>5128.4835946497842</v>
      </c>
      <c r="G18" s="116">
        <f t="shared" si="0"/>
        <v>17010.323043243647</v>
      </c>
      <c r="H18" s="116">
        <f t="shared" si="0"/>
        <v>19341.890457619451</v>
      </c>
      <c r="I18" s="116">
        <f t="shared" si="0"/>
        <v>20868.149020503857</v>
      </c>
      <c r="J18" s="116">
        <f t="shared" si="0"/>
        <v>22840.75633018044</v>
      </c>
      <c r="K18" s="116">
        <f t="shared" si="0"/>
        <v>12358.212513204528</v>
      </c>
      <c r="L18" s="116">
        <f t="shared" si="0"/>
        <v>2544.3647214945258</v>
      </c>
      <c r="M18" s="116">
        <f t="shared" si="0"/>
        <v>1422.9448235000307</v>
      </c>
      <c r="N18" s="116">
        <f t="shared" si="0"/>
        <v>2755.065449721651</v>
      </c>
      <c r="O18" s="116"/>
      <c r="P18" s="116">
        <f>SUM(C18:N18)</f>
        <v>110331.06160626478</v>
      </c>
    </row>
    <row r="19" spans="2:16">
      <c r="D19" s="38"/>
    </row>
    <row r="21" spans="2:16">
      <c r="B21" s="178" t="s">
        <v>208</v>
      </c>
    </row>
    <row r="22" spans="2:16">
      <c r="B22" s="191" t="s">
        <v>209</v>
      </c>
      <c r="C22" s="191"/>
      <c r="D22" s="191"/>
    </row>
    <row r="24" spans="2:16">
      <c r="C24" s="91">
        <v>65000</v>
      </c>
      <c r="D24" s="13">
        <f>SUM('Results of Oper'!D87:D90)</f>
        <v>134956.38999999998</v>
      </c>
      <c r="E24" s="13"/>
    </row>
    <row r="25" spans="2:16">
      <c r="C25" s="91">
        <v>41000</v>
      </c>
      <c r="D25" s="13">
        <f>'Results of Oper'!C17</f>
        <v>3718768.92</v>
      </c>
      <c r="E25" s="13"/>
    </row>
    <row r="26" spans="2:16">
      <c r="D26" s="38">
        <f>D24/D25</f>
        <v>3.6290609312718464E-2</v>
      </c>
    </row>
    <row r="28" spans="2:16">
      <c r="B28" s="152" t="s">
        <v>381</v>
      </c>
      <c r="C28" s="116">
        <f>$D$26*C8</f>
        <v>490.9720243308368</v>
      </c>
      <c r="D28" s="116">
        <f t="shared" ref="D28:N28" si="1">$D$26*D8</f>
        <v>434.85512933839402</v>
      </c>
      <c r="E28" s="116">
        <f t="shared" si="1"/>
        <v>1495.5026224165601</v>
      </c>
      <c r="F28" s="116">
        <f t="shared" si="1"/>
        <v>2048.8389701330243</v>
      </c>
      <c r="G28" s="116">
        <f t="shared" si="1"/>
        <v>6795.656474734089</v>
      </c>
      <c r="H28" s="116">
        <f t="shared" si="1"/>
        <v>7727.1221003722367</v>
      </c>
      <c r="I28" s="116">
        <f t="shared" si="1"/>
        <v>8336.8653050495541</v>
      </c>
      <c r="J28" s="116">
        <f t="shared" si="1"/>
        <v>9124.9256847397482</v>
      </c>
      <c r="K28" s="116">
        <f t="shared" si="1"/>
        <v>4937.1294518039849</v>
      </c>
      <c r="L28" s="116">
        <f t="shared" si="1"/>
        <v>1016.4785553897497</v>
      </c>
      <c r="M28" s="116">
        <f t="shared" si="1"/>
        <v>568.46916889377462</v>
      </c>
      <c r="N28" s="116">
        <f t="shared" si="1"/>
        <v>1100.6538978784138</v>
      </c>
      <c r="O28" s="116"/>
      <c r="P28" s="116">
        <f>SUM(C28:N28)</f>
        <v>44077.469385080374</v>
      </c>
    </row>
    <row r="29" spans="2:16">
      <c r="D29" s="38"/>
    </row>
    <row r="30" spans="2:16">
      <c r="D30" s="38"/>
    </row>
    <row r="31" spans="2:16">
      <c r="B31" s="178" t="s">
        <v>203</v>
      </c>
    </row>
    <row r="32" spans="2:16">
      <c r="B32" s="191" t="s">
        <v>204</v>
      </c>
      <c r="C32" s="191"/>
      <c r="D32" s="191"/>
    </row>
    <row r="34" spans="2:16">
      <c r="C34" s="103">
        <v>61500</v>
      </c>
      <c r="D34" s="18">
        <f>SUM('Results of Oper'!D28:D37)</f>
        <v>312051.59000000003</v>
      </c>
    </row>
    <row r="35" spans="2:16">
      <c r="C35" s="103">
        <v>61100</v>
      </c>
      <c r="D35" s="18">
        <f>'Results of Oper'!D25</f>
        <v>1666700.2900000003</v>
      </c>
    </row>
    <row r="36" spans="2:16">
      <c r="C36" s="105"/>
      <c r="D36" s="102">
        <f>D34/D35</f>
        <v>0.18722717687893364</v>
      </c>
    </row>
    <row r="39" spans="2:16">
      <c r="B39" s="152" t="s">
        <v>382</v>
      </c>
      <c r="C39" s="116">
        <f>'SE 12-mon P&amp;L'!C24</f>
        <v>3124.57</v>
      </c>
      <c r="D39" s="116">
        <f>'SE 12-mon P&amp;L'!D24</f>
        <v>4415.3999999999996</v>
      </c>
      <c r="E39" s="116">
        <f>'SE 12-mon P&amp;L'!E24</f>
        <v>3742.52</v>
      </c>
      <c r="F39" s="116">
        <f>'SE 12-mon P&amp;L'!F24</f>
        <v>10580.68</v>
      </c>
      <c r="G39" s="116">
        <f>'SE 12-mon P&amp;L'!G24</f>
        <v>29391.91</v>
      </c>
      <c r="H39" s="116">
        <f>'SE 12-mon P&amp;L'!H24</f>
        <v>37724.300000000003</v>
      </c>
      <c r="I39" s="116">
        <f>'SE 12-mon P&amp;L'!I24</f>
        <v>48835.37</v>
      </c>
      <c r="J39" s="116">
        <f>'SE 12-mon P&amp;L'!J24</f>
        <v>52808.21</v>
      </c>
      <c r="K39" s="116">
        <f>'SE 12-mon P&amp;L'!K24</f>
        <v>51205.95</v>
      </c>
      <c r="L39" s="116">
        <f>'SE 12-mon P&amp;L'!L24</f>
        <v>16273.24</v>
      </c>
      <c r="M39" s="116">
        <f>'SE 12-mon P&amp;L'!M24</f>
        <v>5277.94</v>
      </c>
      <c r="N39" s="116">
        <f>'SE 12-mon P&amp;L'!N24</f>
        <v>4857.3999999999996</v>
      </c>
      <c r="O39" s="116"/>
      <c r="P39" s="116">
        <f>SUM(C39:N39)</f>
        <v>268237.49</v>
      </c>
    </row>
    <row r="40" spans="2:16"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</row>
    <row r="41" spans="2:16">
      <c r="C41" s="84"/>
      <c r="D41" s="84"/>
      <c r="E41" s="84"/>
      <c r="F41" s="192" t="s">
        <v>383</v>
      </c>
      <c r="G41" s="192"/>
      <c r="H41" s="192"/>
      <c r="I41" s="192"/>
      <c r="J41" s="192"/>
      <c r="K41" s="192"/>
      <c r="L41" s="192"/>
      <c r="M41" s="84"/>
      <c r="N41" s="84"/>
      <c r="O41" s="84"/>
      <c r="P41" s="84"/>
    </row>
    <row r="42" spans="2:16">
      <c r="B42" s="152" t="s">
        <v>385</v>
      </c>
      <c r="C42" s="116">
        <f>$D$36*C39</f>
        <v>585.00442006060973</v>
      </c>
      <c r="D42" s="116">
        <f t="shared" ref="D42:N42" si="2">$D$36*D39</f>
        <v>826.68287679124353</v>
      </c>
      <c r="E42" s="116">
        <f t="shared" si="2"/>
        <v>700.70145401294678</v>
      </c>
      <c r="F42" s="181">
        <f t="shared" si="2"/>
        <v>1980.9908458593957</v>
      </c>
      <c r="G42" s="181">
        <f t="shared" si="2"/>
        <v>5502.9643323796981</v>
      </c>
      <c r="H42" s="181">
        <f t="shared" si="2"/>
        <v>7063.0141887339569</v>
      </c>
      <c r="I42" s="181">
        <f t="shared" si="2"/>
        <v>9143.3084569381699</v>
      </c>
      <c r="J42" s="181">
        <f t="shared" si="2"/>
        <v>9887.1320743298729</v>
      </c>
      <c r="K42" s="181">
        <f t="shared" si="2"/>
        <v>9587.1454579038309</v>
      </c>
      <c r="L42" s="181">
        <f t="shared" si="2"/>
        <v>3046.7927838733381</v>
      </c>
      <c r="M42" s="116">
        <f t="shared" si="2"/>
        <v>988.17380593639894</v>
      </c>
      <c r="N42" s="116">
        <f t="shared" si="2"/>
        <v>909.43728897173219</v>
      </c>
      <c r="O42" s="116"/>
      <c r="P42" s="116">
        <f>SUM(C42:N42)</f>
        <v>50221.347985791195</v>
      </c>
    </row>
    <row r="43" spans="2:16">
      <c r="B43" s="152" t="s">
        <v>384</v>
      </c>
      <c r="C43" s="116"/>
      <c r="D43" s="116"/>
      <c r="E43" s="116"/>
      <c r="F43" s="181">
        <f>'SE Allocations'!C30</f>
        <v>378.84272458240343</v>
      </c>
      <c r="G43" s="181">
        <f>'SE Allocations'!D30</f>
        <v>12995.446052073323</v>
      </c>
      <c r="H43" s="181">
        <f>'SE Allocations'!E30</f>
        <v>16347.695765857867</v>
      </c>
      <c r="I43" s="181">
        <f>'SE Allocations'!F30</f>
        <v>16694.563369766667</v>
      </c>
      <c r="J43" s="181">
        <f>'SE Allocations'!G30</f>
        <v>26225.167045435723</v>
      </c>
      <c r="K43" s="181">
        <f>'SE Allocations'!H30</f>
        <v>9310.6767920595794</v>
      </c>
      <c r="L43" s="181">
        <f>'SE Allocations'!I30</f>
        <v>2235.4779198610549</v>
      </c>
      <c r="M43" s="116"/>
      <c r="N43" s="116"/>
      <c r="O43" s="116"/>
      <c r="P43" s="116">
        <f t="shared" ref="P43:P44" si="3">SUM(C43:N43)</f>
        <v>84187.86966963661</v>
      </c>
    </row>
    <row r="44" spans="2:16">
      <c r="B44" s="179" t="s">
        <v>386</v>
      </c>
      <c r="C44" s="182">
        <f>SUM(C42:C43)</f>
        <v>585.00442006060973</v>
      </c>
      <c r="D44" s="182">
        <f t="shared" ref="D44:N44" si="4">SUM(D42:D43)</f>
        <v>826.68287679124353</v>
      </c>
      <c r="E44" s="182">
        <f t="shared" si="4"/>
        <v>700.70145401294678</v>
      </c>
      <c r="F44" s="183">
        <f t="shared" si="4"/>
        <v>2359.8335704417991</v>
      </c>
      <c r="G44" s="183">
        <f t="shared" si="4"/>
        <v>18498.410384453022</v>
      </c>
      <c r="H44" s="183">
        <f t="shared" si="4"/>
        <v>23410.709954591824</v>
      </c>
      <c r="I44" s="183">
        <f t="shared" si="4"/>
        <v>25837.871826704839</v>
      </c>
      <c r="J44" s="183">
        <f t="shared" si="4"/>
        <v>36112.299119765594</v>
      </c>
      <c r="K44" s="183">
        <f t="shared" si="4"/>
        <v>18897.82224996341</v>
      </c>
      <c r="L44" s="183">
        <f t="shared" si="4"/>
        <v>5282.2707037343935</v>
      </c>
      <c r="M44" s="182">
        <f t="shared" si="4"/>
        <v>988.17380593639894</v>
      </c>
      <c r="N44" s="182">
        <f t="shared" si="4"/>
        <v>909.43728897173219</v>
      </c>
      <c r="O44" s="180"/>
      <c r="P44" s="182">
        <f t="shared" si="3"/>
        <v>134409.21765542778</v>
      </c>
    </row>
    <row r="45" spans="2:16">
      <c r="D45" s="38"/>
    </row>
    <row r="46" spans="2:16">
      <c r="D46" s="38"/>
    </row>
    <row r="47" spans="2:16">
      <c r="B47" s="178" t="s">
        <v>210</v>
      </c>
    </row>
    <row r="48" spans="2:16">
      <c r="B48" s="191" t="s">
        <v>211</v>
      </c>
      <c r="C48" s="191"/>
      <c r="D48" s="191"/>
    </row>
    <row r="50" spans="2:16">
      <c r="C50" s="91" t="s">
        <v>212</v>
      </c>
      <c r="D50" s="13">
        <f>'Results of Oper'!C92</f>
        <v>149800</v>
      </c>
    </row>
    <row r="51" spans="2:16">
      <c r="C51" s="91" t="s">
        <v>213</v>
      </c>
      <c r="D51" s="13">
        <f>D50/7</f>
        <v>21400</v>
      </c>
    </row>
    <row r="53" spans="2:16">
      <c r="B53" s="152" t="s">
        <v>387</v>
      </c>
      <c r="C53" s="116"/>
      <c r="D53" s="116"/>
      <c r="E53" s="116"/>
      <c r="F53" s="116">
        <f>$D$51</f>
        <v>21400</v>
      </c>
      <c r="G53" s="116">
        <f t="shared" ref="G53:L53" si="5">$D$51</f>
        <v>21400</v>
      </c>
      <c r="H53" s="116">
        <f t="shared" si="5"/>
        <v>21400</v>
      </c>
      <c r="I53" s="116">
        <f t="shared" si="5"/>
        <v>21400</v>
      </c>
      <c r="J53" s="116">
        <f t="shared" si="5"/>
        <v>21400</v>
      </c>
      <c r="K53" s="116">
        <f t="shared" si="5"/>
        <v>21400</v>
      </c>
      <c r="L53" s="116">
        <f t="shared" si="5"/>
        <v>21400</v>
      </c>
      <c r="M53" s="116"/>
      <c r="N53" s="116"/>
      <c r="O53" s="116"/>
      <c r="P53" s="116">
        <f>SUM(C53:N53)</f>
        <v>149800</v>
      </c>
    </row>
  </sheetData>
  <mergeCells count="5">
    <mergeCell ref="B22:D22"/>
    <mergeCell ref="B32:D32"/>
    <mergeCell ref="B48:D48"/>
    <mergeCell ref="B12:E12"/>
    <mergeCell ref="F41:L41"/>
  </mergeCells>
  <phoneticPr fontId="23" type="noConversion"/>
  <pageMargins left="0.7" right="0.7" top="0.75" bottom="0.75" header="0.3" footer="0.3"/>
  <pageSetup scale="62" fitToHeight="0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56332-F18B-4CFA-9A5E-B44572C5F5D6}">
  <sheetPr>
    <pageSetUpPr fitToPage="1"/>
  </sheetPr>
  <dimension ref="B1:J50"/>
  <sheetViews>
    <sheetView workbookViewId="0">
      <selection activeCell="B2" sqref="B2"/>
    </sheetView>
  </sheetViews>
  <sheetFormatPr defaultRowHeight="15"/>
  <cols>
    <col min="1" max="1" width="2.7109375" customWidth="1"/>
    <col min="2" max="2" width="64.28515625" bestFit="1" customWidth="1"/>
    <col min="3" max="9" width="11.5703125" bestFit="1" customWidth="1"/>
    <col min="10" max="10" width="13.28515625" bestFit="1" customWidth="1"/>
  </cols>
  <sheetData>
    <row r="1" spans="2:10" ht="18.75">
      <c r="B1" s="98" t="s">
        <v>106</v>
      </c>
    </row>
    <row r="2" spans="2:10" ht="15.75">
      <c r="B2" s="99" t="s">
        <v>367</v>
      </c>
    </row>
    <row r="3" spans="2:10">
      <c r="B3" t="s">
        <v>201</v>
      </c>
    </row>
    <row r="6" spans="2:10">
      <c r="C6" s="112">
        <v>44652</v>
      </c>
      <c r="D6" s="112">
        <v>44682</v>
      </c>
      <c r="E6" s="112">
        <v>44713</v>
      </c>
      <c r="F6" s="112">
        <v>44743</v>
      </c>
      <c r="G6" s="112">
        <v>44774</v>
      </c>
      <c r="H6" s="112">
        <v>44805</v>
      </c>
      <c r="I6" s="112">
        <v>44835</v>
      </c>
      <c r="J6" s="113" t="s">
        <v>91</v>
      </c>
    </row>
    <row r="7" spans="2:10">
      <c r="B7" s="92" t="s">
        <v>217</v>
      </c>
      <c r="C7" s="93"/>
    </row>
    <row r="8" spans="2:10">
      <c r="B8" s="167" t="s">
        <v>214</v>
      </c>
      <c r="C8" s="13">
        <v>5294</v>
      </c>
      <c r="D8" s="13">
        <v>195653</v>
      </c>
      <c r="E8" s="13">
        <v>273003</v>
      </c>
      <c r="F8" s="13">
        <v>303945</v>
      </c>
      <c r="G8" s="13">
        <v>305759</v>
      </c>
      <c r="H8" s="13">
        <v>203416</v>
      </c>
      <c r="I8" s="13">
        <v>28645</v>
      </c>
      <c r="J8" s="13">
        <v>1315715</v>
      </c>
    </row>
    <row r="9" spans="2:10">
      <c r="B9" s="167" t="s">
        <v>215</v>
      </c>
      <c r="C9" s="13">
        <v>221008</v>
      </c>
      <c r="D9" s="13">
        <v>184285</v>
      </c>
      <c r="E9" s="13">
        <v>141276</v>
      </c>
      <c r="F9" s="13">
        <v>164596</v>
      </c>
      <c r="G9" s="13">
        <v>225642</v>
      </c>
      <c r="H9" s="13">
        <v>221096</v>
      </c>
      <c r="I9" s="13">
        <v>267119</v>
      </c>
      <c r="J9" s="13">
        <v>1425022</v>
      </c>
    </row>
    <row r="10" spans="2:10" ht="15.75" thickBot="1">
      <c r="B10" s="93" t="s">
        <v>91</v>
      </c>
      <c r="C10" s="108">
        <f>SUM(C8:C9)</f>
        <v>226302</v>
      </c>
      <c r="D10" s="108">
        <f t="shared" ref="D10:J10" si="0">SUM(D8:D9)</f>
        <v>379938</v>
      </c>
      <c r="E10" s="108">
        <f t="shared" si="0"/>
        <v>414279</v>
      </c>
      <c r="F10" s="108">
        <f t="shared" si="0"/>
        <v>468541</v>
      </c>
      <c r="G10" s="108">
        <f t="shared" si="0"/>
        <v>531401</v>
      </c>
      <c r="H10" s="108">
        <f t="shared" si="0"/>
        <v>424512</v>
      </c>
      <c r="I10" s="108">
        <f t="shared" si="0"/>
        <v>295764</v>
      </c>
      <c r="J10" s="22">
        <f t="shared" si="0"/>
        <v>2740737</v>
      </c>
    </row>
    <row r="11" spans="2:10" ht="15.75" thickTop="1"/>
    <row r="13" spans="2:10">
      <c r="B13" s="21" t="s">
        <v>216</v>
      </c>
    </row>
    <row r="14" spans="2:10">
      <c r="B14" s="7" t="s">
        <v>106</v>
      </c>
      <c r="C14" s="104">
        <f>C8/C10</f>
        <v>2.3393518395772021E-2</v>
      </c>
      <c r="D14" s="104">
        <f t="shared" ref="D14:I14" si="1">D8/D10</f>
        <v>0.51496033563370869</v>
      </c>
      <c r="E14" s="104">
        <f t="shared" si="1"/>
        <v>0.65898343869710996</v>
      </c>
      <c r="F14" s="104">
        <f t="shared" si="1"/>
        <v>0.64870523604124297</v>
      </c>
      <c r="G14" s="104">
        <f t="shared" si="1"/>
        <v>0.57538280883927584</v>
      </c>
      <c r="H14" s="104">
        <f t="shared" si="1"/>
        <v>0.47917608925071614</v>
      </c>
      <c r="I14" s="104">
        <f t="shared" si="1"/>
        <v>9.6850867583613956E-2</v>
      </c>
      <c r="J14" s="104"/>
    </row>
    <row r="15" spans="2:10">
      <c r="B15" s="7" t="s">
        <v>218</v>
      </c>
      <c r="C15" s="104">
        <f>C9/C10</f>
        <v>0.97660648160422803</v>
      </c>
      <c r="D15" s="104">
        <f t="shared" ref="D15:I15" si="2">D9/D10</f>
        <v>0.48503966436629137</v>
      </c>
      <c r="E15" s="104">
        <f t="shared" si="2"/>
        <v>0.3410165613028901</v>
      </c>
      <c r="F15" s="104">
        <f t="shared" si="2"/>
        <v>0.35129476395875708</v>
      </c>
      <c r="G15" s="104">
        <f t="shared" si="2"/>
        <v>0.42461719116072422</v>
      </c>
      <c r="H15" s="104">
        <f t="shared" si="2"/>
        <v>0.52082391074928391</v>
      </c>
      <c r="I15" s="104">
        <f t="shared" si="2"/>
        <v>0.90314913241638606</v>
      </c>
      <c r="J15" s="107"/>
    </row>
    <row r="16" spans="2:10">
      <c r="B16" t="s">
        <v>91</v>
      </c>
      <c r="C16" s="106">
        <f>SUM(C14:C15)</f>
        <v>1</v>
      </c>
      <c r="D16" s="106">
        <f t="shared" ref="D16:I16" si="3">SUM(D14:D15)</f>
        <v>1</v>
      </c>
      <c r="E16" s="106">
        <f t="shared" si="3"/>
        <v>1</v>
      </c>
      <c r="F16" s="106">
        <f t="shared" si="3"/>
        <v>1</v>
      </c>
      <c r="G16" s="106">
        <f t="shared" si="3"/>
        <v>1</v>
      </c>
      <c r="H16" s="106">
        <f t="shared" si="3"/>
        <v>1</v>
      </c>
      <c r="I16" s="106">
        <f t="shared" si="3"/>
        <v>1</v>
      </c>
      <c r="J16" s="107"/>
    </row>
    <row r="19" spans="2:10">
      <c r="B19" s="21" t="s">
        <v>220</v>
      </c>
    </row>
    <row r="20" spans="2:10">
      <c r="B20" t="s">
        <v>219</v>
      </c>
    </row>
    <row r="21" spans="2:10">
      <c r="B21" s="7" t="s">
        <v>221</v>
      </c>
      <c r="C21" s="12">
        <f>'Comb 12-mon P&amp;L'!F22</f>
        <v>97076.38</v>
      </c>
      <c r="D21" s="12">
        <f>'Comb 12-mon P&amp;L'!G22</f>
        <v>164179.07</v>
      </c>
      <c r="E21" s="12">
        <f>'Comb 12-mon P&amp;L'!H22</f>
        <v>170223.47</v>
      </c>
      <c r="F21" s="12">
        <f>'Comb 12-mon P&amp;L'!I22</f>
        <v>186289.81</v>
      </c>
      <c r="G21" s="12">
        <f>'Comb 12-mon P&amp;L'!J22</f>
        <v>296248.52</v>
      </c>
      <c r="H21" s="12">
        <f>'Comb 12-mon P&amp;L'!K22</f>
        <v>154986.79999999999</v>
      </c>
      <c r="I21" s="12">
        <f>'Comb 12-mon P&amp;L'!L22</f>
        <v>139554.76</v>
      </c>
      <c r="J21" s="97">
        <f>SUM(C21:I21)</f>
        <v>1208558.81</v>
      </c>
    </row>
    <row r="22" spans="2:10">
      <c r="B22" s="7" t="s">
        <v>222</v>
      </c>
      <c r="C22" s="12">
        <f>'SE 12-mon P&amp;L'!F24</f>
        <v>10580.68</v>
      </c>
      <c r="D22" s="12">
        <f>'SE 12-mon P&amp;L'!G24</f>
        <v>29391.91</v>
      </c>
      <c r="E22" s="12">
        <f>'SE 12-mon P&amp;L'!H24</f>
        <v>37724.300000000003</v>
      </c>
      <c r="F22" s="12">
        <f>'SE 12-mon P&amp;L'!I24</f>
        <v>48835.37</v>
      </c>
      <c r="G22" s="12">
        <f>'SE 12-mon P&amp;L'!J24</f>
        <v>52808.21</v>
      </c>
      <c r="H22" s="12">
        <f>'SE 12-mon P&amp;L'!K24</f>
        <v>51205.95</v>
      </c>
      <c r="I22" s="12">
        <f>'SE 12-mon P&amp;L'!L24</f>
        <v>16273.24</v>
      </c>
      <c r="J22" s="13">
        <f>SUM(C22:I22)</f>
        <v>246819.65999999997</v>
      </c>
    </row>
    <row r="23" spans="2:10">
      <c r="B23" s="7" t="s">
        <v>223</v>
      </c>
      <c r="C23" s="148">
        <f>C21-C22</f>
        <v>86495.700000000012</v>
      </c>
      <c r="D23" s="148">
        <f t="shared" ref="D23:I23" si="4">D21-D22</f>
        <v>134787.16</v>
      </c>
      <c r="E23" s="148">
        <f t="shared" si="4"/>
        <v>132499.16999999998</v>
      </c>
      <c r="F23" s="148">
        <f t="shared" si="4"/>
        <v>137454.44</v>
      </c>
      <c r="G23" s="148">
        <f t="shared" si="4"/>
        <v>243440.31000000003</v>
      </c>
      <c r="H23" s="148">
        <f t="shared" si="4"/>
        <v>103780.84999999999</v>
      </c>
      <c r="I23" s="148">
        <f t="shared" si="4"/>
        <v>123281.52</v>
      </c>
      <c r="J23" s="13"/>
    </row>
    <row r="24" spans="2:10">
      <c r="B24" s="21" t="s">
        <v>314</v>
      </c>
      <c r="C24" s="136">
        <f>C14*C23</f>
        <v>2023.4387491051782</v>
      </c>
      <c r="D24" s="136">
        <f t="shared" ref="D24:I24" si="5">D14*D23</f>
        <v>69410.041152714402</v>
      </c>
      <c r="E24" s="136">
        <f t="shared" si="5"/>
        <v>87314.758671112941</v>
      </c>
      <c r="F24" s="136">
        <f t="shared" si="5"/>
        <v>89167.414945116878</v>
      </c>
      <c r="G24" s="136">
        <f t="shared" si="5"/>
        <v>140071.36935250406</v>
      </c>
      <c r="H24" s="136">
        <f t="shared" si="5"/>
        <v>49729.301842115179</v>
      </c>
      <c r="I24" s="136">
        <f t="shared" si="5"/>
        <v>11939.922169026657</v>
      </c>
      <c r="J24" s="17">
        <f>SUM(C24:I24)</f>
        <v>449656.24688169523</v>
      </c>
    </row>
    <row r="27" spans="2:10">
      <c r="B27" s="21" t="s">
        <v>203</v>
      </c>
    </row>
    <row r="28" spans="2:10">
      <c r="B28" s="7" t="s">
        <v>298</v>
      </c>
      <c r="C28" s="137">
        <f>Allocations!D36</f>
        <v>0.18722717687893364</v>
      </c>
    </row>
    <row r="29" spans="2:10">
      <c r="B29" s="7"/>
    </row>
    <row r="30" spans="2:10">
      <c r="B30" s="7" t="s">
        <v>299</v>
      </c>
      <c r="C30" s="84">
        <f>C24*$C$28</f>
        <v>378.84272458240343</v>
      </c>
      <c r="D30" s="84">
        <f t="shared" ref="D30:I30" si="6">D24*$C$28</f>
        <v>12995.446052073323</v>
      </c>
      <c r="E30" s="84">
        <f>E24*$C$28</f>
        <v>16347.695765857867</v>
      </c>
      <c r="F30" s="84">
        <f t="shared" si="6"/>
        <v>16694.563369766667</v>
      </c>
      <c r="G30" s="84">
        <f t="shared" si="6"/>
        <v>26225.167045435723</v>
      </c>
      <c r="H30" s="84">
        <f t="shared" si="6"/>
        <v>9310.6767920595794</v>
      </c>
      <c r="I30" s="84">
        <f t="shared" si="6"/>
        <v>2235.4779198610549</v>
      </c>
      <c r="J30" s="97">
        <f>SUM(C30:I30)</f>
        <v>84187.86966963661</v>
      </c>
    </row>
    <row r="31" spans="2:10">
      <c r="B31" s="7" t="s">
        <v>300</v>
      </c>
      <c r="C31" s="84">
        <f t="shared" ref="C31:I31" si="7">C22*$C$28</f>
        <v>1980.9908458593957</v>
      </c>
      <c r="D31" s="84">
        <f t="shared" si="7"/>
        <v>5502.9643323796981</v>
      </c>
      <c r="E31" s="84">
        <f>E22*$C$28</f>
        <v>7063.0141887339569</v>
      </c>
      <c r="F31" s="84">
        <f t="shared" si="7"/>
        <v>9143.3084569381699</v>
      </c>
      <c r="G31" s="84">
        <f t="shared" si="7"/>
        <v>9887.1320743298729</v>
      </c>
      <c r="H31" s="84">
        <f t="shared" si="7"/>
        <v>9587.1454579038309</v>
      </c>
      <c r="I31" s="84">
        <f t="shared" si="7"/>
        <v>3046.7927838733381</v>
      </c>
      <c r="J31" s="97">
        <f>SUM(C31:I31)</f>
        <v>46211.348140018265</v>
      </c>
    </row>
    <row r="32" spans="2:10">
      <c r="B32" s="21" t="s">
        <v>313</v>
      </c>
      <c r="C32" s="139">
        <f>SUM(C30:C31)</f>
        <v>2359.8335704417991</v>
      </c>
      <c r="D32" s="139">
        <f t="shared" ref="D32:J32" si="8">SUM(D30:D31)</f>
        <v>18498.410384453022</v>
      </c>
      <c r="E32" s="139">
        <f t="shared" si="8"/>
        <v>23410.709954591824</v>
      </c>
      <c r="F32" s="139">
        <f t="shared" si="8"/>
        <v>25837.871826704839</v>
      </c>
      <c r="G32" s="139">
        <f t="shared" si="8"/>
        <v>36112.299119765594</v>
      </c>
      <c r="H32" s="139">
        <f t="shared" si="8"/>
        <v>18897.82224996341</v>
      </c>
      <c r="I32" s="139">
        <f t="shared" si="8"/>
        <v>5282.2707037343935</v>
      </c>
      <c r="J32" s="139">
        <f t="shared" si="8"/>
        <v>130399.21780965487</v>
      </c>
    </row>
    <row r="35" spans="2:10">
      <c r="B35" s="21" t="s">
        <v>301</v>
      </c>
    </row>
    <row r="36" spans="2:10">
      <c r="B36" t="s">
        <v>302</v>
      </c>
    </row>
    <row r="37" spans="2:10">
      <c r="B37" s="7" t="s">
        <v>303</v>
      </c>
      <c r="C37" s="13">
        <f>SUM('Comb 12-mon P&amp;L'!F37:F39)</f>
        <v>11141.75</v>
      </c>
      <c r="D37" s="13">
        <f>SUM('Comb 12-mon P&amp;L'!G37:G39)</f>
        <v>55458.720000000001</v>
      </c>
      <c r="E37" s="13">
        <f>SUM('Comb 12-mon P&amp;L'!H37:H39)</f>
        <v>27363.420000000002</v>
      </c>
      <c r="F37" s="13">
        <f>SUM('Comb 12-mon P&amp;L'!I37:I39)</f>
        <v>52103.409999999996</v>
      </c>
      <c r="G37" s="13">
        <f>SUM('Comb 12-mon P&amp;L'!J37:J39)</f>
        <v>29958.9</v>
      </c>
      <c r="H37" s="13">
        <f>SUM('Comb 12-mon P&amp;L'!K37:K39)</f>
        <v>67800.19</v>
      </c>
      <c r="I37" s="13">
        <f>SUM('Comb 12-mon P&amp;L'!L37:L39)</f>
        <v>26648.28</v>
      </c>
      <c r="J37" s="97">
        <f>SUM(C37:I37)</f>
        <v>270474.67</v>
      </c>
    </row>
    <row r="38" spans="2:10" s="21" customFormat="1">
      <c r="B38" s="21" t="s">
        <v>304</v>
      </c>
      <c r="C38" s="17">
        <f t="shared" ref="C38:I38" si="9">C14*C37</f>
        <v>260.64473358609291</v>
      </c>
      <c r="D38" s="17">
        <f t="shared" si="9"/>
        <v>28559.041065015874</v>
      </c>
      <c r="E38" s="17">
        <f t="shared" si="9"/>
        <v>18032.040606113274</v>
      </c>
      <c r="F38" s="17">
        <f t="shared" si="9"/>
        <v>33799.754882603658</v>
      </c>
      <c r="G38" s="17">
        <f t="shared" si="9"/>
        <v>17237.836031734983</v>
      </c>
      <c r="H38" s="17">
        <f t="shared" si="9"/>
        <v>32488.229894655513</v>
      </c>
      <c r="I38" s="17">
        <f t="shared" si="9"/>
        <v>2580.909037611068</v>
      </c>
      <c r="J38" s="138">
        <f>SUM(C38:I38)</f>
        <v>132958.45625132046</v>
      </c>
    </row>
    <row r="41" spans="2:10">
      <c r="B41" s="21" t="s">
        <v>306</v>
      </c>
    </row>
    <row r="42" spans="2:10">
      <c r="B42" t="s">
        <v>305</v>
      </c>
    </row>
    <row r="43" spans="2:10">
      <c r="B43" s="7" t="s">
        <v>307</v>
      </c>
      <c r="C43" s="13">
        <f>'Comb 12-mon P&amp;L'!F41</f>
        <v>21002.81</v>
      </c>
      <c r="D43" s="13">
        <f>'Comb 12-mon P&amp;L'!G41</f>
        <v>27709.52</v>
      </c>
      <c r="E43" s="13">
        <f>'Comb 12-mon P&amp;L'!H41</f>
        <v>47777.65</v>
      </c>
      <c r="F43" s="13">
        <f>'Comb 12-mon P&amp;L'!I41</f>
        <v>44552.37</v>
      </c>
      <c r="G43" s="13">
        <f>'Comb 12-mon P&amp;L'!J41</f>
        <v>50969.32</v>
      </c>
      <c r="H43" s="13">
        <f>'Comb 12-mon P&amp;L'!K41</f>
        <v>43229.55</v>
      </c>
      <c r="I43" s="13">
        <f>'Comb 12-mon P&amp;L'!L41</f>
        <v>29583.51</v>
      </c>
      <c r="J43" s="97">
        <f>SUM(C43:I43)</f>
        <v>264824.73000000004</v>
      </c>
    </row>
    <row r="44" spans="2:10" s="21" customFormat="1">
      <c r="B44" s="21" t="s">
        <v>308</v>
      </c>
      <c r="C44" s="17">
        <f t="shared" ref="C44:I44" si="10">C14*C43</f>
        <v>491.32962209790458</v>
      </c>
      <c r="D44" s="17">
        <f t="shared" si="10"/>
        <v>14269.303719448964</v>
      </c>
      <c r="E44" s="17">
        <f t="shared" si="10"/>
        <v>31484.680089866975</v>
      </c>
      <c r="F44" s="17">
        <f t="shared" si="10"/>
        <v>28901.355697046794</v>
      </c>
      <c r="G44" s="17">
        <f t="shared" si="10"/>
        <v>29326.870506227879</v>
      </c>
      <c r="H44" s="17">
        <f t="shared" si="10"/>
        <v>20714.566709068298</v>
      </c>
      <c r="I44" s="17">
        <f t="shared" si="10"/>
        <v>2865.1886096685193</v>
      </c>
      <c r="J44" s="138">
        <f>SUM(C44:I44)</f>
        <v>128053.29495342533</v>
      </c>
    </row>
    <row r="47" spans="2:10">
      <c r="B47" s="21" t="s">
        <v>310</v>
      </c>
    </row>
    <row r="48" spans="2:10">
      <c r="B48" t="s">
        <v>309</v>
      </c>
    </row>
    <row r="49" spans="2:10">
      <c r="B49" s="7" t="s">
        <v>311</v>
      </c>
      <c r="C49" s="13">
        <f>'Comb 12-mon P&amp;L'!F91</f>
        <v>26571</v>
      </c>
      <c r="D49" s="13">
        <f>'Comb 12-mon P&amp;L'!G91</f>
        <v>23562</v>
      </c>
      <c r="E49" s="13">
        <f>'Comb 12-mon P&amp;L'!H91</f>
        <v>18259</v>
      </c>
      <c r="F49" s="13">
        <f>'Comb 12-mon P&amp;L'!I91</f>
        <v>11229</v>
      </c>
      <c r="G49" s="13">
        <f>'Comb 12-mon P&amp;L'!J91</f>
        <v>754</v>
      </c>
      <c r="H49" s="13">
        <f>'Comb 12-mon P&amp;L'!K91</f>
        <v>100069</v>
      </c>
      <c r="I49" s="13">
        <f>'Comb 12-mon P&amp;L'!L91</f>
        <v>25000</v>
      </c>
      <c r="J49" s="97">
        <f>SUM(C49:I49)</f>
        <v>205444</v>
      </c>
    </row>
    <row r="50" spans="2:10">
      <c r="B50" s="21" t="s">
        <v>312</v>
      </c>
      <c r="C50" s="17">
        <f t="shared" ref="C50:I50" si="11">C14*C49</f>
        <v>621.58917729405835</v>
      </c>
      <c r="D50" s="17">
        <f t="shared" si="11"/>
        <v>12133.495428201444</v>
      </c>
      <c r="E50" s="17">
        <f t="shared" si="11"/>
        <v>12032.378607170531</v>
      </c>
      <c r="F50" s="17">
        <f t="shared" si="11"/>
        <v>7284.311095507117</v>
      </c>
      <c r="G50" s="17">
        <f t="shared" si="11"/>
        <v>433.83863786481396</v>
      </c>
      <c r="H50" s="17">
        <f t="shared" si="11"/>
        <v>47950.672075229915</v>
      </c>
      <c r="I50" s="17">
        <f t="shared" si="11"/>
        <v>2421.2716895903491</v>
      </c>
      <c r="J50" s="138">
        <f>SUM(C50:I50)</f>
        <v>82877.556710858218</v>
      </c>
    </row>
  </sheetData>
  <pageMargins left="0.7" right="0.7" top="0.75" bottom="0.75" header="0.3" footer="0.3"/>
  <pageSetup scale="77" fitToHeight="0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186D-AA13-4496-B038-59AAE7A27485}">
  <sheetPr>
    <pageSetUpPr fitToPage="1"/>
  </sheetPr>
  <dimension ref="B1:P15"/>
  <sheetViews>
    <sheetView workbookViewId="0">
      <selection activeCell="B2" sqref="B2"/>
    </sheetView>
  </sheetViews>
  <sheetFormatPr defaultRowHeight="15"/>
  <cols>
    <col min="1" max="1" width="2.7109375" customWidth="1"/>
    <col min="2" max="2" width="54.5703125" bestFit="1" customWidth="1"/>
    <col min="3" max="6" width="10.5703125" bestFit="1" customWidth="1"/>
    <col min="7" max="11" width="11.5703125" bestFit="1" customWidth="1"/>
    <col min="12" max="14" width="10.5703125" bestFit="1" customWidth="1"/>
    <col min="15" max="15" width="13.28515625" bestFit="1" customWidth="1"/>
    <col min="16" max="16" width="2.7109375" customWidth="1"/>
  </cols>
  <sheetData>
    <row r="1" spans="2:16" ht="18.75">
      <c r="B1" s="142" t="s">
        <v>106</v>
      </c>
      <c r="C1" s="142"/>
    </row>
    <row r="2" spans="2:16" ht="15.75">
      <c r="B2" s="143" t="s">
        <v>394</v>
      </c>
      <c r="C2" s="143"/>
    </row>
    <row r="3" spans="2:16">
      <c r="B3" t="s">
        <v>201</v>
      </c>
      <c r="C3" s="144"/>
    </row>
    <row r="8" spans="2:16">
      <c r="C8" s="112">
        <v>44562</v>
      </c>
      <c r="D8" s="112">
        <v>44593</v>
      </c>
      <c r="E8" s="112">
        <v>44621</v>
      </c>
      <c r="F8" s="112">
        <v>44652</v>
      </c>
      <c r="G8" s="112">
        <v>44682</v>
      </c>
      <c r="H8" s="112">
        <v>44713</v>
      </c>
      <c r="I8" s="112">
        <v>44743</v>
      </c>
      <c r="J8" s="112">
        <v>44774</v>
      </c>
      <c r="K8" s="112">
        <v>44805</v>
      </c>
      <c r="L8" s="112">
        <v>44835</v>
      </c>
      <c r="M8" s="112">
        <v>44866</v>
      </c>
      <c r="N8" s="112">
        <v>44896</v>
      </c>
      <c r="O8" s="113" t="s">
        <v>91</v>
      </c>
      <c r="P8" s="113"/>
    </row>
    <row r="9" spans="2:16">
      <c r="B9" t="s">
        <v>317</v>
      </c>
      <c r="C9" s="12">
        <v>13528.9</v>
      </c>
      <c r="D9" s="12">
        <v>11982.58</v>
      </c>
      <c r="E9" s="12">
        <v>41209.08</v>
      </c>
      <c r="F9" s="12">
        <v>56456.45</v>
      </c>
      <c r="G9" s="12">
        <v>187256.61</v>
      </c>
      <c r="H9" s="12">
        <v>212923.46</v>
      </c>
      <c r="I9" s="12">
        <v>229725.14</v>
      </c>
      <c r="J9" s="12">
        <v>251440.41</v>
      </c>
      <c r="K9" s="12">
        <v>136044.26999999999</v>
      </c>
      <c r="L9" s="12">
        <v>28009.41</v>
      </c>
      <c r="M9" s="12">
        <v>15664.36</v>
      </c>
      <c r="N9" s="12">
        <v>30328.89</v>
      </c>
      <c r="O9" s="12">
        <v>1214569.5599999998</v>
      </c>
      <c r="P9" s="12"/>
    </row>
    <row r="10" spans="2:16">
      <c r="B10" t="s">
        <v>318</v>
      </c>
      <c r="C10" s="12">
        <v>0</v>
      </c>
      <c r="D10" s="12">
        <v>0</v>
      </c>
      <c r="E10" s="12">
        <v>0</v>
      </c>
      <c r="F10" s="12">
        <v>5294</v>
      </c>
      <c r="G10" s="12">
        <v>195653.22</v>
      </c>
      <c r="H10" s="12">
        <v>273002.8</v>
      </c>
      <c r="I10" s="12">
        <v>303944.93</v>
      </c>
      <c r="J10" s="12">
        <v>305758.86</v>
      </c>
      <c r="K10" s="12">
        <v>203416.21000000002</v>
      </c>
      <c r="L10" s="12">
        <v>28645.4</v>
      </c>
      <c r="M10" s="12">
        <v>0</v>
      </c>
      <c r="N10" s="12">
        <v>0</v>
      </c>
      <c r="O10" s="12">
        <v>1315715.42</v>
      </c>
      <c r="P10" s="12"/>
    </row>
    <row r="11" spans="2:16">
      <c r="B11" t="s">
        <v>319</v>
      </c>
      <c r="C11" s="145">
        <f>C9-C10</f>
        <v>13528.9</v>
      </c>
      <c r="D11" s="145">
        <f t="shared" ref="D11:O11" si="0">D9-D10</f>
        <v>11982.58</v>
      </c>
      <c r="E11" s="145">
        <f t="shared" si="0"/>
        <v>41209.08</v>
      </c>
      <c r="F11" s="145">
        <f t="shared" si="0"/>
        <v>51162.45</v>
      </c>
      <c r="G11" s="145">
        <f t="shared" si="0"/>
        <v>-8396.6100000000151</v>
      </c>
      <c r="H11" s="145">
        <f t="shared" si="0"/>
        <v>-60079.34</v>
      </c>
      <c r="I11" s="145">
        <f t="shared" si="0"/>
        <v>-74219.789999999979</v>
      </c>
      <c r="J11" s="145">
        <f t="shared" si="0"/>
        <v>-54318.449999999983</v>
      </c>
      <c r="K11" s="145">
        <f t="shared" si="0"/>
        <v>-67371.940000000031</v>
      </c>
      <c r="L11" s="145">
        <f t="shared" si="0"/>
        <v>-635.9900000000016</v>
      </c>
      <c r="M11" s="145">
        <f t="shared" si="0"/>
        <v>15664.36</v>
      </c>
      <c r="N11" s="145">
        <f t="shared" si="0"/>
        <v>30328.89</v>
      </c>
      <c r="O11" s="145">
        <f t="shared" si="0"/>
        <v>-101145.8600000001</v>
      </c>
      <c r="P11" s="146"/>
    </row>
    <row r="14" spans="2:16">
      <c r="C14" s="196" t="s">
        <v>395</v>
      </c>
    </row>
    <row r="15" spans="2:16" ht="46.5" customHeight="1">
      <c r="C15" s="195" t="s">
        <v>397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</row>
  </sheetData>
  <mergeCells count="1">
    <mergeCell ref="C15:O15"/>
  </mergeCells>
  <pageMargins left="0.7" right="0.7" top="0.75" bottom="0.75" header="0.3" footer="0.3"/>
  <pageSetup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3E3D0-5124-44A7-AC1B-9D3213BC40EC}">
  <sheetPr>
    <pageSetUpPr fitToPage="1"/>
  </sheetPr>
  <dimension ref="B1:O34"/>
  <sheetViews>
    <sheetView workbookViewId="0">
      <selection activeCell="B2" sqref="B2"/>
    </sheetView>
  </sheetViews>
  <sheetFormatPr defaultColWidth="28" defaultRowHeight="15"/>
  <cols>
    <col min="1" max="1" width="2.7109375" customWidth="1"/>
    <col min="2" max="2" width="26.140625" bestFit="1" customWidth="1"/>
    <col min="3" max="3" width="24.28515625" bestFit="1" customWidth="1"/>
    <col min="4" max="4" width="17.28515625" bestFit="1" customWidth="1"/>
    <col min="5" max="5" width="13.28515625" bestFit="1" customWidth="1"/>
    <col min="6" max="6" width="19" bestFit="1" customWidth="1"/>
    <col min="7" max="7" width="19.42578125" bestFit="1" customWidth="1"/>
    <col min="8" max="8" width="7.7109375" bestFit="1" customWidth="1"/>
    <col min="9" max="9" width="5.7109375" customWidth="1"/>
    <col min="10" max="10" width="19" bestFit="1" customWidth="1"/>
    <col min="11" max="11" width="14" bestFit="1" customWidth="1"/>
    <col min="12" max="12" width="8.140625" bestFit="1" customWidth="1"/>
    <col min="13" max="13" width="12.5703125" bestFit="1" customWidth="1"/>
    <col min="14" max="14" width="8.140625" bestFit="1" customWidth="1"/>
    <col min="15" max="15" width="7.28515625" bestFit="1" customWidth="1"/>
  </cols>
  <sheetData>
    <row r="1" spans="2:15" ht="18.75">
      <c r="B1" s="1" t="s">
        <v>106</v>
      </c>
      <c r="C1" s="13"/>
      <c r="E1" s="12"/>
      <c r="G1" s="12"/>
    </row>
    <row r="2" spans="2:15" ht="15.75">
      <c r="B2" s="2" t="s">
        <v>178</v>
      </c>
      <c r="C2" s="13"/>
      <c r="E2" s="12"/>
      <c r="G2" s="12"/>
      <c r="J2" s="194" t="s">
        <v>183</v>
      </c>
      <c r="K2" s="194"/>
      <c r="L2" s="21"/>
      <c r="M2" s="194" t="s">
        <v>372</v>
      </c>
      <c r="N2" s="194"/>
      <c r="O2" s="194"/>
    </row>
    <row r="3" spans="2:15">
      <c r="B3" t="s">
        <v>201</v>
      </c>
      <c r="C3" s="13"/>
      <c r="E3" s="12"/>
      <c r="G3" s="12"/>
      <c r="J3" s="92" t="s">
        <v>188</v>
      </c>
      <c r="K3" s="13"/>
      <c r="M3" t="s">
        <v>195</v>
      </c>
      <c r="N3" s="12" t="s">
        <v>196</v>
      </c>
      <c r="O3" t="s">
        <v>197</v>
      </c>
    </row>
    <row r="4" spans="2:15">
      <c r="C4" s="13"/>
      <c r="E4" s="12"/>
      <c r="G4" s="12"/>
      <c r="J4" s="93" t="s">
        <v>190</v>
      </c>
      <c r="K4" s="18">
        <v>21979</v>
      </c>
      <c r="M4" t="s">
        <v>199</v>
      </c>
      <c r="N4" s="12">
        <v>12</v>
      </c>
      <c r="O4" s="12">
        <v>25</v>
      </c>
    </row>
    <row r="5" spans="2:15">
      <c r="C5" s="13"/>
      <c r="E5" s="12"/>
      <c r="J5" s="93" t="s">
        <v>192</v>
      </c>
      <c r="K5" s="18">
        <v>18920</v>
      </c>
      <c r="M5" t="s">
        <v>200</v>
      </c>
      <c r="N5" s="12">
        <v>25</v>
      </c>
      <c r="O5" s="12">
        <v>45</v>
      </c>
    </row>
    <row r="6" spans="2:15">
      <c r="C6" s="24" t="s">
        <v>179</v>
      </c>
      <c r="D6" s="85">
        <f>'Results of Oper'!C14</f>
        <v>1214569.5599999998</v>
      </c>
      <c r="E6" s="12"/>
      <c r="G6" s="12"/>
      <c r="J6" s="93"/>
      <c r="K6" s="13"/>
    </row>
    <row r="7" spans="2:15">
      <c r="C7" s="87" t="s">
        <v>180</v>
      </c>
      <c r="D7" s="88">
        <f>'Results of Oper'!I116</f>
        <v>546479.99665761855</v>
      </c>
      <c r="E7" s="89">
        <f>D7/D6</f>
        <v>0.4499371749919524</v>
      </c>
      <c r="F7" t="s">
        <v>181</v>
      </c>
      <c r="J7" s="92" t="s">
        <v>193</v>
      </c>
      <c r="K7" s="86"/>
    </row>
    <row r="8" spans="2:15" ht="15.75" thickBot="1">
      <c r="C8" s="24"/>
      <c r="D8" s="90">
        <f>SUM(D6:D7)</f>
        <v>1761049.5566576184</v>
      </c>
      <c r="J8" s="93" t="s">
        <v>190</v>
      </c>
      <c r="K8" s="18">
        <v>12530</v>
      </c>
      <c r="M8" s="194" t="s">
        <v>185</v>
      </c>
      <c r="N8" s="194"/>
      <c r="O8" s="194"/>
    </row>
    <row r="9" spans="2:15" ht="15.75" thickTop="1">
      <c r="J9" s="93" t="s">
        <v>192</v>
      </c>
      <c r="K9" s="13">
        <v>150</v>
      </c>
      <c r="M9" t="s">
        <v>195</v>
      </c>
      <c r="N9" s="12" t="s">
        <v>196</v>
      </c>
      <c r="O9" t="s">
        <v>197</v>
      </c>
    </row>
    <row r="10" spans="2:15">
      <c r="I10" s="21"/>
      <c r="M10" t="s">
        <v>199</v>
      </c>
      <c r="N10" s="12">
        <v>15.75</v>
      </c>
      <c r="O10" s="12">
        <v>31.25</v>
      </c>
    </row>
    <row r="11" spans="2:15">
      <c r="I11" s="21"/>
      <c r="M11" t="s">
        <v>200</v>
      </c>
      <c r="N11" s="12">
        <v>31.5</v>
      </c>
      <c r="O11" s="12">
        <v>56.25</v>
      </c>
    </row>
    <row r="12" spans="2:15">
      <c r="I12" s="21"/>
    </row>
    <row r="13" spans="2:15">
      <c r="B13" s="193" t="s">
        <v>376</v>
      </c>
      <c r="C13" s="193"/>
      <c r="D13" s="193"/>
      <c r="E13" s="193"/>
      <c r="F13" s="193"/>
      <c r="G13" s="193"/>
      <c r="H13" s="193"/>
      <c r="I13" s="21"/>
      <c r="J13" s="179" t="s">
        <v>187</v>
      </c>
      <c r="K13" s="21"/>
    </row>
    <row r="14" spans="2:15">
      <c r="I14" s="21"/>
    </row>
    <row r="15" spans="2:15">
      <c r="B15" s="194" t="s">
        <v>182</v>
      </c>
      <c r="C15" s="194"/>
      <c r="D15" s="194"/>
      <c r="E15" s="194"/>
      <c r="F15" s="194"/>
      <c r="G15" s="194"/>
      <c r="H15" s="194"/>
      <c r="I15" s="21"/>
      <c r="J15" s="185">
        <v>0.25</v>
      </c>
      <c r="K15" s="185"/>
    </row>
    <row r="16" spans="2:15">
      <c r="B16" s="91"/>
      <c r="C16" s="113">
        <v>2022</v>
      </c>
      <c r="D16" s="113" t="s">
        <v>373</v>
      </c>
      <c r="E16" s="113" t="s">
        <v>374</v>
      </c>
      <c r="F16" s="113" t="s">
        <v>375</v>
      </c>
      <c r="G16" s="113" t="s">
        <v>375</v>
      </c>
      <c r="H16" s="91"/>
      <c r="I16" s="21"/>
    </row>
    <row r="17" spans="2:11">
      <c r="C17" s="32" t="s">
        <v>184</v>
      </c>
      <c r="D17" s="113" t="s">
        <v>376</v>
      </c>
      <c r="E17" s="176" t="s">
        <v>186</v>
      </c>
      <c r="F17" s="113" t="s">
        <v>376</v>
      </c>
      <c r="G17" s="176" t="s">
        <v>186</v>
      </c>
      <c r="I17" s="21"/>
    </row>
    <row r="18" spans="2:11">
      <c r="B18" t="s">
        <v>189</v>
      </c>
      <c r="C18" s="13">
        <f>K4</f>
        <v>21979</v>
      </c>
      <c r="D18" s="12">
        <f>N4</f>
        <v>12</v>
      </c>
      <c r="E18" s="12">
        <f>C18*D18</f>
        <v>263748</v>
      </c>
      <c r="F18" s="12">
        <f>ROUND(D18*(1+$E$7),1)</f>
        <v>17.399999999999999</v>
      </c>
      <c r="G18" s="12">
        <f>C18*F18</f>
        <v>382434.6</v>
      </c>
      <c r="H18" s="38">
        <f>G18/G29</f>
        <v>0.24984219685496467</v>
      </c>
      <c r="I18" s="21"/>
      <c r="J18" s="12">
        <f>ROUND(F18*(1+$J$15),1)</f>
        <v>21.8</v>
      </c>
      <c r="K18" s="146"/>
    </row>
    <row r="19" spans="2:11">
      <c r="B19" t="s">
        <v>191</v>
      </c>
      <c r="C19" s="13">
        <f>K5</f>
        <v>18920</v>
      </c>
      <c r="D19" s="12">
        <f>N5</f>
        <v>25</v>
      </c>
      <c r="E19" s="94">
        <f>C19*D19</f>
        <v>473000</v>
      </c>
      <c r="F19" s="12">
        <f>ROUND(D19*(1+$E$7),1)</f>
        <v>36.200000000000003</v>
      </c>
      <c r="G19" s="94">
        <f>F19*C19</f>
        <v>684904</v>
      </c>
      <c r="H19" s="38">
        <f>G19/G29</f>
        <v>0.44744361518218467</v>
      </c>
      <c r="I19" s="21"/>
      <c r="J19" s="12">
        <f>ROUND(F19*(1+$J$15),1)</f>
        <v>45.3</v>
      </c>
      <c r="K19" s="146"/>
    </row>
    <row r="20" spans="2:11">
      <c r="C20" s="13"/>
      <c r="D20" s="12"/>
      <c r="E20" s="12">
        <f>SUM(E18:E19)</f>
        <v>736748</v>
      </c>
      <c r="F20" s="12"/>
      <c r="G20" s="12">
        <f>SUM(G18:G19)</f>
        <v>1067338.6000000001</v>
      </c>
      <c r="I20" s="21"/>
      <c r="K20" s="146"/>
    </row>
    <row r="21" spans="2:11">
      <c r="C21" s="13"/>
      <c r="E21" s="12"/>
      <c r="G21" s="12"/>
      <c r="I21" s="21"/>
      <c r="K21" s="146"/>
    </row>
    <row r="22" spans="2:11">
      <c r="B22" s="194" t="s">
        <v>194</v>
      </c>
      <c r="C22" s="194"/>
      <c r="D22" s="194"/>
      <c r="E22" s="194"/>
      <c r="F22" s="194"/>
      <c r="G22" s="194"/>
      <c r="H22" s="194"/>
      <c r="I22" s="21"/>
      <c r="K22" s="146"/>
    </row>
    <row r="23" spans="2:11">
      <c r="B23" s="91"/>
      <c r="C23" s="113">
        <v>2022</v>
      </c>
      <c r="D23" s="113" t="s">
        <v>373</v>
      </c>
      <c r="E23" s="113" t="s">
        <v>374</v>
      </c>
      <c r="F23" s="113" t="s">
        <v>375</v>
      </c>
      <c r="G23" s="113" t="s">
        <v>375</v>
      </c>
      <c r="H23" s="91"/>
      <c r="I23" s="21"/>
      <c r="K23" s="146"/>
    </row>
    <row r="24" spans="2:11">
      <c r="C24" s="32" t="s">
        <v>184</v>
      </c>
      <c r="D24" s="113" t="s">
        <v>376</v>
      </c>
      <c r="E24" s="176" t="s">
        <v>186</v>
      </c>
      <c r="F24" s="113" t="s">
        <v>376</v>
      </c>
      <c r="G24" s="176" t="s">
        <v>186</v>
      </c>
      <c r="I24" s="21"/>
      <c r="K24" s="146"/>
    </row>
    <row r="25" spans="2:11">
      <c r="B25" t="s">
        <v>189</v>
      </c>
      <c r="C25" s="13">
        <f>K8</f>
        <v>12530</v>
      </c>
      <c r="D25" s="12">
        <f>O4</f>
        <v>25</v>
      </c>
      <c r="E25" s="12">
        <f>C25*D25</f>
        <v>313250</v>
      </c>
      <c r="F25" s="12">
        <f>ROUND(D25*(1+$E$7),1)</f>
        <v>36.200000000000003</v>
      </c>
      <c r="G25" s="12">
        <f>C25*F25</f>
        <v>453586.00000000006</v>
      </c>
      <c r="H25" s="38">
        <f>G25/G29</f>
        <v>0.29632497347953357</v>
      </c>
      <c r="I25" s="21"/>
      <c r="J25" s="12">
        <f>ROUND(F25*(1+$J$15),1)</f>
        <v>45.3</v>
      </c>
      <c r="K25" s="146"/>
    </row>
    <row r="26" spans="2:11">
      <c r="B26" t="s">
        <v>191</v>
      </c>
      <c r="C26" s="13">
        <f>K9</f>
        <v>150</v>
      </c>
      <c r="D26" s="12">
        <f>O5</f>
        <v>45</v>
      </c>
      <c r="E26" s="94">
        <f>C26*D26</f>
        <v>6750</v>
      </c>
      <c r="F26" s="12">
        <f>ROUND(D26*(1+$E$7),1)</f>
        <v>65.2</v>
      </c>
      <c r="G26" s="94">
        <f>F26*C26</f>
        <v>9780</v>
      </c>
      <c r="H26" s="38">
        <f>G26/G29</f>
        <v>6.3892144833170286E-3</v>
      </c>
      <c r="I26" s="21"/>
      <c r="J26" s="12">
        <f>ROUND(F26*(1+$J$15),1)</f>
        <v>81.5</v>
      </c>
      <c r="K26" s="146"/>
    </row>
    <row r="27" spans="2:11">
      <c r="C27" s="13"/>
      <c r="D27" s="12"/>
      <c r="E27" s="12">
        <f>SUM(E25:E26)</f>
        <v>320000</v>
      </c>
      <c r="F27" s="12"/>
      <c r="G27" s="12">
        <f>SUM(G25:G26)</f>
        <v>463366.00000000006</v>
      </c>
      <c r="I27" s="21"/>
      <c r="K27" s="146"/>
    </row>
    <row r="28" spans="2:11">
      <c r="C28" s="13"/>
      <c r="E28" s="12"/>
      <c r="G28" s="12"/>
      <c r="I28" s="21"/>
      <c r="K28" s="146"/>
    </row>
    <row r="29" spans="2:11">
      <c r="B29" s="21" t="s">
        <v>198</v>
      </c>
      <c r="C29" s="17"/>
      <c r="D29" s="177"/>
      <c r="E29" s="125">
        <f>E20+E27</f>
        <v>1056748</v>
      </c>
      <c r="F29" s="21"/>
      <c r="G29" s="125">
        <f>G20+G27</f>
        <v>1530704.6</v>
      </c>
      <c r="H29" s="21"/>
      <c r="I29" s="21"/>
      <c r="K29" s="186"/>
    </row>
    <row r="30" spans="2:11">
      <c r="B30" s="191" t="s">
        <v>377</v>
      </c>
      <c r="C30" s="191"/>
      <c r="E30" s="84">
        <f>E29-$D$6</f>
        <v>-157821.55999999982</v>
      </c>
      <c r="G30" s="84"/>
      <c r="I30" s="21"/>
      <c r="K30" s="84"/>
    </row>
    <row r="31" spans="2:11">
      <c r="I31" s="21"/>
    </row>
    <row r="33" spans="3:12">
      <c r="E33" s="12"/>
      <c r="H33" s="12"/>
      <c r="K33" s="12"/>
      <c r="L33" s="12"/>
    </row>
    <row r="34" spans="3:12">
      <c r="C34" s="24"/>
      <c r="E34" s="12"/>
      <c r="H34" s="12"/>
    </row>
  </sheetData>
  <mergeCells count="7">
    <mergeCell ref="B30:C30"/>
    <mergeCell ref="B13:H13"/>
    <mergeCell ref="J2:K2"/>
    <mergeCell ref="M2:O2"/>
    <mergeCell ref="M8:O8"/>
    <mergeCell ref="B15:H15"/>
    <mergeCell ref="B22:H2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8148-224A-4EA5-9F7B-8567144598A8}">
  <sheetPr>
    <pageSetUpPr fitToPage="1"/>
  </sheetPr>
  <dimension ref="B1:P10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RowHeight="15"/>
  <cols>
    <col min="1" max="1" width="2.7109375" customWidth="1"/>
    <col min="2" max="2" width="58.140625" bestFit="1" customWidth="1"/>
    <col min="3" max="14" width="11.5703125" style="13" bestFit="1" customWidth="1"/>
    <col min="15" max="15" width="10.5703125" style="13" bestFit="1" customWidth="1"/>
    <col min="16" max="16" width="9.5703125" bestFit="1" customWidth="1"/>
  </cols>
  <sheetData>
    <row r="1" spans="2:15" ht="18.75">
      <c r="B1" s="1" t="s">
        <v>0</v>
      </c>
    </row>
    <row r="2" spans="2:15" ht="15.75">
      <c r="B2" s="2" t="s">
        <v>1</v>
      </c>
    </row>
    <row r="3" spans="2:15">
      <c r="B3" t="s">
        <v>2</v>
      </c>
    </row>
    <row r="5" spans="2:15">
      <c r="C5" s="16">
        <v>44562</v>
      </c>
      <c r="D5" s="16">
        <v>44593</v>
      </c>
      <c r="E5" s="16">
        <v>44621</v>
      </c>
      <c r="F5" s="16">
        <v>44652</v>
      </c>
      <c r="G5" s="16">
        <v>44682</v>
      </c>
      <c r="H5" s="16">
        <v>44713</v>
      </c>
      <c r="I5" s="16">
        <v>44743</v>
      </c>
      <c r="J5" s="16">
        <v>44774</v>
      </c>
      <c r="K5" s="16">
        <v>44805</v>
      </c>
      <c r="L5" s="16">
        <v>44835</v>
      </c>
      <c r="M5" s="16">
        <v>44866</v>
      </c>
      <c r="N5" s="16">
        <v>44896</v>
      </c>
      <c r="O5" s="14" t="s">
        <v>91</v>
      </c>
    </row>
    <row r="6" spans="2:15">
      <c r="B6" s="3" t="s">
        <v>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15">
      <c r="B7" s="4" t="s">
        <v>4</v>
      </c>
      <c r="C7" s="13">
        <v>108259.74</v>
      </c>
      <c r="D7" s="13">
        <v>168095.54</v>
      </c>
      <c r="E7" s="13">
        <v>198948.46</v>
      </c>
      <c r="F7" s="13">
        <v>167275.85999999999</v>
      </c>
      <c r="G7" s="13">
        <v>246781.78</v>
      </c>
      <c r="H7" s="13">
        <v>229988.25</v>
      </c>
      <c r="I7" s="13">
        <v>223629.9</v>
      </c>
      <c r="J7" s="13">
        <v>247286.1</v>
      </c>
      <c r="K7" s="13">
        <v>185038.85</v>
      </c>
      <c r="L7" s="13">
        <v>289535.65999999997</v>
      </c>
      <c r="M7" s="13">
        <v>258547.36</v>
      </c>
      <c r="N7" s="13">
        <v>193417.41</v>
      </c>
      <c r="O7" s="13">
        <f>SUM(C7:N7)</f>
        <v>2516804.91</v>
      </c>
    </row>
    <row r="8" spans="2:15">
      <c r="B8" s="4" t="s">
        <v>92</v>
      </c>
    </row>
    <row r="9" spans="2:15">
      <c r="B9" s="4" t="s">
        <v>93</v>
      </c>
      <c r="F9" s="13">
        <v>5294</v>
      </c>
      <c r="G9" s="13">
        <v>195653.22</v>
      </c>
      <c r="H9" s="13">
        <v>273002.8</v>
      </c>
      <c r="I9" s="13">
        <v>303944.93</v>
      </c>
      <c r="J9" s="13">
        <v>305758.86</v>
      </c>
      <c r="K9" s="13">
        <v>203416.21</v>
      </c>
      <c r="L9" s="13">
        <v>28645.4</v>
      </c>
      <c r="O9" s="13">
        <f t="shared" ref="O9:O18" si="0">SUM(C9:N9)</f>
        <v>1315715.42</v>
      </c>
    </row>
    <row r="10" spans="2:15">
      <c r="B10" s="4" t="s">
        <v>94</v>
      </c>
      <c r="C10" s="13">
        <v>13528.9</v>
      </c>
      <c r="D10" s="13">
        <v>11982.58</v>
      </c>
      <c r="E10" s="13">
        <v>41209.08</v>
      </c>
      <c r="F10" s="13">
        <v>51162.45</v>
      </c>
      <c r="G10" s="13">
        <v>-8396.61</v>
      </c>
      <c r="H10" s="13">
        <v>-60079.34</v>
      </c>
      <c r="I10" s="13">
        <v>-74219.789999999994</v>
      </c>
      <c r="J10" s="13">
        <v>-54318.45</v>
      </c>
      <c r="K10" s="13">
        <v>-67371.94</v>
      </c>
      <c r="L10" s="13">
        <v>-635.99</v>
      </c>
      <c r="M10" s="13">
        <v>15664.36</v>
      </c>
      <c r="N10" s="13">
        <v>30328.89</v>
      </c>
      <c r="O10" s="13">
        <f t="shared" si="0"/>
        <v>-101145.86</v>
      </c>
    </row>
    <row r="11" spans="2:15">
      <c r="B11" s="4" t="s">
        <v>92</v>
      </c>
      <c r="C11" s="19">
        <f>SUM(C9:C10)</f>
        <v>13528.9</v>
      </c>
      <c r="D11" s="19">
        <f t="shared" ref="D11:N11" si="1">SUM(D9:D10)</f>
        <v>11982.58</v>
      </c>
      <c r="E11" s="19">
        <f t="shared" si="1"/>
        <v>41209.08</v>
      </c>
      <c r="F11" s="19">
        <f t="shared" si="1"/>
        <v>56456.45</v>
      </c>
      <c r="G11" s="19">
        <f t="shared" si="1"/>
        <v>187256.61</v>
      </c>
      <c r="H11" s="19">
        <f t="shared" si="1"/>
        <v>212923.46</v>
      </c>
      <c r="I11" s="19">
        <f t="shared" si="1"/>
        <v>229725.14</v>
      </c>
      <c r="J11" s="19">
        <f t="shared" si="1"/>
        <v>251440.40999999997</v>
      </c>
      <c r="K11" s="19">
        <f t="shared" si="1"/>
        <v>136044.26999999999</v>
      </c>
      <c r="L11" s="19">
        <f t="shared" si="1"/>
        <v>28009.41</v>
      </c>
      <c r="M11" s="19">
        <f t="shared" si="1"/>
        <v>15664.36</v>
      </c>
      <c r="N11" s="19">
        <f t="shared" si="1"/>
        <v>30328.89</v>
      </c>
      <c r="O11" s="19">
        <f t="shared" si="0"/>
        <v>1214569.5599999998</v>
      </c>
    </row>
    <row r="12" spans="2:15">
      <c r="B12" s="11" t="s">
        <v>95</v>
      </c>
      <c r="C12" s="20">
        <f>C7+C11</f>
        <v>121788.64</v>
      </c>
      <c r="D12" s="20">
        <f t="shared" ref="D12:N12" si="2">D7+D11</f>
        <v>180078.12</v>
      </c>
      <c r="E12" s="20">
        <f t="shared" si="2"/>
        <v>240157.53999999998</v>
      </c>
      <c r="F12" s="20">
        <f t="shared" si="2"/>
        <v>223732.31</v>
      </c>
      <c r="G12" s="20">
        <f t="shared" si="2"/>
        <v>434038.39</v>
      </c>
      <c r="H12" s="20">
        <f t="shared" si="2"/>
        <v>442911.70999999996</v>
      </c>
      <c r="I12" s="20">
        <f t="shared" si="2"/>
        <v>453355.04000000004</v>
      </c>
      <c r="J12" s="20">
        <f t="shared" si="2"/>
        <v>498726.51</v>
      </c>
      <c r="K12" s="20">
        <f t="shared" si="2"/>
        <v>321083.12</v>
      </c>
      <c r="L12" s="20">
        <f t="shared" si="2"/>
        <v>317545.06999999995</v>
      </c>
      <c r="M12" s="20">
        <f t="shared" si="2"/>
        <v>274211.71999999997</v>
      </c>
      <c r="N12" s="20">
        <f t="shared" si="2"/>
        <v>223746.3</v>
      </c>
      <c r="O12" s="13">
        <f>SUM(C12:N12)</f>
        <v>3731374.4699999997</v>
      </c>
    </row>
    <row r="13" spans="2:15">
      <c r="B13" s="4" t="s">
        <v>5</v>
      </c>
      <c r="C13" s="13">
        <v>-354.75</v>
      </c>
      <c r="G13" s="13">
        <v>-4146</v>
      </c>
      <c r="H13" s="13">
        <v>-4247.25</v>
      </c>
      <c r="I13" s="13">
        <v>-1358</v>
      </c>
      <c r="J13" s="13">
        <v>-1339.75</v>
      </c>
      <c r="L13" s="13">
        <v>-1159.8</v>
      </c>
      <c r="O13" s="13">
        <f t="shared" si="0"/>
        <v>-12605.55</v>
      </c>
    </row>
    <row r="14" spans="2:15" s="21" customFormat="1">
      <c r="B14" s="5" t="s">
        <v>6</v>
      </c>
      <c r="C14" s="17">
        <f>SUM(C12:C13)</f>
        <v>121433.89</v>
      </c>
      <c r="D14" s="17">
        <f t="shared" ref="D14:N14" si="3">SUM(D12:D13)</f>
        <v>180078.12</v>
      </c>
      <c r="E14" s="17">
        <f t="shared" si="3"/>
        <v>240157.53999999998</v>
      </c>
      <c r="F14" s="17">
        <f t="shared" si="3"/>
        <v>223732.31</v>
      </c>
      <c r="G14" s="17">
        <f t="shared" si="3"/>
        <v>429892.39</v>
      </c>
      <c r="H14" s="17">
        <f t="shared" si="3"/>
        <v>438664.45999999996</v>
      </c>
      <c r="I14" s="17">
        <f t="shared" si="3"/>
        <v>451997.04000000004</v>
      </c>
      <c r="J14" s="17">
        <f t="shared" si="3"/>
        <v>497386.76</v>
      </c>
      <c r="K14" s="17">
        <f t="shared" si="3"/>
        <v>321083.12</v>
      </c>
      <c r="L14" s="17">
        <f t="shared" si="3"/>
        <v>316385.26999999996</v>
      </c>
      <c r="M14" s="17">
        <f t="shared" si="3"/>
        <v>274211.71999999997</v>
      </c>
      <c r="N14" s="17">
        <f t="shared" si="3"/>
        <v>223746.3</v>
      </c>
      <c r="O14" s="17">
        <f t="shared" si="0"/>
        <v>3718768.92</v>
      </c>
    </row>
    <row r="15" spans="2:15">
      <c r="B15" s="6" t="s">
        <v>7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2:15">
      <c r="B16" s="7" t="s">
        <v>8</v>
      </c>
      <c r="H16" s="13">
        <v>5996.04</v>
      </c>
      <c r="J16" s="13">
        <v>14617.5</v>
      </c>
      <c r="K16" s="13">
        <v>16402</v>
      </c>
      <c r="L16" s="13">
        <v>10556.34</v>
      </c>
      <c r="M16" s="13">
        <v>0</v>
      </c>
      <c r="N16" s="13">
        <v>0</v>
      </c>
      <c r="O16" s="13">
        <f t="shared" si="0"/>
        <v>47571.880000000005</v>
      </c>
    </row>
    <row r="17" spans="2:15">
      <c r="B17" s="8" t="s">
        <v>9</v>
      </c>
      <c r="D17" s="13">
        <v>2855.72</v>
      </c>
      <c r="E17" s="13">
        <v>1491</v>
      </c>
      <c r="F17" s="13">
        <v>3041.87</v>
      </c>
      <c r="G17" s="13">
        <v>3371.57</v>
      </c>
      <c r="H17" s="13">
        <v>2089.62</v>
      </c>
      <c r="I17" s="13">
        <v>19</v>
      </c>
      <c r="J17" s="13">
        <v>4510.6400000000003</v>
      </c>
      <c r="K17" s="13">
        <v>3527.38</v>
      </c>
      <c r="M17" s="13">
        <v>5824.01</v>
      </c>
      <c r="N17" s="13">
        <v>1602.63</v>
      </c>
      <c r="O17" s="13">
        <f t="shared" si="0"/>
        <v>28333.439999999999</v>
      </c>
    </row>
    <row r="18" spans="2:15">
      <c r="B18" s="7" t="s">
        <v>10</v>
      </c>
      <c r="L18" s="13">
        <v>62.77</v>
      </c>
      <c r="O18" s="13">
        <f t="shared" si="0"/>
        <v>62.77</v>
      </c>
    </row>
    <row r="19" spans="2:15" s="21" customFormat="1">
      <c r="B19" s="9" t="s">
        <v>11</v>
      </c>
      <c r="C19" s="23">
        <f>SUM(C16:C18)</f>
        <v>0</v>
      </c>
      <c r="D19" s="23">
        <f t="shared" ref="D19:O19" si="4">SUM(D16:D18)</f>
        <v>2855.72</v>
      </c>
      <c r="E19" s="23">
        <f t="shared" si="4"/>
        <v>1491</v>
      </c>
      <c r="F19" s="23">
        <f t="shared" si="4"/>
        <v>3041.87</v>
      </c>
      <c r="G19" s="23">
        <f t="shared" si="4"/>
        <v>3371.57</v>
      </c>
      <c r="H19" s="23">
        <f t="shared" si="4"/>
        <v>8085.66</v>
      </c>
      <c r="I19" s="23">
        <f t="shared" si="4"/>
        <v>19</v>
      </c>
      <c r="J19" s="23">
        <f t="shared" si="4"/>
        <v>19128.14</v>
      </c>
      <c r="K19" s="23">
        <f t="shared" si="4"/>
        <v>19929.38</v>
      </c>
      <c r="L19" s="23">
        <f t="shared" si="4"/>
        <v>10619.11</v>
      </c>
      <c r="M19" s="23">
        <f t="shared" si="4"/>
        <v>5824.01</v>
      </c>
      <c r="N19" s="23">
        <f t="shared" si="4"/>
        <v>1602.63</v>
      </c>
      <c r="O19" s="23">
        <f t="shared" si="4"/>
        <v>75968.090000000011</v>
      </c>
    </row>
    <row r="20" spans="2:15">
      <c r="B20" s="5" t="s">
        <v>12</v>
      </c>
      <c r="C20" s="23">
        <f>C14-C19</f>
        <v>121433.89</v>
      </c>
      <c r="D20" s="23">
        <f t="shared" ref="D20:O20" si="5">D14-D19</f>
        <v>177222.39999999999</v>
      </c>
      <c r="E20" s="23">
        <f t="shared" si="5"/>
        <v>238666.53999999998</v>
      </c>
      <c r="F20" s="23">
        <f t="shared" si="5"/>
        <v>220690.44</v>
      </c>
      <c r="G20" s="23">
        <f t="shared" si="5"/>
        <v>426520.82</v>
      </c>
      <c r="H20" s="23">
        <f t="shared" si="5"/>
        <v>430578.8</v>
      </c>
      <c r="I20" s="23">
        <f t="shared" si="5"/>
        <v>451978.04000000004</v>
      </c>
      <c r="J20" s="23">
        <f t="shared" si="5"/>
        <v>478258.62</v>
      </c>
      <c r="K20" s="23">
        <f t="shared" si="5"/>
        <v>301153.74</v>
      </c>
      <c r="L20" s="23">
        <f t="shared" si="5"/>
        <v>305766.15999999997</v>
      </c>
      <c r="M20" s="23">
        <f t="shared" si="5"/>
        <v>268387.70999999996</v>
      </c>
      <c r="N20" s="23">
        <f t="shared" si="5"/>
        <v>222143.66999999998</v>
      </c>
      <c r="O20" s="23">
        <f t="shared" si="5"/>
        <v>3642800.83</v>
      </c>
    </row>
    <row r="21" spans="2:15">
      <c r="B21" s="3" t="s">
        <v>13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2:15">
      <c r="B22" s="4" t="s">
        <v>14</v>
      </c>
      <c r="C22" s="13">
        <v>63001.46</v>
      </c>
      <c r="D22" s="13">
        <v>83423.740000000005</v>
      </c>
      <c r="E22" s="13">
        <v>134584.48000000001</v>
      </c>
      <c r="F22" s="13">
        <v>97076.38</v>
      </c>
      <c r="G22" s="13">
        <v>164179.07</v>
      </c>
      <c r="H22" s="13">
        <v>170223.47</v>
      </c>
      <c r="I22" s="13">
        <v>186289.81</v>
      </c>
      <c r="J22" s="13">
        <v>296248.52</v>
      </c>
      <c r="K22" s="13">
        <v>154986.79999999999</v>
      </c>
      <c r="L22" s="13">
        <v>139554.76</v>
      </c>
      <c r="M22" s="13">
        <v>90964.79</v>
      </c>
      <c r="N22" s="13">
        <v>86167.01</v>
      </c>
      <c r="O22" s="13">
        <f t="shared" ref="O22:O85" si="6">SUM(C22:N22)</f>
        <v>1666700.2900000003</v>
      </c>
    </row>
    <row r="23" spans="2:15">
      <c r="B23" s="7" t="s">
        <v>96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O23" s="13">
        <f t="shared" si="6"/>
        <v>0</v>
      </c>
    </row>
    <row r="24" spans="2:15">
      <c r="B24" s="4" t="s">
        <v>97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f t="shared" si="6"/>
        <v>0</v>
      </c>
    </row>
    <row r="25" spans="2:15">
      <c r="B25" s="4" t="s">
        <v>15</v>
      </c>
      <c r="C25" s="13">
        <v>7589.25</v>
      </c>
      <c r="D25" s="13">
        <v>10692.79</v>
      </c>
      <c r="E25" s="13">
        <v>16592.8</v>
      </c>
      <c r="F25" s="13">
        <v>11329.41</v>
      </c>
      <c r="G25" s="13">
        <v>20423.919999999998</v>
      </c>
      <c r="H25" s="13">
        <v>21305.38</v>
      </c>
      <c r="I25" s="13">
        <v>23189.23</v>
      </c>
      <c r="J25" s="13">
        <v>36944.94</v>
      </c>
      <c r="K25" s="13">
        <v>19332.189999999999</v>
      </c>
      <c r="L25" s="13">
        <v>16650.990000000002</v>
      </c>
      <c r="M25" s="13">
        <v>10467.07</v>
      </c>
      <c r="N25" s="13">
        <v>9628.98</v>
      </c>
      <c r="O25" s="13">
        <f t="shared" si="6"/>
        <v>204146.95</v>
      </c>
    </row>
    <row r="26" spans="2:15">
      <c r="B26" s="4" t="s">
        <v>16</v>
      </c>
      <c r="C26" s="13">
        <v>1822.16</v>
      </c>
      <c r="D26" s="13">
        <v>2287.19</v>
      </c>
      <c r="E26" s="13">
        <v>3836.27</v>
      </c>
      <c r="F26" s="13">
        <v>2535.7600000000002</v>
      </c>
      <c r="G26" s="13">
        <v>3605.36</v>
      </c>
      <c r="H26" s="13">
        <v>3710.48</v>
      </c>
      <c r="I26" s="13">
        <v>3654.85</v>
      </c>
      <c r="J26" s="13">
        <v>6884.22</v>
      </c>
      <c r="K26" s="13">
        <v>3958.16</v>
      </c>
      <c r="L26" s="13">
        <v>3675.08</v>
      </c>
      <c r="M26" s="13">
        <v>2686.7</v>
      </c>
      <c r="N26" s="13">
        <v>1121.99</v>
      </c>
      <c r="O26" s="13">
        <f t="shared" si="6"/>
        <v>39778.219999999994</v>
      </c>
    </row>
    <row r="27" spans="2:15">
      <c r="B27" s="4" t="s">
        <v>17</v>
      </c>
      <c r="C27" s="13">
        <v>431.49</v>
      </c>
      <c r="D27" s="13">
        <v>3082.7</v>
      </c>
      <c r="E27" s="13">
        <v>340.81</v>
      </c>
      <c r="F27" s="13">
        <v>799.16</v>
      </c>
      <c r="G27" s="13">
        <v>-311.60000000000002</v>
      </c>
      <c r="H27" s="13">
        <v>1151.28</v>
      </c>
      <c r="I27" s="13">
        <v>4092.88</v>
      </c>
      <c r="J27" s="13">
        <v>-735.81</v>
      </c>
      <c r="K27" s="13">
        <v>1335.97</v>
      </c>
      <c r="L27" s="13">
        <v>1207.1600000000001</v>
      </c>
      <c r="M27" s="13">
        <v>2853.11</v>
      </c>
      <c r="N27" s="13">
        <v>5454.39</v>
      </c>
      <c r="O27" s="13">
        <f t="shared" si="6"/>
        <v>19701.54</v>
      </c>
    </row>
    <row r="28" spans="2:15">
      <c r="B28" s="4" t="s">
        <v>18</v>
      </c>
      <c r="C28" s="13">
        <v>295</v>
      </c>
      <c r="D28" s="13">
        <v>303</v>
      </c>
      <c r="E28" s="13">
        <v>319</v>
      </c>
      <c r="F28" s="13">
        <v>311</v>
      </c>
      <c r="G28" s="13">
        <v>311</v>
      </c>
      <c r="H28" s="13">
        <v>335</v>
      </c>
      <c r="I28" s="13">
        <v>343</v>
      </c>
      <c r="J28" s="13">
        <v>359</v>
      </c>
      <c r="M28" s="13">
        <v>415</v>
      </c>
      <c r="N28" s="13">
        <v>351</v>
      </c>
      <c r="O28" s="13">
        <f t="shared" si="6"/>
        <v>3342</v>
      </c>
    </row>
    <row r="29" spans="2:15">
      <c r="B29" s="4" t="s">
        <v>19</v>
      </c>
      <c r="C29" s="13">
        <v>1363.43</v>
      </c>
      <c r="D29" s="13">
        <v>588.94000000000005</v>
      </c>
      <c r="E29" s="13">
        <v>3017.63</v>
      </c>
      <c r="F29" s="13">
        <v>662.68</v>
      </c>
      <c r="G29" s="13">
        <v>700</v>
      </c>
      <c r="H29" s="13">
        <v>430.99</v>
      </c>
      <c r="I29" s="13">
        <v>299</v>
      </c>
      <c r="J29" s="13">
        <v>1850</v>
      </c>
      <c r="L29" s="13">
        <v>810.23</v>
      </c>
      <c r="M29" s="13">
        <v>183.12</v>
      </c>
      <c r="N29" s="13">
        <v>500.94</v>
      </c>
      <c r="O29" s="13">
        <f t="shared" si="6"/>
        <v>10406.960000000001</v>
      </c>
    </row>
    <row r="30" spans="2:15">
      <c r="B30" s="4" t="s">
        <v>20</v>
      </c>
      <c r="C30" s="13">
        <v>219.39</v>
      </c>
      <c r="D30" s="13">
        <v>55.11</v>
      </c>
      <c r="E30" s="13">
        <v>606.99</v>
      </c>
      <c r="F30" s="13">
        <v>44.09</v>
      </c>
      <c r="G30" s="13">
        <v>154.09</v>
      </c>
      <c r="H30" s="13">
        <v>44.09</v>
      </c>
      <c r="I30" s="13">
        <v>44.09</v>
      </c>
      <c r="J30" s="13">
        <v>44.09</v>
      </c>
      <c r="K30" s="13">
        <v>44.09</v>
      </c>
      <c r="L30" s="13">
        <v>44.09</v>
      </c>
      <c r="M30" s="13">
        <v>44.09</v>
      </c>
      <c r="N30" s="13">
        <v>44.09</v>
      </c>
      <c r="O30" s="13">
        <f t="shared" si="6"/>
        <v>1388.2999999999995</v>
      </c>
    </row>
    <row r="31" spans="2:15">
      <c r="B31" s="4" t="s">
        <v>21</v>
      </c>
      <c r="C31" s="13">
        <v>330.75</v>
      </c>
      <c r="D31" s="13">
        <v>2008.76</v>
      </c>
      <c r="E31" s="13">
        <v>5008.28</v>
      </c>
      <c r="F31" s="13">
        <v>4795.29</v>
      </c>
      <c r="G31" s="13">
        <v>4188.8599999999997</v>
      </c>
      <c r="H31" s="13">
        <v>3126.14</v>
      </c>
      <c r="I31" s="13">
        <v>25.08</v>
      </c>
      <c r="J31" s="13">
        <v>330.75</v>
      </c>
      <c r="K31" s="13">
        <v>330.75</v>
      </c>
      <c r="L31" s="13">
        <v>330.75</v>
      </c>
      <c r="M31" s="13">
        <v>229.56</v>
      </c>
      <c r="O31" s="13">
        <f t="shared" si="6"/>
        <v>20704.97</v>
      </c>
    </row>
    <row r="32" spans="2:15">
      <c r="B32" s="4" t="s">
        <v>22</v>
      </c>
      <c r="C32" s="13">
        <v>75.45</v>
      </c>
      <c r="D32" s="13">
        <v>492.9</v>
      </c>
      <c r="G32" s="13">
        <v>8.23</v>
      </c>
      <c r="H32" s="13">
        <v>103.83</v>
      </c>
      <c r="I32" s="13">
        <v>448.86</v>
      </c>
      <c r="J32" s="13">
        <v>62.87</v>
      </c>
      <c r="K32" s="13">
        <v>86.31</v>
      </c>
      <c r="L32" s="13">
        <v>41.22</v>
      </c>
      <c r="O32" s="13">
        <f t="shared" si="6"/>
        <v>1319.6699999999998</v>
      </c>
    </row>
    <row r="33" spans="2:15">
      <c r="B33" s="4" t="s">
        <v>23</v>
      </c>
      <c r="C33" s="13">
        <v>207.82</v>
      </c>
      <c r="D33" s="13">
        <v>316.42</v>
      </c>
      <c r="E33" s="13">
        <v>2097.2600000000002</v>
      </c>
      <c r="F33" s="13">
        <v>2946.89</v>
      </c>
      <c r="G33" s="13">
        <v>227.87</v>
      </c>
      <c r="H33" s="13">
        <v>1030.78</v>
      </c>
      <c r="I33" s="13">
        <v>97.02</v>
      </c>
      <c r="J33" s="13">
        <v>1492.9</v>
      </c>
      <c r="K33" s="13">
        <v>105.55</v>
      </c>
      <c r="L33" s="13">
        <v>380.92</v>
      </c>
      <c r="M33" s="13">
        <v>188.41</v>
      </c>
      <c r="N33" s="13">
        <v>363.83</v>
      </c>
      <c r="O33" s="13">
        <f t="shared" si="6"/>
        <v>9455.6699999999983</v>
      </c>
    </row>
    <row r="34" spans="2:15">
      <c r="B34" s="7" t="s">
        <v>24</v>
      </c>
      <c r="E34" s="13">
        <v>100</v>
      </c>
      <c r="F34" s="13">
        <v>200</v>
      </c>
      <c r="G34" s="13">
        <v>133.88999999999999</v>
      </c>
      <c r="I34" s="13">
        <v>349.69</v>
      </c>
      <c r="J34" s="13">
        <v>400</v>
      </c>
      <c r="K34" s="13">
        <v>100</v>
      </c>
      <c r="L34" s="13">
        <v>423.73</v>
      </c>
      <c r="N34" s="13">
        <v>100</v>
      </c>
      <c r="O34" s="13">
        <f t="shared" si="6"/>
        <v>1807.31</v>
      </c>
    </row>
    <row r="35" spans="2:15">
      <c r="B35" s="7" t="s">
        <v>98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f t="shared" si="6"/>
        <v>0</v>
      </c>
    </row>
    <row r="36" spans="2:15">
      <c r="B36" s="7" t="s">
        <v>25</v>
      </c>
      <c r="E36" s="13">
        <v>5</v>
      </c>
      <c r="F36" s="13">
        <v>0</v>
      </c>
      <c r="G36" s="13">
        <v>1630.75</v>
      </c>
      <c r="H36" s="13">
        <v>3078.5</v>
      </c>
      <c r="I36" s="13">
        <v>10208</v>
      </c>
      <c r="J36" s="13">
        <v>12190</v>
      </c>
      <c r="K36" s="13">
        <v>11129.4</v>
      </c>
      <c r="L36" s="13">
        <v>1908</v>
      </c>
      <c r="M36" s="13">
        <v>766.6</v>
      </c>
      <c r="N36" s="13">
        <v>7</v>
      </c>
      <c r="O36" s="13">
        <f t="shared" si="6"/>
        <v>40923.25</v>
      </c>
    </row>
    <row r="37" spans="2:15">
      <c r="B37" s="4" t="s">
        <v>26</v>
      </c>
      <c r="C37" s="13">
        <v>11175.68</v>
      </c>
      <c r="D37" s="13">
        <v>4389.75</v>
      </c>
      <c r="E37" s="13">
        <v>11616.03</v>
      </c>
      <c r="F37" s="13">
        <v>8068.3</v>
      </c>
      <c r="G37" s="13">
        <v>21545.94</v>
      </c>
      <c r="H37" s="13">
        <v>18340.830000000002</v>
      </c>
      <c r="I37" s="13">
        <v>31499.05</v>
      </c>
      <c r="J37" s="13">
        <v>18928.29</v>
      </c>
      <c r="K37" s="13">
        <v>45148.33</v>
      </c>
      <c r="L37" s="13">
        <v>14579.95</v>
      </c>
      <c r="M37" s="13">
        <v>14602.73</v>
      </c>
      <c r="N37" s="13">
        <v>19177.89</v>
      </c>
      <c r="O37" s="13">
        <f t="shared" si="6"/>
        <v>219072.77000000002</v>
      </c>
    </row>
    <row r="38" spans="2:15">
      <c r="B38" s="4" t="s">
        <v>27</v>
      </c>
      <c r="C38" s="13">
        <v>1278.58</v>
      </c>
      <c r="D38" s="13">
        <v>950.26</v>
      </c>
      <c r="F38" s="13">
        <v>1122.08</v>
      </c>
      <c r="G38" s="13">
        <v>2118.23</v>
      </c>
      <c r="H38" s="13">
        <v>966.57</v>
      </c>
      <c r="I38" s="13">
        <v>1061.19</v>
      </c>
      <c r="J38" s="13">
        <v>4231.53</v>
      </c>
      <c r="K38" s="13">
        <v>5943.85</v>
      </c>
      <c r="L38" s="13">
        <v>5710.19</v>
      </c>
      <c r="M38" s="13">
        <v>2376.5500000000002</v>
      </c>
      <c r="N38" s="13">
        <v>2466.6799999999998</v>
      </c>
      <c r="O38" s="13">
        <f t="shared" si="6"/>
        <v>28225.71</v>
      </c>
    </row>
    <row r="39" spans="2:15">
      <c r="B39" s="4" t="s">
        <v>28</v>
      </c>
      <c r="C39" s="13">
        <v>1197.07</v>
      </c>
      <c r="D39" s="13">
        <v>7095.65</v>
      </c>
      <c r="E39" s="13">
        <v>4618.92</v>
      </c>
      <c r="F39" s="13">
        <v>1951.37</v>
      </c>
      <c r="G39" s="13">
        <v>31794.55</v>
      </c>
      <c r="H39" s="13">
        <v>8056.02</v>
      </c>
      <c r="I39" s="13">
        <v>19543.169999999998</v>
      </c>
      <c r="J39" s="13">
        <v>6799.08</v>
      </c>
      <c r="K39" s="13">
        <v>16708.009999999998</v>
      </c>
      <c r="L39" s="13">
        <v>6358.14</v>
      </c>
      <c r="M39" s="13">
        <v>10357.15</v>
      </c>
      <c r="N39" s="13">
        <v>4423.59</v>
      </c>
      <c r="O39" s="13">
        <f t="shared" si="6"/>
        <v>118902.71999999999</v>
      </c>
    </row>
    <row r="40" spans="2:15">
      <c r="B40" s="7" t="s">
        <v>99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O40" s="13">
        <f t="shared" si="6"/>
        <v>0</v>
      </c>
    </row>
    <row r="41" spans="2:15">
      <c r="B41" s="4" t="s">
        <v>29</v>
      </c>
      <c r="C41" s="13">
        <v>8667.15</v>
      </c>
      <c r="D41" s="13">
        <v>11174.52</v>
      </c>
      <c r="E41" s="13">
        <v>23304.68</v>
      </c>
      <c r="F41" s="13">
        <v>21002.81</v>
      </c>
      <c r="G41" s="13">
        <v>27709.52</v>
      </c>
      <c r="H41" s="13">
        <v>47777.65</v>
      </c>
      <c r="I41" s="13">
        <v>44552.37</v>
      </c>
      <c r="J41" s="13">
        <v>50969.32</v>
      </c>
      <c r="K41" s="13">
        <v>43229.55</v>
      </c>
      <c r="L41" s="13">
        <v>29583.51</v>
      </c>
      <c r="M41" s="13">
        <v>15925.57</v>
      </c>
      <c r="N41" s="13">
        <v>12718.63</v>
      </c>
      <c r="O41" s="13">
        <f t="shared" si="6"/>
        <v>336615.28</v>
      </c>
    </row>
    <row r="42" spans="2:15">
      <c r="B42" s="4" t="s">
        <v>30</v>
      </c>
      <c r="C42" s="13">
        <v>8.5500000000000007</v>
      </c>
      <c r="D42" s="13">
        <v>410.66</v>
      </c>
      <c r="E42" s="13">
        <v>581.6</v>
      </c>
      <c r="F42" s="13">
        <v>140.19999999999999</v>
      </c>
      <c r="G42" s="13">
        <v>779.82</v>
      </c>
      <c r="H42" s="13">
        <v>780.61</v>
      </c>
      <c r="I42" s="13">
        <v>1984.99</v>
      </c>
      <c r="J42" s="13">
        <v>1174.8499999999999</v>
      </c>
      <c r="K42" s="13">
        <v>955</v>
      </c>
      <c r="L42" s="13">
        <v>450</v>
      </c>
      <c r="M42" s="13">
        <v>665.85</v>
      </c>
      <c r="N42" s="13">
        <v>49.59</v>
      </c>
      <c r="O42" s="13">
        <f t="shared" si="6"/>
        <v>7981.7200000000012</v>
      </c>
    </row>
    <row r="43" spans="2:15">
      <c r="B43" s="4" t="s">
        <v>31</v>
      </c>
      <c r="C43" s="13">
        <v>5</v>
      </c>
      <c r="D43" s="13">
        <v>5</v>
      </c>
      <c r="E43" s="13">
        <v>17</v>
      </c>
      <c r="F43" s="13">
        <v>10</v>
      </c>
      <c r="G43" s="13">
        <v>5</v>
      </c>
      <c r="I43" s="13">
        <v>87.23</v>
      </c>
      <c r="J43" s="13">
        <v>128</v>
      </c>
      <c r="K43" s="13">
        <v>85.86</v>
      </c>
      <c r="L43" s="13">
        <v>156.86000000000001</v>
      </c>
      <c r="M43" s="13">
        <v>12</v>
      </c>
      <c r="N43" s="13">
        <v>5</v>
      </c>
      <c r="O43" s="13">
        <f t="shared" si="6"/>
        <v>516.95000000000005</v>
      </c>
    </row>
    <row r="44" spans="2:15">
      <c r="B44" s="4" t="s">
        <v>32</v>
      </c>
      <c r="C44" s="13">
        <v>724.71</v>
      </c>
      <c r="D44" s="13">
        <v>1424.66</v>
      </c>
      <c r="E44" s="13">
        <v>4327.68</v>
      </c>
      <c r="F44" s="13">
        <v>328.75</v>
      </c>
      <c r="H44" s="13">
        <v>610.13</v>
      </c>
      <c r="I44" s="13">
        <v>107.25</v>
      </c>
      <c r="J44" s="13">
        <v>479.71</v>
      </c>
      <c r="K44" s="13">
        <v>152.51</v>
      </c>
      <c r="L44" s="13">
        <v>914.77</v>
      </c>
      <c r="M44" s="13">
        <v>58.55</v>
      </c>
      <c r="N44" s="13">
        <v>45.49</v>
      </c>
      <c r="O44" s="13">
        <f t="shared" si="6"/>
        <v>9174.2099999999991</v>
      </c>
    </row>
    <row r="45" spans="2:15">
      <c r="B45" s="4" t="s">
        <v>33</v>
      </c>
      <c r="C45" s="13">
        <v>216.6</v>
      </c>
      <c r="D45" s="13">
        <v>92</v>
      </c>
      <c r="E45" s="13">
        <v>276</v>
      </c>
      <c r="F45" s="13">
        <v>138</v>
      </c>
      <c r="G45" s="13">
        <v>153.5</v>
      </c>
      <c r="H45" s="13">
        <v>613.5</v>
      </c>
      <c r="J45" s="13">
        <v>966.5</v>
      </c>
      <c r="K45" s="13">
        <v>276</v>
      </c>
      <c r="L45" s="13">
        <v>181.9</v>
      </c>
      <c r="M45" s="13">
        <v>1257.5</v>
      </c>
      <c r="O45" s="13">
        <f t="shared" si="6"/>
        <v>4171.5</v>
      </c>
    </row>
    <row r="46" spans="2:15">
      <c r="B46" s="7" t="s">
        <v>34</v>
      </c>
      <c r="F46" s="13">
        <v>183.2</v>
      </c>
      <c r="G46" s="13">
        <v>301</v>
      </c>
      <c r="H46" s="13">
        <v>200</v>
      </c>
      <c r="I46" s="13">
        <v>705.6</v>
      </c>
      <c r="J46" s="13">
        <v>200</v>
      </c>
      <c r="L46" s="13">
        <v>200</v>
      </c>
      <c r="O46" s="13">
        <f t="shared" si="6"/>
        <v>1789.8000000000002</v>
      </c>
    </row>
    <row r="47" spans="2:15">
      <c r="B47" s="4" t="s">
        <v>35</v>
      </c>
      <c r="C47" s="13">
        <v>-749.15</v>
      </c>
      <c r="D47" s="13">
        <v>1783.62</v>
      </c>
      <c r="E47" s="13">
        <v>842.27</v>
      </c>
      <c r="F47" s="13">
        <v>2345.7800000000002</v>
      </c>
      <c r="G47" s="13">
        <v>231.15</v>
      </c>
      <c r="I47" s="13">
        <v>5021.91</v>
      </c>
      <c r="K47" s="13">
        <v>2160.16</v>
      </c>
      <c r="L47" s="13">
        <v>1071.53</v>
      </c>
      <c r="M47" s="13">
        <v>490.5</v>
      </c>
      <c r="O47" s="13">
        <f t="shared" si="6"/>
        <v>13197.77</v>
      </c>
    </row>
    <row r="48" spans="2:15">
      <c r="B48" s="7" t="s">
        <v>100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O48" s="13">
        <f t="shared" si="6"/>
        <v>0</v>
      </c>
    </row>
    <row r="49" spans="2:15">
      <c r="B49" s="7" t="s">
        <v>36</v>
      </c>
      <c r="N49" s="13">
        <v>14512.14</v>
      </c>
      <c r="O49" s="13">
        <f t="shared" si="6"/>
        <v>14512.14</v>
      </c>
    </row>
    <row r="50" spans="2:15">
      <c r="B50" s="10" t="s">
        <v>37</v>
      </c>
      <c r="N50" s="13">
        <v>1205.48</v>
      </c>
      <c r="O50" s="13">
        <f t="shared" si="6"/>
        <v>1205.48</v>
      </c>
    </row>
    <row r="51" spans="2:15">
      <c r="B51" s="7" t="s">
        <v>38</v>
      </c>
      <c r="K51" s="13">
        <v>14400</v>
      </c>
      <c r="L51" s="13">
        <v>0</v>
      </c>
      <c r="M51" s="13">
        <v>0</v>
      </c>
      <c r="N51" s="13">
        <v>0</v>
      </c>
      <c r="O51" s="13">
        <f t="shared" si="6"/>
        <v>14400</v>
      </c>
    </row>
    <row r="52" spans="2:15">
      <c r="B52" s="4" t="s">
        <v>39</v>
      </c>
      <c r="C52" s="13">
        <v>103.55</v>
      </c>
      <c r="F52" s="13">
        <v>90.93</v>
      </c>
      <c r="M52" s="13">
        <v>149.28</v>
      </c>
      <c r="O52" s="13">
        <f t="shared" si="6"/>
        <v>343.76</v>
      </c>
    </row>
    <row r="53" spans="2:15">
      <c r="B53" s="7" t="s">
        <v>40</v>
      </c>
      <c r="E53" s="13">
        <v>195</v>
      </c>
      <c r="F53" s="13">
        <v>62.5</v>
      </c>
      <c r="I53" s="13">
        <v>798</v>
      </c>
      <c r="K53" s="13">
        <v>675</v>
      </c>
      <c r="L53" s="13">
        <v>375</v>
      </c>
      <c r="O53" s="13">
        <f t="shared" si="6"/>
        <v>2105.5</v>
      </c>
    </row>
    <row r="54" spans="2:15">
      <c r="B54" s="4" t="s">
        <v>41</v>
      </c>
      <c r="C54" s="13">
        <v>79.5</v>
      </c>
      <c r="D54" s="13">
        <v>99</v>
      </c>
      <c r="E54" s="13">
        <v>99</v>
      </c>
      <c r="N54" s="13">
        <v>2812.77</v>
      </c>
      <c r="O54" s="13">
        <f t="shared" si="6"/>
        <v>3090.27</v>
      </c>
    </row>
    <row r="55" spans="2:15">
      <c r="B55" s="4" t="s">
        <v>42</v>
      </c>
      <c r="C55" s="13">
        <v>2432.77</v>
      </c>
      <c r="D55" s="13">
        <v>1864.02</v>
      </c>
      <c r="E55" s="13">
        <v>2346.19</v>
      </c>
      <c r="F55" s="13">
        <v>4141.8</v>
      </c>
      <c r="G55" s="13">
        <v>4959.91</v>
      </c>
      <c r="H55" s="13">
        <v>4576.51</v>
      </c>
      <c r="I55" s="13">
        <v>2664.62</v>
      </c>
      <c r="J55" s="13">
        <v>1697.34</v>
      </c>
      <c r="K55" s="13">
        <v>1268.8</v>
      </c>
      <c r="L55" s="13">
        <v>1789.54</v>
      </c>
      <c r="M55" s="13">
        <v>1042.3699999999999</v>
      </c>
      <c r="N55" s="13">
        <v>1376.57</v>
      </c>
      <c r="O55" s="13">
        <f t="shared" si="6"/>
        <v>30160.439999999995</v>
      </c>
    </row>
    <row r="56" spans="2:15">
      <c r="B56" s="7" t="s">
        <v>43</v>
      </c>
      <c r="E56" s="13">
        <v>450</v>
      </c>
      <c r="H56" s="13">
        <v>536.25</v>
      </c>
      <c r="I56" s="13">
        <v>300</v>
      </c>
      <c r="J56" s="13">
        <v>485</v>
      </c>
      <c r="K56" s="13">
        <v>597</v>
      </c>
      <c r="L56" s="13">
        <v>850</v>
      </c>
      <c r="M56" s="13">
        <v>300</v>
      </c>
      <c r="N56" s="13">
        <v>-3518.25</v>
      </c>
      <c r="O56" s="13">
        <f t="shared" si="6"/>
        <v>0</v>
      </c>
    </row>
    <row r="57" spans="2:15">
      <c r="B57" s="4" t="s">
        <v>44</v>
      </c>
      <c r="C57" s="13">
        <v>20</v>
      </c>
      <c r="D57" s="13">
        <v>36</v>
      </c>
      <c r="E57" s="13">
        <v>26.44</v>
      </c>
      <c r="F57" s="13">
        <v>266</v>
      </c>
      <c r="G57" s="13">
        <v>36.36</v>
      </c>
      <c r="H57" s="13">
        <v>83.69</v>
      </c>
      <c r="I57" s="13">
        <v>266.39999999999998</v>
      </c>
      <c r="J57" s="13">
        <v>41</v>
      </c>
      <c r="K57" s="13">
        <v>115</v>
      </c>
      <c r="L57" s="13">
        <v>11</v>
      </c>
      <c r="M57" s="13">
        <v>-597.15</v>
      </c>
      <c r="N57" s="13">
        <v>31.2</v>
      </c>
      <c r="O57" s="13">
        <f t="shared" si="6"/>
        <v>335.94</v>
      </c>
    </row>
    <row r="58" spans="2:15">
      <c r="B58" s="4" t="s">
        <v>45</v>
      </c>
      <c r="C58" s="13">
        <v>13</v>
      </c>
      <c r="D58" s="13">
        <v>346.06</v>
      </c>
      <c r="E58" s="13">
        <v>500.52</v>
      </c>
      <c r="F58" s="13">
        <v>339.34</v>
      </c>
      <c r="G58" s="13">
        <v>1278.8800000000001</v>
      </c>
      <c r="H58" s="13">
        <v>2035.43</v>
      </c>
      <c r="I58" s="13">
        <v>5196.05</v>
      </c>
      <c r="J58" s="13">
        <v>130.44</v>
      </c>
      <c r="K58" s="13">
        <v>214</v>
      </c>
      <c r="L58" s="13">
        <v>444.59</v>
      </c>
      <c r="M58" s="13">
        <v>5221.96</v>
      </c>
      <c r="N58" s="13">
        <v>1002.88</v>
      </c>
      <c r="O58" s="13">
        <f t="shared" si="6"/>
        <v>16723.150000000001</v>
      </c>
    </row>
    <row r="59" spans="2:15">
      <c r="B59" s="7" t="s">
        <v>46</v>
      </c>
      <c r="F59" s="13">
        <v>500</v>
      </c>
      <c r="O59" s="13">
        <f t="shared" si="6"/>
        <v>500</v>
      </c>
    </row>
    <row r="60" spans="2:15">
      <c r="B60" s="8" t="s">
        <v>47</v>
      </c>
      <c r="D60" s="13">
        <v>1500</v>
      </c>
      <c r="G60" s="13">
        <v>3140</v>
      </c>
      <c r="H60" s="13">
        <v>3405</v>
      </c>
      <c r="I60" s="13">
        <v>3740</v>
      </c>
      <c r="J60" s="13">
        <v>5610</v>
      </c>
      <c r="K60" s="13">
        <v>855</v>
      </c>
      <c r="L60" s="13">
        <v>0</v>
      </c>
      <c r="M60" s="13">
        <v>0</v>
      </c>
      <c r="N60" s="13">
        <v>0</v>
      </c>
      <c r="O60" s="13">
        <f t="shared" si="6"/>
        <v>18250</v>
      </c>
    </row>
    <row r="61" spans="2:15">
      <c r="B61" s="4" t="s">
        <v>48</v>
      </c>
      <c r="C61" s="13">
        <v>6363.3</v>
      </c>
      <c r="D61" s="13">
        <v>1813.63</v>
      </c>
      <c r="E61" s="13">
        <v>1129.2</v>
      </c>
      <c r="F61" s="13">
        <v>7943.85</v>
      </c>
      <c r="G61" s="13">
        <v>3367.19</v>
      </c>
      <c r="H61" s="13">
        <v>3211.81</v>
      </c>
      <c r="I61" s="13">
        <v>2929.52</v>
      </c>
      <c r="J61" s="13">
        <v>5394.55</v>
      </c>
      <c r="K61" s="13">
        <v>3416.28</v>
      </c>
      <c r="L61" s="13">
        <v>2550.59</v>
      </c>
      <c r="M61" s="13">
        <v>7090.64</v>
      </c>
      <c r="N61" s="13">
        <v>2468.8200000000002</v>
      </c>
      <c r="O61" s="13">
        <f t="shared" si="6"/>
        <v>47679.38</v>
      </c>
    </row>
    <row r="62" spans="2:15">
      <c r="B62" s="8" t="s">
        <v>49</v>
      </c>
      <c r="D62" s="13">
        <v>33</v>
      </c>
      <c r="E62" s="13">
        <v>33</v>
      </c>
      <c r="F62" s="13">
        <v>33</v>
      </c>
      <c r="G62" s="13">
        <v>33</v>
      </c>
      <c r="H62" s="13">
        <v>33</v>
      </c>
      <c r="I62" s="13">
        <v>33</v>
      </c>
      <c r="J62" s="13">
        <v>33</v>
      </c>
      <c r="K62" s="13">
        <v>33</v>
      </c>
      <c r="L62" s="13">
        <v>33</v>
      </c>
      <c r="M62" s="13">
        <v>33</v>
      </c>
      <c r="N62" s="13">
        <v>-330</v>
      </c>
      <c r="O62" s="13">
        <f t="shared" si="6"/>
        <v>0</v>
      </c>
    </row>
    <row r="63" spans="2:15">
      <c r="B63" s="4" t="s">
        <v>50</v>
      </c>
      <c r="C63" s="13">
        <v>130</v>
      </c>
      <c r="D63" s="13">
        <v>760</v>
      </c>
      <c r="E63" s="13">
        <v>480</v>
      </c>
      <c r="F63" s="13">
        <v>440</v>
      </c>
      <c r="G63" s="13">
        <v>234.5</v>
      </c>
      <c r="H63" s="13">
        <v>480</v>
      </c>
      <c r="I63" s="13">
        <v>2207.5</v>
      </c>
      <c r="J63" s="13">
        <v>870</v>
      </c>
      <c r="K63" s="13">
        <v>440</v>
      </c>
      <c r="M63" s="13">
        <v>130</v>
      </c>
      <c r="N63" s="13">
        <v>748.34</v>
      </c>
      <c r="O63" s="13">
        <f t="shared" si="6"/>
        <v>6920.34</v>
      </c>
    </row>
    <row r="64" spans="2:15">
      <c r="B64" s="7" t="s">
        <v>51</v>
      </c>
      <c r="E64" s="13">
        <v>381.17</v>
      </c>
      <c r="F64" s="13">
        <v>699.12</v>
      </c>
      <c r="G64" s="13">
        <v>1058.1500000000001</v>
      </c>
      <c r="H64" s="13">
        <v>1065.3599999999999</v>
      </c>
      <c r="I64" s="13">
        <v>1203.74</v>
      </c>
      <c r="J64" s="13">
        <v>916.92</v>
      </c>
      <c r="K64" s="13">
        <v>875.41</v>
      </c>
      <c r="L64" s="13">
        <v>855.17</v>
      </c>
      <c r="M64" s="13">
        <v>4.9000000000000004</v>
      </c>
      <c r="O64" s="13">
        <f t="shared" si="6"/>
        <v>7059.94</v>
      </c>
    </row>
    <row r="65" spans="2:15">
      <c r="B65" s="4" t="s">
        <v>52</v>
      </c>
      <c r="C65" s="13">
        <v>1325.22</v>
      </c>
      <c r="D65" s="13">
        <v>1284.1500000000001</v>
      </c>
      <c r="E65" s="13">
        <v>1008.36</v>
      </c>
      <c r="F65" s="13">
        <v>193.44</v>
      </c>
      <c r="G65" s="13">
        <v>1229</v>
      </c>
      <c r="H65" s="13">
        <v>1139.07</v>
      </c>
      <c r="I65" s="13">
        <v>1266.43</v>
      </c>
      <c r="J65" s="13">
        <v>1219.28</v>
      </c>
      <c r="K65" s="13">
        <v>1259.5999999999999</v>
      </c>
      <c r="L65" s="13">
        <v>1195.45</v>
      </c>
      <c r="M65" s="13">
        <v>1161.56</v>
      </c>
      <c r="N65" s="13">
        <v>1257.5</v>
      </c>
      <c r="O65" s="13">
        <f t="shared" si="6"/>
        <v>13539.060000000001</v>
      </c>
    </row>
    <row r="66" spans="2:15">
      <c r="B66" s="4" t="s">
        <v>53</v>
      </c>
      <c r="F66" s="13">
        <v>15395.88</v>
      </c>
      <c r="G66" s="13">
        <v>763.11</v>
      </c>
      <c r="H66" s="13">
        <v>732.81</v>
      </c>
      <c r="I66" s="13">
        <v>702.38</v>
      </c>
      <c r="J66" s="13">
        <v>671.83</v>
      </c>
      <c r="K66" s="13">
        <v>641.15</v>
      </c>
      <c r="L66" s="13">
        <v>3047.35</v>
      </c>
      <c r="N66" s="13">
        <v>3277.17</v>
      </c>
      <c r="O66" s="13">
        <f t="shared" si="6"/>
        <v>25231.68</v>
      </c>
    </row>
    <row r="67" spans="2:15">
      <c r="B67" s="4" t="s">
        <v>54</v>
      </c>
      <c r="C67" s="13">
        <v>883.04</v>
      </c>
      <c r="D67" s="13">
        <v>871.99</v>
      </c>
      <c r="E67" s="13">
        <v>764.94</v>
      </c>
      <c r="F67" s="13">
        <v>1087.77</v>
      </c>
      <c r="G67" s="13">
        <v>761.46</v>
      </c>
      <c r="H67" s="13">
        <v>754.07</v>
      </c>
      <c r="I67" s="13">
        <v>710.36</v>
      </c>
      <c r="J67" s="13">
        <v>713.14</v>
      </c>
      <c r="K67" s="13">
        <v>685.34</v>
      </c>
      <c r="L67" s="13">
        <v>641.17999999999995</v>
      </c>
      <c r="M67" s="13">
        <v>1166.48</v>
      </c>
      <c r="N67" s="13">
        <v>1186.58</v>
      </c>
      <c r="O67" s="13">
        <f t="shared" si="6"/>
        <v>10226.35</v>
      </c>
    </row>
    <row r="68" spans="2:15">
      <c r="B68" s="7" t="s">
        <v>55</v>
      </c>
      <c r="G68" s="13">
        <v>343.27</v>
      </c>
      <c r="H68" s="13">
        <v>609.58000000000004</v>
      </c>
      <c r="I68" s="13">
        <v>308.88</v>
      </c>
      <c r="J68" s="13">
        <v>0</v>
      </c>
      <c r="K68" s="13">
        <v>0</v>
      </c>
      <c r="L68" s="13">
        <v>0</v>
      </c>
      <c r="M68" s="13">
        <v>0</v>
      </c>
      <c r="N68" s="13">
        <v>361.63</v>
      </c>
      <c r="O68" s="13">
        <f t="shared" si="6"/>
        <v>1623.3600000000001</v>
      </c>
    </row>
    <row r="69" spans="2:15">
      <c r="B69" s="4" t="s">
        <v>56</v>
      </c>
      <c r="C69" s="13">
        <v>1161.1500000000001</v>
      </c>
      <c r="D69" s="13">
        <v>462.42</v>
      </c>
      <c r="E69" s="13">
        <v>574.94000000000005</v>
      </c>
      <c r="F69" s="13">
        <v>1713.3</v>
      </c>
      <c r="G69" s="13">
        <v>3757.27</v>
      </c>
      <c r="H69" s="13">
        <v>2980</v>
      </c>
      <c r="I69" s="13">
        <v>1239.1400000000001</v>
      </c>
      <c r="J69" s="13">
        <v>1343.38</v>
      </c>
      <c r="K69" s="13">
        <v>1275.8499999999999</v>
      </c>
      <c r="L69" s="13">
        <v>429.81</v>
      </c>
      <c r="M69" s="13">
        <v>777.74</v>
      </c>
      <c r="N69" s="13">
        <v>1221.08</v>
      </c>
      <c r="O69" s="13">
        <f t="shared" si="6"/>
        <v>16936.079999999998</v>
      </c>
    </row>
    <row r="70" spans="2:15">
      <c r="B70" s="4" t="s">
        <v>57</v>
      </c>
      <c r="C70" s="13">
        <v>144.57</v>
      </c>
      <c r="D70" s="13">
        <v>495.57</v>
      </c>
      <c r="E70" s="13">
        <v>713.9</v>
      </c>
      <c r="F70" s="13">
        <v>1028.21</v>
      </c>
      <c r="G70" s="13">
        <v>3644.54</v>
      </c>
      <c r="H70" s="13">
        <v>4377.1499999999996</v>
      </c>
      <c r="I70" s="13">
        <v>4411.13</v>
      </c>
      <c r="J70" s="13">
        <v>4995.2700000000004</v>
      </c>
      <c r="K70" s="13">
        <v>2480.8000000000002</v>
      </c>
      <c r="L70" s="13">
        <v>394.48</v>
      </c>
      <c r="M70" s="13">
        <v>135.53</v>
      </c>
      <c r="N70" s="13">
        <v>162.86000000000001</v>
      </c>
      <c r="O70" s="13">
        <f t="shared" si="6"/>
        <v>22984.01</v>
      </c>
    </row>
    <row r="71" spans="2:15">
      <c r="B71" s="7" t="s">
        <v>58</v>
      </c>
      <c r="J71" s="13">
        <v>27.22</v>
      </c>
      <c r="K71" s="13">
        <v>0</v>
      </c>
      <c r="L71" s="13">
        <v>0</v>
      </c>
      <c r="M71" s="13">
        <v>0</v>
      </c>
      <c r="N71" s="13">
        <v>0</v>
      </c>
      <c r="O71" s="13">
        <f t="shared" si="6"/>
        <v>27.22</v>
      </c>
    </row>
    <row r="72" spans="2:15">
      <c r="B72" s="7" t="s">
        <v>101</v>
      </c>
      <c r="O72" s="13">
        <f t="shared" si="6"/>
        <v>0</v>
      </c>
    </row>
    <row r="73" spans="2:15">
      <c r="B73" s="4" t="s">
        <v>59</v>
      </c>
      <c r="C73" s="13">
        <v>660.4</v>
      </c>
      <c r="D73" s="13">
        <v>426.67</v>
      </c>
      <c r="E73" s="13">
        <v>466.36</v>
      </c>
      <c r="F73" s="13">
        <v>453.13</v>
      </c>
      <c r="G73" s="13">
        <v>532.51</v>
      </c>
      <c r="H73" s="13">
        <v>678.04</v>
      </c>
      <c r="I73" s="13">
        <v>757.42</v>
      </c>
      <c r="J73" s="13">
        <v>850.03</v>
      </c>
      <c r="K73" s="13">
        <v>823.57</v>
      </c>
      <c r="L73" s="13">
        <v>757.42</v>
      </c>
      <c r="M73" s="13">
        <v>664.81</v>
      </c>
      <c r="N73" s="13">
        <v>519.28</v>
      </c>
      <c r="O73" s="13">
        <f t="shared" si="6"/>
        <v>7589.6399999999985</v>
      </c>
    </row>
    <row r="74" spans="2:15">
      <c r="B74" s="7" t="s">
        <v>60</v>
      </c>
      <c r="G74" s="13">
        <v>17464.5</v>
      </c>
      <c r="H74" s="13">
        <v>0</v>
      </c>
      <c r="I74" s="13">
        <v>2950</v>
      </c>
      <c r="J74" s="13">
        <v>2090</v>
      </c>
      <c r="K74" s="13">
        <v>0</v>
      </c>
      <c r="L74" s="13">
        <v>5865</v>
      </c>
      <c r="M74" s="13">
        <v>1512.5</v>
      </c>
      <c r="N74" s="13">
        <v>8790</v>
      </c>
      <c r="O74" s="13">
        <f t="shared" si="6"/>
        <v>38672</v>
      </c>
    </row>
    <row r="75" spans="2:15">
      <c r="B75" s="4" t="s">
        <v>61</v>
      </c>
      <c r="C75" s="13">
        <v>3317.84</v>
      </c>
      <c r="E75" s="13">
        <v>14482.33</v>
      </c>
      <c r="F75" s="13">
        <v>2509.86</v>
      </c>
      <c r="H75" s="13">
        <v>150.27000000000001</v>
      </c>
      <c r="I75" s="13">
        <v>886.95</v>
      </c>
      <c r="O75" s="13">
        <f t="shared" si="6"/>
        <v>21347.25</v>
      </c>
    </row>
    <row r="76" spans="2:15">
      <c r="B76" s="7" t="s">
        <v>62</v>
      </c>
      <c r="E76" s="13">
        <v>165.38</v>
      </c>
      <c r="O76" s="13">
        <f t="shared" si="6"/>
        <v>165.38</v>
      </c>
    </row>
    <row r="77" spans="2:15">
      <c r="B77" s="4" t="s">
        <v>63</v>
      </c>
      <c r="C77" s="13">
        <v>2818.45</v>
      </c>
      <c r="D77" s="13">
        <v>2827.76</v>
      </c>
      <c r="E77" s="13">
        <v>3210.89</v>
      </c>
      <c r="F77" s="13">
        <v>3971.32</v>
      </c>
      <c r="G77" s="13">
        <v>3282.14</v>
      </c>
      <c r="H77" s="13">
        <v>4423.13</v>
      </c>
      <c r="I77" s="13">
        <v>4539.07</v>
      </c>
      <c r="J77" s="13">
        <v>4253.3100000000004</v>
      </c>
      <c r="K77" s="13">
        <v>3994.38</v>
      </c>
      <c r="L77" s="13">
        <v>3835.65</v>
      </c>
      <c r="M77" s="13">
        <v>3894.36</v>
      </c>
      <c r="N77" s="13">
        <v>4248.04</v>
      </c>
      <c r="O77" s="13">
        <f t="shared" si="6"/>
        <v>45298.5</v>
      </c>
    </row>
    <row r="78" spans="2:15">
      <c r="B78" s="4" t="s">
        <v>64</v>
      </c>
      <c r="C78" s="13">
        <v>1000</v>
      </c>
      <c r="H78" s="13">
        <v>1181.19</v>
      </c>
      <c r="M78" s="13">
        <v>2370</v>
      </c>
      <c r="N78" s="13">
        <v>580.25</v>
      </c>
      <c r="O78" s="13">
        <f t="shared" si="6"/>
        <v>5131.4400000000005</v>
      </c>
    </row>
    <row r="79" spans="2:15">
      <c r="B79" s="4" t="s">
        <v>65</v>
      </c>
      <c r="C79" s="13">
        <v>879.57</v>
      </c>
      <c r="D79" s="13">
        <v>885.4</v>
      </c>
      <c r="E79" s="13">
        <v>824.54</v>
      </c>
      <c r="F79" s="13">
        <v>865.76</v>
      </c>
      <c r="G79" s="13">
        <v>814.55</v>
      </c>
      <c r="H79" s="13">
        <v>1179.82</v>
      </c>
      <c r="I79" s="13">
        <v>938.99</v>
      </c>
      <c r="J79" s="13">
        <v>3119.15</v>
      </c>
      <c r="K79" s="13">
        <v>940.12</v>
      </c>
      <c r="L79" s="13">
        <v>1150.69</v>
      </c>
      <c r="M79" s="13">
        <v>1063.71</v>
      </c>
      <c r="N79" s="13">
        <v>769.33</v>
      </c>
      <c r="O79" s="13">
        <f t="shared" si="6"/>
        <v>13431.630000000003</v>
      </c>
    </row>
    <row r="80" spans="2:15">
      <c r="B80" s="4" t="s">
        <v>66</v>
      </c>
      <c r="L80" s="13">
        <v>741.66</v>
      </c>
      <c r="O80" s="13">
        <f t="shared" si="6"/>
        <v>741.66</v>
      </c>
    </row>
    <row r="81" spans="2:16">
      <c r="B81" s="4" t="s">
        <v>67</v>
      </c>
      <c r="C81" s="13">
        <v>13.24</v>
      </c>
      <c r="D81" s="13">
        <v>-448.18</v>
      </c>
      <c r="G81" s="13">
        <v>435.38</v>
      </c>
      <c r="J81" s="13">
        <v>140.93</v>
      </c>
      <c r="K81" s="13">
        <v>196.48</v>
      </c>
      <c r="M81" s="13">
        <v>31.88</v>
      </c>
      <c r="N81" s="13">
        <v>714.4</v>
      </c>
      <c r="O81" s="13">
        <f t="shared" si="6"/>
        <v>1084.1300000000001</v>
      </c>
    </row>
    <row r="82" spans="2:16">
      <c r="B82" s="4" t="s">
        <v>68</v>
      </c>
      <c r="C82" s="13">
        <v>116.27</v>
      </c>
      <c r="F82" s="13">
        <v>238.55</v>
      </c>
      <c r="G82" s="13">
        <v>237.15</v>
      </c>
      <c r="I82" s="13">
        <v>1151.3</v>
      </c>
      <c r="J82" s="13">
        <v>784.91</v>
      </c>
      <c r="K82" s="13">
        <v>691.59</v>
      </c>
      <c r="L82" s="13">
        <v>910.15</v>
      </c>
      <c r="M82" s="13">
        <v>1443.55</v>
      </c>
      <c r="N82" s="13">
        <v>948.49</v>
      </c>
      <c r="O82" s="13">
        <f t="shared" si="6"/>
        <v>6521.96</v>
      </c>
    </row>
    <row r="83" spans="2:16">
      <c r="B83" s="4" t="s">
        <v>293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f t="shared" si="6"/>
        <v>0</v>
      </c>
    </row>
    <row r="84" spans="2:16">
      <c r="B84" s="7" t="s">
        <v>69</v>
      </c>
      <c r="G84" s="13">
        <v>17664.22</v>
      </c>
      <c r="H84" s="13">
        <v>15695.06</v>
      </c>
      <c r="I84" s="13">
        <v>13495.06</v>
      </c>
      <c r="J84" s="13">
        <v>19402.240000000002</v>
      </c>
      <c r="K84" s="13">
        <v>12764.6</v>
      </c>
      <c r="L84" s="13">
        <v>12649.2</v>
      </c>
      <c r="M84" s="13">
        <v>7667.98</v>
      </c>
      <c r="N84" s="13">
        <v>0</v>
      </c>
      <c r="O84" s="13">
        <f t="shared" si="6"/>
        <v>99338.36</v>
      </c>
      <c r="P84" s="84"/>
    </row>
    <row r="85" spans="2:16">
      <c r="B85" s="4" t="s">
        <v>70</v>
      </c>
      <c r="C85" s="13">
        <v>1478.21</v>
      </c>
      <c r="D85" s="13">
        <v>1029.28</v>
      </c>
      <c r="E85" s="13">
        <v>2379.8200000000002</v>
      </c>
      <c r="F85" s="13">
        <v>1356.24</v>
      </c>
      <c r="G85" s="13">
        <v>1804.79</v>
      </c>
      <c r="H85" s="13">
        <v>2053.14</v>
      </c>
      <c r="I85" s="13">
        <v>2187.52</v>
      </c>
      <c r="J85" s="13">
        <v>1780.22</v>
      </c>
      <c r="K85" s="13">
        <v>2865.91</v>
      </c>
      <c r="L85" s="13">
        <v>1418.5</v>
      </c>
      <c r="M85" s="13">
        <v>2870.68</v>
      </c>
      <c r="N85" s="13">
        <v>2266.39</v>
      </c>
      <c r="O85" s="13">
        <f t="shared" si="6"/>
        <v>23490.699999999997</v>
      </c>
    </row>
    <row r="86" spans="2:16">
      <c r="B86" s="4" t="s">
        <v>71</v>
      </c>
      <c r="C86" s="13">
        <v>188.43</v>
      </c>
      <c r="D86" s="13">
        <v>68.239999999999995</v>
      </c>
      <c r="E86" s="13">
        <v>1012.3</v>
      </c>
      <c r="F86" s="13">
        <v>390.7</v>
      </c>
      <c r="G86" s="13">
        <v>104.22</v>
      </c>
      <c r="H86" s="13">
        <v>2379.0500000000002</v>
      </c>
      <c r="I86" s="13">
        <v>956.02</v>
      </c>
      <c r="J86" s="13">
        <v>3852.94</v>
      </c>
      <c r="K86" s="13">
        <v>188.08</v>
      </c>
      <c r="L86" s="13">
        <v>1209.22</v>
      </c>
      <c r="M86" s="13">
        <v>647.22</v>
      </c>
      <c r="N86" s="13">
        <v>-205.77</v>
      </c>
      <c r="O86" s="13">
        <f t="shared" ref="O86:O95" si="7">SUM(C86:N86)</f>
        <v>10790.65</v>
      </c>
    </row>
    <row r="87" spans="2:16">
      <c r="B87" s="4" t="s">
        <v>72</v>
      </c>
      <c r="C87" s="13">
        <v>92.64</v>
      </c>
      <c r="D87" s="13">
        <v>92.64</v>
      </c>
      <c r="E87" s="13">
        <v>92.64</v>
      </c>
      <c r="F87" s="13">
        <v>92.64</v>
      </c>
      <c r="G87" s="13">
        <v>92.64</v>
      </c>
      <c r="H87" s="13">
        <v>92.64</v>
      </c>
      <c r="I87" s="13">
        <v>92.64</v>
      </c>
      <c r="J87" s="13">
        <v>92.64</v>
      </c>
      <c r="K87" s="13">
        <v>148.88999999999999</v>
      </c>
      <c r="L87" s="13">
        <v>148.88999999999999</v>
      </c>
      <c r="M87" s="13">
        <v>148.88999999999999</v>
      </c>
      <c r="N87" s="13">
        <v>148.88999999999999</v>
      </c>
      <c r="O87" s="13">
        <f t="shared" si="7"/>
        <v>1336.6799999999998</v>
      </c>
    </row>
    <row r="88" spans="2:16">
      <c r="B88" s="4" t="s">
        <v>73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f t="shared" si="7"/>
        <v>0</v>
      </c>
    </row>
    <row r="89" spans="2:16">
      <c r="B89" s="7" t="s">
        <v>74</v>
      </c>
      <c r="F89" s="13">
        <v>21400</v>
      </c>
      <c r="G89" s="13">
        <v>21400</v>
      </c>
      <c r="H89" s="13">
        <v>21400</v>
      </c>
      <c r="I89" s="13">
        <v>21400</v>
      </c>
      <c r="J89" s="13">
        <v>21400</v>
      </c>
      <c r="K89" s="13">
        <v>21400</v>
      </c>
      <c r="L89" s="13">
        <v>21400</v>
      </c>
      <c r="O89" s="13">
        <f t="shared" si="7"/>
        <v>149800</v>
      </c>
    </row>
    <row r="90" spans="2:16">
      <c r="B90" s="4" t="s">
        <v>75</v>
      </c>
      <c r="C90" s="13">
        <v>1431.34</v>
      </c>
      <c r="D90" s="13">
        <v>2673.76</v>
      </c>
      <c r="E90" s="13">
        <v>2352.52</v>
      </c>
      <c r="F90" s="13">
        <v>2375.62</v>
      </c>
      <c r="G90" s="13">
        <v>2091.0100000000002</v>
      </c>
      <c r="H90" s="13">
        <v>2628.29</v>
      </c>
      <c r="I90" s="13">
        <v>2331.92</v>
      </c>
      <c r="J90" s="13">
        <v>1960.22</v>
      </c>
      <c r="K90" s="13">
        <v>2576.13</v>
      </c>
      <c r="L90" s="13">
        <v>2186.7199999999998</v>
      </c>
      <c r="M90" s="13">
        <v>1885.58</v>
      </c>
      <c r="N90" s="13">
        <v>47695.67</v>
      </c>
      <c r="O90" s="13">
        <f t="shared" si="7"/>
        <v>72188.78</v>
      </c>
    </row>
    <row r="91" spans="2:16">
      <c r="B91" s="4" t="s">
        <v>76</v>
      </c>
      <c r="C91" s="13">
        <v>39264</v>
      </c>
      <c r="E91" s="13">
        <v>42087</v>
      </c>
      <c r="F91" s="13">
        <v>26571</v>
      </c>
      <c r="G91" s="13">
        <v>23562</v>
      </c>
      <c r="H91" s="13">
        <v>18259</v>
      </c>
      <c r="I91" s="13">
        <v>11229</v>
      </c>
      <c r="J91" s="13">
        <v>754</v>
      </c>
      <c r="K91" s="13">
        <v>100069</v>
      </c>
      <c r="L91" s="13">
        <v>25000</v>
      </c>
      <c r="M91" s="13">
        <v>0</v>
      </c>
      <c r="N91" s="13">
        <v>42347.66</v>
      </c>
      <c r="O91" s="13">
        <f t="shared" si="7"/>
        <v>329142.66000000003</v>
      </c>
    </row>
    <row r="92" spans="2:16">
      <c r="B92" s="7" t="s">
        <v>102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O92" s="13">
        <f t="shared" si="7"/>
        <v>0</v>
      </c>
    </row>
    <row r="93" spans="2:16">
      <c r="B93" s="4" t="s">
        <v>103</v>
      </c>
      <c r="C93" s="13">
        <v>9854.2999999999993</v>
      </c>
      <c r="D93" s="13">
        <v>9854.2999999999993</v>
      </c>
      <c r="E93" s="13">
        <v>9854.2999999999993</v>
      </c>
      <c r="F93" s="13">
        <v>9854.2999999999993</v>
      </c>
      <c r="G93" s="13">
        <v>9854.2999999999993</v>
      </c>
      <c r="H93" s="13">
        <v>9854.2999999999993</v>
      </c>
      <c r="I93" s="13">
        <v>9854.2999999999993</v>
      </c>
      <c r="J93" s="13">
        <v>9854.2999999999993</v>
      </c>
      <c r="K93" s="13">
        <v>9854.2999999999993</v>
      </c>
      <c r="L93" s="13">
        <v>9854.2999999999993</v>
      </c>
      <c r="M93" s="13">
        <v>9854.2999999999993</v>
      </c>
      <c r="N93" s="13">
        <v>9854.2999999999993</v>
      </c>
      <c r="O93" s="13">
        <f t="shared" si="7"/>
        <v>118251.60000000002</v>
      </c>
    </row>
    <row r="94" spans="2:16">
      <c r="B94" s="4" t="s">
        <v>77</v>
      </c>
      <c r="C94" s="13">
        <v>2875</v>
      </c>
      <c r="D94" s="13">
        <v>2875</v>
      </c>
      <c r="E94" s="13">
        <v>2875</v>
      </c>
      <c r="F94" s="13">
        <v>2875</v>
      </c>
      <c r="G94" s="13">
        <v>2875</v>
      </c>
      <c r="H94" s="13">
        <v>2875</v>
      </c>
      <c r="I94" s="13">
        <v>2875</v>
      </c>
      <c r="J94" s="13">
        <v>2875</v>
      </c>
      <c r="K94" s="13">
        <v>2875</v>
      </c>
      <c r="L94" s="13">
        <v>2875</v>
      </c>
      <c r="M94" s="13">
        <v>2875</v>
      </c>
      <c r="N94" s="13">
        <v>2875</v>
      </c>
      <c r="O94" s="13">
        <f t="shared" si="7"/>
        <v>34500</v>
      </c>
    </row>
    <row r="95" spans="2:16">
      <c r="B95" s="7" t="s">
        <v>78</v>
      </c>
      <c r="H95" s="13">
        <v>1500</v>
      </c>
      <c r="J95" s="13">
        <v>-497.3</v>
      </c>
      <c r="K95" s="13">
        <v>-1002.7</v>
      </c>
      <c r="O95" s="13">
        <f t="shared" si="7"/>
        <v>0</v>
      </c>
    </row>
    <row r="96" spans="2:16">
      <c r="B96" s="5" t="s">
        <v>79</v>
      </c>
      <c r="C96" s="23">
        <f>SUM(C22:C95)</f>
        <v>174506.18000000002</v>
      </c>
      <c r="D96" s="23">
        <f t="shared" ref="D96:O96" si="8">SUM(D22:D95)</f>
        <v>160428.38</v>
      </c>
      <c r="E96" s="23">
        <f t="shared" si="8"/>
        <v>300598.44</v>
      </c>
      <c r="F96" s="23">
        <f t="shared" si="8"/>
        <v>262880.40999999997</v>
      </c>
      <c r="G96" s="23">
        <f t="shared" si="8"/>
        <v>406711.20000000007</v>
      </c>
      <c r="H96" s="23">
        <f t="shared" si="8"/>
        <v>392253.91000000003</v>
      </c>
      <c r="I96" s="23">
        <f t="shared" si="8"/>
        <v>437226.60999999993</v>
      </c>
      <c r="J96" s="23">
        <f t="shared" si="8"/>
        <v>536809.72000000009</v>
      </c>
      <c r="K96" s="23">
        <f t="shared" si="8"/>
        <v>493686.06999999995</v>
      </c>
      <c r="L96" s="23">
        <f t="shared" si="8"/>
        <v>326853.34000000003</v>
      </c>
      <c r="M96" s="23">
        <f t="shared" si="8"/>
        <v>208091.61999999994</v>
      </c>
      <c r="N96" s="23">
        <f t="shared" si="8"/>
        <v>291954.8</v>
      </c>
      <c r="O96" s="23">
        <f t="shared" si="8"/>
        <v>3992000.68</v>
      </c>
    </row>
    <row r="97" spans="2:15">
      <c r="B97" s="5" t="s">
        <v>80</v>
      </c>
      <c r="C97" s="13">
        <f>C20-C96</f>
        <v>-53072.290000000023</v>
      </c>
      <c r="D97" s="13">
        <f t="shared" ref="D97:O97" si="9">D20-D96</f>
        <v>16794.01999999999</v>
      </c>
      <c r="E97" s="13">
        <f t="shared" si="9"/>
        <v>-61931.900000000023</v>
      </c>
      <c r="F97" s="13">
        <f t="shared" si="9"/>
        <v>-42189.969999999972</v>
      </c>
      <c r="G97" s="13">
        <f t="shared" si="9"/>
        <v>19809.619999999937</v>
      </c>
      <c r="H97" s="13">
        <f t="shared" si="9"/>
        <v>38324.889999999956</v>
      </c>
      <c r="I97" s="13">
        <f t="shared" si="9"/>
        <v>14751.430000000109</v>
      </c>
      <c r="J97" s="13">
        <f t="shared" si="9"/>
        <v>-58551.100000000093</v>
      </c>
      <c r="K97" s="13">
        <f t="shared" si="9"/>
        <v>-192532.32999999996</v>
      </c>
      <c r="L97" s="13">
        <f t="shared" si="9"/>
        <v>-21087.180000000051</v>
      </c>
      <c r="M97" s="13">
        <f t="shared" si="9"/>
        <v>60296.090000000026</v>
      </c>
      <c r="N97" s="13">
        <f t="shared" si="9"/>
        <v>-69811.13</v>
      </c>
      <c r="O97" s="13">
        <f t="shared" si="9"/>
        <v>-349199.85000000009</v>
      </c>
    </row>
    <row r="98" spans="2:15">
      <c r="B98" s="3" t="s">
        <v>81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99" spans="2:15">
      <c r="B99" s="4" t="s">
        <v>82</v>
      </c>
      <c r="C99" s="13">
        <v>8538.4699999999993</v>
      </c>
      <c r="L99" s="13">
        <v>3490</v>
      </c>
      <c r="N99" s="13">
        <v>3872.64</v>
      </c>
      <c r="O99" s="13">
        <f t="shared" ref="O99:O100" si="10">SUM(C99:N99)</f>
        <v>15901.109999999999</v>
      </c>
    </row>
    <row r="100" spans="2:15">
      <c r="B100" s="4" t="s">
        <v>83</v>
      </c>
      <c r="C100" s="13">
        <v>5.43</v>
      </c>
      <c r="D100" s="13">
        <v>3.12</v>
      </c>
      <c r="E100" s="13">
        <v>3.39</v>
      </c>
      <c r="F100" s="13">
        <v>1.51</v>
      </c>
      <c r="G100" s="13">
        <v>0.03</v>
      </c>
      <c r="H100" s="13">
        <v>0.03</v>
      </c>
      <c r="I100" s="13">
        <v>0.03</v>
      </c>
      <c r="J100" s="13">
        <v>0.03</v>
      </c>
      <c r="K100" s="13">
        <v>0.03</v>
      </c>
      <c r="L100" s="13">
        <v>0.03</v>
      </c>
      <c r="M100" s="13">
        <v>0.03</v>
      </c>
      <c r="N100" s="13">
        <v>0.03</v>
      </c>
      <c r="O100" s="13">
        <f t="shared" si="10"/>
        <v>13.689999999999996</v>
      </c>
    </row>
    <row r="101" spans="2:15">
      <c r="B101" s="5" t="s">
        <v>84</v>
      </c>
      <c r="C101" s="23">
        <f>SUM(C99:C100)</f>
        <v>8543.9</v>
      </c>
      <c r="D101" s="23">
        <f t="shared" ref="D101:O101" si="11">SUM(D99:D100)</f>
        <v>3.12</v>
      </c>
      <c r="E101" s="23">
        <f t="shared" si="11"/>
        <v>3.39</v>
      </c>
      <c r="F101" s="23">
        <f t="shared" si="11"/>
        <v>1.51</v>
      </c>
      <c r="G101" s="23">
        <f t="shared" si="11"/>
        <v>0.03</v>
      </c>
      <c r="H101" s="23">
        <f t="shared" si="11"/>
        <v>0.03</v>
      </c>
      <c r="I101" s="23">
        <f t="shared" si="11"/>
        <v>0.03</v>
      </c>
      <c r="J101" s="23">
        <f t="shared" si="11"/>
        <v>0.03</v>
      </c>
      <c r="K101" s="23">
        <f t="shared" si="11"/>
        <v>0.03</v>
      </c>
      <c r="L101" s="23">
        <f t="shared" si="11"/>
        <v>3490.03</v>
      </c>
      <c r="M101" s="23">
        <f t="shared" si="11"/>
        <v>0.03</v>
      </c>
      <c r="N101" s="23">
        <f t="shared" si="11"/>
        <v>3872.67</v>
      </c>
      <c r="O101" s="23">
        <f t="shared" si="11"/>
        <v>15914.8</v>
      </c>
    </row>
    <row r="102" spans="2:15">
      <c r="B102" s="3" t="s">
        <v>85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2:15">
      <c r="B103" s="7" t="s">
        <v>86</v>
      </c>
      <c r="L103" s="13">
        <v>0</v>
      </c>
      <c r="N103" s="13">
        <v>20101.03</v>
      </c>
      <c r="O103" s="13">
        <f t="shared" ref="O103:O104" si="12">SUM(C103:N103)</f>
        <v>20101.03</v>
      </c>
    </row>
    <row r="104" spans="2:15">
      <c r="B104" s="4" t="s">
        <v>87</v>
      </c>
      <c r="C104" s="13">
        <v>23076</v>
      </c>
      <c r="N104" s="13">
        <v>0.19</v>
      </c>
      <c r="O104" s="13">
        <f t="shared" si="12"/>
        <v>23076.19</v>
      </c>
    </row>
    <row r="105" spans="2:15">
      <c r="B105" s="5" t="s">
        <v>88</v>
      </c>
      <c r="C105" s="23">
        <f>SUM(C103:C104)</f>
        <v>23076</v>
      </c>
      <c r="D105" s="23">
        <f t="shared" ref="D105:O105" si="13">SUM(D103:D104)</f>
        <v>0</v>
      </c>
      <c r="E105" s="23">
        <f t="shared" si="13"/>
        <v>0</v>
      </c>
      <c r="F105" s="23">
        <f t="shared" si="13"/>
        <v>0</v>
      </c>
      <c r="G105" s="23">
        <f t="shared" si="13"/>
        <v>0</v>
      </c>
      <c r="H105" s="23">
        <f t="shared" si="13"/>
        <v>0</v>
      </c>
      <c r="I105" s="23">
        <f t="shared" si="13"/>
        <v>0</v>
      </c>
      <c r="J105" s="23">
        <f t="shared" si="13"/>
        <v>0</v>
      </c>
      <c r="K105" s="23">
        <f t="shared" si="13"/>
        <v>0</v>
      </c>
      <c r="L105" s="23">
        <f t="shared" si="13"/>
        <v>0</v>
      </c>
      <c r="M105" s="23">
        <f t="shared" si="13"/>
        <v>0</v>
      </c>
      <c r="N105" s="23">
        <f t="shared" si="13"/>
        <v>20101.219999999998</v>
      </c>
      <c r="O105" s="23">
        <f t="shared" si="13"/>
        <v>43177.22</v>
      </c>
    </row>
    <row r="106" spans="2:15">
      <c r="B106" s="11" t="s">
        <v>89</v>
      </c>
      <c r="C106" s="22">
        <f>C101-C105</f>
        <v>-14532.1</v>
      </c>
      <c r="D106" s="22">
        <f t="shared" ref="D106:O106" si="14">D101-D105</f>
        <v>3.12</v>
      </c>
      <c r="E106" s="22">
        <f t="shared" si="14"/>
        <v>3.39</v>
      </c>
      <c r="F106" s="22">
        <f t="shared" si="14"/>
        <v>1.51</v>
      </c>
      <c r="G106" s="22">
        <f t="shared" si="14"/>
        <v>0.03</v>
      </c>
      <c r="H106" s="22">
        <f t="shared" si="14"/>
        <v>0.03</v>
      </c>
      <c r="I106" s="22">
        <f t="shared" si="14"/>
        <v>0.03</v>
      </c>
      <c r="J106" s="22">
        <f t="shared" si="14"/>
        <v>0.03</v>
      </c>
      <c r="K106" s="22">
        <f t="shared" si="14"/>
        <v>0.03</v>
      </c>
      <c r="L106" s="22">
        <f t="shared" si="14"/>
        <v>3490.03</v>
      </c>
      <c r="M106" s="22">
        <f t="shared" si="14"/>
        <v>0.03</v>
      </c>
      <c r="N106" s="22">
        <f t="shared" si="14"/>
        <v>-16228.549999999997</v>
      </c>
      <c r="O106" s="22">
        <f t="shared" si="14"/>
        <v>-27262.420000000002</v>
      </c>
    </row>
    <row r="107" spans="2:15" ht="15.75" thickBot="1">
      <c r="B107" s="3" t="s">
        <v>90</v>
      </c>
      <c r="C107" s="25">
        <f>C97+C106</f>
        <v>-67604.390000000029</v>
      </c>
      <c r="D107" s="25">
        <f t="shared" ref="D107:O107" si="15">D97+D106</f>
        <v>16797.139999999989</v>
      </c>
      <c r="E107" s="25">
        <f t="shared" si="15"/>
        <v>-61928.510000000024</v>
      </c>
      <c r="F107" s="25">
        <f t="shared" si="15"/>
        <v>-42188.45999999997</v>
      </c>
      <c r="G107" s="25">
        <f t="shared" si="15"/>
        <v>19809.649999999936</v>
      </c>
      <c r="H107" s="25">
        <f t="shared" si="15"/>
        <v>38324.919999999955</v>
      </c>
      <c r="I107" s="25">
        <f t="shared" si="15"/>
        <v>14751.46000000011</v>
      </c>
      <c r="J107" s="25">
        <f t="shared" si="15"/>
        <v>-58551.070000000094</v>
      </c>
      <c r="K107" s="25">
        <f t="shared" si="15"/>
        <v>-192532.29999999996</v>
      </c>
      <c r="L107" s="25">
        <f t="shared" si="15"/>
        <v>-17597.150000000052</v>
      </c>
      <c r="M107" s="25">
        <f t="shared" si="15"/>
        <v>60296.120000000024</v>
      </c>
      <c r="N107" s="25">
        <f t="shared" si="15"/>
        <v>-86039.680000000008</v>
      </c>
      <c r="O107" s="25">
        <f t="shared" si="15"/>
        <v>-376462.27000000008</v>
      </c>
    </row>
    <row r="108" spans="2:15" ht="15.75" thickTop="1"/>
  </sheetData>
  <pageMargins left="0.7" right="0.7" top="0.75" bottom="0.75" header="0.3" footer="0.3"/>
  <pageSetup scale="83" fitToWidth="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2DCA7-A978-4277-A897-E178A532082E}">
  <sheetPr>
    <pageSetUpPr fitToPage="1"/>
  </sheetPr>
  <dimension ref="B1:O10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RowHeight="15"/>
  <cols>
    <col min="1" max="1" width="2.7109375" customWidth="1"/>
    <col min="2" max="2" width="58.140625" bestFit="1" customWidth="1"/>
    <col min="3" max="14" width="11.5703125" style="13" bestFit="1" customWidth="1"/>
    <col min="15" max="15" width="10.5703125" style="13" bestFit="1" customWidth="1"/>
  </cols>
  <sheetData>
    <row r="1" spans="2:15" ht="18.75">
      <c r="B1" s="1" t="s">
        <v>105</v>
      </c>
    </row>
    <row r="2" spans="2:15" ht="15.75">
      <c r="B2" s="2" t="s">
        <v>1</v>
      </c>
    </row>
    <row r="3" spans="2:15">
      <c r="B3" t="s">
        <v>2</v>
      </c>
    </row>
    <row r="5" spans="2:15">
      <c r="C5" s="16">
        <v>44562</v>
      </c>
      <c r="D5" s="16">
        <v>44593</v>
      </c>
      <c r="E5" s="16">
        <v>44621</v>
      </c>
      <c r="F5" s="16">
        <v>44652</v>
      </c>
      <c r="G5" s="16">
        <v>44682</v>
      </c>
      <c r="H5" s="16">
        <v>44713</v>
      </c>
      <c r="I5" s="16">
        <v>44743</v>
      </c>
      <c r="J5" s="16">
        <v>44774</v>
      </c>
      <c r="K5" s="16">
        <v>44805</v>
      </c>
      <c r="L5" s="16">
        <v>44835</v>
      </c>
      <c r="M5" s="16">
        <v>44866</v>
      </c>
      <c r="N5" s="16">
        <v>44896</v>
      </c>
      <c r="O5" s="14" t="s">
        <v>91</v>
      </c>
    </row>
    <row r="6" spans="2:15">
      <c r="B6" s="3" t="s">
        <v>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15">
      <c r="B7" s="4" t="s">
        <v>4</v>
      </c>
      <c r="C7" s="13">
        <v>108259.74</v>
      </c>
      <c r="D7" s="13">
        <v>168095.54</v>
      </c>
      <c r="E7" s="13">
        <v>198948.46</v>
      </c>
      <c r="F7" s="13">
        <v>167275.85999999999</v>
      </c>
      <c r="G7" s="13">
        <v>246781.78</v>
      </c>
      <c r="H7" s="13">
        <v>229988.25</v>
      </c>
      <c r="I7" s="13">
        <v>223629.9</v>
      </c>
      <c r="J7" s="13">
        <v>247286.1</v>
      </c>
      <c r="K7" s="13">
        <v>185038.85</v>
      </c>
      <c r="L7" s="13">
        <v>289535.65999999997</v>
      </c>
      <c r="M7" s="13">
        <v>258547.36</v>
      </c>
      <c r="N7" s="13">
        <v>193417.41</v>
      </c>
      <c r="O7" s="13">
        <f>SUM(C7:N7)</f>
        <v>2516804.91</v>
      </c>
    </row>
    <row r="8" spans="2:15">
      <c r="B8" s="4" t="s">
        <v>92</v>
      </c>
    </row>
    <row r="9" spans="2:15">
      <c r="B9" s="4" t="s">
        <v>93</v>
      </c>
      <c r="O9" s="13">
        <f t="shared" ref="O9:O18" si="0">SUM(C9:N9)</f>
        <v>0</v>
      </c>
    </row>
    <row r="10" spans="2:15">
      <c r="B10" s="4" t="s">
        <v>94</v>
      </c>
      <c r="O10" s="13">
        <f t="shared" si="0"/>
        <v>0</v>
      </c>
    </row>
    <row r="11" spans="2:15">
      <c r="B11" s="4" t="s">
        <v>92</v>
      </c>
      <c r="C11" s="19">
        <f>SUM(C9:C10)</f>
        <v>0</v>
      </c>
      <c r="D11" s="19">
        <f t="shared" ref="D11:N11" si="1">SUM(D9:D10)</f>
        <v>0</v>
      </c>
      <c r="E11" s="19">
        <f t="shared" si="1"/>
        <v>0</v>
      </c>
      <c r="F11" s="19">
        <f t="shared" si="1"/>
        <v>0</v>
      </c>
      <c r="G11" s="19">
        <f t="shared" si="1"/>
        <v>0</v>
      </c>
      <c r="H11" s="19">
        <f t="shared" si="1"/>
        <v>0</v>
      </c>
      <c r="I11" s="19">
        <f t="shared" si="1"/>
        <v>0</v>
      </c>
      <c r="J11" s="19">
        <f t="shared" si="1"/>
        <v>0</v>
      </c>
      <c r="K11" s="19">
        <f t="shared" si="1"/>
        <v>0</v>
      </c>
      <c r="L11" s="19">
        <f t="shared" si="1"/>
        <v>0</v>
      </c>
      <c r="M11" s="19">
        <f t="shared" si="1"/>
        <v>0</v>
      </c>
      <c r="N11" s="19">
        <f t="shared" si="1"/>
        <v>0</v>
      </c>
      <c r="O11" s="19">
        <f t="shared" si="0"/>
        <v>0</v>
      </c>
    </row>
    <row r="12" spans="2:15">
      <c r="B12" s="11" t="s">
        <v>95</v>
      </c>
      <c r="C12" s="20">
        <f>C7+C11</f>
        <v>108259.74</v>
      </c>
      <c r="D12" s="20">
        <f t="shared" ref="D12:N12" si="2">D7+D11</f>
        <v>168095.54</v>
      </c>
      <c r="E12" s="20">
        <f t="shared" si="2"/>
        <v>198948.46</v>
      </c>
      <c r="F12" s="20">
        <f t="shared" si="2"/>
        <v>167275.85999999999</v>
      </c>
      <c r="G12" s="20">
        <f t="shared" si="2"/>
        <v>246781.78</v>
      </c>
      <c r="H12" s="20">
        <f t="shared" si="2"/>
        <v>229988.25</v>
      </c>
      <c r="I12" s="20">
        <f t="shared" si="2"/>
        <v>223629.9</v>
      </c>
      <c r="J12" s="20">
        <f t="shared" si="2"/>
        <v>247286.1</v>
      </c>
      <c r="K12" s="20">
        <f t="shared" si="2"/>
        <v>185038.85</v>
      </c>
      <c r="L12" s="20">
        <f t="shared" si="2"/>
        <v>289535.65999999997</v>
      </c>
      <c r="M12" s="20">
        <f t="shared" si="2"/>
        <v>258547.36</v>
      </c>
      <c r="N12" s="20">
        <f t="shared" si="2"/>
        <v>193417.41</v>
      </c>
      <c r="O12" s="13">
        <f>SUM(C12:N12)</f>
        <v>2516804.91</v>
      </c>
    </row>
    <row r="13" spans="2:15">
      <c r="B13" s="4" t="s">
        <v>5</v>
      </c>
      <c r="C13" s="13">
        <v>-354.75</v>
      </c>
      <c r="G13" s="13">
        <v>-4146</v>
      </c>
      <c r="H13" s="13">
        <v>-4247.25</v>
      </c>
      <c r="I13" s="13">
        <v>-1358</v>
      </c>
      <c r="J13" s="13">
        <v>-1339.75</v>
      </c>
      <c r="L13" s="13">
        <v>-1159.8</v>
      </c>
      <c r="O13" s="13">
        <f t="shared" si="0"/>
        <v>-12605.55</v>
      </c>
    </row>
    <row r="14" spans="2:15" s="21" customFormat="1">
      <c r="B14" s="5" t="s">
        <v>6</v>
      </c>
      <c r="C14" s="23">
        <f>SUM(C12:C13)</f>
        <v>107904.99</v>
      </c>
      <c r="D14" s="23">
        <f t="shared" ref="D14:N14" si="3">SUM(D12:D13)</f>
        <v>168095.54</v>
      </c>
      <c r="E14" s="23">
        <f t="shared" si="3"/>
        <v>198948.46</v>
      </c>
      <c r="F14" s="23">
        <f t="shared" si="3"/>
        <v>167275.85999999999</v>
      </c>
      <c r="G14" s="23">
        <f t="shared" si="3"/>
        <v>242635.78</v>
      </c>
      <c r="H14" s="23">
        <f t="shared" si="3"/>
        <v>225741</v>
      </c>
      <c r="I14" s="23">
        <f t="shared" si="3"/>
        <v>222271.9</v>
      </c>
      <c r="J14" s="23">
        <f t="shared" si="3"/>
        <v>245946.35</v>
      </c>
      <c r="K14" s="23">
        <f t="shared" si="3"/>
        <v>185038.85</v>
      </c>
      <c r="L14" s="23">
        <f t="shared" si="3"/>
        <v>288375.86</v>
      </c>
      <c r="M14" s="23">
        <f t="shared" si="3"/>
        <v>258547.36</v>
      </c>
      <c r="N14" s="23">
        <f t="shared" si="3"/>
        <v>193417.41</v>
      </c>
      <c r="O14" s="23">
        <f t="shared" si="0"/>
        <v>2504199.36</v>
      </c>
    </row>
    <row r="15" spans="2:15">
      <c r="B15" s="6" t="s">
        <v>7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2:15">
      <c r="B16" s="7" t="s">
        <v>8</v>
      </c>
      <c r="H16" s="13">
        <v>5996.04</v>
      </c>
      <c r="J16" s="13">
        <v>14617.5</v>
      </c>
      <c r="K16" s="13">
        <v>16064</v>
      </c>
      <c r="L16" s="13">
        <v>10356.34</v>
      </c>
      <c r="O16" s="13">
        <f t="shared" si="0"/>
        <v>47033.880000000005</v>
      </c>
    </row>
    <row r="17" spans="2:15">
      <c r="B17" s="8" t="s">
        <v>9</v>
      </c>
      <c r="D17" s="13">
        <v>2855.72</v>
      </c>
      <c r="E17" s="13">
        <v>1491</v>
      </c>
      <c r="F17" s="13">
        <v>3041.87</v>
      </c>
      <c r="G17" s="13">
        <v>3371.57</v>
      </c>
      <c r="H17" s="13">
        <v>2089.62</v>
      </c>
      <c r="I17" s="13">
        <v>19</v>
      </c>
      <c r="J17" s="13">
        <v>4510.6400000000003</v>
      </c>
      <c r="K17" s="13">
        <v>3527.38</v>
      </c>
      <c r="M17" s="13">
        <v>5824.01</v>
      </c>
      <c r="N17" s="13">
        <v>1602.63</v>
      </c>
      <c r="O17" s="13">
        <f t="shared" si="0"/>
        <v>28333.439999999999</v>
      </c>
    </row>
    <row r="18" spans="2:15">
      <c r="B18" s="7" t="s">
        <v>10</v>
      </c>
      <c r="L18" s="13">
        <v>62.77</v>
      </c>
      <c r="O18" s="13">
        <f t="shared" si="0"/>
        <v>62.77</v>
      </c>
    </row>
    <row r="19" spans="2:15" s="21" customFormat="1">
      <c r="B19" s="9" t="s">
        <v>11</v>
      </c>
      <c r="C19" s="23">
        <f>SUM(C16:C18)</f>
        <v>0</v>
      </c>
      <c r="D19" s="23">
        <f t="shared" ref="D19:O19" si="4">SUM(D16:D18)</f>
        <v>2855.72</v>
      </c>
      <c r="E19" s="23">
        <f t="shared" si="4"/>
        <v>1491</v>
      </c>
      <c r="F19" s="23">
        <f t="shared" si="4"/>
        <v>3041.87</v>
      </c>
      <c r="G19" s="23">
        <f t="shared" si="4"/>
        <v>3371.57</v>
      </c>
      <c r="H19" s="23">
        <f t="shared" si="4"/>
        <v>8085.66</v>
      </c>
      <c r="I19" s="23">
        <f t="shared" si="4"/>
        <v>19</v>
      </c>
      <c r="J19" s="23">
        <f t="shared" si="4"/>
        <v>19128.14</v>
      </c>
      <c r="K19" s="23">
        <f t="shared" si="4"/>
        <v>19591.38</v>
      </c>
      <c r="L19" s="23">
        <f t="shared" si="4"/>
        <v>10419.11</v>
      </c>
      <c r="M19" s="23">
        <f t="shared" si="4"/>
        <v>5824.01</v>
      </c>
      <c r="N19" s="23">
        <f t="shared" si="4"/>
        <v>1602.63</v>
      </c>
      <c r="O19" s="23">
        <f t="shared" si="4"/>
        <v>75430.090000000011</v>
      </c>
    </row>
    <row r="20" spans="2:15">
      <c r="B20" s="5" t="s">
        <v>12</v>
      </c>
      <c r="C20" s="23">
        <f>C14-C19</f>
        <v>107904.99</v>
      </c>
      <c r="D20" s="23">
        <f t="shared" ref="D20:O20" si="5">D14-D19</f>
        <v>165239.82</v>
      </c>
      <c r="E20" s="23">
        <f t="shared" si="5"/>
        <v>197457.46</v>
      </c>
      <c r="F20" s="23">
        <f>F14-F19</f>
        <v>164233.99</v>
      </c>
      <c r="G20" s="23">
        <f t="shared" si="5"/>
        <v>239264.21</v>
      </c>
      <c r="H20" s="23">
        <f t="shared" si="5"/>
        <v>217655.34</v>
      </c>
      <c r="I20" s="23">
        <f t="shared" si="5"/>
        <v>222252.9</v>
      </c>
      <c r="J20" s="23">
        <f t="shared" si="5"/>
        <v>226818.21000000002</v>
      </c>
      <c r="K20" s="23">
        <f t="shared" si="5"/>
        <v>165447.47</v>
      </c>
      <c r="L20" s="23">
        <f t="shared" si="5"/>
        <v>277956.75</v>
      </c>
      <c r="M20" s="23">
        <f t="shared" si="5"/>
        <v>252723.34999999998</v>
      </c>
      <c r="N20" s="23">
        <f t="shared" si="5"/>
        <v>191814.78</v>
      </c>
      <c r="O20" s="23">
        <f t="shared" si="5"/>
        <v>2428769.27</v>
      </c>
    </row>
    <row r="21" spans="2:15">
      <c r="B21" s="3" t="s">
        <v>13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2:15">
      <c r="B22" s="4" t="s">
        <v>14</v>
      </c>
      <c r="C22" s="13">
        <v>63001.46</v>
      </c>
      <c r="D22" s="13">
        <v>83423.740000000005</v>
      </c>
      <c r="E22" s="13">
        <v>134584.48000000001</v>
      </c>
      <c r="F22" s="13">
        <v>97076.38</v>
      </c>
      <c r="G22" s="13">
        <v>164179.07</v>
      </c>
      <c r="H22" s="13">
        <v>170223.47</v>
      </c>
      <c r="I22" s="13">
        <v>186289.81</v>
      </c>
      <c r="J22" s="13">
        <v>296248.52</v>
      </c>
      <c r="K22" s="13">
        <v>154986.79999999999</v>
      </c>
      <c r="L22" s="13">
        <v>139554.76</v>
      </c>
      <c r="M22" s="13">
        <v>90964.79</v>
      </c>
      <c r="N22" s="13">
        <v>86167.01</v>
      </c>
      <c r="O22" s="13">
        <f t="shared" ref="O22:O85" si="6">SUM(C22:N22)</f>
        <v>1666700.2900000003</v>
      </c>
    </row>
    <row r="23" spans="2:15">
      <c r="B23" s="7" t="s">
        <v>96</v>
      </c>
      <c r="F23" s="13">
        <v>-2023.44</v>
      </c>
      <c r="G23" s="13">
        <v>-69410.039999999994</v>
      </c>
      <c r="H23" s="13">
        <v>-87314.76</v>
      </c>
      <c r="I23" s="13">
        <v>-89167.41</v>
      </c>
      <c r="J23" s="13">
        <v>-140071.37</v>
      </c>
      <c r="K23" s="13">
        <v>-49729.3</v>
      </c>
      <c r="L23" s="13">
        <v>-11939.92</v>
      </c>
      <c r="O23" s="13">
        <f t="shared" si="6"/>
        <v>-449656.24</v>
      </c>
    </row>
    <row r="24" spans="2:15">
      <c r="B24" s="4" t="s">
        <v>97</v>
      </c>
      <c r="C24" s="13">
        <v>-3124.57</v>
      </c>
      <c r="D24" s="13">
        <v>-4415.3999999999996</v>
      </c>
      <c r="E24" s="13">
        <v>-3742.52</v>
      </c>
      <c r="F24" s="13">
        <v>-10580.68</v>
      </c>
      <c r="G24" s="13">
        <v>-29391.91</v>
      </c>
      <c r="H24" s="13">
        <v>-37724.300000000003</v>
      </c>
      <c r="I24" s="13">
        <v>-48835.37</v>
      </c>
      <c r="J24" s="13">
        <v>-52808.21</v>
      </c>
      <c r="K24" s="13">
        <v>-51205.95</v>
      </c>
      <c r="L24" s="13">
        <v>-16273.24</v>
      </c>
      <c r="M24" s="13">
        <v>-5277.94</v>
      </c>
      <c r="N24" s="13">
        <v>-4857.3999999999996</v>
      </c>
      <c r="O24" s="13">
        <f t="shared" si="6"/>
        <v>-268237.49</v>
      </c>
    </row>
    <row r="25" spans="2:15">
      <c r="B25" s="4" t="s">
        <v>15</v>
      </c>
      <c r="C25" s="13">
        <v>7589.25</v>
      </c>
      <c r="D25" s="13">
        <v>10692.79</v>
      </c>
      <c r="E25" s="13">
        <v>16592.8</v>
      </c>
      <c r="F25" s="13">
        <v>11329.41</v>
      </c>
      <c r="G25" s="13">
        <v>20423.919999999998</v>
      </c>
      <c r="H25" s="13">
        <v>21305.38</v>
      </c>
      <c r="I25" s="13">
        <v>23189.23</v>
      </c>
      <c r="J25" s="13">
        <v>36944.94</v>
      </c>
      <c r="K25" s="13">
        <v>19332.189999999999</v>
      </c>
      <c r="L25" s="13">
        <v>16650.990000000002</v>
      </c>
      <c r="M25" s="13">
        <v>10467.07</v>
      </c>
      <c r="N25" s="13">
        <v>9628.98</v>
      </c>
      <c r="O25" s="13">
        <f t="shared" si="6"/>
        <v>204146.95</v>
      </c>
    </row>
    <row r="26" spans="2:15">
      <c r="B26" s="4" t="s">
        <v>16</v>
      </c>
      <c r="C26" s="13">
        <v>1822.16</v>
      </c>
      <c r="D26" s="13">
        <v>2287.19</v>
      </c>
      <c r="E26" s="13">
        <v>3836.27</v>
      </c>
      <c r="F26" s="13">
        <v>2535.7600000000002</v>
      </c>
      <c r="G26" s="13">
        <v>3605.36</v>
      </c>
      <c r="H26" s="13">
        <v>3710.48</v>
      </c>
      <c r="I26" s="13">
        <v>3654.85</v>
      </c>
      <c r="J26" s="13">
        <v>6884.22</v>
      </c>
      <c r="K26" s="13">
        <v>3958.16</v>
      </c>
      <c r="L26" s="13">
        <v>3675.08</v>
      </c>
      <c r="M26" s="13">
        <v>2686.7</v>
      </c>
      <c r="N26" s="13">
        <v>1121.99</v>
      </c>
      <c r="O26" s="13">
        <f t="shared" si="6"/>
        <v>39778.219999999994</v>
      </c>
    </row>
    <row r="27" spans="2:15">
      <c r="B27" s="4" t="s">
        <v>17</v>
      </c>
      <c r="C27" s="13">
        <v>431.49</v>
      </c>
      <c r="D27" s="13">
        <v>3082.7</v>
      </c>
      <c r="E27" s="13">
        <v>340.81</v>
      </c>
      <c r="F27" s="13">
        <v>799.16</v>
      </c>
      <c r="G27" s="13">
        <v>-311.60000000000002</v>
      </c>
      <c r="H27" s="13">
        <v>1151.28</v>
      </c>
      <c r="I27" s="13">
        <v>4092.88</v>
      </c>
      <c r="J27" s="13">
        <v>-735.81</v>
      </c>
      <c r="K27" s="13">
        <v>1335.97</v>
      </c>
      <c r="L27" s="13">
        <v>1207.1600000000001</v>
      </c>
      <c r="M27" s="13">
        <v>2853.11</v>
      </c>
      <c r="N27" s="13">
        <v>5454.39</v>
      </c>
      <c r="O27" s="13">
        <f t="shared" si="6"/>
        <v>19701.54</v>
      </c>
    </row>
    <row r="28" spans="2:15">
      <c r="B28" s="4" t="s">
        <v>18</v>
      </c>
      <c r="C28" s="13">
        <v>295</v>
      </c>
      <c r="D28" s="13">
        <v>303</v>
      </c>
      <c r="E28" s="13">
        <v>319</v>
      </c>
      <c r="F28" s="13">
        <v>311</v>
      </c>
      <c r="G28" s="13">
        <v>311</v>
      </c>
      <c r="H28" s="13">
        <v>335</v>
      </c>
      <c r="I28" s="13">
        <v>343</v>
      </c>
      <c r="J28" s="13">
        <v>359</v>
      </c>
      <c r="M28" s="13">
        <v>415</v>
      </c>
      <c r="N28" s="13">
        <v>351</v>
      </c>
      <c r="O28" s="13">
        <f t="shared" si="6"/>
        <v>3342</v>
      </c>
    </row>
    <row r="29" spans="2:15">
      <c r="B29" s="4" t="s">
        <v>19</v>
      </c>
      <c r="C29" s="13">
        <v>1363.43</v>
      </c>
      <c r="D29" s="13">
        <v>588.94000000000005</v>
      </c>
      <c r="E29" s="13">
        <v>3017.63</v>
      </c>
      <c r="F29" s="13">
        <v>662.68</v>
      </c>
      <c r="G29" s="13">
        <v>700</v>
      </c>
      <c r="H29" s="13">
        <v>430.99</v>
      </c>
      <c r="I29" s="13">
        <v>299</v>
      </c>
      <c r="J29" s="13">
        <v>1850</v>
      </c>
      <c r="L29" s="13">
        <v>810.23</v>
      </c>
      <c r="M29" s="13">
        <v>183.12</v>
      </c>
      <c r="N29" s="13">
        <v>500.94</v>
      </c>
      <c r="O29" s="13">
        <f t="shared" si="6"/>
        <v>10406.960000000001</v>
      </c>
    </row>
    <row r="30" spans="2:15">
      <c r="B30" s="4" t="s">
        <v>20</v>
      </c>
      <c r="C30" s="13">
        <v>219.39</v>
      </c>
      <c r="D30" s="13">
        <v>55.11</v>
      </c>
      <c r="E30" s="13">
        <v>606.99</v>
      </c>
      <c r="F30" s="13">
        <v>44.09</v>
      </c>
      <c r="G30" s="13">
        <v>154.09</v>
      </c>
      <c r="H30" s="13">
        <v>44.09</v>
      </c>
      <c r="I30" s="13">
        <v>44.09</v>
      </c>
      <c r="J30" s="13">
        <v>44.09</v>
      </c>
      <c r="K30" s="13">
        <v>44.09</v>
      </c>
      <c r="L30" s="13">
        <v>44.09</v>
      </c>
      <c r="M30" s="13">
        <v>44.09</v>
      </c>
      <c r="N30" s="13">
        <v>44.09</v>
      </c>
      <c r="O30" s="13">
        <f t="shared" si="6"/>
        <v>1388.2999999999995</v>
      </c>
    </row>
    <row r="31" spans="2:15">
      <c r="B31" s="4" t="s">
        <v>21</v>
      </c>
      <c r="C31" s="13">
        <v>330.75</v>
      </c>
      <c r="D31" s="13">
        <v>2008.76</v>
      </c>
      <c r="E31" s="13">
        <v>5008.28</v>
      </c>
      <c r="F31" s="13">
        <v>4795.29</v>
      </c>
      <c r="G31" s="13">
        <v>4188.8599999999997</v>
      </c>
      <c r="H31" s="13">
        <v>3126.14</v>
      </c>
      <c r="I31" s="13">
        <v>25.08</v>
      </c>
      <c r="J31" s="13">
        <v>330.75</v>
      </c>
      <c r="K31" s="13">
        <v>330.75</v>
      </c>
      <c r="L31" s="13">
        <v>330.75</v>
      </c>
      <c r="M31" s="13">
        <v>229.56</v>
      </c>
      <c r="O31" s="13">
        <f t="shared" si="6"/>
        <v>20704.97</v>
      </c>
    </row>
    <row r="32" spans="2:15">
      <c r="B32" s="4" t="s">
        <v>22</v>
      </c>
      <c r="C32" s="13">
        <v>75.45</v>
      </c>
      <c r="D32" s="13">
        <v>492.9</v>
      </c>
      <c r="G32" s="13">
        <v>8.23</v>
      </c>
      <c r="H32" s="13">
        <v>103.83</v>
      </c>
      <c r="I32" s="13">
        <v>448.86</v>
      </c>
      <c r="J32" s="13">
        <v>62.87</v>
      </c>
      <c r="K32" s="13">
        <v>86.31</v>
      </c>
      <c r="L32" s="13">
        <v>41.22</v>
      </c>
      <c r="O32" s="13">
        <f t="shared" si="6"/>
        <v>1319.6699999999998</v>
      </c>
    </row>
    <row r="33" spans="2:15">
      <c r="B33" s="4" t="s">
        <v>23</v>
      </c>
      <c r="C33" s="13">
        <v>207.82</v>
      </c>
      <c r="D33" s="13">
        <v>316.42</v>
      </c>
      <c r="E33" s="13">
        <v>2097.2600000000002</v>
      </c>
      <c r="F33" s="13">
        <v>2946.89</v>
      </c>
      <c r="G33" s="13">
        <v>227.87</v>
      </c>
      <c r="H33" s="13">
        <v>1030.78</v>
      </c>
      <c r="I33" s="13">
        <v>97.02</v>
      </c>
      <c r="J33" s="13">
        <v>1492.9</v>
      </c>
      <c r="K33" s="13">
        <v>105.55</v>
      </c>
      <c r="L33" s="13">
        <v>380.92</v>
      </c>
      <c r="M33" s="13">
        <v>188.41</v>
      </c>
      <c r="N33" s="13">
        <v>363.83</v>
      </c>
      <c r="O33" s="13">
        <f t="shared" si="6"/>
        <v>9455.6699999999983</v>
      </c>
    </row>
    <row r="34" spans="2:15">
      <c r="B34" s="7" t="s">
        <v>24</v>
      </c>
      <c r="E34" s="13">
        <v>100</v>
      </c>
      <c r="F34" s="13">
        <v>200</v>
      </c>
      <c r="G34" s="13">
        <v>133.88999999999999</v>
      </c>
      <c r="I34" s="13">
        <v>349.69</v>
      </c>
      <c r="J34" s="13">
        <v>400</v>
      </c>
      <c r="K34" s="13">
        <v>100</v>
      </c>
      <c r="L34" s="13">
        <v>423.73</v>
      </c>
      <c r="N34" s="13">
        <v>100</v>
      </c>
      <c r="O34" s="13">
        <f t="shared" si="6"/>
        <v>1807.31</v>
      </c>
    </row>
    <row r="35" spans="2:15">
      <c r="B35" s="7" t="s">
        <v>98</v>
      </c>
      <c r="C35" s="13">
        <v>-584.91999999999996</v>
      </c>
      <c r="D35" s="13">
        <v>-826.56</v>
      </c>
      <c r="E35" s="13">
        <v>-700.6</v>
      </c>
      <c r="F35" s="13">
        <v>-2359.4899999999998</v>
      </c>
      <c r="G35" s="13">
        <v>-18495.73</v>
      </c>
      <c r="H35" s="13">
        <v>-23407.31</v>
      </c>
      <c r="I35" s="13">
        <v>-25834.12</v>
      </c>
      <c r="J35" s="13">
        <v>-36107.06</v>
      </c>
      <c r="K35" s="13">
        <v>-18895.080000000002</v>
      </c>
      <c r="L35" s="13">
        <v>-5281.5</v>
      </c>
      <c r="M35" s="13">
        <v>-988.03</v>
      </c>
      <c r="N35" s="13">
        <v>-909.31</v>
      </c>
      <c r="O35" s="13">
        <f t="shared" si="6"/>
        <v>-134389.71</v>
      </c>
    </row>
    <row r="36" spans="2:15">
      <c r="B36" s="7" t="s">
        <v>25</v>
      </c>
      <c r="O36" s="13">
        <f t="shared" si="6"/>
        <v>0</v>
      </c>
    </row>
    <row r="37" spans="2:15">
      <c r="B37" s="4" t="s">
        <v>26</v>
      </c>
      <c r="C37" s="13">
        <v>11175.68</v>
      </c>
      <c r="D37" s="13">
        <v>4389.75</v>
      </c>
      <c r="E37" s="13">
        <v>11616.03</v>
      </c>
      <c r="F37" s="13">
        <v>8068.3</v>
      </c>
      <c r="G37" s="13">
        <v>21545.94</v>
      </c>
      <c r="H37" s="13">
        <v>18340.830000000002</v>
      </c>
      <c r="I37" s="13">
        <v>31499.05</v>
      </c>
      <c r="J37" s="13">
        <v>18928.29</v>
      </c>
      <c r="K37" s="13">
        <v>45148.33</v>
      </c>
      <c r="L37" s="13">
        <v>14579.95</v>
      </c>
      <c r="M37" s="13">
        <v>14602.73</v>
      </c>
      <c r="N37" s="13">
        <v>19177.89</v>
      </c>
      <c r="O37" s="13">
        <f t="shared" si="6"/>
        <v>219072.77000000002</v>
      </c>
    </row>
    <row r="38" spans="2:15">
      <c r="B38" s="4" t="s">
        <v>27</v>
      </c>
      <c r="C38" s="13">
        <v>1278.58</v>
      </c>
      <c r="D38" s="13">
        <v>950.26</v>
      </c>
      <c r="F38" s="13">
        <v>1122.08</v>
      </c>
      <c r="G38" s="13">
        <v>2118.23</v>
      </c>
      <c r="H38" s="13">
        <v>966.57</v>
      </c>
      <c r="I38" s="13">
        <v>1061.19</v>
      </c>
      <c r="J38" s="13">
        <v>4231.53</v>
      </c>
      <c r="K38" s="13">
        <v>5943.85</v>
      </c>
      <c r="L38" s="13">
        <v>5710.19</v>
      </c>
      <c r="M38" s="13">
        <v>2376.5500000000002</v>
      </c>
      <c r="N38" s="13">
        <v>2466.6799999999998</v>
      </c>
      <c r="O38" s="13">
        <f t="shared" si="6"/>
        <v>28225.71</v>
      </c>
    </row>
    <row r="39" spans="2:15">
      <c r="B39" s="4" t="s">
        <v>28</v>
      </c>
      <c r="C39" s="13">
        <v>1197.07</v>
      </c>
      <c r="D39" s="13">
        <v>7095.65</v>
      </c>
      <c r="E39" s="13">
        <v>4618.92</v>
      </c>
      <c r="F39" s="13">
        <v>1951.37</v>
      </c>
      <c r="G39" s="13">
        <v>31794.55</v>
      </c>
      <c r="H39" s="13">
        <v>8056.02</v>
      </c>
      <c r="I39" s="13">
        <v>19543.169999999998</v>
      </c>
      <c r="J39" s="13">
        <v>6799.08</v>
      </c>
      <c r="K39" s="13">
        <v>16708.009999999998</v>
      </c>
      <c r="L39" s="13">
        <v>6358.14</v>
      </c>
      <c r="M39" s="13">
        <v>10357.15</v>
      </c>
      <c r="N39" s="13">
        <v>4423.59</v>
      </c>
      <c r="O39" s="13">
        <f t="shared" si="6"/>
        <v>118902.71999999999</v>
      </c>
    </row>
    <row r="40" spans="2:15">
      <c r="B40" s="7" t="s">
        <v>99</v>
      </c>
      <c r="F40" s="13">
        <v>-260.64</v>
      </c>
      <c r="G40" s="13">
        <v>-28559.040000000001</v>
      </c>
      <c r="H40" s="13">
        <v>-18032.04</v>
      </c>
      <c r="I40" s="13">
        <v>-33799.75</v>
      </c>
      <c r="J40" s="13">
        <v>-17237.84</v>
      </c>
      <c r="K40" s="13">
        <v>-32488.23</v>
      </c>
      <c r="L40" s="13">
        <v>-2580.91</v>
      </c>
      <c r="O40" s="13">
        <f t="shared" si="6"/>
        <v>-132958.44999999998</v>
      </c>
    </row>
    <row r="41" spans="2:15">
      <c r="B41" s="4" t="s">
        <v>29</v>
      </c>
      <c r="C41" s="13">
        <v>8667.15</v>
      </c>
      <c r="D41" s="13">
        <v>11174.52</v>
      </c>
      <c r="E41" s="13">
        <v>23304.68</v>
      </c>
      <c r="F41" s="13">
        <v>21002.81</v>
      </c>
      <c r="G41" s="13">
        <v>27709.52</v>
      </c>
      <c r="H41" s="13">
        <v>47777.65</v>
      </c>
      <c r="I41" s="13">
        <v>44552.37</v>
      </c>
      <c r="J41" s="13">
        <v>50969.32</v>
      </c>
      <c r="K41" s="13">
        <v>43229.55</v>
      </c>
      <c r="L41" s="13">
        <v>29583.51</v>
      </c>
      <c r="M41" s="13">
        <v>15925.57</v>
      </c>
      <c r="N41" s="13">
        <v>12718.63</v>
      </c>
      <c r="O41" s="13">
        <f t="shared" si="6"/>
        <v>336615.28</v>
      </c>
    </row>
    <row r="42" spans="2:15">
      <c r="B42" s="4" t="s">
        <v>30</v>
      </c>
      <c r="C42" s="13">
        <v>8.5500000000000007</v>
      </c>
      <c r="D42" s="13">
        <v>410.66</v>
      </c>
      <c r="E42" s="13">
        <v>581.6</v>
      </c>
      <c r="F42" s="13">
        <v>140.19999999999999</v>
      </c>
      <c r="G42" s="13">
        <v>779.82</v>
      </c>
      <c r="H42" s="13">
        <v>780.61</v>
      </c>
      <c r="I42" s="13">
        <v>1984.99</v>
      </c>
      <c r="J42" s="13">
        <v>1174.8499999999999</v>
      </c>
      <c r="K42" s="13">
        <v>955</v>
      </c>
      <c r="L42" s="13">
        <v>450</v>
      </c>
      <c r="M42" s="13">
        <v>665.85</v>
      </c>
      <c r="N42" s="13">
        <v>49.59</v>
      </c>
      <c r="O42" s="13">
        <f t="shared" si="6"/>
        <v>7981.7200000000012</v>
      </c>
    </row>
    <row r="43" spans="2:15">
      <c r="B43" s="4" t="s">
        <v>31</v>
      </c>
      <c r="C43" s="13">
        <v>5</v>
      </c>
      <c r="D43" s="13">
        <v>5</v>
      </c>
      <c r="E43" s="13">
        <v>17</v>
      </c>
      <c r="F43" s="13">
        <v>10</v>
      </c>
      <c r="G43" s="13">
        <v>5</v>
      </c>
      <c r="I43" s="13">
        <v>87.23</v>
      </c>
      <c r="J43" s="13">
        <v>128</v>
      </c>
      <c r="K43" s="13">
        <v>85.86</v>
      </c>
      <c r="L43" s="13">
        <v>156.86000000000001</v>
      </c>
      <c r="M43" s="13">
        <v>12</v>
      </c>
      <c r="N43" s="13">
        <v>5</v>
      </c>
      <c r="O43" s="13">
        <f t="shared" si="6"/>
        <v>516.95000000000005</v>
      </c>
    </row>
    <row r="44" spans="2:15">
      <c r="B44" s="4" t="s">
        <v>32</v>
      </c>
      <c r="C44" s="13">
        <v>724.71</v>
      </c>
      <c r="D44" s="13">
        <v>1424.66</v>
      </c>
      <c r="E44" s="13">
        <v>4327.68</v>
      </c>
      <c r="F44" s="13">
        <v>328.75</v>
      </c>
      <c r="H44" s="13">
        <v>610.13</v>
      </c>
      <c r="I44" s="13">
        <v>107.25</v>
      </c>
      <c r="J44" s="13">
        <v>479.71</v>
      </c>
      <c r="K44" s="13">
        <v>152.51</v>
      </c>
      <c r="L44" s="13">
        <v>914.77</v>
      </c>
      <c r="M44" s="13">
        <v>58.55</v>
      </c>
      <c r="N44" s="13">
        <v>45.49</v>
      </c>
      <c r="O44" s="13">
        <f t="shared" si="6"/>
        <v>9174.2099999999991</v>
      </c>
    </row>
    <row r="45" spans="2:15">
      <c r="B45" s="4" t="s">
        <v>33</v>
      </c>
      <c r="C45" s="13">
        <v>216.6</v>
      </c>
      <c r="D45" s="13">
        <v>92</v>
      </c>
      <c r="E45" s="13">
        <v>276</v>
      </c>
      <c r="F45" s="13">
        <v>138</v>
      </c>
      <c r="G45" s="13">
        <v>153.5</v>
      </c>
      <c r="H45" s="13">
        <v>613.5</v>
      </c>
      <c r="J45" s="13">
        <v>966.5</v>
      </c>
      <c r="K45" s="13">
        <v>276</v>
      </c>
      <c r="L45" s="13">
        <v>181.9</v>
      </c>
      <c r="M45" s="13">
        <v>1257.5</v>
      </c>
      <c r="O45" s="13">
        <f t="shared" si="6"/>
        <v>4171.5</v>
      </c>
    </row>
    <row r="46" spans="2:15">
      <c r="B46" s="7" t="s">
        <v>34</v>
      </c>
      <c r="F46" s="13">
        <v>183.2</v>
      </c>
      <c r="G46" s="13">
        <v>301</v>
      </c>
      <c r="H46" s="13">
        <v>200</v>
      </c>
      <c r="I46" s="13">
        <v>705.6</v>
      </c>
      <c r="J46" s="13">
        <v>200</v>
      </c>
      <c r="L46" s="13">
        <v>200</v>
      </c>
      <c r="O46" s="13">
        <f t="shared" si="6"/>
        <v>1789.8000000000002</v>
      </c>
    </row>
    <row r="47" spans="2:15">
      <c r="B47" s="4" t="s">
        <v>35</v>
      </c>
      <c r="C47" s="13">
        <v>-749.15</v>
      </c>
      <c r="D47" s="13">
        <v>1783.62</v>
      </c>
      <c r="E47" s="13">
        <v>842.27</v>
      </c>
      <c r="F47" s="13">
        <v>2345.7800000000002</v>
      </c>
      <c r="G47" s="13">
        <v>231.15</v>
      </c>
      <c r="I47" s="13">
        <v>5021.91</v>
      </c>
      <c r="K47" s="13">
        <v>2160.16</v>
      </c>
      <c r="L47" s="13">
        <v>1071.53</v>
      </c>
      <c r="M47" s="13">
        <v>490.5</v>
      </c>
      <c r="O47" s="13">
        <f t="shared" si="6"/>
        <v>13197.77</v>
      </c>
    </row>
    <row r="48" spans="2:15">
      <c r="B48" s="7" t="s">
        <v>100</v>
      </c>
      <c r="F48" s="13">
        <v>-491.33</v>
      </c>
      <c r="G48" s="13">
        <v>-14269.3</v>
      </c>
      <c r="H48" s="13">
        <v>-31484.68</v>
      </c>
      <c r="I48" s="13">
        <v>-28901.360000000001</v>
      </c>
      <c r="J48" s="13">
        <v>-29326.87</v>
      </c>
      <c r="K48" s="13">
        <v>-20714.57</v>
      </c>
      <c r="L48" s="13">
        <v>-2865.19</v>
      </c>
      <c r="O48" s="13">
        <f t="shared" si="6"/>
        <v>-128053.29999999999</v>
      </c>
    </row>
    <row r="49" spans="2:15">
      <c r="B49" s="7" t="s">
        <v>36</v>
      </c>
      <c r="N49" s="13">
        <v>14512.14</v>
      </c>
      <c r="O49" s="13">
        <f t="shared" si="6"/>
        <v>14512.14</v>
      </c>
    </row>
    <row r="50" spans="2:15">
      <c r="B50" s="10" t="s">
        <v>37</v>
      </c>
      <c r="N50" s="13">
        <v>1205.48</v>
      </c>
      <c r="O50" s="13">
        <f t="shared" si="6"/>
        <v>1205.48</v>
      </c>
    </row>
    <row r="51" spans="2:15">
      <c r="B51" s="7" t="s">
        <v>38</v>
      </c>
      <c r="O51" s="13">
        <f t="shared" si="6"/>
        <v>0</v>
      </c>
    </row>
    <row r="52" spans="2:15">
      <c r="B52" s="4" t="s">
        <v>39</v>
      </c>
      <c r="C52" s="13">
        <v>103.55</v>
      </c>
      <c r="F52" s="13">
        <v>90.93</v>
      </c>
      <c r="M52" s="13">
        <v>149.28</v>
      </c>
      <c r="O52" s="13">
        <f t="shared" si="6"/>
        <v>343.76</v>
      </c>
    </row>
    <row r="53" spans="2:15">
      <c r="B53" s="7" t="s">
        <v>40</v>
      </c>
      <c r="E53" s="13">
        <v>195</v>
      </c>
      <c r="F53" s="13">
        <v>62.5</v>
      </c>
      <c r="I53" s="13">
        <v>798</v>
      </c>
      <c r="K53" s="13">
        <v>675</v>
      </c>
      <c r="L53" s="13">
        <v>375</v>
      </c>
      <c r="O53" s="13">
        <f t="shared" si="6"/>
        <v>2105.5</v>
      </c>
    </row>
    <row r="54" spans="2:15">
      <c r="B54" s="4" t="s">
        <v>41</v>
      </c>
      <c r="C54" s="13">
        <v>79.5</v>
      </c>
      <c r="D54" s="13">
        <v>99</v>
      </c>
      <c r="E54" s="13">
        <v>99</v>
      </c>
      <c r="N54" s="13">
        <v>2812.77</v>
      </c>
      <c r="O54" s="13">
        <f t="shared" si="6"/>
        <v>3090.27</v>
      </c>
    </row>
    <row r="55" spans="2:15">
      <c r="B55" s="4" t="s">
        <v>42</v>
      </c>
      <c r="C55" s="13">
        <v>2432.77</v>
      </c>
      <c r="D55" s="13">
        <v>1864.02</v>
      </c>
      <c r="E55" s="13">
        <v>2346.19</v>
      </c>
      <c r="F55" s="13">
        <v>4141.8</v>
      </c>
      <c r="G55" s="13">
        <v>4959.91</v>
      </c>
      <c r="H55" s="13">
        <v>4576.51</v>
      </c>
      <c r="I55" s="13">
        <v>2664.62</v>
      </c>
      <c r="J55" s="13">
        <v>1697.34</v>
      </c>
      <c r="K55" s="13">
        <v>1268.8</v>
      </c>
      <c r="L55" s="13">
        <v>1789.54</v>
      </c>
      <c r="M55" s="13">
        <v>1042.3699999999999</v>
      </c>
      <c r="N55" s="13">
        <v>1376.57</v>
      </c>
      <c r="O55" s="13">
        <f t="shared" si="6"/>
        <v>30160.439999999995</v>
      </c>
    </row>
    <row r="56" spans="2:15">
      <c r="B56" s="7" t="s">
        <v>43</v>
      </c>
      <c r="E56" s="13">
        <v>450</v>
      </c>
      <c r="H56" s="13">
        <v>536.25</v>
      </c>
      <c r="I56" s="13">
        <v>300</v>
      </c>
      <c r="J56" s="13">
        <v>485</v>
      </c>
      <c r="K56" s="13">
        <v>597</v>
      </c>
      <c r="L56" s="13">
        <v>850</v>
      </c>
      <c r="M56" s="13">
        <v>300</v>
      </c>
      <c r="N56" s="13">
        <v>-3518.25</v>
      </c>
      <c r="O56" s="13">
        <f t="shared" si="6"/>
        <v>0</v>
      </c>
    </row>
    <row r="57" spans="2:15">
      <c r="B57" s="4" t="s">
        <v>44</v>
      </c>
      <c r="C57" s="13">
        <v>20</v>
      </c>
      <c r="D57" s="13">
        <v>36</v>
      </c>
      <c r="E57" s="13">
        <v>26.44</v>
      </c>
      <c r="F57" s="13">
        <v>261</v>
      </c>
      <c r="G57" s="13">
        <v>12</v>
      </c>
      <c r="H57" s="13">
        <v>83.69</v>
      </c>
      <c r="I57" s="13">
        <v>260.91000000000003</v>
      </c>
      <c r="J57" s="13">
        <v>41</v>
      </c>
      <c r="K57" s="13">
        <v>115</v>
      </c>
      <c r="L57" s="13">
        <v>11</v>
      </c>
      <c r="M57" s="13">
        <v>-597.15</v>
      </c>
      <c r="N57" s="13">
        <v>37</v>
      </c>
      <c r="O57" s="13">
        <f t="shared" si="6"/>
        <v>306.89</v>
      </c>
    </row>
    <row r="58" spans="2:15">
      <c r="B58" s="4" t="s">
        <v>45</v>
      </c>
      <c r="C58" s="13">
        <v>13</v>
      </c>
      <c r="D58" s="13">
        <v>346.06</v>
      </c>
      <c r="E58" s="13">
        <v>500.52</v>
      </c>
      <c r="F58" s="13">
        <v>339.34</v>
      </c>
      <c r="G58" s="13">
        <v>1278.8800000000001</v>
      </c>
      <c r="H58" s="13">
        <v>2035.43</v>
      </c>
      <c r="I58" s="13">
        <v>5196.05</v>
      </c>
      <c r="J58" s="13">
        <v>130.44</v>
      </c>
      <c r="K58" s="13">
        <v>214</v>
      </c>
      <c r="L58" s="13">
        <v>444.59</v>
      </c>
      <c r="M58" s="13">
        <v>5221.96</v>
      </c>
      <c r="N58" s="13">
        <v>1002.88</v>
      </c>
      <c r="O58" s="13">
        <f t="shared" si="6"/>
        <v>16723.150000000001</v>
      </c>
    </row>
    <row r="59" spans="2:15">
      <c r="B59" s="7" t="s">
        <v>46</v>
      </c>
      <c r="F59" s="13">
        <v>500</v>
      </c>
      <c r="O59" s="13">
        <f t="shared" si="6"/>
        <v>500</v>
      </c>
    </row>
    <row r="60" spans="2:15">
      <c r="B60" s="8" t="s">
        <v>47</v>
      </c>
      <c r="D60" s="13">
        <v>1500</v>
      </c>
      <c r="K60" s="13">
        <v>-1500</v>
      </c>
      <c r="O60" s="13">
        <f t="shared" si="6"/>
        <v>0</v>
      </c>
    </row>
    <row r="61" spans="2:15">
      <c r="B61" s="4" t="s">
        <v>48</v>
      </c>
      <c r="C61" s="13">
        <v>6363.3</v>
      </c>
      <c r="D61" s="13">
        <v>1813.63</v>
      </c>
      <c r="E61" s="13">
        <v>1129.2</v>
      </c>
      <c r="F61" s="13">
        <v>7943.85</v>
      </c>
      <c r="G61" s="13">
        <v>3367.19</v>
      </c>
      <c r="H61" s="13">
        <v>3211.81</v>
      </c>
      <c r="I61" s="13">
        <v>2929.52</v>
      </c>
      <c r="J61" s="13">
        <v>5394.55</v>
      </c>
      <c r="K61" s="13">
        <v>3416.28</v>
      </c>
      <c r="L61" s="13">
        <v>2550.59</v>
      </c>
      <c r="M61" s="13">
        <v>7090.64</v>
      </c>
      <c r="N61" s="13">
        <v>2468.8200000000002</v>
      </c>
      <c r="O61" s="13">
        <f t="shared" si="6"/>
        <v>47679.38</v>
      </c>
    </row>
    <row r="62" spans="2:15">
      <c r="B62" s="8" t="s">
        <v>49</v>
      </c>
      <c r="N62" s="13">
        <v>-363</v>
      </c>
      <c r="O62" s="13">
        <f t="shared" si="6"/>
        <v>-363</v>
      </c>
    </row>
    <row r="63" spans="2:15">
      <c r="B63" s="4" t="s">
        <v>50</v>
      </c>
      <c r="C63" s="13">
        <v>130</v>
      </c>
      <c r="D63" s="13">
        <v>760</v>
      </c>
      <c r="E63" s="13">
        <v>480</v>
      </c>
      <c r="F63" s="13">
        <v>440</v>
      </c>
      <c r="G63" s="13">
        <v>234.5</v>
      </c>
      <c r="H63" s="13">
        <v>480</v>
      </c>
      <c r="I63" s="13">
        <v>2207.5</v>
      </c>
      <c r="J63" s="13">
        <v>870</v>
      </c>
      <c r="K63" s="13">
        <v>440</v>
      </c>
      <c r="M63" s="13">
        <v>130</v>
      </c>
      <c r="N63" s="13">
        <v>748.34</v>
      </c>
      <c r="O63" s="13">
        <f t="shared" si="6"/>
        <v>6920.34</v>
      </c>
    </row>
    <row r="64" spans="2:15">
      <c r="B64" s="7" t="s">
        <v>51</v>
      </c>
      <c r="E64" s="13">
        <v>381.17</v>
      </c>
      <c r="F64" s="13">
        <v>699.12</v>
      </c>
      <c r="G64" s="13">
        <v>1058.1500000000001</v>
      </c>
      <c r="H64" s="13">
        <v>1065.3599999999999</v>
      </c>
      <c r="I64" s="13">
        <v>1203.74</v>
      </c>
      <c r="J64" s="13">
        <v>916.92</v>
      </c>
      <c r="K64" s="13">
        <v>875.41</v>
      </c>
      <c r="L64" s="13">
        <v>855.17</v>
      </c>
      <c r="M64" s="13">
        <v>4.9000000000000004</v>
      </c>
      <c r="O64" s="13">
        <f t="shared" si="6"/>
        <v>7059.94</v>
      </c>
    </row>
    <row r="65" spans="2:15">
      <c r="B65" s="4" t="s">
        <v>52</v>
      </c>
      <c r="C65" s="13">
        <v>1325.22</v>
      </c>
      <c r="D65" s="13">
        <v>1284.1500000000001</v>
      </c>
      <c r="E65" s="13">
        <v>1008.36</v>
      </c>
      <c r="F65" s="13">
        <v>193.44</v>
      </c>
      <c r="G65" s="13">
        <v>1229</v>
      </c>
      <c r="H65" s="13">
        <v>1139.07</v>
      </c>
      <c r="I65" s="13">
        <v>1266.43</v>
      </c>
      <c r="J65" s="13">
        <v>1219.28</v>
      </c>
      <c r="K65" s="13">
        <v>1259.5999999999999</v>
      </c>
      <c r="L65" s="13">
        <v>1195.45</v>
      </c>
      <c r="M65" s="13">
        <v>1161.56</v>
      </c>
      <c r="N65" s="13">
        <v>1257.5</v>
      </c>
      <c r="O65" s="13">
        <f t="shared" si="6"/>
        <v>13539.060000000001</v>
      </c>
    </row>
    <row r="66" spans="2:15">
      <c r="B66" s="4" t="s">
        <v>53</v>
      </c>
      <c r="F66" s="13">
        <v>15395.88</v>
      </c>
      <c r="G66" s="13">
        <v>763.11</v>
      </c>
      <c r="H66" s="13">
        <v>732.81</v>
      </c>
      <c r="I66" s="13">
        <v>702.38</v>
      </c>
      <c r="J66" s="13">
        <v>671.83</v>
      </c>
      <c r="K66" s="13">
        <v>641.15</v>
      </c>
      <c r="L66" s="13">
        <v>3047.35</v>
      </c>
      <c r="N66" s="13">
        <v>3277.17</v>
      </c>
      <c r="O66" s="13">
        <f t="shared" si="6"/>
        <v>25231.68</v>
      </c>
    </row>
    <row r="67" spans="2:15">
      <c r="B67" s="4" t="s">
        <v>54</v>
      </c>
      <c r="C67" s="13">
        <v>883.04</v>
      </c>
      <c r="D67" s="13">
        <v>871.99</v>
      </c>
      <c r="E67" s="13">
        <v>764.94</v>
      </c>
      <c r="F67" s="13">
        <v>1087.77</v>
      </c>
      <c r="G67" s="13">
        <v>761.46</v>
      </c>
      <c r="H67" s="13">
        <v>754.07</v>
      </c>
      <c r="I67" s="13">
        <v>710.36</v>
      </c>
      <c r="J67" s="13">
        <v>713.14</v>
      </c>
      <c r="K67" s="13">
        <v>685.34</v>
      </c>
      <c r="L67" s="13">
        <v>641.17999999999995</v>
      </c>
      <c r="M67" s="13">
        <v>1166.48</v>
      </c>
      <c r="N67" s="13">
        <v>1186.58</v>
      </c>
      <c r="O67" s="13">
        <f t="shared" si="6"/>
        <v>10226.35</v>
      </c>
    </row>
    <row r="68" spans="2:15">
      <c r="B68" s="7" t="s">
        <v>55</v>
      </c>
      <c r="G68" s="13">
        <v>343.27</v>
      </c>
      <c r="H68" s="13">
        <v>609.58000000000004</v>
      </c>
      <c r="I68" s="13">
        <v>308.88</v>
      </c>
      <c r="J68" s="13">
        <v>0</v>
      </c>
      <c r="K68" s="13">
        <v>0</v>
      </c>
      <c r="L68" s="13">
        <v>0</v>
      </c>
      <c r="M68" s="13">
        <v>0</v>
      </c>
      <c r="N68" s="13">
        <v>361.63</v>
      </c>
      <c r="O68" s="13">
        <f t="shared" si="6"/>
        <v>1623.3600000000001</v>
      </c>
    </row>
    <row r="69" spans="2:15">
      <c r="B69" s="4" t="s">
        <v>56</v>
      </c>
      <c r="C69" s="13">
        <v>1161.1500000000001</v>
      </c>
      <c r="D69" s="13">
        <v>462.42</v>
      </c>
      <c r="E69" s="13">
        <v>574.94000000000005</v>
      </c>
      <c r="F69" s="13">
        <v>1713.3</v>
      </c>
      <c r="G69" s="13">
        <v>3757.27</v>
      </c>
      <c r="H69" s="13">
        <v>2980</v>
      </c>
      <c r="I69" s="13">
        <v>1239.1400000000001</v>
      </c>
      <c r="J69" s="13">
        <v>1343.38</v>
      </c>
      <c r="K69" s="13">
        <v>1275.8499999999999</v>
      </c>
      <c r="L69" s="13">
        <v>429.81</v>
      </c>
      <c r="M69" s="13">
        <v>777.74</v>
      </c>
      <c r="N69" s="13">
        <v>1221.08</v>
      </c>
      <c r="O69" s="13">
        <f t="shared" si="6"/>
        <v>16936.079999999998</v>
      </c>
    </row>
    <row r="70" spans="2:15">
      <c r="B70" s="4" t="s">
        <v>57</v>
      </c>
      <c r="O70" s="13">
        <f t="shared" si="6"/>
        <v>0</v>
      </c>
    </row>
    <row r="71" spans="2:15">
      <c r="B71" s="7" t="s">
        <v>58</v>
      </c>
      <c r="J71" s="13">
        <v>27.22</v>
      </c>
      <c r="K71" s="13">
        <v>0</v>
      </c>
      <c r="L71" s="13">
        <v>0</v>
      </c>
      <c r="M71" s="13">
        <v>0</v>
      </c>
      <c r="N71" s="13">
        <v>0</v>
      </c>
      <c r="O71" s="13">
        <f t="shared" si="6"/>
        <v>27.22</v>
      </c>
    </row>
    <row r="72" spans="2:15">
      <c r="B72" s="7" t="s">
        <v>101</v>
      </c>
      <c r="O72" s="13">
        <f t="shared" si="6"/>
        <v>0</v>
      </c>
    </row>
    <row r="73" spans="2:15">
      <c r="B73" s="4" t="s">
        <v>59</v>
      </c>
      <c r="C73" s="13">
        <v>660.4</v>
      </c>
      <c r="D73" s="13">
        <v>426.67</v>
      </c>
      <c r="E73" s="13">
        <v>466.36</v>
      </c>
      <c r="F73" s="13">
        <v>453.13</v>
      </c>
      <c r="G73" s="13">
        <v>532.51</v>
      </c>
      <c r="H73" s="13">
        <v>678.04</v>
      </c>
      <c r="I73" s="13">
        <v>757.42</v>
      </c>
      <c r="J73" s="13">
        <v>850.03</v>
      </c>
      <c r="K73" s="13">
        <v>823.57</v>
      </c>
      <c r="L73" s="13">
        <v>757.42</v>
      </c>
      <c r="M73" s="13">
        <v>664.81</v>
      </c>
      <c r="N73" s="13">
        <v>519.28</v>
      </c>
      <c r="O73" s="13">
        <f t="shared" si="6"/>
        <v>7589.6399999999985</v>
      </c>
    </row>
    <row r="74" spans="2:15">
      <c r="B74" s="7" t="s">
        <v>60</v>
      </c>
      <c r="G74" s="13">
        <v>17464.5</v>
      </c>
      <c r="H74" s="13">
        <v>0</v>
      </c>
      <c r="I74" s="13">
        <v>2950</v>
      </c>
      <c r="J74" s="13">
        <v>2090</v>
      </c>
      <c r="K74" s="13">
        <v>0</v>
      </c>
      <c r="L74" s="13">
        <v>5865</v>
      </c>
      <c r="M74" s="13">
        <v>1512.5</v>
      </c>
      <c r="N74" s="13">
        <v>8790</v>
      </c>
      <c r="O74" s="13">
        <f t="shared" si="6"/>
        <v>38672</v>
      </c>
    </row>
    <row r="75" spans="2:15">
      <c r="B75" s="4" t="s">
        <v>61</v>
      </c>
      <c r="C75" s="13">
        <v>3317.84</v>
      </c>
      <c r="E75" s="13">
        <v>14482.33</v>
      </c>
      <c r="F75" s="13">
        <v>2509.86</v>
      </c>
      <c r="H75" s="13">
        <v>150.27000000000001</v>
      </c>
      <c r="I75" s="13">
        <v>886.95</v>
      </c>
      <c r="O75" s="13">
        <f t="shared" si="6"/>
        <v>21347.25</v>
      </c>
    </row>
    <row r="76" spans="2:15">
      <c r="B76" s="7" t="s">
        <v>62</v>
      </c>
      <c r="E76" s="13">
        <v>165.38</v>
      </c>
      <c r="O76" s="13">
        <f t="shared" si="6"/>
        <v>165.38</v>
      </c>
    </row>
    <row r="77" spans="2:15">
      <c r="B77" s="4" t="s">
        <v>63</v>
      </c>
      <c r="C77" s="13">
        <v>2818.45</v>
      </c>
      <c r="D77" s="13">
        <v>2827.76</v>
      </c>
      <c r="E77" s="13">
        <v>3210.89</v>
      </c>
      <c r="F77" s="13">
        <v>3971.32</v>
      </c>
      <c r="G77" s="13">
        <v>3282.14</v>
      </c>
      <c r="H77" s="13">
        <v>4423.13</v>
      </c>
      <c r="I77" s="13">
        <v>4539.07</v>
      </c>
      <c r="J77" s="13">
        <v>4253.3100000000004</v>
      </c>
      <c r="K77" s="13">
        <v>3994.38</v>
      </c>
      <c r="L77" s="13">
        <v>3835.65</v>
      </c>
      <c r="M77" s="13">
        <v>3894.36</v>
      </c>
      <c r="N77" s="13">
        <v>4248.04</v>
      </c>
      <c r="O77" s="13">
        <f t="shared" si="6"/>
        <v>45298.5</v>
      </c>
    </row>
    <row r="78" spans="2:15">
      <c r="B78" s="4" t="s">
        <v>64</v>
      </c>
      <c r="C78" s="13">
        <v>1000</v>
      </c>
      <c r="H78" s="13">
        <v>1181.19</v>
      </c>
      <c r="M78" s="13">
        <v>2370</v>
      </c>
      <c r="N78" s="13">
        <v>580.25</v>
      </c>
      <c r="O78" s="13">
        <f t="shared" si="6"/>
        <v>5131.4400000000005</v>
      </c>
    </row>
    <row r="79" spans="2:15">
      <c r="B79" s="4" t="s">
        <v>65</v>
      </c>
      <c r="C79" s="13">
        <v>879.57</v>
      </c>
      <c r="D79" s="13">
        <v>885.4</v>
      </c>
      <c r="E79" s="13">
        <v>824.54</v>
      </c>
      <c r="F79" s="13">
        <v>865.76</v>
      </c>
      <c r="G79" s="13">
        <v>814.55</v>
      </c>
      <c r="H79" s="13">
        <v>1179.82</v>
      </c>
      <c r="I79" s="13">
        <v>938.99</v>
      </c>
      <c r="J79" s="13">
        <v>3119.15</v>
      </c>
      <c r="K79" s="13">
        <v>940.12</v>
      </c>
      <c r="L79" s="13">
        <v>1150.69</v>
      </c>
      <c r="M79" s="13">
        <v>1063.71</v>
      </c>
      <c r="N79" s="13">
        <v>769.33</v>
      </c>
      <c r="O79" s="13">
        <f t="shared" si="6"/>
        <v>13431.630000000003</v>
      </c>
    </row>
    <row r="80" spans="2:15">
      <c r="B80" s="4" t="s">
        <v>66</v>
      </c>
      <c r="L80" s="13">
        <v>741.66</v>
      </c>
      <c r="O80" s="13">
        <f t="shared" si="6"/>
        <v>741.66</v>
      </c>
    </row>
    <row r="81" spans="2:15">
      <c r="B81" s="4" t="s">
        <v>67</v>
      </c>
      <c r="C81" s="13">
        <v>13.24</v>
      </c>
      <c r="D81" s="13">
        <v>-448.18</v>
      </c>
      <c r="G81" s="13">
        <v>435.38</v>
      </c>
      <c r="J81" s="13">
        <v>140.93</v>
      </c>
      <c r="K81" s="13">
        <v>196.48</v>
      </c>
      <c r="M81" s="13">
        <v>31.88</v>
      </c>
      <c r="N81" s="13">
        <v>714.4</v>
      </c>
      <c r="O81" s="13">
        <f t="shared" si="6"/>
        <v>1084.1300000000001</v>
      </c>
    </row>
    <row r="82" spans="2:15">
      <c r="B82" s="4" t="s">
        <v>68</v>
      </c>
      <c r="C82" s="13">
        <v>116.27</v>
      </c>
      <c r="F82" s="13">
        <v>238.55</v>
      </c>
      <c r="G82" s="13">
        <v>237.15</v>
      </c>
      <c r="I82" s="13">
        <v>1151.3</v>
      </c>
      <c r="J82" s="13">
        <v>784.91</v>
      </c>
      <c r="K82" s="13">
        <v>691.59</v>
      </c>
      <c r="L82" s="13">
        <v>910.15</v>
      </c>
      <c r="M82" s="13">
        <v>1443.55</v>
      </c>
      <c r="N82" s="13">
        <v>948.49</v>
      </c>
      <c r="O82" s="13">
        <f t="shared" si="6"/>
        <v>6521.96</v>
      </c>
    </row>
    <row r="83" spans="2:15">
      <c r="B83" s="4" t="s">
        <v>293</v>
      </c>
      <c r="C83" s="13">
        <v>-1229</v>
      </c>
      <c r="D83" s="13">
        <v>-1088</v>
      </c>
      <c r="E83" s="13">
        <v>-3743</v>
      </c>
      <c r="F83" s="13">
        <v>-5128</v>
      </c>
      <c r="G83" s="13">
        <v>-17010</v>
      </c>
      <c r="H83" s="13">
        <v>-19342</v>
      </c>
      <c r="I83" s="13">
        <v>-20868</v>
      </c>
      <c r="J83" s="13">
        <v>-22841</v>
      </c>
      <c r="K83" s="13">
        <v>-12358</v>
      </c>
      <c r="L83" s="13">
        <v>-2544</v>
      </c>
      <c r="M83" s="13">
        <v>-1423</v>
      </c>
      <c r="N83" s="13">
        <v>-2755</v>
      </c>
      <c r="O83" s="13">
        <f t="shared" si="6"/>
        <v>-110329</v>
      </c>
    </row>
    <row r="84" spans="2:15">
      <c r="B84" s="7" t="s">
        <v>69</v>
      </c>
      <c r="G84" s="13">
        <v>17664.22</v>
      </c>
      <c r="H84" s="13">
        <v>15695.06</v>
      </c>
      <c r="I84" s="13">
        <v>13495.06</v>
      </c>
      <c r="J84" s="13">
        <v>19402.240000000002</v>
      </c>
      <c r="K84" s="13">
        <v>12764.6</v>
      </c>
      <c r="L84" s="13">
        <v>12649.2</v>
      </c>
      <c r="M84" s="13">
        <v>7667.98</v>
      </c>
      <c r="N84" s="13">
        <v>0</v>
      </c>
      <c r="O84" s="13">
        <f t="shared" si="6"/>
        <v>99338.36</v>
      </c>
    </row>
    <row r="85" spans="2:15">
      <c r="B85" s="4" t="s">
        <v>70</v>
      </c>
      <c r="C85" s="13">
        <v>1478.21</v>
      </c>
      <c r="D85" s="13">
        <v>1029.28</v>
      </c>
      <c r="E85" s="13">
        <v>2379.8200000000002</v>
      </c>
      <c r="F85" s="13">
        <v>1356.24</v>
      </c>
      <c r="G85" s="13">
        <v>1804.79</v>
      </c>
      <c r="H85" s="13">
        <v>2053.14</v>
      </c>
      <c r="I85" s="13">
        <v>2187.52</v>
      </c>
      <c r="J85" s="13">
        <v>1780.22</v>
      </c>
      <c r="K85" s="13">
        <v>2865.91</v>
      </c>
      <c r="L85" s="13">
        <v>1418.5</v>
      </c>
      <c r="M85" s="13">
        <v>2870.68</v>
      </c>
      <c r="N85" s="13">
        <v>2266.39</v>
      </c>
      <c r="O85" s="13">
        <f t="shared" si="6"/>
        <v>23490.699999999997</v>
      </c>
    </row>
    <row r="86" spans="2:15">
      <c r="B86" s="4" t="s">
        <v>71</v>
      </c>
      <c r="C86" s="13">
        <v>188.43</v>
      </c>
      <c r="D86" s="13">
        <v>68.239999999999995</v>
      </c>
      <c r="E86" s="13">
        <v>1012.3</v>
      </c>
      <c r="F86" s="13">
        <v>390.7</v>
      </c>
      <c r="G86" s="13">
        <v>104.22</v>
      </c>
      <c r="H86" s="13">
        <v>2379.0500000000002</v>
      </c>
      <c r="I86" s="13">
        <v>956.02</v>
      </c>
      <c r="J86" s="13">
        <v>3852.94</v>
      </c>
      <c r="K86" s="13">
        <v>188.08</v>
      </c>
      <c r="L86" s="13">
        <v>1209.22</v>
      </c>
      <c r="M86" s="13">
        <v>647.22</v>
      </c>
      <c r="N86" s="13">
        <v>-205.77</v>
      </c>
      <c r="O86" s="13">
        <f t="shared" ref="O86:O95" si="7">SUM(C86:N86)</f>
        <v>10790.65</v>
      </c>
    </row>
    <row r="87" spans="2:15">
      <c r="B87" s="4" t="s">
        <v>72</v>
      </c>
      <c r="C87" s="13">
        <v>92.64</v>
      </c>
      <c r="D87" s="13">
        <v>92.64</v>
      </c>
      <c r="E87" s="13">
        <v>92.64</v>
      </c>
      <c r="F87" s="13">
        <v>92.64</v>
      </c>
      <c r="G87" s="13">
        <v>92.64</v>
      </c>
      <c r="H87" s="13">
        <v>92.64</v>
      </c>
      <c r="I87" s="13">
        <v>92.64</v>
      </c>
      <c r="J87" s="13">
        <v>92.64</v>
      </c>
      <c r="K87" s="13">
        <v>148.88999999999999</v>
      </c>
      <c r="L87" s="13">
        <v>148.88999999999999</v>
      </c>
      <c r="M87" s="13">
        <v>148.88999999999999</v>
      </c>
      <c r="N87" s="13">
        <v>148.88999999999999</v>
      </c>
      <c r="O87" s="13">
        <f t="shared" si="7"/>
        <v>1336.6799999999998</v>
      </c>
    </row>
    <row r="88" spans="2:15">
      <c r="B88" s="4" t="s">
        <v>104</v>
      </c>
      <c r="C88" s="13">
        <v>-491</v>
      </c>
      <c r="D88" s="13">
        <v>-435</v>
      </c>
      <c r="E88" s="13">
        <v>-1496</v>
      </c>
      <c r="F88" s="13">
        <v>-2049</v>
      </c>
      <c r="G88" s="13">
        <v>-6797</v>
      </c>
      <c r="H88" s="13">
        <v>-7729</v>
      </c>
      <c r="I88" s="13">
        <v>-8339</v>
      </c>
      <c r="J88" s="13">
        <v>-9127</v>
      </c>
      <c r="K88" s="13">
        <v>-4938</v>
      </c>
      <c r="L88" s="13">
        <v>-1017</v>
      </c>
      <c r="M88" s="13">
        <v>-569</v>
      </c>
      <c r="N88" s="13">
        <v>-1101</v>
      </c>
      <c r="O88" s="13">
        <f t="shared" si="7"/>
        <v>-44088</v>
      </c>
    </row>
    <row r="89" spans="2:15">
      <c r="B89" s="7" t="s">
        <v>74</v>
      </c>
      <c r="O89" s="13">
        <f t="shared" si="7"/>
        <v>0</v>
      </c>
    </row>
    <row r="90" spans="2:15">
      <c r="B90" s="4" t="s">
        <v>75</v>
      </c>
      <c r="C90" s="13">
        <v>1431.34</v>
      </c>
      <c r="D90" s="13">
        <v>2673.76</v>
      </c>
      <c r="E90" s="13">
        <v>2352.52</v>
      </c>
      <c r="F90" s="13">
        <v>2375.62</v>
      </c>
      <c r="G90" s="13">
        <v>2091.0100000000002</v>
      </c>
      <c r="H90" s="13">
        <v>2628.29</v>
      </c>
      <c r="I90" s="13">
        <v>2331.92</v>
      </c>
      <c r="J90" s="13">
        <v>1960.22</v>
      </c>
      <c r="K90" s="13">
        <v>2576.13</v>
      </c>
      <c r="L90" s="13">
        <v>2186.7199999999998</v>
      </c>
      <c r="M90" s="13">
        <v>1885.58</v>
      </c>
      <c r="N90" s="13">
        <v>47695.67</v>
      </c>
      <c r="O90" s="13">
        <f t="shared" si="7"/>
        <v>72188.78</v>
      </c>
    </row>
    <row r="91" spans="2:15">
      <c r="B91" s="4" t="s">
        <v>76</v>
      </c>
      <c r="C91" s="13">
        <v>39264</v>
      </c>
      <c r="E91" s="13">
        <v>42087</v>
      </c>
      <c r="F91" s="13">
        <v>26571</v>
      </c>
      <c r="G91" s="13">
        <v>23562</v>
      </c>
      <c r="H91" s="13">
        <v>18259</v>
      </c>
      <c r="I91" s="13">
        <v>11229</v>
      </c>
      <c r="J91" s="13">
        <v>754</v>
      </c>
      <c r="K91" s="13">
        <v>100069</v>
      </c>
      <c r="L91" s="13">
        <v>25000</v>
      </c>
      <c r="M91" s="13">
        <v>0</v>
      </c>
      <c r="N91" s="13">
        <v>42347.66</v>
      </c>
      <c r="O91" s="13">
        <f t="shared" si="7"/>
        <v>329142.66000000003</v>
      </c>
    </row>
    <row r="92" spans="2:15">
      <c r="B92" s="7" t="s">
        <v>102</v>
      </c>
      <c r="F92" s="13">
        <v>-621.59</v>
      </c>
      <c r="G92" s="13">
        <v>-12133.5</v>
      </c>
      <c r="H92" s="13">
        <v>-12032.38</v>
      </c>
      <c r="I92" s="13">
        <v>-7284.31</v>
      </c>
      <c r="J92" s="13">
        <v>-433.84</v>
      </c>
      <c r="K92" s="13">
        <v>-47950.67</v>
      </c>
      <c r="L92" s="13">
        <v>-2421.27</v>
      </c>
      <c r="O92" s="13">
        <f t="shared" si="7"/>
        <v>-82877.560000000012</v>
      </c>
    </row>
    <row r="93" spans="2:15">
      <c r="B93" s="4" t="s">
        <v>103</v>
      </c>
      <c r="C93" s="13">
        <v>9854.2999999999993</v>
      </c>
      <c r="D93" s="13">
        <v>9854.2999999999993</v>
      </c>
      <c r="E93" s="13">
        <v>9854.2999999999993</v>
      </c>
      <c r="F93" s="13">
        <v>9854.2999999999993</v>
      </c>
      <c r="G93" s="13">
        <v>9854.2999999999993</v>
      </c>
      <c r="H93" s="13">
        <v>9854.2999999999993</v>
      </c>
      <c r="I93" s="13">
        <v>9854.2999999999993</v>
      </c>
      <c r="J93" s="13">
        <v>9854.2999999999993</v>
      </c>
      <c r="K93" s="13">
        <v>9854.2999999999993</v>
      </c>
      <c r="L93" s="13">
        <v>9854.2999999999993</v>
      </c>
      <c r="M93" s="13">
        <v>9854.2999999999993</v>
      </c>
      <c r="N93" s="13">
        <v>9854.2999999999993</v>
      </c>
      <c r="O93" s="13">
        <f t="shared" si="7"/>
        <v>118251.60000000002</v>
      </c>
    </row>
    <row r="94" spans="2:15">
      <c r="B94" s="4" t="s">
        <v>77</v>
      </c>
      <c r="C94" s="13">
        <v>2875</v>
      </c>
      <c r="D94" s="13">
        <v>2875</v>
      </c>
      <c r="E94" s="13">
        <v>2875</v>
      </c>
      <c r="F94" s="13">
        <v>2875</v>
      </c>
      <c r="G94" s="13">
        <v>2875</v>
      </c>
      <c r="H94" s="13">
        <v>2875</v>
      </c>
      <c r="I94" s="13">
        <v>2875</v>
      </c>
      <c r="J94" s="13">
        <v>2875</v>
      </c>
      <c r="K94" s="13">
        <v>2875</v>
      </c>
      <c r="L94" s="13">
        <v>2875</v>
      </c>
      <c r="M94" s="13">
        <v>2875</v>
      </c>
      <c r="N94" s="13">
        <v>2875</v>
      </c>
      <c r="O94" s="13">
        <f t="shared" si="7"/>
        <v>34500</v>
      </c>
    </row>
    <row r="95" spans="2:15">
      <c r="B95" s="7" t="s">
        <v>78</v>
      </c>
      <c r="O95" s="13">
        <f t="shared" si="7"/>
        <v>0</v>
      </c>
    </row>
    <row r="96" spans="2:15">
      <c r="B96" s="5" t="s">
        <v>79</v>
      </c>
      <c r="C96" s="23">
        <f>SUM(C22:C95)</f>
        <v>168932.12000000002</v>
      </c>
      <c r="D96" s="23">
        <f t="shared" ref="D96:O96" si="8">SUM(D22:D95)</f>
        <v>153134.85</v>
      </c>
      <c r="E96" s="23">
        <f t="shared" si="8"/>
        <v>290164.42</v>
      </c>
      <c r="F96" s="23">
        <f t="shared" si="8"/>
        <v>216900.03</v>
      </c>
      <c r="G96" s="23">
        <f t="shared" si="8"/>
        <v>180772.02999999997</v>
      </c>
      <c r="H96" s="23">
        <f t="shared" si="8"/>
        <v>121393.79000000004</v>
      </c>
      <c r="I96" s="23">
        <f t="shared" si="8"/>
        <v>134399.67000000004</v>
      </c>
      <c r="J96" s="23">
        <f t="shared" si="8"/>
        <v>185125.56000000003</v>
      </c>
      <c r="K96" s="23">
        <f t="shared" si="8"/>
        <v>204610.77000000002</v>
      </c>
      <c r="L96" s="23">
        <f t="shared" si="8"/>
        <v>258194.8300000001</v>
      </c>
      <c r="M96" s="23">
        <f t="shared" si="8"/>
        <v>198898.51999999993</v>
      </c>
      <c r="N96" s="23">
        <f t="shared" si="8"/>
        <v>282135.02999999997</v>
      </c>
      <c r="O96" s="23">
        <f t="shared" si="8"/>
        <v>2394661.6199999992</v>
      </c>
    </row>
    <row r="97" spans="2:15">
      <c r="B97" s="5" t="s">
        <v>80</v>
      </c>
      <c r="C97" s="13">
        <f>C20-C96</f>
        <v>-61027.130000000019</v>
      </c>
      <c r="D97" s="13">
        <f t="shared" ref="D97:O97" si="9">D20-D96</f>
        <v>12104.970000000001</v>
      </c>
      <c r="E97" s="13">
        <f t="shared" si="9"/>
        <v>-92706.959999999992</v>
      </c>
      <c r="F97" s="13">
        <f t="shared" si="9"/>
        <v>-52666.040000000008</v>
      </c>
      <c r="G97" s="13">
        <f t="shared" si="9"/>
        <v>58492.180000000022</v>
      </c>
      <c r="H97" s="13">
        <f t="shared" si="9"/>
        <v>96261.549999999959</v>
      </c>
      <c r="I97" s="13">
        <f t="shared" si="9"/>
        <v>87853.229999999952</v>
      </c>
      <c r="J97" s="13">
        <f t="shared" si="9"/>
        <v>41692.649999999994</v>
      </c>
      <c r="K97" s="13">
        <f t="shared" si="9"/>
        <v>-39163.300000000017</v>
      </c>
      <c r="L97" s="13">
        <f t="shared" si="9"/>
        <v>19761.919999999896</v>
      </c>
      <c r="M97" s="13">
        <f t="shared" si="9"/>
        <v>53824.830000000045</v>
      </c>
      <c r="N97" s="13">
        <f t="shared" si="9"/>
        <v>-90320.249999999971</v>
      </c>
      <c r="O97" s="13">
        <f t="shared" si="9"/>
        <v>34107.650000000838</v>
      </c>
    </row>
    <row r="98" spans="2:15">
      <c r="B98" s="3" t="s">
        <v>81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99" spans="2:15">
      <c r="B99" s="4" t="s">
        <v>82</v>
      </c>
      <c r="C99" s="13">
        <v>8538.4699999999993</v>
      </c>
      <c r="L99" s="13">
        <v>3490</v>
      </c>
      <c r="N99" s="13">
        <v>3872.64</v>
      </c>
      <c r="O99" s="13">
        <f t="shared" ref="O99:O100" si="10">SUM(C99:N99)</f>
        <v>15901.109999999999</v>
      </c>
    </row>
    <row r="100" spans="2:15">
      <c r="B100" s="4" t="s">
        <v>83</v>
      </c>
      <c r="C100" s="13">
        <v>5.43</v>
      </c>
      <c r="D100" s="13">
        <v>3.12</v>
      </c>
      <c r="E100" s="13">
        <v>3.39</v>
      </c>
      <c r="F100" s="13">
        <v>1.51</v>
      </c>
      <c r="G100" s="13">
        <v>0.03</v>
      </c>
      <c r="H100" s="13">
        <v>0.03</v>
      </c>
      <c r="I100" s="13">
        <v>0.03</v>
      </c>
      <c r="J100" s="13">
        <v>0.03</v>
      </c>
      <c r="K100" s="13">
        <v>0.03</v>
      </c>
      <c r="L100" s="13">
        <v>0.03</v>
      </c>
      <c r="M100" s="13">
        <v>0.03</v>
      </c>
      <c r="N100" s="13">
        <v>0.03</v>
      </c>
      <c r="O100" s="13">
        <f t="shared" si="10"/>
        <v>13.689999999999996</v>
      </c>
    </row>
    <row r="101" spans="2:15">
      <c r="B101" s="5" t="s">
        <v>84</v>
      </c>
      <c r="C101" s="23">
        <f>SUM(C99:C100)</f>
        <v>8543.9</v>
      </c>
      <c r="D101" s="23">
        <f t="shared" ref="D101:O101" si="11">SUM(D99:D100)</f>
        <v>3.12</v>
      </c>
      <c r="E101" s="23">
        <f t="shared" si="11"/>
        <v>3.39</v>
      </c>
      <c r="F101" s="23">
        <f t="shared" si="11"/>
        <v>1.51</v>
      </c>
      <c r="G101" s="23">
        <f t="shared" si="11"/>
        <v>0.03</v>
      </c>
      <c r="H101" s="23">
        <f t="shared" si="11"/>
        <v>0.03</v>
      </c>
      <c r="I101" s="23">
        <f t="shared" si="11"/>
        <v>0.03</v>
      </c>
      <c r="J101" s="23">
        <f t="shared" si="11"/>
        <v>0.03</v>
      </c>
      <c r="K101" s="23">
        <f t="shared" si="11"/>
        <v>0.03</v>
      </c>
      <c r="L101" s="23">
        <f t="shared" si="11"/>
        <v>3490.03</v>
      </c>
      <c r="M101" s="23">
        <f t="shared" si="11"/>
        <v>0.03</v>
      </c>
      <c r="N101" s="23">
        <f t="shared" si="11"/>
        <v>3872.67</v>
      </c>
      <c r="O101" s="23">
        <f t="shared" si="11"/>
        <v>15914.8</v>
      </c>
    </row>
    <row r="102" spans="2:15">
      <c r="B102" s="3" t="s">
        <v>85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2:15">
      <c r="B103" s="7" t="s">
        <v>86</v>
      </c>
      <c r="L103" s="13">
        <v>0</v>
      </c>
      <c r="N103" s="13">
        <v>20101.03</v>
      </c>
      <c r="O103" s="13">
        <f t="shared" ref="O103:O104" si="12">SUM(C103:N103)</f>
        <v>20101.03</v>
      </c>
    </row>
    <row r="104" spans="2:15">
      <c r="B104" s="4" t="s">
        <v>87</v>
      </c>
      <c r="C104" s="13">
        <v>23076</v>
      </c>
      <c r="N104" s="13">
        <v>0.19</v>
      </c>
      <c r="O104" s="13">
        <f t="shared" si="12"/>
        <v>23076.19</v>
      </c>
    </row>
    <row r="105" spans="2:15">
      <c r="B105" s="5" t="s">
        <v>88</v>
      </c>
      <c r="C105" s="23">
        <f>SUM(C103:C104)</f>
        <v>23076</v>
      </c>
      <c r="D105" s="23">
        <f t="shared" ref="D105:O105" si="13">SUM(D103:D104)</f>
        <v>0</v>
      </c>
      <c r="E105" s="23">
        <f t="shared" si="13"/>
        <v>0</v>
      </c>
      <c r="F105" s="23">
        <f t="shared" si="13"/>
        <v>0</v>
      </c>
      <c r="G105" s="23">
        <f t="shared" si="13"/>
        <v>0</v>
      </c>
      <c r="H105" s="23">
        <f t="shared" si="13"/>
        <v>0</v>
      </c>
      <c r="I105" s="23">
        <f t="shared" si="13"/>
        <v>0</v>
      </c>
      <c r="J105" s="23">
        <f t="shared" si="13"/>
        <v>0</v>
      </c>
      <c r="K105" s="23">
        <f t="shared" si="13"/>
        <v>0</v>
      </c>
      <c r="L105" s="23">
        <f t="shared" si="13"/>
        <v>0</v>
      </c>
      <c r="M105" s="23">
        <f t="shared" si="13"/>
        <v>0</v>
      </c>
      <c r="N105" s="23">
        <f t="shared" si="13"/>
        <v>20101.219999999998</v>
      </c>
      <c r="O105" s="23">
        <f t="shared" si="13"/>
        <v>43177.22</v>
      </c>
    </row>
    <row r="106" spans="2:15">
      <c r="B106" s="11" t="s">
        <v>89</v>
      </c>
      <c r="C106" s="22">
        <f>C101-C105</f>
        <v>-14532.1</v>
      </c>
      <c r="D106" s="22">
        <f t="shared" ref="D106:O106" si="14">D101-D105</f>
        <v>3.12</v>
      </c>
      <c r="E106" s="22">
        <f t="shared" si="14"/>
        <v>3.39</v>
      </c>
      <c r="F106" s="22">
        <f t="shared" si="14"/>
        <v>1.51</v>
      </c>
      <c r="G106" s="22">
        <f t="shared" si="14"/>
        <v>0.03</v>
      </c>
      <c r="H106" s="22">
        <f t="shared" si="14"/>
        <v>0.03</v>
      </c>
      <c r="I106" s="22">
        <f t="shared" si="14"/>
        <v>0.03</v>
      </c>
      <c r="J106" s="22">
        <f t="shared" si="14"/>
        <v>0.03</v>
      </c>
      <c r="K106" s="22">
        <f t="shared" si="14"/>
        <v>0.03</v>
      </c>
      <c r="L106" s="22">
        <f t="shared" si="14"/>
        <v>3490.03</v>
      </c>
      <c r="M106" s="22">
        <f t="shared" si="14"/>
        <v>0.03</v>
      </c>
      <c r="N106" s="22">
        <f t="shared" si="14"/>
        <v>-16228.549999999997</v>
      </c>
      <c r="O106" s="22">
        <f t="shared" si="14"/>
        <v>-27262.420000000002</v>
      </c>
    </row>
    <row r="107" spans="2:15" ht="15.75" thickBot="1">
      <c r="B107" s="3" t="s">
        <v>90</v>
      </c>
      <c r="C107" s="25">
        <f>C97+C106</f>
        <v>-75559.230000000025</v>
      </c>
      <c r="D107" s="25">
        <f t="shared" ref="D107:O107" si="15">D97+D106</f>
        <v>12108.090000000002</v>
      </c>
      <c r="E107" s="25">
        <f t="shared" si="15"/>
        <v>-92703.569999999992</v>
      </c>
      <c r="F107" s="25">
        <f t="shared" si="15"/>
        <v>-52664.530000000006</v>
      </c>
      <c r="G107" s="25">
        <f t="shared" si="15"/>
        <v>58492.210000000021</v>
      </c>
      <c r="H107" s="25">
        <f t="shared" si="15"/>
        <v>96261.579999999958</v>
      </c>
      <c r="I107" s="25">
        <f t="shared" si="15"/>
        <v>87853.259999999951</v>
      </c>
      <c r="J107" s="25">
        <f t="shared" si="15"/>
        <v>41692.679999999993</v>
      </c>
      <c r="K107" s="25">
        <f t="shared" si="15"/>
        <v>-39163.270000000019</v>
      </c>
      <c r="L107" s="25">
        <f t="shared" si="15"/>
        <v>23251.949999999895</v>
      </c>
      <c r="M107" s="25">
        <f t="shared" si="15"/>
        <v>53824.860000000044</v>
      </c>
      <c r="N107" s="25">
        <f t="shared" si="15"/>
        <v>-106548.79999999997</v>
      </c>
      <c r="O107" s="25">
        <f t="shared" si="15"/>
        <v>6845.2300000008363</v>
      </c>
    </row>
    <row r="108" spans="2:15" ht="15.75" thickTop="1"/>
  </sheetData>
  <pageMargins left="0.7" right="0.7" top="0.75" bottom="0.75" header="0.3" footer="0.3"/>
  <pageSetup scale="83" fitToWidth="2" fitToHeight="2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3A61B-0B5F-442B-8CEF-E22738A8BAF5}">
  <sheetPr>
    <pageSetUpPr fitToPage="1"/>
  </sheetPr>
  <dimension ref="B1:O108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RowHeight="15"/>
  <cols>
    <col min="1" max="1" width="2.7109375" customWidth="1"/>
    <col min="2" max="2" width="58.140625" bestFit="1" customWidth="1"/>
    <col min="3" max="14" width="11.5703125" style="13" bestFit="1" customWidth="1"/>
    <col min="15" max="15" width="11" style="13" bestFit="1" customWidth="1"/>
  </cols>
  <sheetData>
    <row r="1" spans="2:15" ht="18.75">
      <c r="B1" s="1" t="s">
        <v>106</v>
      </c>
    </row>
    <row r="2" spans="2:15" ht="15.75">
      <c r="B2" s="2" t="s">
        <v>1</v>
      </c>
    </row>
    <row r="3" spans="2:15">
      <c r="B3" t="s">
        <v>2</v>
      </c>
    </row>
    <row r="5" spans="2:15">
      <c r="C5" s="16">
        <v>44562</v>
      </c>
      <c r="D5" s="16">
        <v>44593</v>
      </c>
      <c r="E5" s="16">
        <v>44621</v>
      </c>
      <c r="F5" s="16">
        <v>44652</v>
      </c>
      <c r="G5" s="16">
        <v>44682</v>
      </c>
      <c r="H5" s="16">
        <v>44713</v>
      </c>
      <c r="I5" s="16">
        <v>44743</v>
      </c>
      <c r="J5" s="16">
        <v>44774</v>
      </c>
      <c r="K5" s="16">
        <v>44805</v>
      </c>
      <c r="L5" s="16">
        <v>44835</v>
      </c>
      <c r="M5" s="16">
        <v>44866</v>
      </c>
      <c r="N5" s="16">
        <v>44896</v>
      </c>
      <c r="O5" s="14" t="s">
        <v>91</v>
      </c>
    </row>
    <row r="6" spans="2:15">
      <c r="B6" s="3" t="s">
        <v>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15">
      <c r="B7" s="4" t="s">
        <v>4</v>
      </c>
      <c r="O7" s="13">
        <f>SUM(C7:N7)</f>
        <v>0</v>
      </c>
    </row>
    <row r="8" spans="2:15">
      <c r="B8" s="4" t="s">
        <v>92</v>
      </c>
    </row>
    <row r="9" spans="2:15">
      <c r="B9" s="4" t="s">
        <v>93</v>
      </c>
      <c r="F9" s="13">
        <v>5294</v>
      </c>
      <c r="G9" s="13">
        <v>195653.22</v>
      </c>
      <c r="H9" s="13">
        <v>273002.8</v>
      </c>
      <c r="I9" s="13">
        <v>303944.93</v>
      </c>
      <c r="J9" s="13">
        <v>305758.86</v>
      </c>
      <c r="K9" s="13">
        <v>203416.21</v>
      </c>
      <c r="L9" s="13">
        <v>28645.4</v>
      </c>
      <c r="O9" s="13">
        <f t="shared" ref="O9:O18" si="0">SUM(C9:N9)</f>
        <v>1315715.42</v>
      </c>
    </row>
    <row r="10" spans="2:15">
      <c r="B10" s="4" t="s">
        <v>94</v>
      </c>
      <c r="C10" s="13">
        <v>13528.9</v>
      </c>
      <c r="D10" s="13">
        <v>11982.58</v>
      </c>
      <c r="E10" s="13">
        <v>41209.08</v>
      </c>
      <c r="F10" s="13">
        <v>51162.45</v>
      </c>
      <c r="G10" s="13">
        <v>-8396.61</v>
      </c>
      <c r="H10" s="13">
        <v>-60079.34</v>
      </c>
      <c r="I10" s="13">
        <v>-74219.789999999994</v>
      </c>
      <c r="J10" s="13">
        <v>-54318.45</v>
      </c>
      <c r="K10" s="13">
        <v>-67371.94</v>
      </c>
      <c r="L10" s="13">
        <v>-635.99</v>
      </c>
      <c r="M10" s="13">
        <v>15664.36</v>
      </c>
      <c r="N10" s="13">
        <v>30328.89</v>
      </c>
      <c r="O10" s="13">
        <f t="shared" si="0"/>
        <v>-101145.86</v>
      </c>
    </row>
    <row r="11" spans="2:15">
      <c r="B11" s="4" t="s">
        <v>92</v>
      </c>
      <c r="C11" s="19">
        <f>SUM(C9:C10)</f>
        <v>13528.9</v>
      </c>
      <c r="D11" s="19">
        <f t="shared" ref="D11:N11" si="1">SUM(D9:D10)</f>
        <v>11982.58</v>
      </c>
      <c r="E11" s="19">
        <f t="shared" si="1"/>
        <v>41209.08</v>
      </c>
      <c r="F11" s="19">
        <f t="shared" si="1"/>
        <v>56456.45</v>
      </c>
      <c r="G11" s="19">
        <f t="shared" si="1"/>
        <v>187256.61</v>
      </c>
      <c r="H11" s="19">
        <f t="shared" si="1"/>
        <v>212923.46</v>
      </c>
      <c r="I11" s="19">
        <f t="shared" si="1"/>
        <v>229725.14</v>
      </c>
      <c r="J11" s="19">
        <f t="shared" si="1"/>
        <v>251440.40999999997</v>
      </c>
      <c r="K11" s="19">
        <f t="shared" si="1"/>
        <v>136044.26999999999</v>
      </c>
      <c r="L11" s="19">
        <f t="shared" si="1"/>
        <v>28009.41</v>
      </c>
      <c r="M11" s="19">
        <f t="shared" si="1"/>
        <v>15664.36</v>
      </c>
      <c r="N11" s="19">
        <f t="shared" si="1"/>
        <v>30328.89</v>
      </c>
      <c r="O11" s="19">
        <f t="shared" si="0"/>
        <v>1214569.5599999998</v>
      </c>
    </row>
    <row r="12" spans="2:15">
      <c r="B12" s="11" t="s">
        <v>95</v>
      </c>
      <c r="C12" s="20">
        <f>C7+C11</f>
        <v>13528.9</v>
      </c>
      <c r="D12" s="20">
        <f t="shared" ref="D12:N12" si="2">D7+D11</f>
        <v>11982.58</v>
      </c>
      <c r="E12" s="20">
        <f t="shared" si="2"/>
        <v>41209.08</v>
      </c>
      <c r="F12" s="20">
        <f t="shared" si="2"/>
        <v>56456.45</v>
      </c>
      <c r="G12" s="20">
        <f t="shared" si="2"/>
        <v>187256.61</v>
      </c>
      <c r="H12" s="20">
        <f t="shared" si="2"/>
        <v>212923.46</v>
      </c>
      <c r="I12" s="20">
        <f t="shared" si="2"/>
        <v>229725.14</v>
      </c>
      <c r="J12" s="20">
        <f t="shared" si="2"/>
        <v>251440.40999999997</v>
      </c>
      <c r="K12" s="20">
        <f t="shared" si="2"/>
        <v>136044.26999999999</v>
      </c>
      <c r="L12" s="20">
        <f t="shared" si="2"/>
        <v>28009.41</v>
      </c>
      <c r="M12" s="20">
        <f t="shared" si="2"/>
        <v>15664.36</v>
      </c>
      <c r="N12" s="20">
        <f t="shared" si="2"/>
        <v>30328.89</v>
      </c>
      <c r="O12" s="13">
        <f>SUM(C12:N12)</f>
        <v>1214569.5599999998</v>
      </c>
    </row>
    <row r="13" spans="2:15">
      <c r="B13" s="4" t="s">
        <v>5</v>
      </c>
      <c r="O13" s="13">
        <f t="shared" si="0"/>
        <v>0</v>
      </c>
    </row>
    <row r="14" spans="2:15" s="21" customFormat="1">
      <c r="B14" s="5" t="s">
        <v>6</v>
      </c>
      <c r="C14" s="23">
        <f>SUM(C12:C13)</f>
        <v>13528.9</v>
      </c>
      <c r="D14" s="23">
        <f t="shared" ref="D14:N14" si="3">SUM(D12:D13)</f>
        <v>11982.58</v>
      </c>
      <c r="E14" s="23">
        <f t="shared" si="3"/>
        <v>41209.08</v>
      </c>
      <c r="F14" s="23">
        <f t="shared" si="3"/>
        <v>56456.45</v>
      </c>
      <c r="G14" s="23">
        <f t="shared" si="3"/>
        <v>187256.61</v>
      </c>
      <c r="H14" s="23">
        <f t="shared" si="3"/>
        <v>212923.46</v>
      </c>
      <c r="I14" s="23">
        <f t="shared" si="3"/>
        <v>229725.14</v>
      </c>
      <c r="J14" s="23">
        <f t="shared" si="3"/>
        <v>251440.40999999997</v>
      </c>
      <c r="K14" s="23">
        <f t="shared" si="3"/>
        <v>136044.26999999999</v>
      </c>
      <c r="L14" s="23">
        <f t="shared" si="3"/>
        <v>28009.41</v>
      </c>
      <c r="M14" s="23">
        <f t="shared" si="3"/>
        <v>15664.36</v>
      </c>
      <c r="N14" s="23">
        <f t="shared" si="3"/>
        <v>30328.89</v>
      </c>
      <c r="O14" s="23">
        <f t="shared" si="0"/>
        <v>1214569.5599999998</v>
      </c>
    </row>
    <row r="15" spans="2:15">
      <c r="B15" s="6" t="s">
        <v>7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2:15">
      <c r="B16" s="7" t="s">
        <v>8</v>
      </c>
      <c r="K16" s="13">
        <v>338</v>
      </c>
      <c r="L16" s="13">
        <v>200</v>
      </c>
      <c r="M16" s="13">
        <v>0</v>
      </c>
      <c r="N16" s="13">
        <v>0</v>
      </c>
      <c r="O16" s="13">
        <f t="shared" si="0"/>
        <v>538</v>
      </c>
    </row>
    <row r="17" spans="2:15">
      <c r="B17" s="8" t="s">
        <v>9</v>
      </c>
      <c r="O17" s="13">
        <f t="shared" si="0"/>
        <v>0</v>
      </c>
    </row>
    <row r="18" spans="2:15">
      <c r="B18" s="7" t="s">
        <v>10</v>
      </c>
      <c r="O18" s="13">
        <f t="shared" si="0"/>
        <v>0</v>
      </c>
    </row>
    <row r="19" spans="2:15" s="21" customFormat="1">
      <c r="B19" s="9" t="s">
        <v>11</v>
      </c>
      <c r="C19" s="23">
        <f>SUM(C16:C18)</f>
        <v>0</v>
      </c>
      <c r="D19" s="23">
        <f t="shared" ref="D19:O19" si="4">SUM(D16:D18)</f>
        <v>0</v>
      </c>
      <c r="E19" s="23">
        <f t="shared" si="4"/>
        <v>0</v>
      </c>
      <c r="F19" s="23">
        <f t="shared" si="4"/>
        <v>0</v>
      </c>
      <c r="G19" s="23">
        <f t="shared" si="4"/>
        <v>0</v>
      </c>
      <c r="H19" s="23">
        <f t="shared" si="4"/>
        <v>0</v>
      </c>
      <c r="I19" s="23">
        <f t="shared" si="4"/>
        <v>0</v>
      </c>
      <c r="J19" s="23">
        <f t="shared" si="4"/>
        <v>0</v>
      </c>
      <c r="K19" s="23">
        <f t="shared" si="4"/>
        <v>338</v>
      </c>
      <c r="L19" s="23">
        <f t="shared" si="4"/>
        <v>200</v>
      </c>
      <c r="M19" s="23">
        <f t="shared" si="4"/>
        <v>0</v>
      </c>
      <c r="N19" s="23">
        <f t="shared" si="4"/>
        <v>0</v>
      </c>
      <c r="O19" s="23">
        <f t="shared" si="4"/>
        <v>538</v>
      </c>
    </row>
    <row r="20" spans="2:15">
      <c r="B20" s="5" t="s">
        <v>12</v>
      </c>
      <c r="C20" s="23">
        <f>C14-C19</f>
        <v>13528.9</v>
      </c>
      <c r="D20" s="23">
        <f t="shared" ref="D20:O20" si="5">D14-D19</f>
        <v>11982.58</v>
      </c>
      <c r="E20" s="23">
        <f t="shared" si="5"/>
        <v>41209.08</v>
      </c>
      <c r="F20" s="23">
        <f>F14-F19</f>
        <v>56456.45</v>
      </c>
      <c r="G20" s="23">
        <f t="shared" si="5"/>
        <v>187256.61</v>
      </c>
      <c r="H20" s="23">
        <f t="shared" si="5"/>
        <v>212923.46</v>
      </c>
      <c r="I20" s="23">
        <f t="shared" si="5"/>
        <v>229725.14</v>
      </c>
      <c r="J20" s="23">
        <f t="shared" si="5"/>
        <v>251440.40999999997</v>
      </c>
      <c r="K20" s="23">
        <f t="shared" si="5"/>
        <v>135706.26999999999</v>
      </c>
      <c r="L20" s="23">
        <f t="shared" si="5"/>
        <v>27809.41</v>
      </c>
      <c r="M20" s="23">
        <f t="shared" si="5"/>
        <v>15664.36</v>
      </c>
      <c r="N20" s="23">
        <f t="shared" si="5"/>
        <v>30328.89</v>
      </c>
      <c r="O20" s="23">
        <f t="shared" si="5"/>
        <v>1214031.5599999998</v>
      </c>
    </row>
    <row r="21" spans="2:15">
      <c r="B21" s="3" t="s">
        <v>13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2:15">
      <c r="B22" s="4" t="s">
        <v>14</v>
      </c>
      <c r="O22" s="13">
        <f t="shared" ref="O22:O85" si="6">SUM(C22:N22)</f>
        <v>0</v>
      </c>
    </row>
    <row r="23" spans="2:15">
      <c r="B23" s="7" t="s">
        <v>96</v>
      </c>
      <c r="F23" s="13">
        <v>2023.44</v>
      </c>
      <c r="G23" s="13">
        <v>69410.039999999994</v>
      </c>
      <c r="H23" s="13">
        <v>87314.76</v>
      </c>
      <c r="I23" s="13">
        <v>89167.41</v>
      </c>
      <c r="J23" s="13">
        <v>140071.37</v>
      </c>
      <c r="K23" s="13">
        <v>49729.3</v>
      </c>
      <c r="L23" s="13">
        <v>11939.92</v>
      </c>
      <c r="O23" s="13">
        <f t="shared" si="6"/>
        <v>449656.24</v>
      </c>
    </row>
    <row r="24" spans="2:15">
      <c r="B24" s="4" t="s">
        <v>97</v>
      </c>
      <c r="C24" s="13">
        <v>3124.57</v>
      </c>
      <c r="D24" s="13">
        <v>4415.3999999999996</v>
      </c>
      <c r="E24" s="13">
        <v>3742.52</v>
      </c>
      <c r="F24" s="13">
        <v>10580.68</v>
      </c>
      <c r="G24" s="13">
        <v>29391.91</v>
      </c>
      <c r="H24" s="13">
        <v>37724.300000000003</v>
      </c>
      <c r="I24" s="13">
        <v>48835.37</v>
      </c>
      <c r="J24" s="13">
        <v>52808.21</v>
      </c>
      <c r="K24" s="13">
        <v>51205.95</v>
      </c>
      <c r="L24" s="13">
        <v>16273.24</v>
      </c>
      <c r="M24" s="13">
        <v>5277.94</v>
      </c>
      <c r="N24" s="13">
        <v>4857.3999999999996</v>
      </c>
      <c r="O24" s="13">
        <f t="shared" si="6"/>
        <v>268237.49</v>
      </c>
    </row>
    <row r="25" spans="2:15">
      <c r="B25" s="4" t="s">
        <v>15</v>
      </c>
      <c r="O25" s="13">
        <f t="shared" si="6"/>
        <v>0</v>
      </c>
    </row>
    <row r="26" spans="2:15">
      <c r="B26" s="4" t="s">
        <v>16</v>
      </c>
      <c r="O26" s="13">
        <f t="shared" si="6"/>
        <v>0</v>
      </c>
    </row>
    <row r="27" spans="2:15">
      <c r="B27" s="4" t="s">
        <v>17</v>
      </c>
      <c r="O27" s="13">
        <f t="shared" si="6"/>
        <v>0</v>
      </c>
    </row>
    <row r="28" spans="2:15">
      <c r="B28" s="4" t="s">
        <v>18</v>
      </c>
      <c r="O28" s="13">
        <f t="shared" si="6"/>
        <v>0</v>
      </c>
    </row>
    <row r="29" spans="2:15">
      <c r="B29" s="4" t="s">
        <v>19</v>
      </c>
      <c r="O29" s="13">
        <f t="shared" si="6"/>
        <v>0</v>
      </c>
    </row>
    <row r="30" spans="2:15">
      <c r="B30" s="4" t="s">
        <v>20</v>
      </c>
      <c r="O30" s="13">
        <f t="shared" si="6"/>
        <v>0</v>
      </c>
    </row>
    <row r="31" spans="2:15">
      <c r="B31" s="4" t="s">
        <v>21</v>
      </c>
      <c r="O31" s="13">
        <f t="shared" si="6"/>
        <v>0</v>
      </c>
    </row>
    <row r="32" spans="2:15">
      <c r="B32" s="4" t="s">
        <v>22</v>
      </c>
      <c r="O32" s="13">
        <f t="shared" si="6"/>
        <v>0</v>
      </c>
    </row>
    <row r="33" spans="2:15">
      <c r="B33" s="4" t="s">
        <v>23</v>
      </c>
      <c r="O33" s="13">
        <f t="shared" si="6"/>
        <v>0</v>
      </c>
    </row>
    <row r="34" spans="2:15">
      <c r="B34" s="7" t="s">
        <v>24</v>
      </c>
      <c r="O34" s="13">
        <f t="shared" si="6"/>
        <v>0</v>
      </c>
    </row>
    <row r="35" spans="2:15">
      <c r="B35" s="7" t="s">
        <v>98</v>
      </c>
      <c r="C35" s="13">
        <v>584.91999999999996</v>
      </c>
      <c r="D35" s="13">
        <v>826.56</v>
      </c>
      <c r="E35" s="13">
        <v>700.6</v>
      </c>
      <c r="F35" s="13">
        <v>2359.4899999999998</v>
      </c>
      <c r="G35" s="13">
        <v>18495.73</v>
      </c>
      <c r="H35" s="13">
        <v>23407.31</v>
      </c>
      <c r="I35" s="13">
        <v>25834.12</v>
      </c>
      <c r="J35" s="13">
        <v>36107.06</v>
      </c>
      <c r="K35" s="13">
        <v>18895.080000000002</v>
      </c>
      <c r="L35" s="13">
        <v>5281.5</v>
      </c>
      <c r="M35" s="13">
        <v>988.03</v>
      </c>
      <c r="N35" s="13">
        <v>909.31</v>
      </c>
      <c r="O35" s="13">
        <f t="shared" si="6"/>
        <v>134389.71</v>
      </c>
    </row>
    <row r="36" spans="2:15">
      <c r="B36" s="7" t="s">
        <v>25</v>
      </c>
      <c r="E36" s="13">
        <v>5</v>
      </c>
      <c r="F36" s="13">
        <v>0</v>
      </c>
      <c r="G36" s="13">
        <v>1630.75</v>
      </c>
      <c r="H36" s="13">
        <v>3078.5</v>
      </c>
      <c r="I36" s="13">
        <v>10208</v>
      </c>
      <c r="J36" s="13">
        <v>12190</v>
      </c>
      <c r="K36" s="13">
        <v>11129.4</v>
      </c>
      <c r="L36" s="13">
        <v>1908</v>
      </c>
      <c r="M36" s="13">
        <v>766.6</v>
      </c>
      <c r="N36" s="13">
        <v>7</v>
      </c>
      <c r="O36" s="13">
        <f t="shared" si="6"/>
        <v>40923.25</v>
      </c>
    </row>
    <row r="37" spans="2:15">
      <c r="B37" s="4" t="s">
        <v>26</v>
      </c>
      <c r="O37" s="13">
        <f t="shared" si="6"/>
        <v>0</v>
      </c>
    </row>
    <row r="38" spans="2:15">
      <c r="B38" s="4" t="s">
        <v>27</v>
      </c>
      <c r="O38" s="13">
        <f t="shared" si="6"/>
        <v>0</v>
      </c>
    </row>
    <row r="39" spans="2:15">
      <c r="B39" s="4" t="s">
        <v>28</v>
      </c>
      <c r="O39" s="13">
        <f t="shared" si="6"/>
        <v>0</v>
      </c>
    </row>
    <row r="40" spans="2:15">
      <c r="B40" s="7" t="s">
        <v>99</v>
      </c>
      <c r="F40" s="13">
        <v>260.64</v>
      </c>
      <c r="G40" s="13">
        <v>28559.040000000001</v>
      </c>
      <c r="H40" s="13">
        <v>18032.04</v>
      </c>
      <c r="I40" s="13">
        <v>33799.75</v>
      </c>
      <c r="J40" s="13">
        <v>17237.84</v>
      </c>
      <c r="K40" s="13">
        <v>32488.23</v>
      </c>
      <c r="L40" s="13">
        <v>2580.91</v>
      </c>
      <c r="O40" s="13">
        <f t="shared" si="6"/>
        <v>132958.44999999998</v>
      </c>
    </row>
    <row r="41" spans="2:15">
      <c r="B41" s="4" t="s">
        <v>29</v>
      </c>
      <c r="O41" s="13">
        <f t="shared" si="6"/>
        <v>0</v>
      </c>
    </row>
    <row r="42" spans="2:15">
      <c r="B42" s="4" t="s">
        <v>30</v>
      </c>
      <c r="O42" s="13">
        <f t="shared" si="6"/>
        <v>0</v>
      </c>
    </row>
    <row r="43" spans="2:15">
      <c r="B43" s="4" t="s">
        <v>31</v>
      </c>
      <c r="O43" s="13">
        <f t="shared" si="6"/>
        <v>0</v>
      </c>
    </row>
    <row r="44" spans="2:15">
      <c r="B44" s="4" t="s">
        <v>32</v>
      </c>
      <c r="O44" s="13">
        <f t="shared" si="6"/>
        <v>0</v>
      </c>
    </row>
    <row r="45" spans="2:15">
      <c r="B45" s="4" t="s">
        <v>33</v>
      </c>
      <c r="O45" s="13">
        <f t="shared" si="6"/>
        <v>0</v>
      </c>
    </row>
    <row r="46" spans="2:15">
      <c r="B46" s="7" t="s">
        <v>34</v>
      </c>
      <c r="O46" s="13">
        <f t="shared" si="6"/>
        <v>0</v>
      </c>
    </row>
    <row r="47" spans="2:15">
      <c r="B47" s="4" t="s">
        <v>35</v>
      </c>
      <c r="O47" s="13">
        <f t="shared" si="6"/>
        <v>0</v>
      </c>
    </row>
    <row r="48" spans="2:15">
      <c r="B48" s="7" t="s">
        <v>100</v>
      </c>
      <c r="F48" s="13">
        <v>491.33</v>
      </c>
      <c r="G48" s="13">
        <v>14269.3</v>
      </c>
      <c r="H48" s="13">
        <v>31484.68</v>
      </c>
      <c r="I48" s="13">
        <v>28901.360000000001</v>
      </c>
      <c r="J48" s="13">
        <v>29326.87</v>
      </c>
      <c r="K48" s="13">
        <v>20714.57</v>
      </c>
      <c r="L48" s="13">
        <v>2865.19</v>
      </c>
      <c r="O48" s="13">
        <f t="shared" si="6"/>
        <v>128053.29999999999</v>
      </c>
    </row>
    <row r="49" spans="2:15">
      <c r="B49" s="7" t="s">
        <v>36</v>
      </c>
      <c r="O49" s="13">
        <f t="shared" si="6"/>
        <v>0</v>
      </c>
    </row>
    <row r="50" spans="2:15">
      <c r="B50" s="10" t="s">
        <v>37</v>
      </c>
      <c r="O50" s="13">
        <f t="shared" si="6"/>
        <v>0</v>
      </c>
    </row>
    <row r="51" spans="2:15">
      <c r="B51" s="7" t="s">
        <v>38</v>
      </c>
      <c r="K51" s="13">
        <v>14400</v>
      </c>
      <c r="L51" s="13">
        <v>0</v>
      </c>
      <c r="M51" s="13">
        <v>0</v>
      </c>
      <c r="N51" s="13">
        <v>0</v>
      </c>
      <c r="O51" s="13">
        <f t="shared" si="6"/>
        <v>14400</v>
      </c>
    </row>
    <row r="52" spans="2:15">
      <c r="B52" s="4" t="s">
        <v>39</v>
      </c>
      <c r="O52" s="13">
        <f t="shared" si="6"/>
        <v>0</v>
      </c>
    </row>
    <row r="53" spans="2:15">
      <c r="B53" s="7" t="s">
        <v>40</v>
      </c>
      <c r="O53" s="13">
        <f t="shared" si="6"/>
        <v>0</v>
      </c>
    </row>
    <row r="54" spans="2:15">
      <c r="B54" s="4" t="s">
        <v>41</v>
      </c>
      <c r="O54" s="13">
        <f t="shared" si="6"/>
        <v>0</v>
      </c>
    </row>
    <row r="55" spans="2:15">
      <c r="B55" s="4" t="s">
        <v>42</v>
      </c>
      <c r="O55" s="13">
        <f t="shared" si="6"/>
        <v>0</v>
      </c>
    </row>
    <row r="56" spans="2:15">
      <c r="B56" s="7" t="s">
        <v>43</v>
      </c>
      <c r="O56" s="13">
        <f t="shared" si="6"/>
        <v>0</v>
      </c>
    </row>
    <row r="57" spans="2:15">
      <c r="B57" s="4" t="s">
        <v>44</v>
      </c>
      <c r="F57" s="13">
        <v>5</v>
      </c>
      <c r="G57" s="13">
        <v>24.36</v>
      </c>
      <c r="H57" s="13">
        <v>0</v>
      </c>
      <c r="I57" s="13">
        <v>5.49</v>
      </c>
      <c r="J57" s="13">
        <v>0</v>
      </c>
      <c r="K57" s="13">
        <v>0</v>
      </c>
      <c r="L57" s="13">
        <v>0</v>
      </c>
      <c r="M57" s="13">
        <v>0</v>
      </c>
      <c r="N57" s="13">
        <v>-5.8</v>
      </c>
      <c r="O57" s="13">
        <f t="shared" si="6"/>
        <v>29.05</v>
      </c>
    </row>
    <row r="58" spans="2:15">
      <c r="B58" s="4" t="s">
        <v>45</v>
      </c>
      <c r="O58" s="13">
        <f t="shared" si="6"/>
        <v>0</v>
      </c>
    </row>
    <row r="59" spans="2:15">
      <c r="B59" s="7" t="s">
        <v>46</v>
      </c>
      <c r="O59" s="13">
        <f t="shared" si="6"/>
        <v>0</v>
      </c>
    </row>
    <row r="60" spans="2:15">
      <c r="B60" s="8" t="s">
        <v>47</v>
      </c>
      <c r="G60" s="13">
        <v>3140</v>
      </c>
      <c r="H60" s="13">
        <v>3405</v>
      </c>
      <c r="I60" s="13">
        <v>3740</v>
      </c>
      <c r="J60" s="13">
        <v>5610</v>
      </c>
      <c r="K60" s="13">
        <v>2355</v>
      </c>
      <c r="L60" s="13">
        <v>0</v>
      </c>
      <c r="M60" s="13">
        <v>0</v>
      </c>
      <c r="N60" s="13">
        <v>0</v>
      </c>
      <c r="O60" s="13">
        <f t="shared" si="6"/>
        <v>18250</v>
      </c>
    </row>
    <row r="61" spans="2:15">
      <c r="B61" s="4" t="s">
        <v>48</v>
      </c>
      <c r="O61" s="13">
        <f t="shared" si="6"/>
        <v>0</v>
      </c>
    </row>
    <row r="62" spans="2:15">
      <c r="B62" s="8" t="s">
        <v>49</v>
      </c>
      <c r="D62" s="13">
        <v>33</v>
      </c>
      <c r="E62" s="13">
        <v>33</v>
      </c>
      <c r="F62" s="13">
        <v>33</v>
      </c>
      <c r="G62" s="13">
        <v>33</v>
      </c>
      <c r="H62" s="13">
        <v>33</v>
      </c>
      <c r="I62" s="13">
        <v>33</v>
      </c>
      <c r="J62" s="13">
        <v>33</v>
      </c>
      <c r="K62" s="13">
        <v>33</v>
      </c>
      <c r="L62" s="13">
        <v>33</v>
      </c>
      <c r="M62" s="13">
        <v>33</v>
      </c>
      <c r="N62" s="13">
        <v>33</v>
      </c>
      <c r="O62" s="13">
        <f t="shared" si="6"/>
        <v>363</v>
      </c>
    </row>
    <row r="63" spans="2:15">
      <c r="B63" s="4" t="s">
        <v>50</v>
      </c>
      <c r="O63" s="13">
        <f t="shared" si="6"/>
        <v>0</v>
      </c>
    </row>
    <row r="64" spans="2:15">
      <c r="B64" s="7" t="s">
        <v>51</v>
      </c>
      <c r="O64" s="13">
        <f t="shared" si="6"/>
        <v>0</v>
      </c>
    </row>
    <row r="65" spans="2:15">
      <c r="B65" s="4" t="s">
        <v>52</v>
      </c>
      <c r="O65" s="13">
        <f t="shared" si="6"/>
        <v>0</v>
      </c>
    </row>
    <row r="66" spans="2:15">
      <c r="B66" s="4" t="s">
        <v>53</v>
      </c>
      <c r="O66" s="13">
        <f t="shared" si="6"/>
        <v>0</v>
      </c>
    </row>
    <row r="67" spans="2:15">
      <c r="B67" s="4" t="s">
        <v>54</v>
      </c>
      <c r="O67" s="13">
        <f t="shared" si="6"/>
        <v>0</v>
      </c>
    </row>
    <row r="68" spans="2:15">
      <c r="B68" s="7" t="s">
        <v>55</v>
      </c>
      <c r="O68" s="13">
        <f t="shared" si="6"/>
        <v>0</v>
      </c>
    </row>
    <row r="69" spans="2:15">
      <c r="B69" s="4" t="s">
        <v>56</v>
      </c>
      <c r="O69" s="13">
        <f t="shared" si="6"/>
        <v>0</v>
      </c>
    </row>
    <row r="70" spans="2:15">
      <c r="B70" s="4" t="s">
        <v>57</v>
      </c>
      <c r="C70" s="13">
        <v>144.57</v>
      </c>
      <c r="D70" s="13">
        <v>495.57</v>
      </c>
      <c r="E70" s="13">
        <v>713.9</v>
      </c>
      <c r="F70" s="13">
        <v>1028.21</v>
      </c>
      <c r="G70" s="13">
        <v>3644.54</v>
      </c>
      <c r="H70" s="13">
        <v>4377.1499999999996</v>
      </c>
      <c r="I70" s="13">
        <v>4411.13</v>
      </c>
      <c r="J70" s="13">
        <v>4995.2700000000004</v>
      </c>
      <c r="K70" s="13">
        <v>2480.8000000000002</v>
      </c>
      <c r="L70" s="13">
        <v>394.48</v>
      </c>
      <c r="M70" s="13">
        <v>135.53</v>
      </c>
      <c r="N70" s="13">
        <v>162.86000000000001</v>
      </c>
      <c r="O70" s="13">
        <f t="shared" si="6"/>
        <v>22984.01</v>
      </c>
    </row>
    <row r="71" spans="2:15">
      <c r="B71" s="7" t="s">
        <v>58</v>
      </c>
      <c r="O71" s="13">
        <f t="shared" si="6"/>
        <v>0</v>
      </c>
    </row>
    <row r="72" spans="2:15">
      <c r="B72" s="7" t="s">
        <v>101</v>
      </c>
      <c r="O72" s="13">
        <f t="shared" si="6"/>
        <v>0</v>
      </c>
    </row>
    <row r="73" spans="2:15">
      <c r="B73" s="4" t="s">
        <v>59</v>
      </c>
      <c r="O73" s="13">
        <f t="shared" si="6"/>
        <v>0</v>
      </c>
    </row>
    <row r="74" spans="2:15">
      <c r="B74" s="7" t="s">
        <v>60</v>
      </c>
      <c r="O74" s="13">
        <f t="shared" si="6"/>
        <v>0</v>
      </c>
    </row>
    <row r="75" spans="2:15">
      <c r="B75" s="4" t="s">
        <v>61</v>
      </c>
      <c r="O75" s="13">
        <f t="shared" si="6"/>
        <v>0</v>
      </c>
    </row>
    <row r="76" spans="2:15">
      <c r="B76" s="7" t="s">
        <v>62</v>
      </c>
      <c r="O76" s="13">
        <f t="shared" si="6"/>
        <v>0</v>
      </c>
    </row>
    <row r="77" spans="2:15">
      <c r="B77" s="4" t="s">
        <v>63</v>
      </c>
      <c r="O77" s="13">
        <f t="shared" si="6"/>
        <v>0</v>
      </c>
    </row>
    <row r="78" spans="2:15">
      <c r="B78" s="4" t="s">
        <v>64</v>
      </c>
      <c r="O78" s="13">
        <f t="shared" si="6"/>
        <v>0</v>
      </c>
    </row>
    <row r="79" spans="2:15">
      <c r="B79" s="4" t="s">
        <v>65</v>
      </c>
      <c r="O79" s="13">
        <f t="shared" si="6"/>
        <v>0</v>
      </c>
    </row>
    <row r="80" spans="2:15">
      <c r="B80" s="4" t="s">
        <v>66</v>
      </c>
      <c r="O80" s="13">
        <f t="shared" si="6"/>
        <v>0</v>
      </c>
    </row>
    <row r="81" spans="2:15">
      <c r="B81" s="4" t="s">
        <v>67</v>
      </c>
      <c r="O81" s="13">
        <f t="shared" si="6"/>
        <v>0</v>
      </c>
    </row>
    <row r="82" spans="2:15">
      <c r="B82" s="4" t="s">
        <v>68</v>
      </c>
      <c r="O82" s="13">
        <f t="shared" si="6"/>
        <v>0</v>
      </c>
    </row>
    <row r="83" spans="2:15">
      <c r="B83" s="4" t="s">
        <v>293</v>
      </c>
      <c r="C83" s="13">
        <v>1229</v>
      </c>
      <c r="D83" s="13">
        <v>1088</v>
      </c>
      <c r="E83" s="13">
        <v>3743</v>
      </c>
      <c r="F83" s="13">
        <v>5128</v>
      </c>
      <c r="G83" s="13">
        <v>17010</v>
      </c>
      <c r="H83" s="13">
        <v>19342</v>
      </c>
      <c r="I83" s="13">
        <v>20868</v>
      </c>
      <c r="J83" s="13">
        <v>22841</v>
      </c>
      <c r="K83" s="13">
        <v>12358</v>
      </c>
      <c r="L83" s="13">
        <v>2544</v>
      </c>
      <c r="M83" s="13">
        <v>1423</v>
      </c>
      <c r="N83" s="13">
        <v>2755</v>
      </c>
      <c r="O83" s="13">
        <f t="shared" si="6"/>
        <v>110329</v>
      </c>
    </row>
    <row r="84" spans="2:15">
      <c r="B84" s="7" t="s">
        <v>69</v>
      </c>
      <c r="O84" s="13">
        <f t="shared" si="6"/>
        <v>0</v>
      </c>
    </row>
    <row r="85" spans="2:15">
      <c r="B85" s="4" t="s">
        <v>70</v>
      </c>
      <c r="O85" s="13">
        <f t="shared" si="6"/>
        <v>0</v>
      </c>
    </row>
    <row r="86" spans="2:15">
      <c r="B86" s="4" t="s">
        <v>71</v>
      </c>
      <c r="O86" s="13">
        <f t="shared" ref="O86:O95" si="7">SUM(C86:N86)</f>
        <v>0</v>
      </c>
    </row>
    <row r="87" spans="2:15">
      <c r="B87" s="4" t="s">
        <v>72</v>
      </c>
      <c r="O87" s="13">
        <f t="shared" si="7"/>
        <v>0</v>
      </c>
    </row>
    <row r="88" spans="2:15">
      <c r="B88" s="4" t="s">
        <v>104</v>
      </c>
      <c r="C88" s="13">
        <v>491</v>
      </c>
      <c r="D88" s="13">
        <v>435</v>
      </c>
      <c r="E88" s="13">
        <v>1496</v>
      </c>
      <c r="F88" s="13">
        <v>2049</v>
      </c>
      <c r="G88" s="13">
        <v>6797</v>
      </c>
      <c r="H88" s="13">
        <v>7729</v>
      </c>
      <c r="I88" s="13">
        <v>8339</v>
      </c>
      <c r="J88" s="13">
        <v>9127</v>
      </c>
      <c r="K88" s="13">
        <v>4938</v>
      </c>
      <c r="L88" s="13">
        <v>1017</v>
      </c>
      <c r="M88" s="13">
        <v>569</v>
      </c>
      <c r="N88" s="13">
        <v>1101</v>
      </c>
      <c r="O88" s="13">
        <f t="shared" si="7"/>
        <v>44088</v>
      </c>
    </row>
    <row r="89" spans="2:15">
      <c r="B89" s="7" t="s">
        <v>74</v>
      </c>
      <c r="F89" s="13">
        <v>21400</v>
      </c>
      <c r="G89" s="13">
        <v>21400</v>
      </c>
      <c r="H89" s="13">
        <v>21400</v>
      </c>
      <c r="I89" s="13">
        <v>21400</v>
      </c>
      <c r="J89" s="13">
        <v>21400</v>
      </c>
      <c r="K89" s="13">
        <v>21400</v>
      </c>
      <c r="L89" s="13">
        <v>21400</v>
      </c>
      <c r="O89" s="13">
        <f t="shared" si="7"/>
        <v>149800</v>
      </c>
    </row>
    <row r="90" spans="2:15">
      <c r="B90" s="4" t="s">
        <v>75</v>
      </c>
      <c r="O90" s="13">
        <f t="shared" si="7"/>
        <v>0</v>
      </c>
    </row>
    <row r="91" spans="2:15">
      <c r="B91" s="4" t="s">
        <v>76</v>
      </c>
      <c r="O91" s="13">
        <f t="shared" si="7"/>
        <v>0</v>
      </c>
    </row>
    <row r="92" spans="2:15">
      <c r="B92" s="7" t="s">
        <v>102</v>
      </c>
      <c r="F92" s="13">
        <v>621.59</v>
      </c>
      <c r="G92" s="13">
        <v>12133.5</v>
      </c>
      <c r="H92" s="13">
        <v>12032.38</v>
      </c>
      <c r="I92" s="13">
        <v>7284.31</v>
      </c>
      <c r="J92" s="13">
        <v>433.84</v>
      </c>
      <c r="K92" s="13">
        <v>47950.67</v>
      </c>
      <c r="L92" s="13">
        <v>2421.27</v>
      </c>
      <c r="O92" s="13">
        <f t="shared" si="7"/>
        <v>82877.560000000012</v>
      </c>
    </row>
    <row r="93" spans="2:15">
      <c r="B93" s="4" t="s">
        <v>103</v>
      </c>
      <c r="O93" s="13">
        <f t="shared" si="7"/>
        <v>0</v>
      </c>
    </row>
    <row r="94" spans="2:15">
      <c r="B94" s="4" t="s">
        <v>77</v>
      </c>
      <c r="O94" s="13">
        <f t="shared" si="7"/>
        <v>0</v>
      </c>
    </row>
    <row r="95" spans="2:15">
      <c r="B95" s="7" t="s">
        <v>78</v>
      </c>
      <c r="O95" s="13">
        <f t="shared" si="7"/>
        <v>0</v>
      </c>
    </row>
    <row r="96" spans="2:15">
      <c r="B96" s="5" t="s">
        <v>79</v>
      </c>
      <c r="C96" s="23">
        <f>SUM(C22:C95)</f>
        <v>5574.06</v>
      </c>
      <c r="D96" s="23">
        <f t="shared" ref="D96:O96" si="8">SUM(D22:D95)</f>
        <v>7293.5299999999988</v>
      </c>
      <c r="E96" s="23">
        <f t="shared" si="8"/>
        <v>10434.02</v>
      </c>
      <c r="F96" s="23">
        <f t="shared" si="8"/>
        <v>45980.38</v>
      </c>
      <c r="G96" s="23">
        <f t="shared" si="8"/>
        <v>225939.16999999998</v>
      </c>
      <c r="H96" s="23">
        <f t="shared" si="8"/>
        <v>269360.12</v>
      </c>
      <c r="I96" s="23">
        <f t="shared" si="8"/>
        <v>302826.94</v>
      </c>
      <c r="J96" s="23">
        <f t="shared" si="8"/>
        <v>352181.46</v>
      </c>
      <c r="K96" s="23">
        <f t="shared" si="8"/>
        <v>290078</v>
      </c>
      <c r="L96" s="23">
        <f t="shared" si="8"/>
        <v>68658.510000000024</v>
      </c>
      <c r="M96" s="23">
        <f t="shared" si="8"/>
        <v>9193.0999999999985</v>
      </c>
      <c r="N96" s="23">
        <f t="shared" si="8"/>
        <v>9819.7699999999986</v>
      </c>
      <c r="O96" s="23">
        <f t="shared" si="8"/>
        <v>1597339.06</v>
      </c>
    </row>
    <row r="97" spans="2:15">
      <c r="B97" s="5" t="s">
        <v>80</v>
      </c>
      <c r="C97" s="13">
        <f>C20-C96</f>
        <v>7954.8399999999992</v>
      </c>
      <c r="D97" s="13">
        <f t="shared" ref="D97:O97" si="9">D20-D96</f>
        <v>4689.0500000000011</v>
      </c>
      <c r="E97" s="13">
        <f t="shared" si="9"/>
        <v>30775.06</v>
      </c>
      <c r="F97" s="13">
        <f t="shared" si="9"/>
        <v>10476.07</v>
      </c>
      <c r="G97" s="13">
        <f t="shared" si="9"/>
        <v>-38682.559999999998</v>
      </c>
      <c r="H97" s="13">
        <f t="shared" si="9"/>
        <v>-56436.66</v>
      </c>
      <c r="I97" s="13">
        <f t="shared" si="9"/>
        <v>-73101.799999999988</v>
      </c>
      <c r="J97" s="13">
        <f t="shared" si="9"/>
        <v>-100741.05000000005</v>
      </c>
      <c r="K97" s="13">
        <f t="shared" si="9"/>
        <v>-154371.73000000001</v>
      </c>
      <c r="L97" s="13">
        <f t="shared" si="9"/>
        <v>-40849.10000000002</v>
      </c>
      <c r="M97" s="13">
        <f t="shared" si="9"/>
        <v>6471.260000000002</v>
      </c>
      <c r="N97" s="13">
        <f t="shared" si="9"/>
        <v>20509.120000000003</v>
      </c>
      <c r="O97" s="13">
        <f t="shared" si="9"/>
        <v>-383307.50000000023</v>
      </c>
    </row>
    <row r="98" spans="2:15">
      <c r="B98" s="3" t="s">
        <v>81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99" spans="2:15">
      <c r="B99" s="4" t="s">
        <v>82</v>
      </c>
      <c r="O99" s="13">
        <f t="shared" ref="O99:O100" si="10">SUM(C99:N99)</f>
        <v>0</v>
      </c>
    </row>
    <row r="100" spans="2:15">
      <c r="B100" s="4" t="s">
        <v>83</v>
      </c>
      <c r="O100" s="13">
        <f t="shared" si="10"/>
        <v>0</v>
      </c>
    </row>
    <row r="101" spans="2:15">
      <c r="B101" s="5" t="s">
        <v>84</v>
      </c>
      <c r="C101" s="23">
        <f>SUM(C99:C100)</f>
        <v>0</v>
      </c>
      <c r="D101" s="23">
        <f t="shared" ref="D101:O101" si="11">SUM(D99:D100)</f>
        <v>0</v>
      </c>
      <c r="E101" s="23">
        <f t="shared" si="11"/>
        <v>0</v>
      </c>
      <c r="F101" s="23">
        <f t="shared" si="11"/>
        <v>0</v>
      </c>
      <c r="G101" s="23">
        <f t="shared" si="11"/>
        <v>0</v>
      </c>
      <c r="H101" s="23">
        <f t="shared" si="11"/>
        <v>0</v>
      </c>
      <c r="I101" s="23">
        <f t="shared" si="11"/>
        <v>0</v>
      </c>
      <c r="J101" s="23">
        <f t="shared" si="11"/>
        <v>0</v>
      </c>
      <c r="K101" s="23">
        <f t="shared" si="11"/>
        <v>0</v>
      </c>
      <c r="L101" s="23">
        <f t="shared" si="11"/>
        <v>0</v>
      </c>
      <c r="M101" s="23">
        <f t="shared" si="11"/>
        <v>0</v>
      </c>
      <c r="N101" s="23">
        <f t="shared" si="11"/>
        <v>0</v>
      </c>
      <c r="O101" s="23">
        <f t="shared" si="11"/>
        <v>0</v>
      </c>
    </row>
    <row r="102" spans="2:15">
      <c r="B102" s="3" t="s">
        <v>85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2:15">
      <c r="B103" s="7" t="s">
        <v>86</v>
      </c>
      <c r="O103" s="13">
        <f t="shared" ref="O103:O104" si="12">SUM(C103:N103)</f>
        <v>0</v>
      </c>
    </row>
    <row r="104" spans="2:15">
      <c r="B104" s="4" t="s">
        <v>87</v>
      </c>
      <c r="O104" s="13">
        <f t="shared" si="12"/>
        <v>0</v>
      </c>
    </row>
    <row r="105" spans="2:15">
      <c r="B105" s="5" t="s">
        <v>88</v>
      </c>
      <c r="C105" s="23">
        <f>SUM(C103:C104)</f>
        <v>0</v>
      </c>
      <c r="D105" s="23">
        <f t="shared" ref="D105:O105" si="13">SUM(D103:D104)</f>
        <v>0</v>
      </c>
      <c r="E105" s="23">
        <f t="shared" si="13"/>
        <v>0</v>
      </c>
      <c r="F105" s="23">
        <f t="shared" si="13"/>
        <v>0</v>
      </c>
      <c r="G105" s="23">
        <f t="shared" si="13"/>
        <v>0</v>
      </c>
      <c r="H105" s="23">
        <f t="shared" si="13"/>
        <v>0</v>
      </c>
      <c r="I105" s="23">
        <f t="shared" si="13"/>
        <v>0</v>
      </c>
      <c r="J105" s="23">
        <f t="shared" si="13"/>
        <v>0</v>
      </c>
      <c r="K105" s="23">
        <f t="shared" si="13"/>
        <v>0</v>
      </c>
      <c r="L105" s="23">
        <f t="shared" si="13"/>
        <v>0</v>
      </c>
      <c r="M105" s="23">
        <f t="shared" si="13"/>
        <v>0</v>
      </c>
      <c r="N105" s="23">
        <f t="shared" si="13"/>
        <v>0</v>
      </c>
      <c r="O105" s="23">
        <f t="shared" si="13"/>
        <v>0</v>
      </c>
    </row>
    <row r="106" spans="2:15">
      <c r="B106" s="11" t="s">
        <v>89</v>
      </c>
      <c r="C106" s="22">
        <f>C101-C105</f>
        <v>0</v>
      </c>
      <c r="D106" s="22">
        <f t="shared" ref="D106:O106" si="14">D101-D105</f>
        <v>0</v>
      </c>
      <c r="E106" s="22">
        <f t="shared" si="14"/>
        <v>0</v>
      </c>
      <c r="F106" s="22">
        <f t="shared" si="14"/>
        <v>0</v>
      </c>
      <c r="G106" s="22">
        <f t="shared" si="14"/>
        <v>0</v>
      </c>
      <c r="H106" s="22">
        <f t="shared" si="14"/>
        <v>0</v>
      </c>
      <c r="I106" s="22">
        <f t="shared" si="14"/>
        <v>0</v>
      </c>
      <c r="J106" s="22">
        <f t="shared" si="14"/>
        <v>0</v>
      </c>
      <c r="K106" s="22">
        <f t="shared" si="14"/>
        <v>0</v>
      </c>
      <c r="L106" s="22">
        <f t="shared" si="14"/>
        <v>0</v>
      </c>
      <c r="M106" s="22">
        <f t="shared" si="14"/>
        <v>0</v>
      </c>
      <c r="N106" s="22">
        <f t="shared" si="14"/>
        <v>0</v>
      </c>
      <c r="O106" s="22">
        <f t="shared" si="14"/>
        <v>0</v>
      </c>
    </row>
    <row r="107" spans="2:15" ht="15.75" thickBot="1">
      <c r="B107" s="3" t="s">
        <v>90</v>
      </c>
      <c r="C107" s="25">
        <f>C97+C106</f>
        <v>7954.8399999999992</v>
      </c>
      <c r="D107" s="25">
        <f t="shared" ref="D107:O107" si="15">D97+D106</f>
        <v>4689.0500000000011</v>
      </c>
      <c r="E107" s="25">
        <f t="shared" si="15"/>
        <v>30775.06</v>
      </c>
      <c r="F107" s="25">
        <f t="shared" si="15"/>
        <v>10476.07</v>
      </c>
      <c r="G107" s="25">
        <f t="shared" si="15"/>
        <v>-38682.559999999998</v>
      </c>
      <c r="H107" s="25">
        <f t="shared" si="15"/>
        <v>-56436.66</v>
      </c>
      <c r="I107" s="25">
        <f t="shared" si="15"/>
        <v>-73101.799999999988</v>
      </c>
      <c r="J107" s="25">
        <f t="shared" si="15"/>
        <v>-100741.05000000005</v>
      </c>
      <c r="K107" s="25">
        <f t="shared" si="15"/>
        <v>-154371.73000000001</v>
      </c>
      <c r="L107" s="25">
        <f t="shared" si="15"/>
        <v>-40849.10000000002</v>
      </c>
      <c r="M107" s="25">
        <f t="shared" si="15"/>
        <v>6471.260000000002</v>
      </c>
      <c r="N107" s="25">
        <f t="shared" si="15"/>
        <v>20509.120000000003</v>
      </c>
      <c r="O107" s="25">
        <f t="shared" si="15"/>
        <v>-383307.50000000023</v>
      </c>
    </row>
    <row r="108" spans="2:15" ht="15.75" thickTop="1"/>
  </sheetData>
  <pageMargins left="0.7" right="0.7" top="0.75" bottom="0.75" header="0.3" footer="0.3"/>
  <pageSetup scale="83" fitToWidth="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71C61-B5C3-4F95-91B2-290F2FCECDA5}">
  <sheetPr>
    <pageSetUpPr fitToPage="1"/>
  </sheetPr>
  <dimension ref="A1:N116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2" sqref="B2"/>
    </sheetView>
  </sheetViews>
  <sheetFormatPr defaultRowHeight="15"/>
  <cols>
    <col min="1" max="1" width="2.7109375" customWidth="1"/>
    <col min="2" max="2" width="58.140625" bestFit="1" customWidth="1"/>
    <col min="3" max="3" width="14" style="13" bestFit="1" customWidth="1"/>
    <col min="4" max="4" width="14.85546875" style="13" bestFit="1" customWidth="1"/>
    <col min="5" max="5" width="14" style="13" bestFit="1" customWidth="1"/>
    <col min="6" max="6" width="12.28515625" style="13" bestFit="1" customWidth="1"/>
    <col min="7" max="7" width="13.28515625" style="13" bestFit="1" customWidth="1"/>
    <col min="8" max="8" width="12.28515625" style="13" bestFit="1" customWidth="1"/>
    <col min="9" max="9" width="12.5703125" style="13" bestFit="1" customWidth="1"/>
    <col min="10" max="10" width="11.42578125" style="13" bestFit="1" customWidth="1"/>
    <col min="11" max="11" width="10.42578125" style="13" bestFit="1" customWidth="1"/>
    <col min="13" max="13" width="13.28515625" bestFit="1" customWidth="1"/>
  </cols>
  <sheetData>
    <row r="1" spans="1:11" ht="18.75">
      <c r="A1" s="26"/>
      <c r="B1" s="1" t="s">
        <v>106</v>
      </c>
      <c r="D1" s="31"/>
      <c r="E1" s="31"/>
      <c r="F1" s="31"/>
      <c r="G1" s="31"/>
      <c r="H1" s="31"/>
      <c r="I1" s="31"/>
      <c r="J1" s="31"/>
      <c r="K1" s="31"/>
    </row>
    <row r="2" spans="1:11" ht="15.75">
      <c r="A2" s="26"/>
      <c r="B2" s="2" t="s">
        <v>107</v>
      </c>
      <c r="D2" s="31"/>
      <c r="E2" s="31"/>
      <c r="F2" s="31"/>
      <c r="G2" s="31"/>
      <c r="H2" s="31"/>
      <c r="I2" s="31"/>
      <c r="J2" s="31"/>
      <c r="K2" s="31"/>
    </row>
    <row r="3" spans="1:11">
      <c r="A3" s="26"/>
      <c r="B3" t="s">
        <v>2</v>
      </c>
      <c r="D3" s="31"/>
      <c r="E3" s="31"/>
      <c r="F3" s="31"/>
      <c r="G3" s="31"/>
      <c r="H3" s="31"/>
      <c r="I3" s="31"/>
      <c r="J3" s="31"/>
      <c r="K3" s="31"/>
    </row>
    <row r="4" spans="1:11">
      <c r="A4" s="26"/>
      <c r="B4" s="26"/>
      <c r="D4" s="31"/>
      <c r="E4" s="31"/>
      <c r="F4" s="31"/>
      <c r="G4" s="31"/>
      <c r="H4" s="31"/>
      <c r="I4" s="31"/>
      <c r="J4" s="31"/>
      <c r="K4" s="31"/>
    </row>
    <row r="5" spans="1:11">
      <c r="A5" s="26"/>
      <c r="B5" s="26"/>
      <c r="D5" s="31"/>
      <c r="E5" s="31"/>
      <c r="F5" s="31"/>
      <c r="G5" s="31"/>
      <c r="H5" s="31"/>
      <c r="I5" s="31"/>
      <c r="J5" s="31"/>
      <c r="K5" s="31"/>
    </row>
    <row r="6" spans="1:11">
      <c r="A6" s="26"/>
      <c r="B6" s="26"/>
      <c r="C6" s="14" t="s">
        <v>108</v>
      </c>
      <c r="D6" s="14" t="s">
        <v>109</v>
      </c>
      <c r="E6" s="14"/>
      <c r="F6" s="14" t="s">
        <v>110</v>
      </c>
      <c r="G6" s="14" t="s">
        <v>111</v>
      </c>
      <c r="H6" s="14" t="s">
        <v>112</v>
      </c>
      <c r="I6" s="14" t="s">
        <v>113</v>
      </c>
      <c r="J6" s="14" t="s">
        <v>114</v>
      </c>
      <c r="K6" s="14" t="s">
        <v>115</v>
      </c>
    </row>
    <row r="7" spans="1:11">
      <c r="A7" s="26"/>
      <c r="B7" s="27" t="s">
        <v>116</v>
      </c>
      <c r="C7" s="32" t="s">
        <v>117</v>
      </c>
      <c r="D7" s="14" t="s">
        <v>118</v>
      </c>
      <c r="E7" s="14" t="s">
        <v>119</v>
      </c>
      <c r="F7" s="14" t="s">
        <v>120</v>
      </c>
      <c r="G7" s="14" t="s">
        <v>121</v>
      </c>
      <c r="H7" s="14" t="s">
        <v>120</v>
      </c>
      <c r="I7" s="14" t="s">
        <v>121</v>
      </c>
      <c r="J7" s="14" t="s">
        <v>122</v>
      </c>
      <c r="K7" s="14" t="s">
        <v>123</v>
      </c>
    </row>
    <row r="8" spans="1:11">
      <c r="A8" s="26"/>
      <c r="B8" s="26"/>
      <c r="C8" s="33"/>
      <c r="D8" s="96">
        <f>(C10+C16)/C17</f>
        <v>0.67339472117563048</v>
      </c>
      <c r="E8" s="34"/>
      <c r="F8" s="34"/>
      <c r="G8" s="14"/>
      <c r="H8" s="34"/>
      <c r="I8" s="14"/>
      <c r="J8" s="34"/>
      <c r="K8" s="34"/>
    </row>
    <row r="9" spans="1:11">
      <c r="A9" s="26"/>
      <c r="B9" s="28" t="s">
        <v>3</v>
      </c>
      <c r="C9" s="15"/>
      <c r="D9" s="35"/>
      <c r="E9" s="35"/>
      <c r="F9" s="35"/>
      <c r="G9" s="35"/>
      <c r="H9" s="35"/>
      <c r="I9" s="35" t="s">
        <v>124</v>
      </c>
      <c r="J9" s="35"/>
      <c r="K9" s="35"/>
    </row>
    <row r="10" spans="1:11">
      <c r="B10" s="7" t="str">
        <f>'Comb 12-mon P&amp;L'!B7</f>
        <v>41100 Transportation Revenues - Beeline</v>
      </c>
      <c r="C10" s="13">
        <f>'Comb 12-mon P&amp;L'!O7</f>
        <v>2516804.91</v>
      </c>
      <c r="D10" s="13">
        <f>'Bee 12-mon P&amp;L'!O7</f>
        <v>2516804.91</v>
      </c>
      <c r="E10" s="13">
        <f>C10-D10</f>
        <v>0</v>
      </c>
      <c r="G10" s="13">
        <f>SUM(E10:F10)</f>
        <v>0</v>
      </c>
      <c r="I10" s="13">
        <f>SUM(G10:H10)</f>
        <v>0</v>
      </c>
      <c r="K10" s="13">
        <f>SUM(I10:J10)</f>
        <v>0</v>
      </c>
    </row>
    <row r="11" spans="1:11">
      <c r="B11" s="100" t="str">
        <f>'Comb 12-mon P&amp;L'!B8</f>
        <v>41200 Transportation Revenues - Seattle Express</v>
      </c>
      <c r="G11" s="13">
        <f t="shared" ref="G11:G16" si="0">SUM(E11:F11)</f>
        <v>0</v>
      </c>
      <c r="I11" s="13">
        <f t="shared" ref="I11:I13" si="1">SUM(G11:H11)</f>
        <v>0</v>
      </c>
      <c r="K11" s="13">
        <f t="shared" ref="K11:K16" si="2">SUM(I11:J11)</f>
        <v>0</v>
      </c>
    </row>
    <row r="12" spans="1:11">
      <c r="B12" s="24" t="str">
        <f>'Comb 12-mon P&amp;L'!B9</f>
        <v xml:space="preserve">         41210 Earned Revenue - Seattle Express</v>
      </c>
      <c r="C12" s="13">
        <f>'Comb 12-mon P&amp;L'!O9</f>
        <v>1315715.42</v>
      </c>
      <c r="E12" s="13">
        <f>C12-D12</f>
        <v>1315715.42</v>
      </c>
      <c r="F12" s="13">
        <f>Adjustments!E10</f>
        <v>-10600.32</v>
      </c>
      <c r="G12" s="13">
        <f t="shared" si="0"/>
        <v>1305115.0999999999</v>
      </c>
      <c r="I12" s="13">
        <f t="shared" si="1"/>
        <v>1305115.0999999999</v>
      </c>
      <c r="J12" s="13">
        <f>I116</f>
        <v>546479.99665761855</v>
      </c>
      <c r="K12" s="13">
        <f t="shared" si="2"/>
        <v>1851595.0966576184</v>
      </c>
    </row>
    <row r="13" spans="1:11">
      <c r="B13" s="24" t="str">
        <f>'Comb 12-mon P&amp;L'!B10</f>
        <v xml:space="preserve">         41220 Customer Deposits - Seattle Express</v>
      </c>
      <c r="C13" s="13">
        <f>'Comb 12-mon P&amp;L'!O10</f>
        <v>-101145.86</v>
      </c>
      <c r="E13" s="13">
        <f>C13-D13</f>
        <v>-101145.86</v>
      </c>
      <c r="G13" s="13">
        <f t="shared" si="0"/>
        <v>-101145.86</v>
      </c>
      <c r="I13" s="13">
        <f t="shared" si="1"/>
        <v>-101145.86</v>
      </c>
      <c r="K13" s="13">
        <f t="shared" si="2"/>
        <v>-101145.86</v>
      </c>
    </row>
    <row r="14" spans="1:11">
      <c r="B14" s="100" t="str">
        <f>'Comb 12-mon P&amp;L'!B11</f>
        <v>41200 Transportation Revenues - Seattle Express</v>
      </c>
      <c r="C14" s="39">
        <f>SUM(C12:C13)</f>
        <v>1214569.5599999998</v>
      </c>
      <c r="D14" s="39">
        <f t="shared" ref="D14:K14" si="3">SUM(D12:D13)</f>
        <v>0</v>
      </c>
      <c r="E14" s="39">
        <f t="shared" si="3"/>
        <v>1214569.5599999998</v>
      </c>
      <c r="F14" s="39">
        <f t="shared" si="3"/>
        <v>-10600.32</v>
      </c>
      <c r="G14" s="39">
        <f t="shared" si="3"/>
        <v>1203969.2399999998</v>
      </c>
      <c r="H14" s="39">
        <f t="shared" si="3"/>
        <v>0</v>
      </c>
      <c r="I14" s="39">
        <f t="shared" si="3"/>
        <v>1203969.2399999998</v>
      </c>
      <c r="J14" s="39">
        <f t="shared" si="3"/>
        <v>546479.99665761855</v>
      </c>
      <c r="K14" s="39">
        <f t="shared" si="3"/>
        <v>1750449.2366576183</v>
      </c>
    </row>
    <row r="15" spans="1:11">
      <c r="B15" s="24" t="str">
        <f>'Comb 12-mon P&amp;L'!B12</f>
        <v xml:space="preserve">   Total 41000 Transportation Revenue</v>
      </c>
      <c r="C15" s="39">
        <f t="shared" ref="C15:K15" si="4">C10+C14</f>
        <v>3731374.4699999997</v>
      </c>
      <c r="D15" s="39">
        <f t="shared" si="4"/>
        <v>2516804.91</v>
      </c>
      <c r="E15" s="39">
        <f t="shared" si="4"/>
        <v>1214569.5599999998</v>
      </c>
      <c r="F15" s="39">
        <f t="shared" si="4"/>
        <v>-10600.32</v>
      </c>
      <c r="G15" s="39">
        <f t="shared" si="4"/>
        <v>1203969.2399999998</v>
      </c>
      <c r="H15" s="39">
        <f t="shared" si="4"/>
        <v>0</v>
      </c>
      <c r="I15" s="39">
        <f t="shared" si="4"/>
        <v>1203969.2399999998</v>
      </c>
      <c r="J15" s="39">
        <f t="shared" si="4"/>
        <v>546479.99665761855</v>
      </c>
      <c r="K15" s="39">
        <f t="shared" si="4"/>
        <v>1750449.2366576183</v>
      </c>
    </row>
    <row r="16" spans="1:11">
      <c r="B16" s="7" t="str">
        <f>'Comb 12-mon P&amp;L'!B13</f>
        <v>49000 Charter Refund</v>
      </c>
      <c r="C16" s="13">
        <f>'Comb 12-mon P&amp;L'!O13</f>
        <v>-12605.55</v>
      </c>
      <c r="D16" s="13">
        <f>'Bee 12-mon P&amp;L'!O13</f>
        <v>-12605.55</v>
      </c>
      <c r="E16" s="13">
        <f>C16-D16</f>
        <v>0</v>
      </c>
      <c r="G16" s="13">
        <f t="shared" si="0"/>
        <v>0</v>
      </c>
      <c r="I16" s="13">
        <f>SUM(G16:H16)</f>
        <v>0</v>
      </c>
      <c r="K16" s="13">
        <f t="shared" si="2"/>
        <v>0</v>
      </c>
    </row>
    <row r="17" spans="2:11">
      <c r="B17" s="21" t="s">
        <v>6</v>
      </c>
      <c r="C17" s="23">
        <f>C15+C16</f>
        <v>3718768.92</v>
      </c>
      <c r="D17" s="23">
        <f>D15+D16</f>
        <v>2504199.3600000003</v>
      </c>
      <c r="E17" s="23">
        <f>E15+E16</f>
        <v>1214569.5599999998</v>
      </c>
      <c r="F17" s="23">
        <f>F15+F16</f>
        <v>-10600.32</v>
      </c>
      <c r="G17" s="23">
        <f t="shared" ref="G17:K17" si="5">G15+G16</f>
        <v>1203969.2399999998</v>
      </c>
      <c r="H17" s="23">
        <f t="shared" si="5"/>
        <v>0</v>
      </c>
      <c r="I17" s="23">
        <f t="shared" si="5"/>
        <v>1203969.2399999998</v>
      </c>
      <c r="J17" s="23">
        <f t="shared" si="5"/>
        <v>546479.99665761855</v>
      </c>
      <c r="K17" s="23">
        <f t="shared" si="5"/>
        <v>1750449.2366576183</v>
      </c>
    </row>
    <row r="18" spans="2:11">
      <c r="B18" s="28" t="s">
        <v>7</v>
      </c>
      <c r="C18" s="15"/>
      <c r="D18" s="30"/>
      <c r="E18" s="30"/>
      <c r="F18" s="29"/>
      <c r="G18" s="29"/>
      <c r="H18" s="29"/>
      <c r="I18" s="29"/>
      <c r="J18" s="30"/>
      <c r="K18" s="30"/>
    </row>
    <row r="19" spans="2:11">
      <c r="B19" s="7" t="str">
        <f>'Comb 12-mon P&amp;L'!B16</f>
        <v>51100 Coach Farm Outs</v>
      </c>
      <c r="C19" s="13">
        <f>'Comb 12-mon P&amp;L'!O16</f>
        <v>47571.880000000005</v>
      </c>
      <c r="D19" s="13">
        <f>'Bee 12-mon P&amp;L'!O16</f>
        <v>47033.880000000005</v>
      </c>
      <c r="E19" s="13">
        <f>C19-D19</f>
        <v>538</v>
      </c>
      <c r="G19" s="13">
        <f t="shared" ref="G19:G21" si="6">SUM(E19:F19)</f>
        <v>538</v>
      </c>
      <c r="I19" s="13">
        <f>SUM(G19:H19)</f>
        <v>538</v>
      </c>
      <c r="K19" s="13">
        <f t="shared" ref="K19:K21" si="7">SUM(I19:J19)</f>
        <v>538</v>
      </c>
    </row>
    <row r="20" spans="2:11">
      <c r="B20" s="7" t="str">
        <f>'Comb 12-mon P&amp;L'!B17</f>
        <v>51120 WA Excise Tax</v>
      </c>
      <c r="C20" s="13">
        <f>'Comb 12-mon P&amp;L'!O17</f>
        <v>28333.439999999999</v>
      </c>
      <c r="D20" s="13">
        <f>'Bee 12-mon P&amp;L'!O17</f>
        <v>28333.439999999999</v>
      </c>
      <c r="E20" s="13">
        <f t="shared" ref="E20:E21" si="8">C20-D20</f>
        <v>0</v>
      </c>
      <c r="G20" s="13">
        <f t="shared" si="6"/>
        <v>0</v>
      </c>
      <c r="I20" s="13">
        <f t="shared" ref="I20:I21" si="9">SUM(G20:H20)</f>
        <v>0</v>
      </c>
      <c r="K20" s="13">
        <f t="shared" si="7"/>
        <v>0</v>
      </c>
    </row>
    <row r="21" spans="2:11">
      <c r="B21" s="7" t="str">
        <f>'Comb 12-mon P&amp;L'!B18</f>
        <v>52400 Other Tour COGS</v>
      </c>
      <c r="C21" s="13">
        <f>'Comb 12-mon P&amp;L'!O18</f>
        <v>62.77</v>
      </c>
      <c r="D21" s="13">
        <f>'Bee 12-mon P&amp;L'!O18</f>
        <v>62.77</v>
      </c>
      <c r="E21" s="13">
        <f t="shared" si="8"/>
        <v>0</v>
      </c>
      <c r="G21" s="13">
        <f t="shared" si="6"/>
        <v>0</v>
      </c>
      <c r="I21" s="13">
        <f t="shared" si="9"/>
        <v>0</v>
      </c>
      <c r="K21" s="13">
        <f t="shared" si="7"/>
        <v>0</v>
      </c>
    </row>
    <row r="22" spans="2:11">
      <c r="B22" s="36" t="s">
        <v>11</v>
      </c>
      <c r="C22" s="23">
        <f>SUM(C19:C21)</f>
        <v>75968.090000000011</v>
      </c>
      <c r="D22" s="23">
        <f t="shared" ref="D22:K22" si="10">SUM(D19:D21)</f>
        <v>75430.090000000011</v>
      </c>
      <c r="E22" s="23">
        <f t="shared" si="10"/>
        <v>538</v>
      </c>
      <c r="F22" s="23">
        <f t="shared" si="10"/>
        <v>0</v>
      </c>
      <c r="G22" s="23">
        <f t="shared" si="10"/>
        <v>538</v>
      </c>
      <c r="H22" s="23">
        <f t="shared" si="10"/>
        <v>0</v>
      </c>
      <c r="I22" s="23">
        <f t="shared" si="10"/>
        <v>538</v>
      </c>
      <c r="J22" s="23">
        <f t="shared" si="10"/>
        <v>0</v>
      </c>
      <c r="K22" s="23">
        <f t="shared" si="10"/>
        <v>538</v>
      </c>
    </row>
    <row r="23" spans="2:11">
      <c r="B23" s="36" t="s">
        <v>12</v>
      </c>
      <c r="C23" s="23">
        <f>C17-C22</f>
        <v>3642800.83</v>
      </c>
      <c r="D23" s="23">
        <f t="shared" ref="D23:K23" si="11">D17-D22</f>
        <v>2428769.2700000005</v>
      </c>
      <c r="E23" s="23">
        <f t="shared" si="11"/>
        <v>1214031.5599999998</v>
      </c>
      <c r="F23" s="23">
        <f t="shared" si="11"/>
        <v>-10600.32</v>
      </c>
      <c r="G23" s="23">
        <f t="shared" si="11"/>
        <v>1203431.2399999998</v>
      </c>
      <c r="H23" s="23">
        <f t="shared" si="11"/>
        <v>0</v>
      </c>
      <c r="I23" s="23">
        <f t="shared" si="11"/>
        <v>1203431.2399999998</v>
      </c>
      <c r="J23" s="23">
        <f t="shared" si="11"/>
        <v>546479.99665761855</v>
      </c>
      <c r="K23" s="23">
        <f t="shared" si="11"/>
        <v>1749911.2366576183</v>
      </c>
    </row>
    <row r="24" spans="2:11">
      <c r="B24" s="28" t="s">
        <v>13</v>
      </c>
      <c r="C24" s="15"/>
      <c r="D24" s="37"/>
      <c r="E24" s="37"/>
      <c r="F24" s="29"/>
      <c r="G24" s="29"/>
      <c r="H24" s="29"/>
      <c r="I24" s="29"/>
      <c r="J24" s="30"/>
      <c r="K24" s="29"/>
    </row>
    <row r="25" spans="2:11">
      <c r="B25" s="7" t="str">
        <f>'Comb 12-mon P&amp;L'!B22</f>
        <v>61110 Wages - unallocated</v>
      </c>
      <c r="C25" s="13">
        <f>'Comb 12-mon P&amp;L'!O22</f>
        <v>1666700.2900000003</v>
      </c>
      <c r="D25" s="13">
        <f>'Bee 12-mon P&amp;L'!O22</f>
        <v>1666700.2900000003</v>
      </c>
      <c r="E25" s="13">
        <f t="shared" ref="E25:E88" si="12">C25-D25</f>
        <v>0</v>
      </c>
      <c r="G25" s="13">
        <f t="shared" ref="G25:G88" si="13">SUM(E25:F25)</f>
        <v>0</v>
      </c>
      <c r="I25" s="13">
        <f t="shared" ref="I25:I88" si="14">SUM(G25:H25)</f>
        <v>0</v>
      </c>
      <c r="K25" s="13">
        <f t="shared" ref="K25:K88" si="15">SUM(I25:J25)</f>
        <v>0</v>
      </c>
    </row>
    <row r="26" spans="2:11">
      <c r="B26" s="7" t="str">
        <f>'Comb 12-mon P&amp;L'!B23</f>
        <v>61198 Seasonal payroll allocated to Seattle Express</v>
      </c>
      <c r="C26" s="13">
        <f>'Comb 12-mon P&amp;L'!O23</f>
        <v>0</v>
      </c>
      <c r="D26" s="13">
        <f>'Bee 12-mon P&amp;L'!O23</f>
        <v>-449656.24</v>
      </c>
      <c r="E26" s="13">
        <f t="shared" si="12"/>
        <v>449656.24</v>
      </c>
      <c r="G26" s="13">
        <f t="shared" si="13"/>
        <v>449656.24</v>
      </c>
      <c r="H26" s="13">
        <f>Adjustments!E14</f>
        <v>15611.343091585055</v>
      </c>
      <c r="I26" s="13">
        <f t="shared" si="14"/>
        <v>465267.58309158502</v>
      </c>
      <c r="K26" s="13">
        <f t="shared" si="15"/>
        <v>465267.58309158502</v>
      </c>
    </row>
    <row r="27" spans="2:11">
      <c r="B27" s="7" t="str">
        <f>'Comb 12-mon P&amp;L'!B24</f>
        <v>61199 Wages specifically identified as Seattle Express</v>
      </c>
      <c r="C27" s="13">
        <f>'Comb 12-mon P&amp;L'!O24</f>
        <v>0</v>
      </c>
      <c r="D27" s="13">
        <f>'Bee 12-mon P&amp;L'!O24</f>
        <v>-268237.49</v>
      </c>
      <c r="E27" s="13">
        <f t="shared" si="12"/>
        <v>268237.49</v>
      </c>
      <c r="G27" s="13">
        <f t="shared" si="13"/>
        <v>268237.49</v>
      </c>
      <c r="H27" s="13">
        <f>Adjustments!E12</f>
        <v>3799.5869999999995</v>
      </c>
      <c r="I27" s="13">
        <f t="shared" si="14"/>
        <v>272037.07699999999</v>
      </c>
      <c r="K27" s="13">
        <f t="shared" si="15"/>
        <v>272037.07699999999</v>
      </c>
    </row>
    <row r="28" spans="2:11">
      <c r="B28" s="7" t="str">
        <f>'Comb 12-mon P&amp;L'!B25</f>
        <v>61510 Payroll Taxes</v>
      </c>
      <c r="C28" s="13">
        <f>'Comb 12-mon P&amp;L'!O25</f>
        <v>204146.95</v>
      </c>
      <c r="D28" s="13">
        <f>'Bee 12-mon P&amp;L'!O25</f>
        <v>204146.95</v>
      </c>
      <c r="E28" s="13">
        <f t="shared" si="12"/>
        <v>0</v>
      </c>
      <c r="G28" s="13">
        <f t="shared" si="13"/>
        <v>0</v>
      </c>
      <c r="I28" s="13">
        <f t="shared" si="14"/>
        <v>0</v>
      </c>
      <c r="K28" s="13">
        <f t="shared" si="15"/>
        <v>0</v>
      </c>
    </row>
    <row r="29" spans="2:11">
      <c r="B29" s="7" t="str">
        <f>'Comb 12-mon P&amp;L'!B26</f>
        <v>61515 ER 401k Contributions</v>
      </c>
      <c r="C29" s="13">
        <f>'Comb 12-mon P&amp;L'!O26</f>
        <v>39778.219999999994</v>
      </c>
      <c r="D29" s="13">
        <f>'Bee 12-mon P&amp;L'!O26</f>
        <v>39778.219999999994</v>
      </c>
      <c r="E29" s="13">
        <f t="shared" si="12"/>
        <v>0</v>
      </c>
      <c r="G29" s="13">
        <f t="shared" si="13"/>
        <v>0</v>
      </c>
      <c r="I29" s="13">
        <f t="shared" si="14"/>
        <v>0</v>
      </c>
      <c r="K29" s="13">
        <f t="shared" si="15"/>
        <v>0</v>
      </c>
    </row>
    <row r="30" spans="2:11">
      <c r="B30" s="7" t="str">
        <f>'Comb 12-mon P&amp;L'!B27</f>
        <v>61521 Employee Healthcare Benefits</v>
      </c>
      <c r="C30" s="13">
        <f>'Comb 12-mon P&amp;L'!O27</f>
        <v>19701.54</v>
      </c>
      <c r="D30" s="13">
        <f>'Bee 12-mon P&amp;L'!O27</f>
        <v>19701.54</v>
      </c>
      <c r="E30" s="13">
        <f t="shared" si="12"/>
        <v>0</v>
      </c>
      <c r="G30" s="13">
        <f t="shared" si="13"/>
        <v>0</v>
      </c>
      <c r="I30" s="13">
        <f t="shared" si="14"/>
        <v>0</v>
      </c>
      <c r="K30" s="13">
        <f t="shared" si="15"/>
        <v>0</v>
      </c>
    </row>
    <row r="31" spans="2:11">
      <c r="B31" s="7" t="str">
        <f>'Comb 12-mon P&amp;L'!B28</f>
        <v>61523 401k Management Fee</v>
      </c>
      <c r="C31" s="13">
        <f>'Comb 12-mon P&amp;L'!O28</f>
        <v>3342</v>
      </c>
      <c r="D31" s="13">
        <f>'Bee 12-mon P&amp;L'!O28</f>
        <v>3342</v>
      </c>
      <c r="E31" s="13">
        <f t="shared" si="12"/>
        <v>0</v>
      </c>
      <c r="G31" s="13">
        <f t="shared" si="13"/>
        <v>0</v>
      </c>
      <c r="I31" s="13">
        <f t="shared" si="14"/>
        <v>0</v>
      </c>
      <c r="K31" s="13">
        <f t="shared" si="15"/>
        <v>0</v>
      </c>
    </row>
    <row r="32" spans="2:11">
      <c r="B32" s="7" t="str">
        <f>'Comb 12-mon P&amp;L'!B29</f>
        <v>61525 Reimbursements</v>
      </c>
      <c r="C32" s="13">
        <f>'Comb 12-mon P&amp;L'!O29</f>
        <v>10406.960000000001</v>
      </c>
      <c r="D32" s="13">
        <f>'Bee 12-mon P&amp;L'!O29</f>
        <v>10406.960000000001</v>
      </c>
      <c r="E32" s="13">
        <f t="shared" si="12"/>
        <v>0</v>
      </c>
      <c r="G32" s="13">
        <f t="shared" si="13"/>
        <v>0</v>
      </c>
      <c r="I32" s="13">
        <f t="shared" si="14"/>
        <v>0</v>
      </c>
      <c r="K32" s="13">
        <f t="shared" si="15"/>
        <v>0</v>
      </c>
    </row>
    <row r="33" spans="2:11">
      <c r="B33" s="7" t="str">
        <f>'Comb 12-mon P&amp;L'!B30</f>
        <v>61530 Drug Testing</v>
      </c>
      <c r="C33" s="13">
        <f>'Comb 12-mon P&amp;L'!O30</f>
        <v>1388.2999999999995</v>
      </c>
      <c r="D33" s="13">
        <f>'Bee 12-mon P&amp;L'!O30</f>
        <v>1388.2999999999995</v>
      </c>
      <c r="E33" s="13">
        <f t="shared" si="12"/>
        <v>0</v>
      </c>
      <c r="G33" s="13">
        <f t="shared" si="13"/>
        <v>0</v>
      </c>
      <c r="I33" s="13">
        <f t="shared" si="14"/>
        <v>0</v>
      </c>
      <c r="K33" s="13">
        <f t="shared" si="15"/>
        <v>0</v>
      </c>
    </row>
    <row r="34" spans="2:11">
      <c r="B34" s="7" t="str">
        <f>'Comb 12-mon P&amp;L'!B31</f>
        <v>61531 Recruiting</v>
      </c>
      <c r="C34" s="13">
        <f>'Comb 12-mon P&amp;L'!O31</f>
        <v>20704.97</v>
      </c>
      <c r="D34" s="13">
        <f>'Bee 12-mon P&amp;L'!O31</f>
        <v>20704.97</v>
      </c>
      <c r="E34" s="13">
        <f t="shared" si="12"/>
        <v>0</v>
      </c>
      <c r="G34" s="13">
        <f t="shared" si="13"/>
        <v>0</v>
      </c>
      <c r="I34" s="13">
        <f t="shared" si="14"/>
        <v>0</v>
      </c>
      <c r="K34" s="13">
        <f t="shared" si="15"/>
        <v>0</v>
      </c>
    </row>
    <row r="35" spans="2:11">
      <c r="B35" s="7" t="str">
        <f>'Comb 12-mon P&amp;L'!B32</f>
        <v>61560 Lunches</v>
      </c>
      <c r="C35" s="13">
        <f>'Comb 12-mon P&amp;L'!O32</f>
        <v>1319.6699999999998</v>
      </c>
      <c r="D35" s="13">
        <f>'Bee 12-mon P&amp;L'!O32</f>
        <v>1319.6699999999998</v>
      </c>
      <c r="E35" s="13">
        <f t="shared" si="12"/>
        <v>0</v>
      </c>
      <c r="G35" s="13">
        <f t="shared" si="13"/>
        <v>0</v>
      </c>
      <c r="I35" s="13">
        <f t="shared" si="14"/>
        <v>0</v>
      </c>
      <c r="K35" s="13">
        <f t="shared" si="15"/>
        <v>0</v>
      </c>
    </row>
    <row r="36" spans="2:11">
      <c r="B36" s="7" t="str">
        <f>'Comb 12-mon P&amp;L'!B33</f>
        <v>61570 Uniforms</v>
      </c>
      <c r="C36" s="13">
        <f>'Comb 12-mon P&amp;L'!O33</f>
        <v>9455.6699999999983</v>
      </c>
      <c r="D36" s="13">
        <f>'Bee 12-mon P&amp;L'!O33</f>
        <v>9455.6699999999983</v>
      </c>
      <c r="E36" s="13">
        <f t="shared" si="12"/>
        <v>0</v>
      </c>
      <c r="G36" s="13">
        <f t="shared" si="13"/>
        <v>0</v>
      </c>
      <c r="I36" s="13">
        <f t="shared" si="14"/>
        <v>0</v>
      </c>
      <c r="K36" s="13">
        <f t="shared" si="15"/>
        <v>0</v>
      </c>
    </row>
    <row r="37" spans="2:11">
      <c r="B37" s="7" t="str">
        <f>'Comb 12-mon P&amp;L'!B34</f>
        <v>61585 Drivers Training</v>
      </c>
      <c r="C37" s="13">
        <f>'Comb 12-mon P&amp;L'!O34</f>
        <v>1807.31</v>
      </c>
      <c r="D37" s="13">
        <f>'Bee 12-mon P&amp;L'!O34</f>
        <v>1807.31</v>
      </c>
      <c r="E37" s="13">
        <f t="shared" si="12"/>
        <v>0</v>
      </c>
      <c r="G37" s="13">
        <f t="shared" si="13"/>
        <v>0</v>
      </c>
      <c r="I37" s="13">
        <f t="shared" si="14"/>
        <v>0</v>
      </c>
      <c r="K37" s="13">
        <f t="shared" si="15"/>
        <v>0</v>
      </c>
    </row>
    <row r="38" spans="2:11">
      <c r="B38" s="7" t="str">
        <f>'Comb 12-mon P&amp;L'!B35</f>
        <v>61598 Payroll-related expenses allocated to Seattle Express</v>
      </c>
      <c r="C38" s="13">
        <f>'Comb 12-mon P&amp;L'!O35</f>
        <v>0</v>
      </c>
      <c r="D38" s="13">
        <f>'Bee 12-mon P&amp;L'!O35</f>
        <v>-134389.71</v>
      </c>
      <c r="E38" s="13">
        <f t="shared" si="12"/>
        <v>134389.71</v>
      </c>
      <c r="G38" s="13">
        <f t="shared" si="13"/>
        <v>134389.71</v>
      </c>
      <c r="I38" s="13">
        <f t="shared" si="14"/>
        <v>134389.71</v>
      </c>
      <c r="K38" s="13">
        <f t="shared" si="15"/>
        <v>134389.71</v>
      </c>
    </row>
    <row r="39" spans="2:11">
      <c r="B39" s="7" t="str">
        <f>'Comb 12-mon P&amp;L'!B36</f>
        <v>61750 Contractors - Commissions/Sales Referrals</v>
      </c>
      <c r="C39" s="13">
        <f>'Comb 12-mon P&amp;L'!O36</f>
        <v>40923.25</v>
      </c>
      <c r="D39" s="13">
        <f>'Bee 12-mon P&amp;L'!O36</f>
        <v>0</v>
      </c>
      <c r="E39" s="13">
        <f t="shared" si="12"/>
        <v>40923.25</v>
      </c>
      <c r="G39" s="13">
        <f t="shared" si="13"/>
        <v>40923.25</v>
      </c>
      <c r="I39" s="13">
        <f t="shared" si="14"/>
        <v>40923.25</v>
      </c>
      <c r="K39" s="13">
        <f t="shared" si="15"/>
        <v>40923.25</v>
      </c>
    </row>
    <row r="40" spans="2:11">
      <c r="B40" s="7" t="str">
        <f>'Comb 12-mon P&amp;L'!B37</f>
        <v>62100 Bus Repairs</v>
      </c>
      <c r="C40" s="13">
        <f>'Comb 12-mon P&amp;L'!O37</f>
        <v>219072.77000000002</v>
      </c>
      <c r="D40" s="13">
        <f>'Bee 12-mon P&amp;L'!O37</f>
        <v>219072.77000000002</v>
      </c>
      <c r="E40" s="13">
        <f t="shared" si="12"/>
        <v>0</v>
      </c>
      <c r="G40" s="13">
        <f t="shared" si="13"/>
        <v>0</v>
      </c>
      <c r="I40" s="13">
        <f t="shared" si="14"/>
        <v>0</v>
      </c>
      <c r="K40" s="13">
        <f t="shared" si="15"/>
        <v>0</v>
      </c>
    </row>
    <row r="41" spans="2:11">
      <c r="B41" s="7" t="str">
        <f>'Comb 12-mon P&amp;L'!B38</f>
        <v>62110 Tires</v>
      </c>
      <c r="C41" s="13">
        <f>'Comb 12-mon P&amp;L'!O38</f>
        <v>28225.71</v>
      </c>
      <c r="D41" s="13">
        <f>'Bee 12-mon P&amp;L'!O38</f>
        <v>28225.71</v>
      </c>
      <c r="E41" s="13">
        <f t="shared" si="12"/>
        <v>0</v>
      </c>
      <c r="G41" s="13">
        <f t="shared" si="13"/>
        <v>0</v>
      </c>
      <c r="I41" s="13">
        <f t="shared" si="14"/>
        <v>0</v>
      </c>
      <c r="K41" s="13">
        <f t="shared" si="15"/>
        <v>0</v>
      </c>
    </row>
    <row r="42" spans="2:11">
      <c r="B42" s="7" t="str">
        <f>'Comb 12-mon P&amp;L'!B39</f>
        <v>62150 Materials &amp; Supplies</v>
      </c>
      <c r="C42" s="13">
        <f>'Comb 12-mon P&amp;L'!O39</f>
        <v>118902.71999999999</v>
      </c>
      <c r="D42" s="13">
        <f>'Bee 12-mon P&amp;L'!O39</f>
        <v>118902.71999999999</v>
      </c>
      <c r="E42" s="13">
        <f t="shared" si="12"/>
        <v>0</v>
      </c>
      <c r="G42" s="13">
        <f t="shared" si="13"/>
        <v>0</v>
      </c>
      <c r="I42" s="13">
        <f t="shared" si="14"/>
        <v>0</v>
      </c>
      <c r="K42" s="13">
        <f t="shared" si="15"/>
        <v>0</v>
      </c>
    </row>
    <row r="43" spans="2:11">
      <c r="B43" s="7" t="str">
        <f>'Comb 12-mon P&amp;L'!B40</f>
        <v>62199 Repairs allocated to Seattle Express</v>
      </c>
      <c r="C43" s="13">
        <f>'Comb 12-mon P&amp;L'!O40</f>
        <v>0</v>
      </c>
      <c r="D43" s="13">
        <f>'Bee 12-mon P&amp;L'!O40</f>
        <v>-132958.44999999998</v>
      </c>
      <c r="E43" s="13">
        <f t="shared" si="12"/>
        <v>132958.44999999998</v>
      </c>
      <c r="G43" s="13">
        <f t="shared" si="13"/>
        <v>132958.44999999998</v>
      </c>
      <c r="I43" s="13">
        <f t="shared" si="14"/>
        <v>132958.44999999998</v>
      </c>
      <c r="K43" s="13">
        <f t="shared" si="15"/>
        <v>132958.44999999998</v>
      </c>
    </row>
    <row r="44" spans="2:11">
      <c r="B44" s="7" t="str">
        <f>'Comb 12-mon P&amp;L'!B41</f>
        <v>63100 Fuel</v>
      </c>
      <c r="C44" s="13">
        <f>'Comb 12-mon P&amp;L'!O41</f>
        <v>336615.28</v>
      </c>
      <c r="D44" s="13">
        <f>'Bee 12-mon P&amp;L'!O41</f>
        <v>336615.28</v>
      </c>
      <c r="E44" s="13">
        <f t="shared" si="12"/>
        <v>0</v>
      </c>
      <c r="G44" s="13">
        <f t="shared" si="13"/>
        <v>0</v>
      </c>
      <c r="I44" s="13">
        <f t="shared" si="14"/>
        <v>0</v>
      </c>
      <c r="K44" s="13">
        <f t="shared" si="15"/>
        <v>0</v>
      </c>
    </row>
    <row r="45" spans="2:11">
      <c r="B45" s="7" t="str">
        <f>'Comb 12-mon P&amp;L'!B42</f>
        <v>63200 Tolls &amp; Fines</v>
      </c>
      <c r="C45" s="13">
        <f>'Comb 12-mon P&amp;L'!O42</f>
        <v>7981.7200000000012</v>
      </c>
      <c r="D45" s="13">
        <f>'Bee 12-mon P&amp;L'!O42</f>
        <v>7981.7200000000012</v>
      </c>
      <c r="E45" s="13">
        <f t="shared" si="12"/>
        <v>0</v>
      </c>
      <c r="G45" s="13">
        <f t="shared" si="13"/>
        <v>0</v>
      </c>
      <c r="I45" s="13">
        <f t="shared" si="14"/>
        <v>0</v>
      </c>
      <c r="K45" s="13">
        <f t="shared" si="15"/>
        <v>0</v>
      </c>
    </row>
    <row r="46" spans="2:11">
      <c r="B46" s="7" t="str">
        <f>'Comb 12-mon P&amp;L'!B43</f>
        <v>63210 Parking Fees</v>
      </c>
      <c r="C46" s="13">
        <f>'Comb 12-mon P&amp;L'!O43</f>
        <v>516.95000000000005</v>
      </c>
      <c r="D46" s="13">
        <f>'Bee 12-mon P&amp;L'!O43</f>
        <v>516.95000000000005</v>
      </c>
      <c r="E46" s="13">
        <f t="shared" si="12"/>
        <v>0</v>
      </c>
      <c r="G46" s="13">
        <f t="shared" si="13"/>
        <v>0</v>
      </c>
      <c r="I46" s="13">
        <f t="shared" si="14"/>
        <v>0</v>
      </c>
      <c r="K46" s="13">
        <f t="shared" si="15"/>
        <v>0</v>
      </c>
    </row>
    <row r="47" spans="2:11">
      <c r="B47" s="7" t="str">
        <f>'Comb 12-mon P&amp;L'!B44</f>
        <v>63300 Drivers Travel Costs</v>
      </c>
      <c r="C47" s="13">
        <f>'Comb 12-mon P&amp;L'!O44</f>
        <v>9174.2099999999991</v>
      </c>
      <c r="D47" s="13">
        <f>'Bee 12-mon P&amp;L'!O44</f>
        <v>9174.2099999999991</v>
      </c>
      <c r="E47" s="13">
        <f t="shared" si="12"/>
        <v>0</v>
      </c>
      <c r="G47" s="13">
        <f t="shared" si="13"/>
        <v>0</v>
      </c>
      <c r="I47" s="13">
        <f t="shared" si="14"/>
        <v>0</v>
      </c>
      <c r="K47" s="13">
        <f t="shared" si="15"/>
        <v>0</v>
      </c>
    </row>
    <row r="48" spans="2:11">
      <c r="B48" s="7" t="str">
        <f>'Comb 12-mon P&amp;L'!B45</f>
        <v>63400 Airport Fees</v>
      </c>
      <c r="C48" s="13">
        <f>'Comb 12-mon P&amp;L'!O45</f>
        <v>4171.5</v>
      </c>
      <c r="D48" s="13">
        <f>'Bee 12-mon P&amp;L'!O45</f>
        <v>4171.5</v>
      </c>
      <c r="E48" s="13">
        <f t="shared" si="12"/>
        <v>0</v>
      </c>
      <c r="G48" s="13">
        <f t="shared" si="13"/>
        <v>0</v>
      </c>
      <c r="I48" s="13">
        <f t="shared" si="14"/>
        <v>0</v>
      </c>
      <c r="K48" s="13">
        <f t="shared" si="15"/>
        <v>0</v>
      </c>
    </row>
    <row r="49" spans="2:11">
      <c r="B49" s="7" t="str">
        <f>'Comb 12-mon P&amp;L'!B46</f>
        <v>63500 Entrance Fees</v>
      </c>
      <c r="C49" s="13">
        <f>'Comb 12-mon P&amp;L'!O46</f>
        <v>1789.8000000000002</v>
      </c>
      <c r="D49" s="13">
        <f>'Bee 12-mon P&amp;L'!O46</f>
        <v>1789.8000000000002</v>
      </c>
      <c r="E49" s="13">
        <f t="shared" si="12"/>
        <v>0</v>
      </c>
      <c r="G49" s="13">
        <f t="shared" si="13"/>
        <v>0</v>
      </c>
      <c r="I49" s="13">
        <f t="shared" si="14"/>
        <v>0</v>
      </c>
      <c r="K49" s="13">
        <f t="shared" si="15"/>
        <v>0</v>
      </c>
    </row>
    <row r="50" spans="2:11">
      <c r="B50" s="7" t="str">
        <f>'Comb 12-mon P&amp;L'!B47</f>
        <v>63700 Towing</v>
      </c>
      <c r="C50" s="13">
        <f>'Comb 12-mon P&amp;L'!O47</f>
        <v>13197.77</v>
      </c>
      <c r="D50" s="13">
        <f>'Bee 12-mon P&amp;L'!O47</f>
        <v>13197.77</v>
      </c>
      <c r="E50" s="13">
        <f t="shared" si="12"/>
        <v>0</v>
      </c>
      <c r="G50" s="13">
        <f t="shared" si="13"/>
        <v>0</v>
      </c>
      <c r="I50" s="13">
        <f t="shared" si="14"/>
        <v>0</v>
      </c>
      <c r="K50" s="13">
        <f t="shared" si="15"/>
        <v>0</v>
      </c>
    </row>
    <row r="51" spans="2:11">
      <c r="B51" s="7" t="str">
        <f>'Comb 12-mon P&amp;L'!B48</f>
        <v>63998 Transportation expenses allocated to Seattle Express</v>
      </c>
      <c r="C51" s="13">
        <f>'Comb 12-mon P&amp;L'!O48</f>
        <v>0</v>
      </c>
      <c r="D51" s="13">
        <f>'Bee 12-mon P&amp;L'!O48</f>
        <v>-128053.29999999999</v>
      </c>
      <c r="E51" s="13">
        <f t="shared" si="12"/>
        <v>128053.29999999999</v>
      </c>
      <c r="G51" s="13">
        <f t="shared" si="13"/>
        <v>128053.29999999999</v>
      </c>
      <c r="I51" s="13">
        <f t="shared" si="14"/>
        <v>128053.29999999999</v>
      </c>
      <c r="K51" s="13">
        <f t="shared" si="15"/>
        <v>128053.29999999999</v>
      </c>
    </row>
    <row r="52" spans="2:11">
      <c r="B52" s="7" t="str">
        <f>'Comb 12-mon P&amp;L'!B49</f>
        <v>64005 Accrued Interest</v>
      </c>
      <c r="C52" s="13">
        <f>'Comb 12-mon P&amp;L'!O49</f>
        <v>14512.14</v>
      </c>
      <c r="D52" s="13">
        <f>'Bee 12-mon P&amp;L'!O49</f>
        <v>14512.14</v>
      </c>
      <c r="E52" s="13">
        <f t="shared" si="12"/>
        <v>0</v>
      </c>
      <c r="G52" s="13">
        <f t="shared" si="13"/>
        <v>0</v>
      </c>
      <c r="I52" s="13">
        <f t="shared" si="14"/>
        <v>0</v>
      </c>
      <c r="K52" s="13">
        <f t="shared" si="15"/>
        <v>0</v>
      </c>
    </row>
    <row r="53" spans="2:11">
      <c r="B53" s="7" t="str">
        <f>'Comb 12-mon P&amp;L'!B50</f>
        <v>64020 Advertising - All</v>
      </c>
      <c r="C53" s="13">
        <f>'Comb 12-mon P&amp;L'!O50</f>
        <v>1205.48</v>
      </c>
      <c r="D53" s="13">
        <f>'Bee 12-mon P&amp;L'!O50</f>
        <v>1205.48</v>
      </c>
      <c r="E53" s="13">
        <f t="shared" si="12"/>
        <v>0</v>
      </c>
      <c r="G53" s="13">
        <f t="shared" si="13"/>
        <v>0</v>
      </c>
      <c r="I53" s="13">
        <f t="shared" si="14"/>
        <v>0</v>
      </c>
      <c r="K53" s="13">
        <f t="shared" si="15"/>
        <v>0</v>
      </c>
    </row>
    <row r="54" spans="2:11">
      <c r="B54" s="7" t="str">
        <f>'Comb 12-mon P&amp;L'!B51</f>
        <v>64023 Billboard</v>
      </c>
      <c r="C54" s="13">
        <f>'Comb 12-mon P&amp;L'!O51</f>
        <v>14400</v>
      </c>
      <c r="D54" s="13">
        <f>'Bee 12-mon P&amp;L'!O51</f>
        <v>0</v>
      </c>
      <c r="E54" s="13">
        <f t="shared" si="12"/>
        <v>14400</v>
      </c>
      <c r="G54" s="13">
        <f t="shared" si="13"/>
        <v>14400</v>
      </c>
      <c r="I54" s="13">
        <f t="shared" si="14"/>
        <v>14400</v>
      </c>
      <c r="K54" s="13">
        <f t="shared" si="15"/>
        <v>14400</v>
      </c>
    </row>
    <row r="55" spans="2:11">
      <c r="B55" s="7" t="str">
        <f>'Comb 12-mon P&amp;L'!B52</f>
        <v>64025 Decals</v>
      </c>
      <c r="C55" s="13">
        <f>'Comb 12-mon P&amp;L'!O52</f>
        <v>343.76</v>
      </c>
      <c r="D55" s="13">
        <f>'Bee 12-mon P&amp;L'!O52</f>
        <v>343.76</v>
      </c>
      <c r="E55" s="13">
        <f t="shared" si="12"/>
        <v>0</v>
      </c>
      <c r="G55" s="13">
        <f t="shared" si="13"/>
        <v>0</v>
      </c>
      <c r="I55" s="13">
        <f t="shared" si="14"/>
        <v>0</v>
      </c>
      <c r="K55" s="13">
        <f t="shared" si="15"/>
        <v>0</v>
      </c>
    </row>
    <row r="56" spans="2:11">
      <c r="B56" s="7" t="str">
        <f>'Comb 12-mon P&amp;L'!B53</f>
        <v>64035 Trade Associations</v>
      </c>
      <c r="C56" s="13">
        <f>'Comb 12-mon P&amp;L'!O53</f>
        <v>2105.5</v>
      </c>
      <c r="D56" s="13">
        <f>'Bee 12-mon P&amp;L'!O53</f>
        <v>2105.5</v>
      </c>
      <c r="E56" s="13">
        <f t="shared" si="12"/>
        <v>0</v>
      </c>
      <c r="G56" s="13">
        <f t="shared" si="13"/>
        <v>0</v>
      </c>
      <c r="I56" s="13">
        <f t="shared" si="14"/>
        <v>0</v>
      </c>
      <c r="K56" s="13">
        <f t="shared" si="15"/>
        <v>0</v>
      </c>
    </row>
    <row r="57" spans="2:11">
      <c r="B57" s="7" t="str">
        <f>'Comb 12-mon P&amp;L'!B54</f>
        <v>64045 Website</v>
      </c>
      <c r="C57" s="13">
        <f>'Comb 12-mon P&amp;L'!O54</f>
        <v>3090.27</v>
      </c>
      <c r="D57" s="13">
        <f>'Bee 12-mon P&amp;L'!O54</f>
        <v>3090.27</v>
      </c>
      <c r="E57" s="13">
        <f t="shared" si="12"/>
        <v>0</v>
      </c>
      <c r="G57" s="13">
        <f t="shared" si="13"/>
        <v>0</v>
      </c>
      <c r="I57" s="13">
        <f t="shared" si="14"/>
        <v>0</v>
      </c>
      <c r="K57" s="13">
        <f t="shared" si="15"/>
        <v>0</v>
      </c>
    </row>
    <row r="58" spans="2:11">
      <c r="B58" s="7" t="str">
        <f>'Comb 12-mon P&amp;L'!B55</f>
        <v>64050 Online</v>
      </c>
      <c r="C58" s="13">
        <f>'Comb 12-mon P&amp;L'!O55</f>
        <v>30160.439999999995</v>
      </c>
      <c r="D58" s="13">
        <f>'Bee 12-mon P&amp;L'!O55</f>
        <v>30160.439999999995</v>
      </c>
      <c r="E58" s="13">
        <f t="shared" si="12"/>
        <v>0</v>
      </c>
      <c r="G58" s="13">
        <f t="shared" si="13"/>
        <v>0</v>
      </c>
      <c r="I58" s="13">
        <f t="shared" si="14"/>
        <v>0</v>
      </c>
      <c r="K58" s="13">
        <f t="shared" si="15"/>
        <v>0</v>
      </c>
    </row>
    <row r="59" spans="2:11">
      <c r="B59" s="7" t="str">
        <f>'Comb 12-mon P&amp;L'!B56</f>
        <v>64055 Consulting</v>
      </c>
      <c r="C59" s="13">
        <f>'Comb 12-mon P&amp;L'!O56</f>
        <v>0</v>
      </c>
      <c r="D59" s="13">
        <f>'Bee 12-mon P&amp;L'!O56</f>
        <v>0</v>
      </c>
      <c r="E59" s="13">
        <f t="shared" si="12"/>
        <v>0</v>
      </c>
      <c r="G59" s="13">
        <f t="shared" si="13"/>
        <v>0</v>
      </c>
      <c r="I59" s="13">
        <f t="shared" si="14"/>
        <v>0</v>
      </c>
      <c r="K59" s="13">
        <f t="shared" si="15"/>
        <v>0</v>
      </c>
    </row>
    <row r="60" spans="2:11">
      <c r="B60" s="7" t="str">
        <f>'Comb 12-mon P&amp;L'!B57</f>
        <v>64100 Bank Fees (returned checks etc)</v>
      </c>
      <c r="C60" s="13">
        <f>'Comb 12-mon P&amp;L'!O57</f>
        <v>335.94</v>
      </c>
      <c r="D60" s="13">
        <f>'Bee 12-mon P&amp;L'!O57</f>
        <v>306.89</v>
      </c>
      <c r="E60" s="13">
        <f t="shared" si="12"/>
        <v>29.050000000000011</v>
      </c>
      <c r="G60" s="13">
        <f t="shared" si="13"/>
        <v>29.050000000000011</v>
      </c>
      <c r="I60" s="13">
        <f t="shared" si="14"/>
        <v>29.050000000000011</v>
      </c>
      <c r="K60" s="13">
        <f t="shared" si="15"/>
        <v>29.050000000000011</v>
      </c>
    </row>
    <row r="61" spans="2:11">
      <c r="B61" s="7" t="str">
        <f>'Comb 12-mon P&amp;L'!B58</f>
        <v>64120 Business Licenses and Permits</v>
      </c>
      <c r="C61" s="13">
        <f>'Comb 12-mon P&amp;L'!O58</f>
        <v>16723.150000000001</v>
      </c>
      <c r="D61" s="13">
        <f>'Bee 12-mon P&amp;L'!O58</f>
        <v>16723.150000000001</v>
      </c>
      <c r="E61" s="13">
        <f t="shared" si="12"/>
        <v>0</v>
      </c>
      <c r="G61" s="13">
        <f t="shared" si="13"/>
        <v>0</v>
      </c>
      <c r="I61" s="13">
        <f t="shared" si="14"/>
        <v>0</v>
      </c>
      <c r="K61" s="13">
        <f t="shared" si="15"/>
        <v>0</v>
      </c>
    </row>
    <row r="62" spans="2:11">
      <c r="B62" s="7" t="str">
        <f>'Comb 12-mon P&amp;L'!B59</f>
        <v>64140 Charitable Donations</v>
      </c>
      <c r="C62" s="13">
        <f>'Comb 12-mon P&amp;L'!O59</f>
        <v>500</v>
      </c>
      <c r="D62" s="13">
        <f>'Bee 12-mon P&amp;L'!O59</f>
        <v>500</v>
      </c>
      <c r="E62" s="13">
        <f t="shared" si="12"/>
        <v>0</v>
      </c>
      <c r="G62" s="13">
        <f t="shared" si="13"/>
        <v>0</v>
      </c>
      <c r="I62" s="13">
        <f t="shared" si="14"/>
        <v>0</v>
      </c>
      <c r="K62" s="13">
        <f t="shared" si="15"/>
        <v>0</v>
      </c>
    </row>
    <row r="63" spans="2:11">
      <c r="B63" s="7" t="str">
        <f>'Comb 12-mon P&amp;L'!B60</f>
        <v>64205 Contractors</v>
      </c>
      <c r="C63" s="13">
        <f>'Comb 12-mon P&amp;L'!O60</f>
        <v>18250</v>
      </c>
      <c r="D63" s="13">
        <f>'Bee 12-mon P&amp;L'!O60</f>
        <v>0</v>
      </c>
      <c r="E63" s="13">
        <f t="shared" si="12"/>
        <v>18250</v>
      </c>
      <c r="G63" s="13">
        <f t="shared" si="13"/>
        <v>18250</v>
      </c>
      <c r="I63" s="13">
        <f t="shared" si="14"/>
        <v>18250</v>
      </c>
      <c r="K63" s="13">
        <f t="shared" si="15"/>
        <v>18250</v>
      </c>
    </row>
    <row r="64" spans="2:11">
      <c r="B64" s="7" t="str">
        <f>'Comb 12-mon P&amp;L'!B61</f>
        <v>64210 Credit Card Processing Fees</v>
      </c>
      <c r="C64" s="13">
        <f>'Comb 12-mon P&amp;L'!O61</f>
        <v>47679.38</v>
      </c>
      <c r="D64" s="13">
        <f>'Bee 12-mon P&amp;L'!O61</f>
        <v>47679.38</v>
      </c>
      <c r="E64" s="13">
        <f t="shared" si="12"/>
        <v>0</v>
      </c>
      <c r="G64" s="13">
        <f t="shared" si="13"/>
        <v>0</v>
      </c>
      <c r="I64" s="13">
        <f t="shared" si="14"/>
        <v>0</v>
      </c>
      <c r="K64" s="13">
        <f t="shared" si="15"/>
        <v>0</v>
      </c>
    </row>
    <row r="65" spans="2:11">
      <c r="B65" s="7" t="str">
        <f>'Comb 12-mon P&amp;L'!B62</f>
        <v>64230 Depreciation - Administrative</v>
      </c>
      <c r="C65" s="13">
        <f>'Comb 12-mon P&amp;L'!O62</f>
        <v>0</v>
      </c>
      <c r="D65" s="13">
        <f>'Bee 12-mon P&amp;L'!O62</f>
        <v>-363</v>
      </c>
      <c r="E65" s="13">
        <f t="shared" si="12"/>
        <v>363</v>
      </c>
      <c r="F65" s="13">
        <f>Adjustments!E8</f>
        <v>416.79999999999995</v>
      </c>
      <c r="G65" s="13">
        <f t="shared" si="13"/>
        <v>779.8</v>
      </c>
      <c r="I65" s="13">
        <f t="shared" si="14"/>
        <v>779.8</v>
      </c>
      <c r="K65" s="13">
        <f t="shared" si="15"/>
        <v>779.8</v>
      </c>
    </row>
    <row r="66" spans="2:11">
      <c r="B66" s="7" t="str">
        <f>'Comb 12-mon P&amp;L'!B63</f>
        <v>64240 Dues and Subscriptions</v>
      </c>
      <c r="C66" s="13">
        <f>'Comb 12-mon P&amp;L'!O63</f>
        <v>6920.34</v>
      </c>
      <c r="D66" s="13">
        <f>'Bee 12-mon P&amp;L'!O63</f>
        <v>6920.34</v>
      </c>
      <c r="E66" s="13">
        <f t="shared" si="12"/>
        <v>0</v>
      </c>
      <c r="G66" s="13">
        <f t="shared" si="13"/>
        <v>0</v>
      </c>
      <c r="I66" s="13">
        <f t="shared" si="14"/>
        <v>0</v>
      </c>
      <c r="K66" s="13">
        <f t="shared" si="15"/>
        <v>0</v>
      </c>
    </row>
    <row r="67" spans="2:11">
      <c r="B67" s="7" t="str">
        <f>'Comb 12-mon P&amp;L'!B64</f>
        <v>64250 Equipment Rental</v>
      </c>
      <c r="C67" s="13">
        <f>'Comb 12-mon P&amp;L'!O64</f>
        <v>7059.94</v>
      </c>
      <c r="D67" s="13">
        <f>'Bee 12-mon P&amp;L'!O64</f>
        <v>7059.94</v>
      </c>
      <c r="E67" s="13">
        <f t="shared" si="12"/>
        <v>0</v>
      </c>
      <c r="G67" s="13">
        <f t="shared" si="13"/>
        <v>0</v>
      </c>
      <c r="I67" s="13">
        <f t="shared" si="14"/>
        <v>0</v>
      </c>
      <c r="K67" s="13">
        <f t="shared" si="15"/>
        <v>0</v>
      </c>
    </row>
    <row r="68" spans="2:11">
      <c r="B68" s="7" t="str">
        <f>'Comb 12-mon P&amp;L'!B65</f>
        <v>64300 Internet</v>
      </c>
      <c r="C68" s="13">
        <f>'Comb 12-mon P&amp;L'!O65</f>
        <v>13539.060000000001</v>
      </c>
      <c r="D68" s="13">
        <f>'Bee 12-mon P&amp;L'!O65</f>
        <v>13539.060000000001</v>
      </c>
      <c r="E68" s="13">
        <f t="shared" si="12"/>
        <v>0</v>
      </c>
      <c r="G68" s="13">
        <f t="shared" si="13"/>
        <v>0</v>
      </c>
      <c r="I68" s="13">
        <f t="shared" si="14"/>
        <v>0</v>
      </c>
      <c r="K68" s="13">
        <f t="shared" si="15"/>
        <v>0</v>
      </c>
    </row>
    <row r="69" spans="2:11">
      <c r="B69" s="7" t="str">
        <f>'Comb 12-mon P&amp;L'!B66</f>
        <v>64310 Interest - Administrative</v>
      </c>
      <c r="C69" s="13">
        <f>'Comb 12-mon P&amp;L'!O66</f>
        <v>25231.68</v>
      </c>
      <c r="D69" s="13">
        <f>'Bee 12-mon P&amp;L'!O66</f>
        <v>25231.68</v>
      </c>
      <c r="E69" s="13">
        <f t="shared" si="12"/>
        <v>0</v>
      </c>
      <c r="G69" s="13">
        <f t="shared" si="13"/>
        <v>0</v>
      </c>
      <c r="I69" s="13">
        <f t="shared" si="14"/>
        <v>0</v>
      </c>
      <c r="K69" s="13">
        <f t="shared" si="15"/>
        <v>0</v>
      </c>
    </row>
    <row r="70" spans="2:11">
      <c r="B70" s="7" t="str">
        <f>'Comb 12-mon P&amp;L'!B67</f>
        <v>64313 Credit Card Interest</v>
      </c>
      <c r="C70" s="13">
        <f>'Comb 12-mon P&amp;L'!O67</f>
        <v>10226.35</v>
      </c>
      <c r="D70" s="13">
        <f>'Bee 12-mon P&amp;L'!O67</f>
        <v>10226.35</v>
      </c>
      <c r="E70" s="13">
        <f t="shared" si="12"/>
        <v>0</v>
      </c>
      <c r="G70" s="13">
        <f t="shared" si="13"/>
        <v>0</v>
      </c>
      <c r="I70" s="13">
        <f t="shared" si="14"/>
        <v>0</v>
      </c>
      <c r="K70" s="13">
        <f t="shared" si="15"/>
        <v>0</v>
      </c>
    </row>
    <row r="71" spans="2:11">
      <c r="B71" s="7" t="str">
        <f>'Comb 12-mon P&amp;L'!B68</f>
        <v>64380 Meals - Business</v>
      </c>
      <c r="C71" s="13">
        <f>'Comb 12-mon P&amp;L'!O68</f>
        <v>1623.3600000000001</v>
      </c>
      <c r="D71" s="13">
        <f>'Bee 12-mon P&amp;L'!O68</f>
        <v>1623.3600000000001</v>
      </c>
      <c r="E71" s="13">
        <f t="shared" si="12"/>
        <v>0</v>
      </c>
      <c r="G71" s="13">
        <f t="shared" si="13"/>
        <v>0</v>
      </c>
      <c r="I71" s="13">
        <f t="shared" si="14"/>
        <v>0</v>
      </c>
      <c r="K71" s="13">
        <f t="shared" si="15"/>
        <v>0</v>
      </c>
    </row>
    <row r="72" spans="2:11">
      <c r="B72" s="7" t="str">
        <f>'Comb 12-mon P&amp;L'!B69</f>
        <v>64410 Office Supplies</v>
      </c>
      <c r="C72" s="13">
        <f>'Comb 12-mon P&amp;L'!O69</f>
        <v>16936.079999999998</v>
      </c>
      <c r="D72" s="13">
        <f>'Bee 12-mon P&amp;L'!O69</f>
        <v>16936.079999999998</v>
      </c>
      <c r="E72" s="13">
        <f t="shared" si="12"/>
        <v>0</v>
      </c>
      <c r="G72" s="13">
        <f t="shared" si="13"/>
        <v>0</v>
      </c>
      <c r="I72" s="13">
        <f t="shared" si="14"/>
        <v>0</v>
      </c>
      <c r="K72" s="13">
        <f t="shared" si="15"/>
        <v>0</v>
      </c>
    </row>
    <row r="73" spans="2:11">
      <c r="B73" s="7" t="str">
        <f>'Comb 12-mon P&amp;L'!B70</f>
        <v>64420 Merchant Fees</v>
      </c>
      <c r="C73" s="13">
        <f>'Comb 12-mon P&amp;L'!O70</f>
        <v>22984.01</v>
      </c>
      <c r="D73" s="13">
        <f>'Bee 12-mon P&amp;L'!O70</f>
        <v>0</v>
      </c>
      <c r="E73" s="13">
        <f t="shared" si="12"/>
        <v>22984.01</v>
      </c>
      <c r="G73" s="13">
        <f t="shared" si="13"/>
        <v>22984.01</v>
      </c>
      <c r="I73" s="13">
        <f t="shared" si="14"/>
        <v>22984.01</v>
      </c>
      <c r="K73" s="13">
        <f t="shared" si="15"/>
        <v>22984.01</v>
      </c>
    </row>
    <row r="74" spans="2:11">
      <c r="B74" s="7" t="str">
        <f>'Comb 12-mon P&amp;L'!B71</f>
        <v>64500 Postage and Delivery</v>
      </c>
      <c r="C74" s="13">
        <f>'Comb 12-mon P&amp;L'!O71</f>
        <v>27.22</v>
      </c>
      <c r="D74" s="13">
        <f>'Bee 12-mon P&amp;L'!O71</f>
        <v>27.22</v>
      </c>
      <c r="E74" s="13">
        <f t="shared" si="12"/>
        <v>0</v>
      </c>
      <c r="G74" s="13">
        <f t="shared" si="13"/>
        <v>0</v>
      </c>
      <c r="I74" s="13">
        <f t="shared" si="14"/>
        <v>0</v>
      </c>
      <c r="K74" s="13">
        <f t="shared" si="15"/>
        <v>0</v>
      </c>
    </row>
    <row r="75" spans="2:11">
      <c r="B75" s="7" t="str">
        <f>'Comb 12-mon P&amp;L'!B72</f>
        <v>64540 Professional Fees - All</v>
      </c>
      <c r="C75" s="13">
        <f>'Comb 12-mon P&amp;L'!O72</f>
        <v>0</v>
      </c>
      <c r="D75" s="13">
        <f>'Bee 12-mon P&amp;L'!O72</f>
        <v>0</v>
      </c>
      <c r="E75" s="13">
        <f t="shared" si="12"/>
        <v>0</v>
      </c>
      <c r="G75" s="13">
        <f t="shared" si="13"/>
        <v>0</v>
      </c>
      <c r="I75" s="13">
        <f t="shared" si="14"/>
        <v>0</v>
      </c>
      <c r="K75" s="13">
        <f t="shared" si="15"/>
        <v>0</v>
      </c>
    </row>
    <row r="76" spans="2:11">
      <c r="B76" s="7" t="str">
        <f>'Comb 12-mon P&amp;L'!B73</f>
        <v>64541 Payroll Processing Fee</v>
      </c>
      <c r="C76" s="13">
        <f>'Comb 12-mon P&amp;L'!O73</f>
        <v>7589.6399999999985</v>
      </c>
      <c r="D76" s="13">
        <f>'Bee 12-mon P&amp;L'!O73</f>
        <v>7589.6399999999985</v>
      </c>
      <c r="E76" s="13">
        <f t="shared" si="12"/>
        <v>0</v>
      </c>
      <c r="G76" s="13">
        <f t="shared" si="13"/>
        <v>0</v>
      </c>
      <c r="I76" s="13">
        <f t="shared" si="14"/>
        <v>0</v>
      </c>
      <c r="K76" s="13">
        <f t="shared" si="15"/>
        <v>0</v>
      </c>
    </row>
    <row r="77" spans="2:11">
      <c r="B77" s="7" t="str">
        <f>'Comb 12-mon P&amp;L'!B74</f>
        <v>64542 Accounting</v>
      </c>
      <c r="C77" s="13">
        <f>'Comb 12-mon P&amp;L'!O74</f>
        <v>38672</v>
      </c>
      <c r="D77" s="13">
        <f>'Bee 12-mon P&amp;L'!O74</f>
        <v>38672</v>
      </c>
      <c r="E77" s="13">
        <f t="shared" si="12"/>
        <v>0</v>
      </c>
      <c r="G77" s="13">
        <f t="shared" si="13"/>
        <v>0</v>
      </c>
      <c r="I77" s="13">
        <f t="shared" si="14"/>
        <v>0</v>
      </c>
      <c r="K77" s="13">
        <f t="shared" si="15"/>
        <v>0</v>
      </c>
    </row>
    <row r="78" spans="2:11">
      <c r="B78" s="7" t="str">
        <f>'Comb 12-mon P&amp;L'!B75</f>
        <v>64543 Consulting &amp; Legal Services</v>
      </c>
      <c r="C78" s="13">
        <f>'Comb 12-mon P&amp;L'!O75</f>
        <v>21347.25</v>
      </c>
      <c r="D78" s="13">
        <f>'Bee 12-mon P&amp;L'!O75</f>
        <v>21347.25</v>
      </c>
      <c r="E78" s="13">
        <f t="shared" si="12"/>
        <v>0</v>
      </c>
      <c r="G78" s="13">
        <f t="shared" si="13"/>
        <v>0</v>
      </c>
      <c r="I78" s="13">
        <f t="shared" si="14"/>
        <v>0</v>
      </c>
      <c r="K78" s="13">
        <f t="shared" si="15"/>
        <v>0</v>
      </c>
    </row>
    <row r="79" spans="2:11">
      <c r="B79" s="7" t="str">
        <f>'Comb 12-mon P&amp;L'!B76</f>
        <v>64544 Hardware Tech</v>
      </c>
      <c r="C79" s="13">
        <f>'Comb 12-mon P&amp;L'!O76</f>
        <v>165.38</v>
      </c>
      <c r="D79" s="13">
        <f>'Bee 12-mon P&amp;L'!O76</f>
        <v>165.38</v>
      </c>
      <c r="E79" s="13">
        <f t="shared" si="12"/>
        <v>0</v>
      </c>
      <c r="G79" s="13">
        <f t="shared" si="13"/>
        <v>0</v>
      </c>
      <c r="I79" s="13">
        <f t="shared" si="14"/>
        <v>0</v>
      </c>
      <c r="K79" s="13">
        <f t="shared" si="15"/>
        <v>0</v>
      </c>
    </row>
    <row r="80" spans="2:11">
      <c r="B80" s="7" t="str">
        <f>'Comb 12-mon P&amp;L'!B77</f>
        <v>64580 Software Subscriptions</v>
      </c>
      <c r="C80" s="13">
        <f>'Comb 12-mon P&amp;L'!O77</f>
        <v>45298.5</v>
      </c>
      <c r="D80" s="13">
        <f>'Bee 12-mon P&amp;L'!O77</f>
        <v>45298.5</v>
      </c>
      <c r="E80" s="13">
        <f t="shared" si="12"/>
        <v>0</v>
      </c>
      <c r="G80" s="13">
        <f t="shared" si="13"/>
        <v>0</v>
      </c>
      <c r="I80" s="13">
        <f t="shared" si="14"/>
        <v>0</v>
      </c>
      <c r="K80" s="13">
        <f t="shared" si="15"/>
        <v>0</v>
      </c>
    </row>
    <row r="81" spans="2:11">
      <c r="B81" s="7" t="str">
        <f>'Comb 12-mon P&amp;L'!B78</f>
        <v>64605 WA State Public Utils Tax</v>
      </c>
      <c r="C81" s="13">
        <f>'Comb 12-mon P&amp;L'!O78</f>
        <v>5131.4400000000005</v>
      </c>
      <c r="D81" s="13">
        <f>'Bee 12-mon P&amp;L'!O78</f>
        <v>5131.4400000000005</v>
      </c>
      <c r="E81" s="13">
        <f t="shared" si="12"/>
        <v>0</v>
      </c>
      <c r="G81" s="13">
        <f t="shared" si="13"/>
        <v>0</v>
      </c>
      <c r="I81" s="13">
        <f t="shared" si="14"/>
        <v>0</v>
      </c>
      <c r="K81" s="13">
        <f t="shared" si="15"/>
        <v>0</v>
      </c>
    </row>
    <row r="82" spans="2:11">
      <c r="B82" s="7" t="str">
        <f>'Comb 12-mon P&amp;L'!B79</f>
        <v>64620 Telephone</v>
      </c>
      <c r="C82" s="13">
        <f>'Comb 12-mon P&amp;L'!O79</f>
        <v>13431.630000000003</v>
      </c>
      <c r="D82" s="13">
        <f>'Bee 12-mon P&amp;L'!O79</f>
        <v>13431.630000000003</v>
      </c>
      <c r="E82" s="13">
        <f t="shared" si="12"/>
        <v>0</v>
      </c>
      <c r="G82" s="13">
        <f t="shared" si="13"/>
        <v>0</v>
      </c>
      <c r="I82" s="13">
        <f t="shared" si="14"/>
        <v>0</v>
      </c>
      <c r="K82" s="13">
        <f t="shared" si="15"/>
        <v>0</v>
      </c>
    </row>
    <row r="83" spans="2:11">
      <c r="B83" s="7" t="str">
        <f>'Comb 12-mon P&amp;L'!B80</f>
        <v>64630 Travel - Admin</v>
      </c>
      <c r="C83" s="13">
        <f>'Comb 12-mon P&amp;L'!O80</f>
        <v>741.66</v>
      </c>
      <c r="D83" s="13">
        <f>'Bee 12-mon P&amp;L'!O80</f>
        <v>741.66</v>
      </c>
      <c r="E83" s="13">
        <f t="shared" si="12"/>
        <v>0</v>
      </c>
      <c r="G83" s="13">
        <f t="shared" si="13"/>
        <v>0</v>
      </c>
      <c r="I83" s="13">
        <f t="shared" si="14"/>
        <v>0</v>
      </c>
      <c r="K83" s="13">
        <f t="shared" si="15"/>
        <v>0</v>
      </c>
    </row>
    <row r="84" spans="2:11">
      <c r="B84" s="7" t="str">
        <f>'Comb 12-mon P&amp;L'!B81</f>
        <v>64631 Travel</v>
      </c>
      <c r="C84" s="13">
        <f>'Comb 12-mon P&amp;L'!O81</f>
        <v>1084.1300000000001</v>
      </c>
      <c r="D84" s="13">
        <f>'Bee 12-mon P&amp;L'!O81</f>
        <v>1084.1300000000001</v>
      </c>
      <c r="E84" s="13">
        <f t="shared" si="12"/>
        <v>0</v>
      </c>
      <c r="G84" s="13">
        <f t="shared" si="13"/>
        <v>0</v>
      </c>
      <c r="I84" s="13">
        <f t="shared" si="14"/>
        <v>0</v>
      </c>
      <c r="K84" s="13">
        <f t="shared" si="15"/>
        <v>0</v>
      </c>
    </row>
    <row r="85" spans="2:11">
      <c r="B85" s="7" t="str">
        <f>'Comb 12-mon P&amp;L'!B82</f>
        <v>64632 Hotel</v>
      </c>
      <c r="C85" s="13">
        <f>'Comb 12-mon P&amp;L'!O82</f>
        <v>6521.96</v>
      </c>
      <c r="D85" s="13">
        <f>'Bee 12-mon P&amp;L'!O82</f>
        <v>6521.96</v>
      </c>
      <c r="E85" s="13">
        <f t="shared" si="12"/>
        <v>0</v>
      </c>
      <c r="G85" s="13">
        <f t="shared" si="13"/>
        <v>0</v>
      </c>
      <c r="I85" s="13">
        <f t="shared" si="14"/>
        <v>0</v>
      </c>
      <c r="K85" s="13">
        <f t="shared" si="15"/>
        <v>0</v>
      </c>
    </row>
    <row r="86" spans="2:11">
      <c r="B86" s="7" t="str">
        <f>'Comb 12-mon P&amp;L'!B83</f>
        <v>64999 Office general &amp; admin exp allocated to Seattle Express</v>
      </c>
      <c r="C86" s="13">
        <f>'Comb 12-mon P&amp;L'!O83</f>
        <v>0</v>
      </c>
      <c r="D86" s="13">
        <f>'Bee 12-mon P&amp;L'!O83</f>
        <v>-110329</v>
      </c>
      <c r="E86" s="13">
        <f t="shared" si="12"/>
        <v>110329</v>
      </c>
      <c r="G86" s="13">
        <f t="shared" si="13"/>
        <v>110329</v>
      </c>
      <c r="I86" s="13">
        <f t="shared" si="14"/>
        <v>110329</v>
      </c>
      <c r="K86" s="13">
        <f t="shared" si="15"/>
        <v>110329</v>
      </c>
    </row>
    <row r="87" spans="2:11">
      <c r="B87" s="7" t="str">
        <f>'Comb 12-mon P&amp;L'!B84</f>
        <v>65100 Rent Expense</v>
      </c>
      <c r="C87" s="13">
        <f>'Comb 12-mon P&amp;L'!O84</f>
        <v>99338.36</v>
      </c>
      <c r="D87" s="13">
        <f>'Bee 12-mon P&amp;L'!O84</f>
        <v>99338.36</v>
      </c>
      <c r="E87" s="13">
        <f t="shared" si="12"/>
        <v>0</v>
      </c>
      <c r="G87" s="13">
        <f t="shared" si="13"/>
        <v>0</v>
      </c>
      <c r="I87" s="13">
        <f t="shared" si="14"/>
        <v>0</v>
      </c>
      <c r="K87" s="13">
        <f t="shared" si="15"/>
        <v>0</v>
      </c>
    </row>
    <row r="88" spans="2:11">
      <c r="B88" s="7" t="str">
        <f>'Comb 12-mon P&amp;L'!B85</f>
        <v>65200 Utilities</v>
      </c>
      <c r="C88" s="13">
        <f>'Comb 12-mon P&amp;L'!O85</f>
        <v>23490.699999999997</v>
      </c>
      <c r="D88" s="13">
        <f>'Bee 12-mon P&amp;L'!O85</f>
        <v>23490.699999999997</v>
      </c>
      <c r="E88" s="13">
        <f t="shared" si="12"/>
        <v>0</v>
      </c>
      <c r="G88" s="13">
        <f t="shared" si="13"/>
        <v>0</v>
      </c>
      <c r="I88" s="13">
        <f t="shared" si="14"/>
        <v>0</v>
      </c>
      <c r="K88" s="13">
        <f t="shared" si="15"/>
        <v>0</v>
      </c>
    </row>
    <row r="89" spans="2:11">
      <c r="B89" s="7" t="str">
        <f>'Comb 12-mon P&amp;L'!B86</f>
        <v>65400 Repairs (Building)</v>
      </c>
      <c r="C89" s="13">
        <f>'Comb 12-mon P&amp;L'!O86</f>
        <v>10790.65</v>
      </c>
      <c r="D89" s="13">
        <f>'Bee 12-mon P&amp;L'!O86</f>
        <v>10790.65</v>
      </c>
      <c r="E89" s="13">
        <f t="shared" ref="E89:E99" si="16">C89-D89</f>
        <v>0</v>
      </c>
      <c r="G89" s="13">
        <f t="shared" ref="G89:G99" si="17">SUM(E89:F89)</f>
        <v>0</v>
      </c>
      <c r="I89" s="13">
        <f t="shared" ref="I89:I99" si="18">SUM(G89:H89)</f>
        <v>0</v>
      </c>
      <c r="K89" s="13">
        <f t="shared" ref="K89:K99" si="19">SUM(I89:J89)</f>
        <v>0</v>
      </c>
    </row>
    <row r="90" spans="2:11">
      <c r="B90" s="7" t="str">
        <f>'Comb 12-mon P&amp;L'!B87</f>
        <v>65600 Depreciation - Facilities</v>
      </c>
      <c r="C90" s="13">
        <f>'Comb 12-mon P&amp;L'!O87</f>
        <v>1336.6799999999998</v>
      </c>
      <c r="D90" s="13">
        <f>'Bee 12-mon P&amp;L'!O87</f>
        <v>1336.6799999999998</v>
      </c>
      <c r="E90" s="13">
        <f t="shared" si="16"/>
        <v>0</v>
      </c>
      <c r="G90" s="13">
        <f t="shared" si="17"/>
        <v>0</v>
      </c>
      <c r="I90" s="13">
        <f t="shared" si="18"/>
        <v>0</v>
      </c>
      <c r="K90" s="13">
        <f t="shared" si="19"/>
        <v>0</v>
      </c>
    </row>
    <row r="91" spans="2:11">
      <c r="B91" s="7" t="str">
        <f>'Comb 12-mon P&amp;L'!B88</f>
        <v>65999 Fixed Facilities Expense - allocated (Seattle Express)</v>
      </c>
      <c r="C91" s="13">
        <f>'Comb 12-mon P&amp;L'!O88</f>
        <v>0</v>
      </c>
      <c r="D91" s="13">
        <f>'Bee 12-mon P&amp;L'!O88</f>
        <v>-44088</v>
      </c>
      <c r="E91" s="13">
        <f t="shared" si="16"/>
        <v>44088</v>
      </c>
      <c r="G91" s="13">
        <f t="shared" si="17"/>
        <v>44088</v>
      </c>
      <c r="I91" s="13">
        <f t="shared" si="18"/>
        <v>44088</v>
      </c>
      <c r="K91" s="13">
        <f t="shared" si="19"/>
        <v>44088</v>
      </c>
    </row>
    <row r="92" spans="2:11">
      <c r="B92" s="7" t="str">
        <f>'Comb 12-mon P&amp;L'!B89</f>
        <v>66100 Bus Lease expense - Delby</v>
      </c>
      <c r="C92" s="13">
        <f>'Comb 12-mon P&amp;L'!O89</f>
        <v>149800</v>
      </c>
      <c r="D92" s="13">
        <f>'Bee 12-mon P&amp;L'!O89</f>
        <v>0</v>
      </c>
      <c r="E92" s="13">
        <f t="shared" si="16"/>
        <v>149800</v>
      </c>
      <c r="G92" s="13">
        <f t="shared" si="17"/>
        <v>149800</v>
      </c>
      <c r="I92" s="13">
        <f t="shared" si="18"/>
        <v>149800</v>
      </c>
      <c r="K92" s="13">
        <f t="shared" si="19"/>
        <v>149800</v>
      </c>
    </row>
    <row r="93" spans="2:11">
      <c r="B93" s="7" t="str">
        <f>'Comb 12-mon P&amp;L'!B90</f>
        <v>66200 Interest Paid</v>
      </c>
      <c r="C93" s="13">
        <f>'Comb 12-mon P&amp;L'!O90</f>
        <v>72188.78</v>
      </c>
      <c r="D93" s="13">
        <f>'Bee 12-mon P&amp;L'!O90</f>
        <v>72188.78</v>
      </c>
      <c r="E93" s="13">
        <f t="shared" si="16"/>
        <v>0</v>
      </c>
      <c r="G93" s="13">
        <f t="shared" si="17"/>
        <v>0</v>
      </c>
      <c r="I93" s="13">
        <f t="shared" si="18"/>
        <v>0</v>
      </c>
      <c r="K93" s="13">
        <f t="shared" si="19"/>
        <v>0</v>
      </c>
    </row>
    <row r="94" spans="2:11">
      <c r="B94" s="7" t="str">
        <f>'Comb 12-mon P&amp;L'!B91</f>
        <v>66300 Insurance</v>
      </c>
      <c r="C94" s="13">
        <f>'Comb 12-mon P&amp;L'!O91</f>
        <v>329142.66000000003</v>
      </c>
      <c r="D94" s="13">
        <f>'Bee 12-mon P&amp;L'!O91</f>
        <v>329142.66000000003</v>
      </c>
      <c r="E94" s="13">
        <f t="shared" si="16"/>
        <v>0</v>
      </c>
      <c r="G94" s="13">
        <f t="shared" si="17"/>
        <v>0</v>
      </c>
      <c r="I94" s="13">
        <f t="shared" si="18"/>
        <v>0</v>
      </c>
      <c r="K94" s="13">
        <f t="shared" si="19"/>
        <v>0</v>
      </c>
    </row>
    <row r="95" spans="2:11">
      <c r="B95" s="7" t="str">
        <f>'Comb 12-mon P&amp;L'!B92</f>
        <v>66350 Insurance allocated to Seattle Express</v>
      </c>
      <c r="C95" s="13">
        <f>'Comb 12-mon P&amp;L'!O92</f>
        <v>0</v>
      </c>
      <c r="D95" s="13">
        <f>'Bee 12-mon P&amp;L'!O92</f>
        <v>-82877.560000000012</v>
      </c>
      <c r="E95" s="13">
        <f t="shared" si="16"/>
        <v>82877.560000000012</v>
      </c>
      <c r="G95" s="13">
        <f t="shared" si="17"/>
        <v>82877.560000000012</v>
      </c>
      <c r="I95" s="13">
        <f t="shared" si="18"/>
        <v>82877.560000000012</v>
      </c>
      <c r="K95" s="13">
        <f t="shared" si="19"/>
        <v>82877.560000000012</v>
      </c>
    </row>
    <row r="96" spans="2:11">
      <c r="B96" s="7" t="str">
        <f>'Comb 12-mon P&amp;L'!B93</f>
        <v>66400 Depreciation - Revenue Vehicles</v>
      </c>
      <c r="C96" s="13">
        <f>'Comb 12-mon P&amp;L'!O93</f>
        <v>118251.60000000002</v>
      </c>
      <c r="D96" s="13">
        <f>'Bee 12-mon P&amp;L'!O93</f>
        <v>118251.60000000002</v>
      </c>
      <c r="E96" s="13">
        <f t="shared" si="16"/>
        <v>0</v>
      </c>
      <c r="G96" s="13">
        <f t="shared" si="17"/>
        <v>0</v>
      </c>
      <c r="I96" s="13">
        <f t="shared" si="18"/>
        <v>0</v>
      </c>
      <c r="K96" s="13">
        <f t="shared" si="19"/>
        <v>0</v>
      </c>
    </row>
    <row r="97" spans="2:14">
      <c r="B97" s="7" t="str">
        <f>'Comb 12-mon P&amp;L'!B94</f>
        <v>66410 Amortization Expense</v>
      </c>
      <c r="C97" s="13">
        <f>'Comb 12-mon P&amp;L'!O94</f>
        <v>34500</v>
      </c>
      <c r="D97" s="13">
        <f>'Bee 12-mon P&amp;L'!O94</f>
        <v>34500</v>
      </c>
      <c r="E97" s="13">
        <f t="shared" si="16"/>
        <v>0</v>
      </c>
      <c r="G97" s="13">
        <f t="shared" si="17"/>
        <v>0</v>
      </c>
      <c r="I97" s="13">
        <f t="shared" si="18"/>
        <v>0</v>
      </c>
      <c r="K97" s="13">
        <f t="shared" si="19"/>
        <v>0</v>
      </c>
    </row>
    <row r="98" spans="2:14">
      <c r="B98" s="7" t="str">
        <f>'Comb 12-mon P&amp;L'!B95</f>
        <v>Unapplied Cash Bill Payment Expense</v>
      </c>
      <c r="C98" s="13">
        <f>'Comb 12-mon P&amp;L'!O95</f>
        <v>0</v>
      </c>
      <c r="D98" s="13">
        <f>'Bee 12-mon P&amp;L'!O95</f>
        <v>0</v>
      </c>
      <c r="E98" s="13">
        <f t="shared" ref="E98" si="20">C98-D98</f>
        <v>0</v>
      </c>
      <c r="G98" s="13">
        <f t="shared" ref="G98" si="21">SUM(E98:F98)</f>
        <v>0</v>
      </c>
      <c r="I98" s="13">
        <f t="shared" ref="I98" si="22">SUM(G98:H98)</f>
        <v>0</v>
      </c>
      <c r="K98" s="13">
        <f t="shared" ref="K98" si="23">SUM(I98:J98)</f>
        <v>0</v>
      </c>
    </row>
    <row r="99" spans="2:14">
      <c r="B99" s="7" t="s">
        <v>202</v>
      </c>
      <c r="E99" s="13">
        <f t="shared" si="16"/>
        <v>0</v>
      </c>
      <c r="G99" s="13">
        <f t="shared" si="17"/>
        <v>0</v>
      </c>
      <c r="H99" s="13">
        <f>Adjustments!E16</f>
        <v>10751</v>
      </c>
      <c r="I99" s="13">
        <f t="shared" si="18"/>
        <v>10751</v>
      </c>
      <c r="K99" s="13">
        <f t="shared" si="19"/>
        <v>10751</v>
      </c>
    </row>
    <row r="100" spans="2:14">
      <c r="B100" s="36" t="s">
        <v>79</v>
      </c>
      <c r="C100" s="23">
        <f>SUM(C24:C99)</f>
        <v>3992000.68</v>
      </c>
      <c r="D100" s="23">
        <f t="shared" ref="D100:K100" si="24">SUM(D24:D99)</f>
        <v>2394661.6199999992</v>
      </c>
      <c r="E100" s="23">
        <f t="shared" si="24"/>
        <v>1597339.06</v>
      </c>
      <c r="F100" s="23">
        <f t="shared" si="24"/>
        <v>416.79999999999995</v>
      </c>
      <c r="G100" s="23">
        <f t="shared" si="24"/>
        <v>1597755.86</v>
      </c>
      <c r="H100" s="23">
        <f t="shared" si="24"/>
        <v>30161.930091585054</v>
      </c>
      <c r="I100" s="23">
        <f t="shared" si="24"/>
        <v>1627917.7900915851</v>
      </c>
      <c r="J100" s="23">
        <f t="shared" si="24"/>
        <v>0</v>
      </c>
      <c r="K100" s="23">
        <f t="shared" si="24"/>
        <v>1627917.7900915851</v>
      </c>
      <c r="M100" s="84"/>
    </row>
    <row r="101" spans="2:14">
      <c r="B101" s="36" t="s">
        <v>80</v>
      </c>
      <c r="C101" s="39">
        <f>C23-C100</f>
        <v>-349199.85000000009</v>
      </c>
      <c r="D101" s="39">
        <f t="shared" ref="D101:K101" si="25">D23-D100</f>
        <v>34107.650000001304</v>
      </c>
      <c r="E101" s="39">
        <f t="shared" si="25"/>
        <v>-383307.50000000023</v>
      </c>
      <c r="F101" s="39">
        <f t="shared" si="25"/>
        <v>-11017.119999999999</v>
      </c>
      <c r="G101" s="39">
        <f t="shared" si="25"/>
        <v>-394324.62000000034</v>
      </c>
      <c r="H101" s="39">
        <f t="shared" si="25"/>
        <v>-30161.930091585054</v>
      </c>
      <c r="I101" s="39">
        <f t="shared" si="25"/>
        <v>-424486.55009158538</v>
      </c>
      <c r="J101" s="39">
        <f t="shared" si="25"/>
        <v>546479.99665761855</v>
      </c>
      <c r="K101" s="39">
        <f t="shared" si="25"/>
        <v>121993.44656603318</v>
      </c>
      <c r="M101" s="84"/>
    </row>
    <row r="102" spans="2:14">
      <c r="B102" s="28" t="s">
        <v>81</v>
      </c>
      <c r="C102" s="15"/>
      <c r="D102" s="30"/>
      <c r="E102" s="30"/>
      <c r="F102" s="30"/>
      <c r="G102" s="30"/>
      <c r="H102" s="30"/>
      <c r="I102" s="30"/>
      <c r="J102" s="30"/>
      <c r="K102" s="30"/>
      <c r="M102" s="84"/>
      <c r="N102" s="97"/>
    </row>
    <row r="103" spans="2:14">
      <c r="B103" s="7" t="str">
        <f>'Comb 12-mon P&amp;L'!B99</f>
        <v>70100 Other Income</v>
      </c>
      <c r="C103" s="13">
        <f>'Comb 12-mon P&amp;L'!O99</f>
        <v>15901.109999999999</v>
      </c>
      <c r="D103" s="13">
        <f>'Bee 12-mon P&amp;L'!O99</f>
        <v>15901.109999999999</v>
      </c>
      <c r="E103" s="13">
        <f t="shared" ref="E103:E104" si="26">C103-D103</f>
        <v>0</v>
      </c>
      <c r="G103" s="13">
        <f t="shared" ref="G103:G104" si="27">SUM(E103:F103)</f>
        <v>0</v>
      </c>
      <c r="I103" s="13">
        <f t="shared" ref="I103:I104" si="28">SUM(G103:H103)</f>
        <v>0</v>
      </c>
      <c r="K103" s="13">
        <f t="shared" ref="K103:K104" si="29">SUM(I103:J103)</f>
        <v>0</v>
      </c>
    </row>
    <row r="104" spans="2:14">
      <c r="B104" s="7" t="str">
        <f>'Comb 12-mon P&amp;L'!B100</f>
        <v>70300 Interest Income</v>
      </c>
      <c r="C104" s="13">
        <f>'Comb 12-mon P&amp;L'!O100</f>
        <v>13.689999999999996</v>
      </c>
      <c r="D104" s="13">
        <f>'Bee 12-mon P&amp;L'!O100</f>
        <v>13.689999999999996</v>
      </c>
      <c r="E104" s="13">
        <f t="shared" si="26"/>
        <v>0</v>
      </c>
      <c r="G104" s="13">
        <f t="shared" si="27"/>
        <v>0</v>
      </c>
      <c r="I104" s="13">
        <f t="shared" si="28"/>
        <v>0</v>
      </c>
      <c r="K104" s="13">
        <f t="shared" si="29"/>
        <v>0</v>
      </c>
    </row>
    <row r="105" spans="2:14">
      <c r="B105" s="36" t="s">
        <v>84</v>
      </c>
      <c r="C105" s="23">
        <f>SUM(C103:C104)</f>
        <v>15914.8</v>
      </c>
      <c r="D105" s="23">
        <f t="shared" ref="D105:K105" si="30">SUM(D103:D104)</f>
        <v>15914.8</v>
      </c>
      <c r="E105" s="23">
        <f t="shared" si="30"/>
        <v>0</v>
      </c>
      <c r="F105" s="23">
        <f t="shared" si="30"/>
        <v>0</v>
      </c>
      <c r="G105" s="23">
        <f t="shared" si="30"/>
        <v>0</v>
      </c>
      <c r="H105" s="23">
        <f t="shared" si="30"/>
        <v>0</v>
      </c>
      <c r="I105" s="23">
        <f t="shared" si="30"/>
        <v>0</v>
      </c>
      <c r="J105" s="23">
        <f t="shared" si="30"/>
        <v>0</v>
      </c>
      <c r="K105" s="23">
        <f t="shared" si="30"/>
        <v>0</v>
      </c>
    </row>
    <row r="106" spans="2:14">
      <c r="B106" s="28" t="s">
        <v>85</v>
      </c>
      <c r="C106" s="15"/>
      <c r="D106" s="30"/>
      <c r="E106" s="30"/>
      <c r="F106" s="30"/>
      <c r="G106" s="30"/>
      <c r="H106" s="30"/>
      <c r="I106" s="30"/>
      <c r="J106" s="30"/>
      <c r="K106" s="30"/>
    </row>
    <row r="107" spans="2:14">
      <c r="B107" s="7" t="str">
        <f>'Comb 12-mon P&amp;L'!B103</f>
        <v>80100 Other Expenses</v>
      </c>
      <c r="C107" s="13">
        <f>'Comb 12-mon P&amp;L'!O103</f>
        <v>20101.03</v>
      </c>
      <c r="D107" s="13">
        <f>'Bee 12-mon P&amp;L'!O103</f>
        <v>20101.03</v>
      </c>
      <c r="E107" s="13">
        <f t="shared" ref="E107:E108" si="31">C107-D107</f>
        <v>0</v>
      </c>
      <c r="G107" s="13">
        <f t="shared" ref="G107:G108" si="32">SUM(E107:F107)</f>
        <v>0</v>
      </c>
      <c r="I107" s="13">
        <f t="shared" ref="I107:I108" si="33">SUM(G107:H107)</f>
        <v>0</v>
      </c>
      <c r="K107" s="13">
        <f t="shared" ref="K107:K108" si="34">SUM(I107:J107)</f>
        <v>0</v>
      </c>
    </row>
    <row r="108" spans="2:14">
      <c r="B108" s="7" t="str">
        <f>'Comb 12-mon P&amp;L'!B104</f>
        <v>84030 Reconciliation Adjustments</v>
      </c>
      <c r="C108" s="13">
        <f>'Comb 12-mon P&amp;L'!O104</f>
        <v>23076.19</v>
      </c>
      <c r="D108" s="13">
        <f>'Bee 12-mon P&amp;L'!O104</f>
        <v>23076.19</v>
      </c>
      <c r="E108" s="13">
        <f t="shared" si="31"/>
        <v>0</v>
      </c>
      <c r="G108" s="13">
        <f t="shared" si="32"/>
        <v>0</v>
      </c>
      <c r="I108" s="13">
        <f t="shared" si="33"/>
        <v>0</v>
      </c>
      <c r="K108" s="13">
        <f t="shared" si="34"/>
        <v>0</v>
      </c>
    </row>
    <row r="109" spans="2:14">
      <c r="B109" s="36" t="s">
        <v>88</v>
      </c>
      <c r="C109" s="23">
        <f>SUM(C107:C108)</f>
        <v>43177.22</v>
      </c>
      <c r="D109" s="23">
        <f t="shared" ref="D109:K109" si="35">SUM(D107:D108)</f>
        <v>43177.22</v>
      </c>
      <c r="E109" s="23">
        <f t="shared" si="35"/>
        <v>0</v>
      </c>
      <c r="F109" s="23">
        <f t="shared" si="35"/>
        <v>0</v>
      </c>
      <c r="G109" s="23">
        <f t="shared" si="35"/>
        <v>0</v>
      </c>
      <c r="H109" s="23">
        <f t="shared" si="35"/>
        <v>0</v>
      </c>
      <c r="I109" s="23">
        <f t="shared" si="35"/>
        <v>0</v>
      </c>
      <c r="J109" s="23">
        <f t="shared" si="35"/>
        <v>0</v>
      </c>
      <c r="K109" s="23">
        <f t="shared" si="35"/>
        <v>0</v>
      </c>
    </row>
    <row r="110" spans="2:14">
      <c r="B110" s="101" t="s">
        <v>89</v>
      </c>
      <c r="C110" s="39">
        <f>C105-C109</f>
        <v>-27262.420000000002</v>
      </c>
      <c r="D110" s="39">
        <f t="shared" ref="D110:K110" si="36">D105-D109</f>
        <v>-27262.420000000002</v>
      </c>
      <c r="E110" s="39">
        <f t="shared" si="36"/>
        <v>0</v>
      </c>
      <c r="F110" s="39">
        <f t="shared" si="36"/>
        <v>0</v>
      </c>
      <c r="G110" s="39">
        <f t="shared" si="36"/>
        <v>0</v>
      </c>
      <c r="H110" s="39">
        <f t="shared" si="36"/>
        <v>0</v>
      </c>
      <c r="I110" s="39">
        <f t="shared" si="36"/>
        <v>0</v>
      </c>
      <c r="J110" s="39">
        <f t="shared" si="36"/>
        <v>0</v>
      </c>
      <c r="K110" s="39">
        <f t="shared" si="36"/>
        <v>0</v>
      </c>
    </row>
    <row r="111" spans="2:14" ht="15.75" thickBot="1">
      <c r="B111" s="28" t="s">
        <v>90</v>
      </c>
      <c r="C111" s="25">
        <f>C101+C110</f>
        <v>-376462.27000000008</v>
      </c>
      <c r="D111" s="25">
        <f t="shared" ref="D111:K111" si="37">D101+D110</f>
        <v>6845.230000001302</v>
      </c>
      <c r="E111" s="25">
        <f t="shared" si="37"/>
        <v>-383307.50000000023</v>
      </c>
      <c r="F111" s="25">
        <f t="shared" si="37"/>
        <v>-11017.119999999999</v>
      </c>
      <c r="G111" s="25">
        <f t="shared" si="37"/>
        <v>-394324.62000000034</v>
      </c>
      <c r="H111" s="25">
        <f t="shared" si="37"/>
        <v>-30161.930091585054</v>
      </c>
      <c r="I111" s="25">
        <f t="shared" si="37"/>
        <v>-424486.55009158538</v>
      </c>
      <c r="J111" s="25">
        <f t="shared" si="37"/>
        <v>546479.99665761855</v>
      </c>
      <c r="K111" s="25">
        <f t="shared" si="37"/>
        <v>121993.44656603318</v>
      </c>
    </row>
    <row r="112" spans="2:14" ht="15.75" thickTop="1"/>
    <row r="114" spans="2:11">
      <c r="B114" s="26" t="s">
        <v>125</v>
      </c>
      <c r="C114" s="38">
        <f>C100/C23</f>
        <v>1.0958602642022568</v>
      </c>
      <c r="D114" s="26"/>
      <c r="E114" s="38">
        <f>E100/E23</f>
        <v>1.315731083630149</v>
      </c>
      <c r="F114" s="26"/>
      <c r="G114" s="38">
        <f>G100/G23</f>
        <v>1.3276669301022967</v>
      </c>
      <c r="H114" s="26"/>
      <c r="I114" s="38">
        <f>I100/I23</f>
        <v>1.3527302067474878</v>
      </c>
      <c r="J114" s="26"/>
      <c r="K114" s="38">
        <f>K100/K23</f>
        <v>0.93028592307399305</v>
      </c>
    </row>
    <row r="116" spans="2:11">
      <c r="B116" t="s">
        <v>388</v>
      </c>
      <c r="I116" s="95">
        <f>I100/93%-I17</f>
        <v>546479.99665761855</v>
      </c>
    </row>
  </sheetData>
  <pageMargins left="0.7" right="0.7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10D13-6D59-4E50-B55D-C04711CD000F}">
  <sheetPr>
    <pageSetUpPr fitToPage="1"/>
  </sheetPr>
  <dimension ref="B1:E16"/>
  <sheetViews>
    <sheetView workbookViewId="0">
      <selection activeCell="B2" sqref="B2:C2"/>
    </sheetView>
  </sheetViews>
  <sheetFormatPr defaultRowHeight="15"/>
  <cols>
    <col min="1" max="1" width="2.7109375" style="41" customWidth="1"/>
    <col min="2" max="2" width="12.85546875" style="40" bestFit="1" customWidth="1"/>
    <col min="3" max="3" width="49.28515625" style="40" bestFit="1" customWidth="1"/>
    <col min="4" max="4" width="45.5703125" style="40" bestFit="1" customWidth="1"/>
    <col min="5" max="5" width="20.140625" style="133" bestFit="1" customWidth="1"/>
    <col min="6" max="16384" width="9.140625" style="41"/>
  </cols>
  <sheetData>
    <row r="1" spans="2:5" ht="18.75">
      <c r="B1" s="187" t="s">
        <v>106</v>
      </c>
      <c r="C1" s="187"/>
    </row>
    <row r="2" spans="2:5" ht="15.75">
      <c r="B2" s="188" t="s">
        <v>126</v>
      </c>
      <c r="C2" s="188"/>
    </row>
    <row r="3" spans="2:5">
      <c r="B3" s="189" t="s">
        <v>201</v>
      </c>
      <c r="C3" s="189"/>
    </row>
    <row r="5" spans="2:5">
      <c r="E5" s="134"/>
    </row>
    <row r="6" spans="2:5">
      <c r="E6" s="134"/>
    </row>
    <row r="7" spans="2:5">
      <c r="B7" s="43" t="s">
        <v>127</v>
      </c>
      <c r="C7" s="44" t="s">
        <v>128</v>
      </c>
      <c r="D7" s="43" t="s">
        <v>129</v>
      </c>
      <c r="E7" s="134" t="s">
        <v>130</v>
      </c>
    </row>
    <row r="8" spans="2:5">
      <c r="B8" s="184" t="s">
        <v>131</v>
      </c>
      <c r="C8" s="45" t="s">
        <v>49</v>
      </c>
      <c r="D8" s="42" t="s">
        <v>132</v>
      </c>
      <c r="E8" s="135">
        <f>'Reg Depr'!M17</f>
        <v>416.79999999999995</v>
      </c>
    </row>
    <row r="9" spans="2:5">
      <c r="B9" s="184"/>
      <c r="C9" s="45"/>
      <c r="D9" s="42"/>
      <c r="E9" s="135"/>
    </row>
    <row r="10" spans="2:5">
      <c r="B10" s="184" t="s">
        <v>369</v>
      </c>
      <c r="C10" s="45" t="s">
        <v>370</v>
      </c>
      <c r="D10" s="42" t="s">
        <v>371</v>
      </c>
      <c r="E10" s="135">
        <f>-'SE 2022 Pax'!D26</f>
        <v>-10600.32</v>
      </c>
    </row>
    <row r="11" spans="2:5">
      <c r="B11" s="184"/>
      <c r="C11" s="45"/>
      <c r="D11" s="42"/>
      <c r="E11" s="135"/>
    </row>
    <row r="12" spans="2:5">
      <c r="B12" s="184" t="s">
        <v>133</v>
      </c>
      <c r="C12" s="40" t="s">
        <v>97</v>
      </c>
      <c r="D12" s="40" t="s">
        <v>339</v>
      </c>
      <c r="E12" s="133">
        <f>Payroll!O8</f>
        <v>3799.5869999999995</v>
      </c>
    </row>
    <row r="13" spans="2:5">
      <c r="B13" s="184"/>
    </row>
    <row r="14" spans="2:5">
      <c r="B14" s="184" t="s">
        <v>295</v>
      </c>
      <c r="C14" s="40" t="s">
        <v>96</v>
      </c>
      <c r="D14" s="40" t="s">
        <v>296</v>
      </c>
      <c r="E14" s="133">
        <f>Payroll!O13</f>
        <v>15611.343091585055</v>
      </c>
    </row>
    <row r="15" spans="2:5">
      <c r="B15" s="184"/>
    </row>
    <row r="16" spans="2:5">
      <c r="B16" s="184" t="s">
        <v>336</v>
      </c>
      <c r="C16" s="40" t="s">
        <v>202</v>
      </c>
      <c r="D16" s="40" t="s">
        <v>393</v>
      </c>
      <c r="E16" s="133">
        <f>'Rate Case Exp'!C13</f>
        <v>10751</v>
      </c>
    </row>
  </sheetData>
  <mergeCells count="3">
    <mergeCell ref="B1:C1"/>
    <mergeCell ref="B2:C2"/>
    <mergeCell ref="B3:C3"/>
  </mergeCells>
  <pageMargins left="0.7" right="0.7" top="0.75" bottom="0.75" header="0.3" footer="0.3"/>
  <pageSetup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1A91A-7155-465E-9543-2EB8688B71DB}">
  <sheetPr>
    <tabColor rgb="FF0000FF"/>
  </sheetPr>
  <dimension ref="G20"/>
  <sheetViews>
    <sheetView workbookViewId="0">
      <selection activeCell="L26" sqref="L26"/>
    </sheetView>
  </sheetViews>
  <sheetFormatPr defaultRowHeight="15"/>
  <cols>
    <col min="1" max="16384" width="9.140625" style="165"/>
  </cols>
  <sheetData>
    <row r="20" spans="7:7" ht="26.25">
      <c r="G20" s="166" t="s">
        <v>392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E89F-A4DD-47EA-9E35-7A210DAF0A3C}">
  <sheetPr>
    <pageSetUpPr fitToPage="1"/>
  </sheetPr>
  <dimension ref="B1:U32"/>
  <sheetViews>
    <sheetView workbookViewId="0">
      <selection activeCell="C2" sqref="C2"/>
    </sheetView>
  </sheetViews>
  <sheetFormatPr defaultRowHeight="11.25"/>
  <cols>
    <col min="1" max="1" width="2.7109375" style="50" customWidth="1"/>
    <col min="2" max="2" width="7.28515625" style="82" bestFit="1" customWidth="1"/>
    <col min="3" max="3" width="26.140625" style="50" bestFit="1" customWidth="1"/>
    <col min="4" max="4" width="2.28515625" style="50" bestFit="1" customWidth="1"/>
    <col min="5" max="5" width="10.140625" style="50" bestFit="1" customWidth="1"/>
    <col min="6" max="6" width="4.5703125" style="50" bestFit="1" customWidth="1"/>
    <col min="7" max="7" width="7.7109375" style="50" bestFit="1" customWidth="1"/>
    <col min="8" max="8" width="8.140625" style="50" bestFit="1" customWidth="1"/>
    <col min="9" max="9" width="4.28515625" style="50" bestFit="1" customWidth="1"/>
    <col min="10" max="10" width="11.85546875" style="50" bestFit="1" customWidth="1"/>
    <col min="11" max="11" width="7" style="50" bestFit="1" customWidth="1"/>
    <col min="12" max="12" width="21.85546875" style="50" bestFit="1" customWidth="1"/>
    <col min="13" max="13" width="18.85546875" style="50" bestFit="1" customWidth="1"/>
    <col min="14" max="14" width="5.5703125" style="50" bestFit="1" customWidth="1"/>
    <col min="15" max="16" width="12.5703125" style="50" bestFit="1" customWidth="1"/>
    <col min="17" max="17" width="11.140625" style="50" bestFit="1" customWidth="1"/>
    <col min="18" max="21" width="7.5703125" style="50" bestFit="1" customWidth="1"/>
    <col min="22" max="16384" width="9.140625" style="50"/>
  </cols>
  <sheetData>
    <row r="1" spans="2:21" ht="18.75">
      <c r="B1" s="46"/>
      <c r="C1" s="1" t="s">
        <v>106</v>
      </c>
      <c r="D1" s="47"/>
      <c r="E1" s="48"/>
      <c r="F1" s="48"/>
      <c r="G1" s="48"/>
      <c r="H1" s="48"/>
      <c r="I1" s="48"/>
      <c r="J1" s="48"/>
      <c r="K1" s="48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2:21" ht="15.75">
      <c r="B2" s="46"/>
      <c r="C2" s="2" t="s">
        <v>135</v>
      </c>
      <c r="D2" s="47"/>
      <c r="E2" s="48"/>
      <c r="F2" s="48"/>
      <c r="G2" s="48"/>
      <c r="H2" s="48"/>
      <c r="I2" s="48"/>
      <c r="J2" s="48"/>
      <c r="K2" s="48"/>
      <c r="L2" s="51">
        <v>12</v>
      </c>
      <c r="M2" s="52" t="s">
        <v>136</v>
      </c>
      <c r="N2" s="49"/>
      <c r="O2" s="49"/>
      <c r="P2" s="49"/>
      <c r="Q2" s="49"/>
      <c r="R2" s="49"/>
      <c r="S2" s="49"/>
      <c r="T2" s="49"/>
      <c r="U2" s="49"/>
    </row>
    <row r="3" spans="2:21" ht="15">
      <c r="B3" s="46"/>
      <c r="C3" s="144" t="s">
        <v>201</v>
      </c>
      <c r="D3" s="144"/>
      <c r="E3" s="48"/>
      <c r="F3" s="48"/>
      <c r="G3" s="48"/>
      <c r="H3" s="48"/>
      <c r="I3" s="48"/>
      <c r="J3" s="48"/>
      <c r="K3" s="48"/>
      <c r="L3" s="51">
        <v>0</v>
      </c>
      <c r="M3" s="52" t="s">
        <v>137</v>
      </c>
      <c r="N3" s="49"/>
      <c r="O3" s="49"/>
      <c r="P3" s="49"/>
      <c r="Q3" s="49"/>
      <c r="R3" s="49"/>
      <c r="S3" s="52" t="s">
        <v>138</v>
      </c>
      <c r="T3" s="190" t="s">
        <v>139</v>
      </c>
      <c r="U3" s="190"/>
    </row>
    <row r="4" spans="2:21" ht="15">
      <c r="B4" s="46"/>
      <c r="C4" s="49"/>
      <c r="D4" s="49"/>
      <c r="E4" s="53"/>
      <c r="F4" s="53"/>
      <c r="G4" s="49"/>
      <c r="H4" s="53"/>
      <c r="I4" s="49"/>
      <c r="J4" s="49"/>
      <c r="K4" s="49"/>
      <c r="L4" s="54">
        <v>2022</v>
      </c>
      <c r="M4" s="52" t="s">
        <v>140</v>
      </c>
      <c r="N4" s="49"/>
      <c r="O4" s="49"/>
      <c r="P4" s="49"/>
      <c r="Q4" s="49"/>
      <c r="R4" s="49"/>
      <c r="S4" s="52" t="s">
        <v>141</v>
      </c>
      <c r="T4" s="190" t="s">
        <v>142</v>
      </c>
      <c r="U4" s="190"/>
    </row>
    <row r="5" spans="2:21" ht="15">
      <c r="B5" s="46"/>
      <c r="C5" s="49"/>
      <c r="D5" s="49"/>
      <c r="E5" s="53"/>
      <c r="F5" s="53"/>
      <c r="G5" s="49"/>
      <c r="H5" s="53"/>
      <c r="I5" s="49"/>
      <c r="J5" s="49"/>
      <c r="K5" s="49"/>
      <c r="L5" s="54">
        <v>2023</v>
      </c>
      <c r="M5" s="52" t="s">
        <v>143</v>
      </c>
      <c r="N5" s="49"/>
      <c r="O5" s="49"/>
      <c r="P5" s="49"/>
      <c r="Q5" s="49"/>
      <c r="R5" s="49"/>
      <c r="S5" s="52" t="s">
        <v>144</v>
      </c>
      <c r="T5" s="190" t="s">
        <v>145</v>
      </c>
      <c r="U5" s="190"/>
    </row>
    <row r="6" spans="2:21" ht="15">
      <c r="B6" s="46"/>
      <c r="C6" s="49"/>
      <c r="D6" s="49"/>
      <c r="E6" s="53"/>
      <c r="F6" s="53"/>
      <c r="G6" s="49"/>
      <c r="H6" s="53"/>
      <c r="I6" s="49"/>
      <c r="J6" s="49"/>
      <c r="K6" s="49"/>
      <c r="L6" s="49"/>
      <c r="M6" s="49"/>
      <c r="N6" s="49"/>
      <c r="O6" s="49"/>
      <c r="P6" s="49"/>
      <c r="Q6" s="49"/>
      <c r="R6" s="49"/>
      <c r="S6" s="52" t="s">
        <v>146</v>
      </c>
      <c r="T6" s="190" t="s">
        <v>147</v>
      </c>
      <c r="U6" s="190"/>
    </row>
    <row r="7" spans="2:21" ht="15">
      <c r="B7" s="46"/>
      <c r="C7" s="49"/>
      <c r="D7" s="49"/>
      <c r="E7" s="53"/>
      <c r="F7" s="53"/>
      <c r="G7" s="49"/>
      <c r="H7" s="53"/>
      <c r="I7" s="49"/>
      <c r="J7" s="49"/>
      <c r="K7" s="49"/>
      <c r="L7" s="49"/>
      <c r="M7" s="49"/>
      <c r="N7" s="49"/>
      <c r="O7" s="55" t="s">
        <v>148</v>
      </c>
      <c r="P7" s="55" t="s">
        <v>149</v>
      </c>
      <c r="Q7" s="49"/>
      <c r="R7" s="49"/>
      <c r="S7" s="49"/>
      <c r="T7" s="56"/>
      <c r="U7" s="56"/>
    </row>
    <row r="8" spans="2:21" ht="15">
      <c r="B8" s="46"/>
      <c r="C8" s="57"/>
      <c r="D8" s="57"/>
      <c r="E8" s="47" t="s">
        <v>150</v>
      </c>
      <c r="F8" s="47"/>
      <c r="G8" s="55" t="s">
        <v>151</v>
      </c>
      <c r="H8" s="55"/>
      <c r="I8" s="57"/>
      <c r="J8" s="55" t="s">
        <v>152</v>
      </c>
      <c r="K8" s="57"/>
      <c r="L8" s="57"/>
      <c r="M8" s="57"/>
      <c r="N8" s="57"/>
      <c r="O8" s="55" t="s">
        <v>153</v>
      </c>
      <c r="P8" s="55" t="s">
        <v>153</v>
      </c>
      <c r="Q8" s="57"/>
      <c r="R8" s="49"/>
      <c r="S8" s="49"/>
      <c r="T8" s="49"/>
      <c r="U8" s="49"/>
    </row>
    <row r="9" spans="2:21" ht="15">
      <c r="B9" s="58"/>
      <c r="C9" s="57"/>
      <c r="D9" s="57"/>
      <c r="E9" s="59" t="s">
        <v>154</v>
      </c>
      <c r="F9" s="55"/>
      <c r="G9" s="55" t="s">
        <v>155</v>
      </c>
      <c r="H9" s="55" t="s">
        <v>156</v>
      </c>
      <c r="I9" s="55" t="s">
        <v>157</v>
      </c>
      <c r="J9" s="55" t="s">
        <v>158</v>
      </c>
      <c r="K9" s="55" t="s">
        <v>159</v>
      </c>
      <c r="L9" s="55" t="s">
        <v>160</v>
      </c>
      <c r="M9" s="55" t="s">
        <v>161</v>
      </c>
      <c r="N9" s="55" t="s">
        <v>162</v>
      </c>
      <c r="O9" s="55" t="s">
        <v>163</v>
      </c>
      <c r="P9" s="55" t="s">
        <v>163</v>
      </c>
      <c r="Q9" s="55" t="s">
        <v>164</v>
      </c>
      <c r="R9" s="53"/>
      <c r="S9" s="53"/>
      <c r="T9" s="53"/>
      <c r="U9" s="49"/>
    </row>
    <row r="10" spans="2:21" ht="15">
      <c r="B10" s="58" t="s">
        <v>165</v>
      </c>
      <c r="C10" s="55" t="s">
        <v>166</v>
      </c>
      <c r="D10" s="55"/>
      <c r="E10" s="55" t="s">
        <v>152</v>
      </c>
      <c r="F10" s="55" t="s">
        <v>167</v>
      </c>
      <c r="G10" s="55" t="s">
        <v>162</v>
      </c>
      <c r="H10" s="55"/>
      <c r="I10" s="55"/>
      <c r="J10" s="55" t="s">
        <v>168</v>
      </c>
      <c r="K10" s="55" t="s">
        <v>169</v>
      </c>
      <c r="L10" s="55" t="s">
        <v>163</v>
      </c>
      <c r="M10" s="55" t="s">
        <v>163</v>
      </c>
      <c r="N10" s="55" t="s">
        <v>170</v>
      </c>
      <c r="O10" s="60">
        <v>44470</v>
      </c>
      <c r="P10" s="61">
        <v>44834</v>
      </c>
      <c r="Q10" s="55" t="s">
        <v>171</v>
      </c>
      <c r="R10" s="53" t="s">
        <v>138</v>
      </c>
      <c r="S10" s="53" t="s">
        <v>172</v>
      </c>
      <c r="T10" s="53" t="s">
        <v>173</v>
      </c>
      <c r="U10" s="53" t="s">
        <v>146</v>
      </c>
    </row>
    <row r="11" spans="2:21" s="66" customFormat="1" ht="15">
      <c r="B11" s="46"/>
      <c r="C11" s="62"/>
      <c r="D11" s="62"/>
      <c r="E11" s="63"/>
      <c r="F11" s="53"/>
      <c r="G11" s="49"/>
      <c r="H11" s="53"/>
      <c r="I11" s="49"/>
      <c r="J11" s="64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65"/>
    </row>
    <row r="12" spans="2:21" s="66" customFormat="1" ht="15">
      <c r="B12" s="46">
        <v>36</v>
      </c>
      <c r="C12" s="66" t="s">
        <v>174</v>
      </c>
      <c r="E12" s="46">
        <v>2022</v>
      </c>
      <c r="F12" s="46">
        <v>2</v>
      </c>
      <c r="G12" s="67"/>
      <c r="H12" s="46" t="s">
        <v>175</v>
      </c>
      <c r="I12" s="46">
        <v>5</v>
      </c>
      <c r="J12" s="66">
        <f>+E12+I12</f>
        <v>2027</v>
      </c>
      <c r="K12" s="68">
        <v>3899</v>
      </c>
      <c r="L12" s="68">
        <f>K12/I12/12</f>
        <v>64.983333333333334</v>
      </c>
      <c r="M12" s="68">
        <f>IF(T12&lt;=S12,0,K12/I12)</f>
        <v>779.8</v>
      </c>
      <c r="N12" s="69">
        <v>1</v>
      </c>
      <c r="O12" s="68">
        <f t="shared" ref="O12" si="0">IF(R12&gt;S12,0,IF(T12&lt;U12,K12,IF((AND((T12&gt;=U12),(T12&lt;=S12))),(K12-M12),IF((AND((U12&lt;=R12),(S12&gt;=R12))),0,IF(T12&gt;S12,((U12-R12)*12)*L12,0)))))</f>
        <v>0</v>
      </c>
      <c r="P12" s="68">
        <f t="shared" ref="P12" si="1">O12+M12</f>
        <v>779.8</v>
      </c>
      <c r="Q12" s="68">
        <f t="shared" ref="Q12" si="2">+K12-P12</f>
        <v>3119.2</v>
      </c>
      <c r="R12" s="70">
        <f>$E12+(($F12-1)/12)</f>
        <v>2022.0833333333333</v>
      </c>
      <c r="S12" s="70">
        <f t="shared" ref="S12" si="3">($L$5+1)-($L$2/12)</f>
        <v>2023</v>
      </c>
      <c r="T12" s="70">
        <f>$J12+(($F12-1)/12)</f>
        <v>2027.0833333333333</v>
      </c>
      <c r="U12" s="70">
        <f t="shared" ref="U12" si="4">$L$4+($L$3/12)</f>
        <v>2022</v>
      </c>
    </row>
    <row r="13" spans="2:21" s="72" customFormat="1" ht="15">
      <c r="B13" s="71"/>
      <c r="C13" s="72" t="s">
        <v>176</v>
      </c>
      <c r="E13" s="71"/>
      <c r="F13" s="71"/>
      <c r="G13" s="73"/>
      <c r="I13" s="71"/>
      <c r="K13" s="74">
        <f>SUM(K12:K12)</f>
        <v>3899</v>
      </c>
      <c r="L13" s="75"/>
      <c r="M13" s="74">
        <f>SUM(M12:M12)</f>
        <v>779.8</v>
      </c>
      <c r="N13" s="76"/>
      <c r="O13" s="74">
        <f>SUM(O12:O12)</f>
        <v>0</v>
      </c>
      <c r="P13" s="74">
        <f>SUM(P12:P12)</f>
        <v>779.8</v>
      </c>
      <c r="Q13" s="74">
        <f>SUM(Q12:Q12)</f>
        <v>3119.2</v>
      </c>
      <c r="R13" s="77"/>
      <c r="S13" s="77"/>
      <c r="T13" s="77"/>
      <c r="U13" s="77"/>
    </row>
    <row r="14" spans="2:21" s="66" customFormat="1" ht="15">
      <c r="B14" s="46"/>
      <c r="E14" s="46"/>
      <c r="F14" s="46"/>
      <c r="G14" s="78"/>
      <c r="I14" s="46"/>
      <c r="K14" s="68"/>
      <c r="L14" s="68"/>
      <c r="M14" s="68"/>
      <c r="N14" s="49"/>
      <c r="O14" s="68"/>
      <c r="P14" s="68"/>
      <c r="Q14" s="68"/>
      <c r="R14" s="70"/>
      <c r="S14" s="70"/>
      <c r="T14" s="70"/>
      <c r="U14" s="70"/>
    </row>
    <row r="15" spans="2:21" s="66" customFormat="1" ht="15">
      <c r="B15" s="46"/>
    </row>
    <row r="16" spans="2:21" s="66" customFormat="1" ht="15">
      <c r="B16" s="46"/>
      <c r="L16" s="66" t="s">
        <v>177</v>
      </c>
      <c r="M16" s="79">
        <f>'Results of Oper'!E65</f>
        <v>363</v>
      </c>
    </row>
    <row r="17" spans="2:14" s="66" customFormat="1" ht="15">
      <c r="B17" s="46"/>
      <c r="M17" s="80">
        <f>M13-M16</f>
        <v>416.79999999999995</v>
      </c>
      <c r="N17" s="81" t="s">
        <v>131</v>
      </c>
    </row>
    <row r="18" spans="2:14" s="66" customFormat="1" ht="15">
      <c r="B18" s="46"/>
      <c r="M18" s="79"/>
    </row>
    <row r="19" spans="2:14" s="66" customFormat="1" ht="15">
      <c r="B19" s="46"/>
    </row>
    <row r="20" spans="2:14" s="66" customFormat="1" ht="15">
      <c r="B20" s="46"/>
    </row>
    <row r="21" spans="2:14" s="66" customFormat="1" ht="15">
      <c r="B21" s="46"/>
    </row>
    <row r="22" spans="2:14" s="66" customFormat="1" ht="15">
      <c r="B22" s="46"/>
    </row>
    <row r="23" spans="2:14" s="66" customFormat="1" ht="15">
      <c r="B23" s="46"/>
    </row>
    <row r="24" spans="2:14" s="66" customFormat="1" ht="15">
      <c r="B24" s="46"/>
    </row>
    <row r="25" spans="2:14" s="66" customFormat="1" ht="15">
      <c r="B25" s="46"/>
      <c r="J25" s="83"/>
    </row>
    <row r="26" spans="2:14" s="66" customFormat="1" ht="15">
      <c r="B26" s="46"/>
    </row>
    <row r="27" spans="2:14" s="66" customFormat="1" ht="15">
      <c r="B27" s="46"/>
    </row>
    <row r="28" spans="2:14" s="66" customFormat="1" ht="15">
      <c r="B28" s="46"/>
    </row>
    <row r="29" spans="2:14" s="66" customFormat="1" ht="15">
      <c r="B29" s="46"/>
    </row>
    <row r="30" spans="2:14" s="66" customFormat="1" ht="15">
      <c r="B30" s="46"/>
    </row>
    <row r="31" spans="2:14" s="66" customFormat="1" ht="15">
      <c r="B31" s="46"/>
    </row>
    <row r="32" spans="2:14" s="66" customFormat="1" ht="15">
      <c r="B32" s="46"/>
    </row>
  </sheetData>
  <mergeCells count="4">
    <mergeCell ref="T3:U3"/>
    <mergeCell ref="T4:U4"/>
    <mergeCell ref="T5:U5"/>
    <mergeCell ref="T6:U6"/>
  </mergeCells>
  <pageMargins left="0.7" right="0.7" top="0.75" bottom="0.75" header="0.3" footer="0.3"/>
  <pageSetup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F5E69-288F-4A5F-8E93-A504FADB3E84}">
  <sheetPr>
    <pageSetUpPr fitToPage="1"/>
  </sheetPr>
  <dimension ref="B1:O26"/>
  <sheetViews>
    <sheetView workbookViewId="0">
      <selection activeCell="B2" sqref="B2"/>
    </sheetView>
  </sheetViews>
  <sheetFormatPr defaultRowHeight="15.75"/>
  <cols>
    <col min="1" max="1" width="2.7109375" style="147" customWidth="1"/>
    <col min="2" max="2" width="61" style="147" bestFit="1" customWidth="1"/>
    <col min="3" max="3" width="8" style="147" bestFit="1" customWidth="1"/>
    <col min="4" max="4" width="10.5703125" style="147" bestFit="1" customWidth="1"/>
    <col min="5" max="5" width="9.140625" style="168"/>
    <col min="6" max="6" width="11.42578125" style="147" bestFit="1" customWidth="1"/>
    <col min="7" max="16384" width="9.140625" style="147"/>
  </cols>
  <sheetData>
    <row r="1" spans="2:15" ht="18.75">
      <c r="B1" s="140" t="s">
        <v>316</v>
      </c>
    </row>
    <row r="2" spans="2:15">
      <c r="B2" s="141" t="s">
        <v>396</v>
      </c>
    </row>
    <row r="3" spans="2:15">
      <c r="B3" t="s">
        <v>201</v>
      </c>
    </row>
    <row r="7" spans="2:15">
      <c r="B7" s="169" t="s">
        <v>321</v>
      </c>
      <c r="C7" s="169" t="s">
        <v>315</v>
      </c>
      <c r="D7" s="169" t="s">
        <v>91</v>
      </c>
      <c r="E7" s="170"/>
      <c r="F7" s="171"/>
      <c r="G7" s="171"/>
      <c r="H7" s="171"/>
      <c r="I7" s="171"/>
      <c r="J7" s="171"/>
      <c r="K7" s="171"/>
      <c r="L7" s="171"/>
      <c r="M7" s="171"/>
      <c r="N7" s="171"/>
      <c r="O7" s="171"/>
    </row>
    <row r="8" spans="2:15">
      <c r="B8" s="171" t="s">
        <v>322</v>
      </c>
      <c r="C8" s="172">
        <v>18734</v>
      </c>
      <c r="D8" s="172">
        <v>480</v>
      </c>
      <c r="E8" s="170"/>
      <c r="F8" s="171"/>
      <c r="G8" s="171"/>
      <c r="H8" s="171"/>
      <c r="I8" s="171"/>
      <c r="J8" s="171"/>
      <c r="K8" s="171"/>
      <c r="L8" s="171"/>
      <c r="M8" s="171"/>
      <c r="N8" s="171"/>
      <c r="O8" s="171"/>
    </row>
    <row r="9" spans="2:15">
      <c r="B9" s="171" t="s">
        <v>323</v>
      </c>
      <c r="C9" s="172">
        <v>21977</v>
      </c>
      <c r="D9" s="172">
        <v>425959.5</v>
      </c>
      <c r="E9" s="170"/>
      <c r="F9" s="171"/>
      <c r="G9" s="171"/>
      <c r="H9" s="171"/>
      <c r="I9" s="171"/>
      <c r="J9" s="171"/>
      <c r="K9" s="171"/>
      <c r="L9" s="171"/>
      <c r="M9" s="171"/>
      <c r="N9" s="171"/>
      <c r="O9" s="171"/>
    </row>
    <row r="10" spans="2:15">
      <c r="B10" s="171" t="s">
        <v>324</v>
      </c>
      <c r="C10" s="172">
        <v>200</v>
      </c>
      <c r="D10" s="172">
        <v>4460</v>
      </c>
      <c r="E10" s="170"/>
      <c r="F10" s="171"/>
      <c r="G10" s="171"/>
      <c r="H10" s="171"/>
      <c r="I10" s="171"/>
      <c r="J10" s="171"/>
      <c r="K10" s="171"/>
      <c r="L10" s="171"/>
      <c r="M10" s="171"/>
      <c r="N10" s="171"/>
      <c r="O10" s="171"/>
    </row>
    <row r="11" spans="2:15">
      <c r="B11" s="171" t="s">
        <v>325</v>
      </c>
      <c r="C11" s="172">
        <v>11997</v>
      </c>
      <c r="D11" s="172">
        <v>214608.1</v>
      </c>
      <c r="E11" s="170"/>
      <c r="F11" s="171"/>
      <c r="G11" s="171"/>
      <c r="H11" s="171"/>
      <c r="I11" s="171"/>
      <c r="J11" s="171"/>
      <c r="K11" s="171"/>
      <c r="L11" s="171"/>
      <c r="M11" s="171"/>
      <c r="N11" s="171"/>
      <c r="O11" s="171"/>
    </row>
    <row r="12" spans="2:15">
      <c r="B12" s="171" t="s">
        <v>326</v>
      </c>
      <c r="C12" s="172">
        <v>31</v>
      </c>
      <c r="D12" s="172">
        <v>2685.5299999999997</v>
      </c>
      <c r="E12" s="170"/>
      <c r="F12" s="171"/>
      <c r="G12" s="171"/>
      <c r="H12" s="171"/>
      <c r="I12" s="171"/>
      <c r="J12" s="171"/>
      <c r="K12" s="171"/>
      <c r="L12" s="171"/>
      <c r="M12" s="171"/>
      <c r="N12" s="171"/>
      <c r="O12" s="171"/>
    </row>
    <row r="13" spans="2:15">
      <c r="B13" s="171" t="s">
        <v>327</v>
      </c>
      <c r="C13" s="172">
        <v>92</v>
      </c>
      <c r="D13" s="172">
        <v>7874.79</v>
      </c>
      <c r="E13" s="170"/>
      <c r="F13" s="171"/>
      <c r="G13" s="171"/>
      <c r="H13" s="171"/>
      <c r="I13" s="171"/>
      <c r="J13" s="171"/>
      <c r="K13" s="171"/>
      <c r="L13" s="171"/>
      <c r="M13" s="171"/>
      <c r="N13" s="171"/>
      <c r="O13" s="171"/>
    </row>
    <row r="14" spans="2:15">
      <c r="B14" s="171" t="s">
        <v>328</v>
      </c>
      <c r="C14" s="172">
        <v>333</v>
      </c>
      <c r="D14" s="172">
        <v>6330</v>
      </c>
      <c r="E14" s="170"/>
      <c r="F14" s="171"/>
      <c r="G14" s="171"/>
      <c r="H14" s="171"/>
      <c r="I14" s="171"/>
      <c r="J14" s="171"/>
      <c r="K14" s="171"/>
      <c r="L14" s="171"/>
      <c r="M14" s="171"/>
      <c r="N14" s="171"/>
      <c r="O14" s="171"/>
    </row>
    <row r="15" spans="2:15">
      <c r="B15" s="171" t="s">
        <v>329</v>
      </c>
      <c r="C15" s="172">
        <v>2</v>
      </c>
      <c r="D15" s="172">
        <v>30</v>
      </c>
      <c r="E15" s="170"/>
      <c r="F15" s="171"/>
      <c r="G15" s="171"/>
      <c r="H15" s="171"/>
      <c r="I15" s="171"/>
      <c r="J15" s="171"/>
      <c r="K15" s="171"/>
      <c r="L15" s="171"/>
      <c r="M15" s="171"/>
      <c r="N15" s="171"/>
      <c r="O15" s="171"/>
    </row>
    <row r="16" spans="2:15">
      <c r="B16" s="171" t="s">
        <v>330</v>
      </c>
      <c r="C16" s="172">
        <v>18920</v>
      </c>
      <c r="D16" s="172">
        <v>646517.5</v>
      </c>
      <c r="E16" s="170"/>
      <c r="F16" s="171"/>
      <c r="G16" s="171"/>
      <c r="H16" s="171"/>
      <c r="I16" s="171"/>
      <c r="J16" s="171"/>
      <c r="K16" s="171"/>
      <c r="L16" s="171"/>
      <c r="M16" s="171"/>
      <c r="N16" s="171"/>
      <c r="O16" s="171"/>
    </row>
    <row r="17" spans="2:15">
      <c r="B17" s="171" t="s">
        <v>331</v>
      </c>
      <c r="C17" s="172">
        <v>150</v>
      </c>
      <c r="D17" s="172">
        <v>6730</v>
      </c>
      <c r="E17" s="170"/>
      <c r="F17" s="171"/>
      <c r="G17" s="171"/>
      <c r="H17" s="171"/>
      <c r="I17" s="171"/>
      <c r="J17" s="171"/>
      <c r="K17" s="171"/>
      <c r="L17" s="171"/>
      <c r="M17" s="171"/>
      <c r="N17" s="171"/>
      <c r="O17" s="171"/>
    </row>
    <row r="18" spans="2:15">
      <c r="B18" s="171" t="s">
        <v>332</v>
      </c>
      <c r="C18" s="172">
        <v>97</v>
      </c>
      <c r="D18" s="172">
        <v>40</v>
      </c>
      <c r="E18" s="170"/>
      <c r="F18" s="171"/>
      <c r="G18" s="171"/>
      <c r="H18" s="171"/>
      <c r="I18" s="171"/>
      <c r="J18" s="171"/>
      <c r="K18" s="171"/>
      <c r="L18" s="171"/>
      <c r="M18" s="171"/>
      <c r="N18" s="171"/>
      <c r="O18" s="171"/>
    </row>
    <row r="19" spans="2:15">
      <c r="B19" s="171"/>
      <c r="C19" s="173">
        <f>SUM(C8:C18)</f>
        <v>72533</v>
      </c>
      <c r="D19" s="173">
        <f t="shared" ref="D19" si="0">SUM(D8:D18)</f>
        <v>1315715.42</v>
      </c>
      <c r="E19" s="170"/>
      <c r="F19" s="171"/>
      <c r="G19" s="171"/>
      <c r="H19" s="171"/>
      <c r="I19" s="171"/>
      <c r="J19" s="171"/>
      <c r="K19" s="171"/>
      <c r="L19" s="171"/>
      <c r="M19" s="171"/>
      <c r="N19" s="171"/>
      <c r="O19" s="171"/>
    </row>
    <row r="20" spans="2:15">
      <c r="B20" s="171"/>
      <c r="C20" s="171"/>
      <c r="D20" s="171"/>
      <c r="E20" s="170"/>
      <c r="F20" s="171"/>
      <c r="G20" s="171"/>
      <c r="H20" s="171"/>
      <c r="I20" s="171"/>
      <c r="J20" s="171"/>
      <c r="K20" s="171"/>
      <c r="L20" s="171"/>
      <c r="M20" s="171"/>
      <c r="N20" s="171"/>
      <c r="O20" s="171"/>
    </row>
    <row r="21" spans="2:15">
      <c r="B21" s="171"/>
      <c r="C21" s="171"/>
      <c r="D21" s="171"/>
      <c r="E21" s="170"/>
      <c r="F21" s="171"/>
      <c r="G21" s="171"/>
      <c r="H21" s="171"/>
      <c r="I21" s="171"/>
      <c r="J21" s="171"/>
      <c r="K21" s="171"/>
      <c r="L21" s="171"/>
      <c r="M21" s="171"/>
      <c r="N21" s="171"/>
      <c r="O21" s="171"/>
    </row>
    <row r="22" spans="2:15">
      <c r="B22" s="169" t="s">
        <v>368</v>
      </c>
      <c r="C22" s="169" t="s">
        <v>315</v>
      </c>
      <c r="D22" s="169" t="s">
        <v>91</v>
      </c>
      <c r="E22" s="170"/>
      <c r="F22" s="171"/>
      <c r="G22" s="171"/>
      <c r="H22" s="171"/>
      <c r="I22" s="171"/>
      <c r="J22" s="171"/>
      <c r="K22" s="171"/>
      <c r="L22" s="171"/>
      <c r="M22" s="171"/>
      <c r="N22" s="171"/>
      <c r="O22" s="171"/>
    </row>
    <row r="23" spans="2:15">
      <c r="B23" s="171" t="s">
        <v>326</v>
      </c>
      <c r="C23" s="172">
        <v>31</v>
      </c>
      <c r="D23" s="172">
        <v>2685.5299999999997</v>
      </c>
      <c r="E23" s="170"/>
      <c r="F23" s="171"/>
      <c r="G23" s="171"/>
      <c r="H23" s="171"/>
      <c r="I23" s="171"/>
      <c r="J23" s="171"/>
      <c r="K23" s="171"/>
      <c r="L23" s="171"/>
      <c r="M23" s="171"/>
      <c r="N23" s="171"/>
      <c r="O23" s="171"/>
    </row>
    <row r="24" spans="2:15">
      <c r="B24" s="171" t="s">
        <v>327</v>
      </c>
      <c r="C24" s="172">
        <v>92</v>
      </c>
      <c r="D24" s="172">
        <v>7874.79</v>
      </c>
      <c r="E24" s="170"/>
      <c r="F24" s="171"/>
      <c r="G24" s="171"/>
      <c r="H24" s="171"/>
      <c r="I24" s="171"/>
      <c r="J24" s="171"/>
      <c r="K24" s="171"/>
      <c r="L24" s="171"/>
      <c r="M24" s="171"/>
      <c r="N24" s="171"/>
      <c r="O24" s="171"/>
    </row>
    <row r="25" spans="2:15">
      <c r="B25" s="171" t="s">
        <v>332</v>
      </c>
      <c r="C25" s="172">
        <v>97</v>
      </c>
      <c r="D25" s="172">
        <v>40</v>
      </c>
      <c r="E25" s="170"/>
      <c r="F25" s="171"/>
    </row>
    <row r="26" spans="2:15">
      <c r="B26" s="171"/>
      <c r="C26" s="173">
        <f>SUM(C23:C25)</f>
        <v>220</v>
      </c>
      <c r="D26" s="174">
        <f>SUM(D23:D25)</f>
        <v>10600.32</v>
      </c>
      <c r="E26" s="175" t="s">
        <v>369</v>
      </c>
      <c r="F26" s="171"/>
    </row>
  </sheetData>
  <pageMargins left="0.7" right="0.7" top="0.75" bottom="0.75" header="0.3" footer="0.3"/>
  <pageSetup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6FD8B65384E29439F5A93165A0A8E7B" ma:contentTypeVersion="24" ma:contentTypeDescription="" ma:contentTypeScope="" ma:versionID="095f77abdb9a17afabb065b231b0ddd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TC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230</IndustryCode>
    <CaseStatus xmlns="dc463f71-b30c-4ab2-9473-d307f9d35888">Closed</CaseStatus>
    <OpenedDate xmlns="dc463f71-b30c-4ab2-9473-d307f9d35888">2023-05-30T07:00:00+00:00</OpenedDate>
    <SignificantOrder xmlns="dc463f71-b30c-4ab2-9473-d307f9d35888">false</SignificantOrder>
    <Date1 xmlns="dc463f71-b30c-4ab2-9473-d307f9d35888">2023-05-30T07:00:00+00:00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Beeline Tours LTD. </CaseCompanyNames>
    <Nickname xmlns="http://schemas.microsoft.com/sharepoint/v3" xsi:nil="true"/>
    <DocketNumber xmlns="dc463f71-b30c-4ab2-9473-d307f9d35888">230404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69AF377-7945-4B7F-B036-0CB9B793FF64}"/>
</file>

<file path=customXml/itemProps2.xml><?xml version="1.0" encoding="utf-8"?>
<ds:datastoreItem xmlns:ds="http://schemas.openxmlformats.org/officeDocument/2006/customXml" ds:itemID="{1873BBB0-3C94-4B65-8811-6CB83D2F0646}"/>
</file>

<file path=customXml/itemProps3.xml><?xml version="1.0" encoding="utf-8"?>
<ds:datastoreItem xmlns:ds="http://schemas.openxmlformats.org/officeDocument/2006/customXml" ds:itemID="{42F31D9E-63AD-4956-BA48-A50EA8A93B38}"/>
</file>

<file path=customXml/itemProps4.xml><?xml version="1.0" encoding="utf-8"?>
<ds:datastoreItem xmlns:ds="http://schemas.openxmlformats.org/officeDocument/2006/customXml" ds:itemID="{C2157004-0B5A-4D26-8426-96DB0AA864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SE 2022 BS</vt:lpstr>
      <vt:lpstr>Comb 12-mon P&amp;L</vt:lpstr>
      <vt:lpstr>Bee 12-mon P&amp;L</vt:lpstr>
      <vt:lpstr>SE 12-mon P&amp;L</vt:lpstr>
      <vt:lpstr>Results of Oper</vt:lpstr>
      <vt:lpstr>Adjustments</vt:lpstr>
      <vt:lpstr>Support --&gt;</vt:lpstr>
      <vt:lpstr>Reg Depr</vt:lpstr>
      <vt:lpstr>SE 2022 Pax</vt:lpstr>
      <vt:lpstr>Payroll</vt:lpstr>
      <vt:lpstr>Rate Case Exp</vt:lpstr>
      <vt:lpstr>Allocations</vt:lpstr>
      <vt:lpstr>SE Allocations</vt:lpstr>
      <vt:lpstr>Rev - Cash Basis</vt:lpstr>
      <vt:lpstr>Price-Out</vt:lpstr>
    </vt:vector>
  </TitlesOfParts>
  <Company>Seattle Express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Express-Results of Oper</dc:title>
  <dc:creator>AnnLaRue@KalahikiConsulting.onmicrosoft.com</dc:creator>
  <cp:lastModifiedBy>Ann LaRue</cp:lastModifiedBy>
  <cp:lastPrinted>2023-05-30T21:13:40Z</cp:lastPrinted>
  <dcterms:created xsi:type="dcterms:W3CDTF">2023-05-15T18:00:42Z</dcterms:created>
  <dcterms:modified xsi:type="dcterms:W3CDTF">2023-05-30T21:14:28Z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0x0101006E56B4D1795A2E4DB2F0B01679ED314A00D6FD8B65384E29439F5A93165A0A8E7B</vt:lpwstr>
  </property>
  <property fmtid="{D5CDD505-2E9C-101B-9397-08002B2CF9AE}" pid="3" name="_docset_NoMedatataSyncRequired">
    <vt:lpwstr>False</vt:lpwstr>
  </property>
</Properties>
</file>