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3\2023 WA Participatory (Intervenor) Funding Sch 61 and Sch 161 Filing\"/>
    </mc:Choice>
  </mc:AlternateContent>
  <xr:revisionPtr revIDLastSave="0" documentId="13_ncr:1_{F3FE9F70-F68F-4692-BE00-F76DC32767A3}" xr6:coauthVersionLast="47" xr6:coauthVersionMax="47" xr10:uidLastSave="{00000000-0000-0000-0000-000000000000}"/>
  <bookViews>
    <workbookView xWindow="16410" yWindow="2265" windowWidth="21600" windowHeight="11280" xr2:uid="{F40AA6A8-A7E3-45ED-B3FD-CF1ECD6AB89F}"/>
  </bookViews>
  <sheets>
    <sheet name="Rate Design" sheetId="2" r:id="rId1"/>
    <sheet name="Balance Forecast" sheetId="11" r:id="rId2"/>
    <sheet name="Payments - Allocation" sheetId="13" r:id="rId3"/>
    <sheet name="Load Forecast" sheetId="3" r:id="rId4"/>
    <sheet name="CF WA NG" sheetId="9" r:id="rId5"/>
    <sheet name="For Cover Letter" sheetId="12" r:id="rId6"/>
  </sheets>
  <externalReferences>
    <externalReference r:id="rId7"/>
    <externalReference r:id="rId8"/>
    <externalReference r:id="rId9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'Balance Forecast'!$A$1:$S$30</definedName>
    <definedName name="_xlnm.Print_Area" localSheetId="4">'CF WA NG'!$A$1:$E$26</definedName>
    <definedName name="_xlnm.Print_Area" localSheetId="3">'Load Forecast'!$A$1:$N$71</definedName>
    <definedName name="_xlnm.Print_Area" localSheetId="0">'Rate Design'!$A$1:$H$26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2" l="1"/>
  <c r="C42" i="2"/>
  <c r="E8" i="12" l="1"/>
  <c r="E7" i="12"/>
  <c r="E9" i="12" s="1"/>
  <c r="D7" i="12"/>
  <c r="C5" i="11" l="1"/>
  <c r="E6" i="12"/>
  <c r="E5" i="12"/>
  <c r="E4" i="12"/>
  <c r="E3" i="12"/>
  <c r="H16" i="2"/>
  <c r="H18" i="2" s="1"/>
  <c r="H19" i="2" s="1"/>
  <c r="H14" i="2"/>
  <c r="H13" i="2"/>
  <c r="C60" i="3"/>
  <c r="D60" i="3"/>
  <c r="E60" i="3"/>
  <c r="F60" i="3"/>
  <c r="G60" i="3"/>
  <c r="H60" i="3"/>
  <c r="I60" i="3"/>
  <c r="J60" i="3"/>
  <c r="J65" i="3" s="1"/>
  <c r="K60" i="3"/>
  <c r="L60" i="3"/>
  <c r="M60" i="3"/>
  <c r="C61" i="3"/>
  <c r="D61" i="3"/>
  <c r="E61" i="3"/>
  <c r="E65" i="3" s="1"/>
  <c r="F61" i="3"/>
  <c r="G61" i="3"/>
  <c r="G65" i="3" s="1"/>
  <c r="H61" i="3"/>
  <c r="I61" i="3"/>
  <c r="J61" i="3"/>
  <c r="K61" i="3"/>
  <c r="L61" i="3"/>
  <c r="M61" i="3"/>
  <c r="M65" i="3" s="1"/>
  <c r="C62" i="3"/>
  <c r="D62" i="3"/>
  <c r="D65" i="3" s="1"/>
  <c r="E62" i="3"/>
  <c r="F62" i="3"/>
  <c r="G62" i="3"/>
  <c r="H62" i="3"/>
  <c r="I62" i="3"/>
  <c r="J62" i="3"/>
  <c r="K62" i="3"/>
  <c r="L62" i="3"/>
  <c r="M62" i="3"/>
  <c r="C63" i="3"/>
  <c r="D63" i="3"/>
  <c r="E63" i="3"/>
  <c r="F63" i="3"/>
  <c r="G63" i="3"/>
  <c r="H63" i="3"/>
  <c r="I63" i="3"/>
  <c r="I65" i="3" s="1"/>
  <c r="J63" i="3"/>
  <c r="K63" i="3"/>
  <c r="K65" i="3" s="1"/>
  <c r="L63" i="3"/>
  <c r="M63" i="3"/>
  <c r="C64" i="3"/>
  <c r="D64" i="3"/>
  <c r="E64" i="3"/>
  <c r="F64" i="3"/>
  <c r="F65" i="3" s="1"/>
  <c r="G64" i="3"/>
  <c r="H64" i="3"/>
  <c r="I64" i="3"/>
  <c r="J64" i="3"/>
  <c r="K64" i="3"/>
  <c r="L64" i="3"/>
  <c r="M64" i="3"/>
  <c r="C65" i="3"/>
  <c r="L65" i="3"/>
  <c r="B64" i="3"/>
  <c r="B63" i="3"/>
  <c r="B62" i="3"/>
  <c r="B61" i="3"/>
  <c r="B60" i="3"/>
  <c r="C20" i="11"/>
  <c r="C15" i="11"/>
  <c r="C10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4" i="11"/>
  <c r="B27" i="11"/>
  <c r="E19" i="9"/>
  <c r="E21" i="9" s="1"/>
  <c r="E25" i="9" s="1"/>
  <c r="A1" i="9"/>
  <c r="C17" i="3"/>
  <c r="D17" i="3"/>
  <c r="E17" i="3"/>
  <c r="F17" i="3"/>
  <c r="G17" i="3"/>
  <c r="H17" i="3"/>
  <c r="I17" i="3"/>
  <c r="J17" i="3"/>
  <c r="K17" i="3"/>
  <c r="L17" i="3"/>
  <c r="M17" i="3"/>
  <c r="C18" i="3"/>
  <c r="D18" i="3"/>
  <c r="E18" i="3"/>
  <c r="F18" i="3"/>
  <c r="G18" i="3"/>
  <c r="H18" i="3"/>
  <c r="I18" i="3"/>
  <c r="J18" i="3"/>
  <c r="K18" i="3"/>
  <c r="L18" i="3"/>
  <c r="M18" i="3"/>
  <c r="C19" i="3"/>
  <c r="D19" i="3"/>
  <c r="E19" i="3"/>
  <c r="F19" i="3"/>
  <c r="G19" i="3"/>
  <c r="H19" i="3"/>
  <c r="I19" i="3"/>
  <c r="J19" i="3"/>
  <c r="K19" i="3"/>
  <c r="L19" i="3"/>
  <c r="M19" i="3"/>
  <c r="C20" i="3"/>
  <c r="D20" i="3"/>
  <c r="E20" i="3"/>
  <c r="F20" i="3"/>
  <c r="G20" i="3"/>
  <c r="H20" i="3"/>
  <c r="I20" i="3"/>
  <c r="J20" i="3"/>
  <c r="K20" i="3"/>
  <c r="L20" i="3"/>
  <c r="M20" i="3"/>
  <c r="C21" i="3"/>
  <c r="D21" i="3"/>
  <c r="E21" i="3"/>
  <c r="F21" i="3"/>
  <c r="G21" i="3"/>
  <c r="H21" i="3"/>
  <c r="I21" i="3"/>
  <c r="J21" i="3"/>
  <c r="K21" i="3"/>
  <c r="L21" i="3"/>
  <c r="M21" i="3"/>
  <c r="B21" i="3"/>
  <c r="B20" i="3"/>
  <c r="B19" i="3"/>
  <c r="B18" i="3"/>
  <c r="B17" i="3"/>
  <c r="H65" i="3" l="1"/>
  <c r="C25" i="11"/>
  <c r="C29" i="11" s="1"/>
  <c r="I16" i="12" l="1"/>
  <c r="B31" i="3"/>
  <c r="K31" i="3" s="1"/>
  <c r="B30" i="3"/>
  <c r="G30" i="3" s="1"/>
  <c r="B29" i="3"/>
  <c r="K29" i="3" s="1"/>
  <c r="B28" i="3"/>
  <c r="K28" i="3" s="1"/>
  <c r="B27" i="3"/>
  <c r="D27" i="3" s="1"/>
  <c r="B40" i="3"/>
  <c r="C21" i="11"/>
  <c r="C16" i="11"/>
  <c r="C17" i="11" s="1"/>
  <c r="D16" i="11" s="1"/>
  <c r="C11" i="11"/>
  <c r="C12" i="11" s="1"/>
  <c r="D11" i="11" s="1"/>
  <c r="C6" i="11"/>
  <c r="C7" i="11" s="1"/>
  <c r="D6" i="11" s="1"/>
  <c r="D13" i="13"/>
  <c r="D11" i="13"/>
  <c r="D9" i="13"/>
  <c r="D7" i="13"/>
  <c r="C13" i="13"/>
  <c r="C11" i="13"/>
  <c r="C9" i="13"/>
  <c r="C7" i="13"/>
  <c r="C2" i="11"/>
  <c r="D2" i="11" s="1"/>
  <c r="E2" i="11" s="1"/>
  <c r="G24" i="11"/>
  <c r="F24" i="11"/>
  <c r="E24" i="11"/>
  <c r="D24" i="11"/>
  <c r="J29" i="3" l="1"/>
  <c r="I29" i="3"/>
  <c r="E30" i="3"/>
  <c r="J28" i="3"/>
  <c r="F30" i="3"/>
  <c r="M30" i="3"/>
  <c r="H31" i="3"/>
  <c r="J31" i="3"/>
  <c r="I31" i="3"/>
  <c r="G31" i="3"/>
  <c r="C31" i="3"/>
  <c r="E31" i="3"/>
  <c r="L31" i="3"/>
  <c r="D31" i="3"/>
  <c r="F31" i="3"/>
  <c r="M31" i="3"/>
  <c r="D30" i="3"/>
  <c r="L30" i="3"/>
  <c r="K30" i="3"/>
  <c r="C30" i="3"/>
  <c r="I30" i="3"/>
  <c r="J30" i="3"/>
  <c r="H30" i="3"/>
  <c r="G29" i="3"/>
  <c r="H29" i="3"/>
  <c r="F29" i="3"/>
  <c r="M29" i="3"/>
  <c r="E29" i="3"/>
  <c r="C29" i="3"/>
  <c r="L29" i="3"/>
  <c r="D29" i="3"/>
  <c r="G28" i="3"/>
  <c r="F28" i="3"/>
  <c r="M28" i="3"/>
  <c r="E28" i="3"/>
  <c r="L28" i="3"/>
  <c r="D28" i="3"/>
  <c r="I28" i="3"/>
  <c r="H28" i="3"/>
  <c r="C28" i="3"/>
  <c r="L27" i="3"/>
  <c r="I27" i="3"/>
  <c r="H27" i="3"/>
  <c r="G27" i="3"/>
  <c r="F27" i="3"/>
  <c r="K27" i="3"/>
  <c r="J27" i="3"/>
  <c r="C27" i="3"/>
  <c r="M27" i="3"/>
  <c r="E27" i="3"/>
  <c r="C26" i="11"/>
  <c r="C22" i="11"/>
  <c r="D21" i="11" s="1"/>
  <c r="D17" i="11"/>
  <c r="E16" i="11" s="1"/>
  <c r="D12" i="11"/>
  <c r="E11" i="11" s="1"/>
  <c r="C27" i="11" l="1"/>
  <c r="D22" i="11"/>
  <c r="E21" i="11" s="1"/>
  <c r="D26" i="11"/>
  <c r="D7" i="11"/>
  <c r="E6" i="11" s="1"/>
  <c r="E17" i="11"/>
  <c r="F16" i="11" s="1"/>
  <c r="E12" i="11"/>
  <c r="F11" i="11" s="1"/>
  <c r="E22" i="11" l="1"/>
  <c r="F21" i="11" s="1"/>
  <c r="E26" i="11"/>
  <c r="D27" i="11"/>
  <c r="F17" i="11"/>
  <c r="G16" i="11" s="1"/>
  <c r="F12" i="11"/>
  <c r="G11" i="11" l="1"/>
  <c r="G12" i="11" s="1"/>
  <c r="F22" i="11"/>
  <c r="G17" i="11"/>
  <c r="G21" i="11" l="1"/>
  <c r="G22" i="11" s="1"/>
  <c r="F23" i="13" l="1"/>
  <c r="G22" i="13" s="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G21" i="13" l="1"/>
  <c r="E22" i="2" l="1"/>
  <c r="F22" i="2"/>
  <c r="G22" i="2"/>
  <c r="H22" i="2"/>
  <c r="D22" i="2"/>
  <c r="C22" i="2" l="1"/>
  <c r="E7" i="11"/>
  <c r="F6" i="11" s="1"/>
  <c r="C8" i="2"/>
  <c r="E27" i="11" l="1"/>
  <c r="F26" i="11"/>
  <c r="B37" i="3"/>
  <c r="B44" i="3" s="1"/>
  <c r="H19" i="11" s="1"/>
  <c r="C37" i="3"/>
  <c r="C44" i="3" s="1"/>
  <c r="I19" i="11" s="1"/>
  <c r="D37" i="3"/>
  <c r="D44" i="3" s="1"/>
  <c r="J19" i="11" s="1"/>
  <c r="E37" i="3"/>
  <c r="E44" i="3" s="1"/>
  <c r="K19" i="11" s="1"/>
  <c r="F37" i="3"/>
  <c r="F44" i="3" s="1"/>
  <c r="L19" i="11" s="1"/>
  <c r="G37" i="3"/>
  <c r="G44" i="3" s="1"/>
  <c r="M19" i="11" s="1"/>
  <c r="H37" i="3"/>
  <c r="H44" i="3" s="1"/>
  <c r="N19" i="11" s="1"/>
  <c r="I37" i="3"/>
  <c r="I44" i="3" s="1"/>
  <c r="O19" i="11" s="1"/>
  <c r="J37" i="3"/>
  <c r="J44" i="3" s="1"/>
  <c r="P19" i="11" s="1"/>
  <c r="K37" i="3"/>
  <c r="K44" i="3" s="1"/>
  <c r="Q19" i="11" s="1"/>
  <c r="L37" i="3"/>
  <c r="L44" i="3" s="1"/>
  <c r="R19" i="11" s="1"/>
  <c r="M37" i="3"/>
  <c r="M44" i="3" s="1"/>
  <c r="S19" i="11" s="1"/>
  <c r="G9" i="2" l="1"/>
  <c r="H21" i="11"/>
  <c r="H22" i="11" s="1"/>
  <c r="I21" i="11" s="1"/>
  <c r="I22" i="11" s="1"/>
  <c r="F7" i="1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J21" i="11" l="1"/>
  <c r="J22" i="11" s="1"/>
  <c r="F27" i="11"/>
  <c r="G6" i="11"/>
  <c r="G26" i="11" s="1"/>
  <c r="K21" i="11" l="1"/>
  <c r="K22" i="11" s="1"/>
  <c r="G7" i="11"/>
  <c r="B58" i="3"/>
  <c r="C58" i="3"/>
  <c r="D58" i="3"/>
  <c r="E58" i="3"/>
  <c r="F58" i="3"/>
  <c r="G58" i="3"/>
  <c r="H58" i="3"/>
  <c r="I58" i="3"/>
  <c r="J58" i="3"/>
  <c r="K58" i="3"/>
  <c r="L58" i="3"/>
  <c r="M58" i="3"/>
  <c r="N52" i="3"/>
  <c r="N53" i="3"/>
  <c r="N54" i="3"/>
  <c r="N55" i="3"/>
  <c r="N56" i="3"/>
  <c r="N57" i="3"/>
  <c r="B34" i="3"/>
  <c r="B41" i="3" s="1"/>
  <c r="H4" i="11" s="1"/>
  <c r="C34" i="3"/>
  <c r="C41" i="3" s="1"/>
  <c r="I4" i="11" s="1"/>
  <c r="D34" i="3"/>
  <c r="D41" i="3" s="1"/>
  <c r="J4" i="11" s="1"/>
  <c r="E34" i="3"/>
  <c r="E41" i="3" s="1"/>
  <c r="K4" i="11" s="1"/>
  <c r="F34" i="3"/>
  <c r="F41" i="3" s="1"/>
  <c r="L4" i="11" s="1"/>
  <c r="G34" i="3"/>
  <c r="G41" i="3" s="1"/>
  <c r="M4" i="11" s="1"/>
  <c r="H34" i="3"/>
  <c r="H41" i="3" s="1"/>
  <c r="N4" i="11" s="1"/>
  <c r="I34" i="3"/>
  <c r="I41" i="3" s="1"/>
  <c r="O4" i="11" s="1"/>
  <c r="J34" i="3"/>
  <c r="J41" i="3" s="1"/>
  <c r="P4" i="11" s="1"/>
  <c r="K34" i="3"/>
  <c r="K41" i="3" s="1"/>
  <c r="Q4" i="11" s="1"/>
  <c r="L34" i="3"/>
  <c r="L41" i="3" s="1"/>
  <c r="R4" i="11" s="1"/>
  <c r="M34" i="3"/>
  <c r="M41" i="3" s="1"/>
  <c r="S4" i="11" s="1"/>
  <c r="B35" i="3"/>
  <c r="B42" i="3" s="1"/>
  <c r="H9" i="11" s="1"/>
  <c r="C35" i="3"/>
  <c r="C42" i="3" s="1"/>
  <c r="I9" i="11" s="1"/>
  <c r="D35" i="3"/>
  <c r="D42" i="3" s="1"/>
  <c r="J9" i="11" s="1"/>
  <c r="E35" i="3"/>
  <c r="E42" i="3" s="1"/>
  <c r="K9" i="11" s="1"/>
  <c r="F35" i="3"/>
  <c r="F42" i="3" s="1"/>
  <c r="L9" i="11" s="1"/>
  <c r="G35" i="3"/>
  <c r="G42" i="3" s="1"/>
  <c r="M9" i="11" s="1"/>
  <c r="H35" i="3"/>
  <c r="H42" i="3" s="1"/>
  <c r="N9" i="11" s="1"/>
  <c r="I35" i="3"/>
  <c r="I42" i="3" s="1"/>
  <c r="O9" i="11" s="1"/>
  <c r="J35" i="3"/>
  <c r="J42" i="3" s="1"/>
  <c r="P9" i="11" s="1"/>
  <c r="K35" i="3"/>
  <c r="K42" i="3" s="1"/>
  <c r="Q9" i="11" s="1"/>
  <c r="L35" i="3"/>
  <c r="L42" i="3" s="1"/>
  <c r="R9" i="11" s="1"/>
  <c r="M35" i="3"/>
  <c r="M42" i="3" s="1"/>
  <c r="S9" i="11" s="1"/>
  <c r="B36" i="3"/>
  <c r="B43" i="3" s="1"/>
  <c r="H14" i="11" s="1"/>
  <c r="C36" i="3"/>
  <c r="C43" i="3" s="1"/>
  <c r="I14" i="11" s="1"/>
  <c r="D36" i="3"/>
  <c r="D43" i="3" s="1"/>
  <c r="J14" i="11" s="1"/>
  <c r="E36" i="3"/>
  <c r="E43" i="3" s="1"/>
  <c r="K14" i="11" s="1"/>
  <c r="F36" i="3"/>
  <c r="F43" i="3" s="1"/>
  <c r="L14" i="11" s="1"/>
  <c r="G36" i="3"/>
  <c r="G43" i="3" s="1"/>
  <c r="M14" i="11" s="1"/>
  <c r="H36" i="3"/>
  <c r="H43" i="3" s="1"/>
  <c r="N14" i="11" s="1"/>
  <c r="I36" i="3"/>
  <c r="I43" i="3" s="1"/>
  <c r="O14" i="11" s="1"/>
  <c r="J36" i="3"/>
  <c r="J43" i="3" s="1"/>
  <c r="P14" i="11" s="1"/>
  <c r="K36" i="3"/>
  <c r="K43" i="3" s="1"/>
  <c r="Q14" i="11" s="1"/>
  <c r="L36" i="3"/>
  <c r="L43" i="3" s="1"/>
  <c r="R14" i="11" s="1"/>
  <c r="M36" i="3"/>
  <c r="M43" i="3" s="1"/>
  <c r="S14" i="11" s="1"/>
  <c r="B38" i="3"/>
  <c r="B45" i="3" s="1"/>
  <c r="C38" i="3"/>
  <c r="C45" i="3" s="1"/>
  <c r="D38" i="3"/>
  <c r="D45" i="3" s="1"/>
  <c r="E38" i="3"/>
  <c r="E45" i="3" s="1"/>
  <c r="F38" i="3"/>
  <c r="F45" i="3" s="1"/>
  <c r="G38" i="3"/>
  <c r="G45" i="3" s="1"/>
  <c r="H38" i="3"/>
  <c r="H45" i="3" s="1"/>
  <c r="I38" i="3"/>
  <c r="I45" i="3" s="1"/>
  <c r="J38" i="3"/>
  <c r="J45" i="3" s="1"/>
  <c r="K38" i="3"/>
  <c r="K45" i="3" s="1"/>
  <c r="L38" i="3"/>
  <c r="L45" i="3" s="1"/>
  <c r="M38" i="3"/>
  <c r="M45" i="3" s="1"/>
  <c r="B14" i="3"/>
  <c r="C14" i="3"/>
  <c r="D14" i="3"/>
  <c r="E14" i="3"/>
  <c r="F14" i="3"/>
  <c r="G14" i="3"/>
  <c r="H14" i="3"/>
  <c r="I14" i="3"/>
  <c r="J14" i="3"/>
  <c r="K14" i="3"/>
  <c r="L14" i="3"/>
  <c r="M14" i="3"/>
  <c r="N13" i="3"/>
  <c r="N12" i="3"/>
  <c r="N11" i="3"/>
  <c r="N10" i="3"/>
  <c r="N9" i="3"/>
  <c r="N8" i="3"/>
  <c r="L21" i="11" l="1"/>
  <c r="L22" i="11" s="1"/>
  <c r="F9" i="2"/>
  <c r="H16" i="11"/>
  <c r="H17" i="11" s="1"/>
  <c r="D9" i="2"/>
  <c r="E9" i="2"/>
  <c r="G27" i="11"/>
  <c r="G67" i="3"/>
  <c r="I24" i="3"/>
  <c r="H24" i="3"/>
  <c r="M24" i="3"/>
  <c r="E24" i="3"/>
  <c r="G24" i="3"/>
  <c r="L24" i="3"/>
  <c r="D24" i="3"/>
  <c r="K24" i="3"/>
  <c r="C24" i="3"/>
  <c r="J24" i="3"/>
  <c r="B24" i="3"/>
  <c r="J67" i="3"/>
  <c r="B67" i="3"/>
  <c r="F67" i="3"/>
  <c r="M67" i="3"/>
  <c r="E67" i="3"/>
  <c r="L67" i="3"/>
  <c r="D67" i="3"/>
  <c r="K67" i="3"/>
  <c r="C67" i="3"/>
  <c r="I67" i="3"/>
  <c r="H67" i="3"/>
  <c r="F24" i="3"/>
  <c r="M21" i="11" l="1"/>
  <c r="M22" i="11" s="1"/>
  <c r="I16" i="11"/>
  <c r="I17" i="11" s="1"/>
  <c r="N51" i="3"/>
  <c r="N58" i="3" s="1"/>
  <c r="N7" i="3"/>
  <c r="N21" i="11" l="1"/>
  <c r="N22" i="11" s="1"/>
  <c r="J16" i="11"/>
  <c r="J17" i="11" s="1"/>
  <c r="O21" i="11" l="1"/>
  <c r="O22" i="11" s="1"/>
  <c r="K16" i="11"/>
  <c r="K17" i="11" s="1"/>
  <c r="P21" i="11" l="1"/>
  <c r="P22" i="11" s="1"/>
  <c r="L16" i="11"/>
  <c r="L17" i="11" s="1"/>
  <c r="Q21" i="11" l="1"/>
  <c r="Q22" i="11" s="1"/>
  <c r="M16" i="11"/>
  <c r="M17" i="11" s="1"/>
  <c r="N66" i="3"/>
  <c r="M50" i="3"/>
  <c r="L50" i="3"/>
  <c r="K50" i="3"/>
  <c r="J50" i="3"/>
  <c r="I50" i="3"/>
  <c r="H50" i="3"/>
  <c r="G50" i="3"/>
  <c r="F50" i="3"/>
  <c r="E50" i="3"/>
  <c r="D50" i="3"/>
  <c r="C50" i="3"/>
  <c r="B50" i="3"/>
  <c r="N23" i="3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R21" i="11" l="1"/>
  <c r="R22" i="11" s="1"/>
  <c r="N16" i="11"/>
  <c r="N17" i="11" s="1"/>
  <c r="N14" i="3"/>
  <c r="N18" i="3"/>
  <c r="E10" i="2" s="1"/>
  <c r="F22" i="3"/>
  <c r="N61" i="3"/>
  <c r="E12" i="2" s="1"/>
  <c r="N62" i="3"/>
  <c r="F12" i="2" s="1"/>
  <c r="N63" i="3"/>
  <c r="G12" i="2" s="1"/>
  <c r="N64" i="3"/>
  <c r="H12" i="2" s="1"/>
  <c r="B65" i="3"/>
  <c r="N60" i="3"/>
  <c r="D12" i="2" s="1"/>
  <c r="N19" i="3"/>
  <c r="F10" i="2" s="1"/>
  <c r="C22" i="3"/>
  <c r="G22" i="3"/>
  <c r="K22" i="3"/>
  <c r="N20" i="3"/>
  <c r="G10" i="2" s="1"/>
  <c r="N21" i="3"/>
  <c r="H10" i="2" s="1"/>
  <c r="B22" i="3"/>
  <c r="D22" i="3"/>
  <c r="H22" i="3"/>
  <c r="L22" i="3"/>
  <c r="J22" i="3"/>
  <c r="E22" i="3"/>
  <c r="I22" i="3"/>
  <c r="M22" i="3"/>
  <c r="N17" i="3"/>
  <c r="S21" i="11" l="1"/>
  <c r="S22" i="11" s="1"/>
  <c r="O16" i="11"/>
  <c r="O17" i="11" s="1"/>
  <c r="H11" i="11"/>
  <c r="H12" i="11" s="1"/>
  <c r="I11" i="11" s="1"/>
  <c r="I12" i="11" s="1"/>
  <c r="J11" i="11" s="1"/>
  <c r="J12" i="11" s="1"/>
  <c r="K11" i="11" s="1"/>
  <c r="K12" i="11" s="1"/>
  <c r="L11" i="11" s="1"/>
  <c r="L12" i="11" s="1"/>
  <c r="M11" i="11" s="1"/>
  <c r="M12" i="11" s="1"/>
  <c r="N11" i="11" s="1"/>
  <c r="N12" i="11" s="1"/>
  <c r="O11" i="11" s="1"/>
  <c r="O12" i="11" s="1"/>
  <c r="P11" i="11" s="1"/>
  <c r="P12" i="11" s="1"/>
  <c r="Q11" i="11" s="1"/>
  <c r="Q12" i="11" s="1"/>
  <c r="R11" i="11" s="1"/>
  <c r="R12" i="11" s="1"/>
  <c r="S11" i="11" s="1"/>
  <c r="S12" i="11" s="1"/>
  <c r="N24" i="3"/>
  <c r="C12" i="2"/>
  <c r="N67" i="3"/>
  <c r="N65" i="3"/>
  <c r="N22" i="3"/>
  <c r="D10" i="2"/>
  <c r="P16" i="11" l="1"/>
  <c r="P17" i="11" s="1"/>
  <c r="C10" i="2"/>
  <c r="Q16" i="11" l="1"/>
  <c r="Q17" i="11" s="1"/>
  <c r="H23" i="2"/>
  <c r="R16" i="11" l="1"/>
  <c r="R17" i="11" s="1"/>
  <c r="G13" i="2"/>
  <c r="S24" i="11"/>
  <c r="K24" i="11"/>
  <c r="R24" i="11"/>
  <c r="J24" i="11"/>
  <c r="Q24" i="11"/>
  <c r="I24" i="11"/>
  <c r="M24" i="11"/>
  <c r="P24" i="11"/>
  <c r="O24" i="11"/>
  <c r="N24" i="11"/>
  <c r="L24" i="11"/>
  <c r="G16" i="2"/>
  <c r="G18" i="2" s="1"/>
  <c r="G14" i="2"/>
  <c r="F13" i="2"/>
  <c r="S16" i="11" l="1"/>
  <c r="S17" i="11" s="1"/>
  <c r="G19" i="2"/>
  <c r="G23" i="2" s="1"/>
  <c r="I15" i="12" s="1"/>
  <c r="H24" i="11"/>
  <c r="H6" i="11"/>
  <c r="H26" i="11" s="1"/>
  <c r="F16" i="2"/>
  <c r="F14" i="2"/>
  <c r="E16" i="2"/>
  <c r="H7" i="11" l="1"/>
  <c r="F18" i="2"/>
  <c r="E18" i="2"/>
  <c r="E14" i="2"/>
  <c r="E13" i="2"/>
  <c r="C9" i="2"/>
  <c r="D14" i="2"/>
  <c r="F19" i="2" l="1"/>
  <c r="F23" i="2" s="1"/>
  <c r="I14" i="12" s="1"/>
  <c r="E19" i="2"/>
  <c r="E23" i="2" s="1"/>
  <c r="I13" i="12" s="1"/>
  <c r="I6" i="11"/>
  <c r="H27" i="11"/>
  <c r="D16" i="2"/>
  <c r="D13" i="2"/>
  <c r="D18" i="2" l="1"/>
  <c r="D19" i="2" s="1"/>
  <c r="D25" i="2"/>
  <c r="I7" i="11"/>
  <c r="I26" i="11"/>
  <c r="J6" i="11" l="1"/>
  <c r="J26" i="11" s="1"/>
  <c r="I27" i="11"/>
  <c r="C44" i="2"/>
  <c r="D44" i="2" s="1"/>
  <c r="D23" i="2"/>
  <c r="I12" i="12" s="1"/>
  <c r="C19" i="2"/>
  <c r="C23" i="2" s="1"/>
  <c r="J7" i="11" l="1"/>
  <c r="C46" i="2"/>
  <c r="K6" i="11" l="1"/>
  <c r="K26" i="11" s="1"/>
  <c r="J27" i="11"/>
  <c r="K7" i="11" l="1"/>
  <c r="L6" i="11" l="1"/>
  <c r="L26" i="11" s="1"/>
  <c r="K27" i="11"/>
  <c r="L7" i="11" l="1"/>
  <c r="M6" i="11" s="1"/>
  <c r="M26" i="11" s="1"/>
  <c r="M7" i="11" l="1"/>
  <c r="M27" i="11" s="1"/>
  <c r="L27" i="11"/>
  <c r="N6" i="11" l="1"/>
  <c r="N26" i="11" s="1"/>
  <c r="N7" i="11" l="1"/>
  <c r="O6" i="11" s="1"/>
  <c r="O26" i="11" s="1"/>
  <c r="N27" i="11" l="1"/>
  <c r="O7" i="11"/>
  <c r="P6" i="11" l="1"/>
  <c r="P26" i="11" s="1"/>
  <c r="O27" i="11"/>
  <c r="P7" i="11" l="1"/>
  <c r="Q6" i="11" l="1"/>
  <c r="Q26" i="11" s="1"/>
  <c r="P27" i="11"/>
  <c r="Q7" i="11" l="1"/>
  <c r="R6" i="11" l="1"/>
  <c r="R26" i="11" s="1"/>
  <c r="Q27" i="11"/>
  <c r="R7" i="11" l="1"/>
  <c r="R27" i="11" l="1"/>
  <c r="S6" i="11"/>
  <c r="S26" i="11" s="1"/>
  <c r="S7" i="11" l="1"/>
  <c r="S27" i="11" s="1"/>
</calcChain>
</file>

<file path=xl/sharedStrings.xml><?xml version="1.0" encoding="utf-8"?>
<sst xmlns="http://schemas.openxmlformats.org/spreadsheetml/2006/main" count="206" uniqueCount="149">
  <si>
    <t>Total</t>
  </si>
  <si>
    <t xml:space="preserve"> </t>
  </si>
  <si>
    <t>DESCRIPTION</t>
  </si>
  <si>
    <t>TOTAL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</si>
  <si>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</si>
  <si>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</si>
  <si>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</si>
  <si>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</si>
  <si>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</si>
  <si>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</si>
  <si>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</si>
  <si>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</si>
  <si>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Annual Load (Rate Year)</t>
  </si>
  <si>
    <t>Total Bills</t>
  </si>
  <si>
    <t>Difference in Rate</t>
  </si>
  <si>
    <t>Change in Revenue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</si>
  <si>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</si>
  <si>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</si>
  <si>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</si>
  <si>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</si>
  <si>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</si>
  <si>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</si>
  <si>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</si>
  <si>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</si>
  <si>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</si>
  <si>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Present Bill</t>
  </si>
  <si>
    <t>Basic Charge</t>
  </si>
  <si>
    <t>(Calendar Energy Usage by Rate Scheduled)</t>
  </si>
  <si>
    <t>(Total Customers by Rate Schedule)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</si>
  <si>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</si>
  <si>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</si>
  <si>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</si>
  <si>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</si>
  <si>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</si>
  <si>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</si>
  <si>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</si>
  <si>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Approved In</t>
  </si>
  <si>
    <t>Plus Bill Impact</t>
  </si>
  <si>
    <t>TWELVE MONTHS ENDED SEPTEMBER 30, 2021 (Effective 12/21/22)</t>
  </si>
  <si>
    <t>Allocated on Billed Revenue</t>
  </si>
  <si>
    <t>Total Normalized Billed Revenue</t>
  </si>
  <si>
    <t>Total Deferral Amount (Grossed Up)</t>
  </si>
  <si>
    <t>Avg Monthly Cost Per Customer</t>
  </si>
  <si>
    <t>Avg Annual Cost Per Customer</t>
  </si>
  <si>
    <t>Applicable Schedules</t>
  </si>
  <si>
    <t>AWEC</t>
  </si>
  <si>
    <t>NW Energy Coalition</t>
  </si>
  <si>
    <t>All Schedules</t>
  </si>
  <si>
    <t>WA Intervenor Payments Rate Design</t>
  </si>
  <si>
    <t>Effective 8/1/2023</t>
  </si>
  <si>
    <t>Intervening Party</t>
  </si>
  <si>
    <t>Alliance of Western Energy Consumers</t>
  </si>
  <si>
    <t>The Energy Project</t>
  </si>
  <si>
    <t>Small Business Utility Advocates</t>
  </si>
  <si>
    <t>Customer Class Represented</t>
  </si>
  <si>
    <t>Industrial</t>
  </si>
  <si>
    <t>Residential</t>
  </si>
  <si>
    <t>Commercial</t>
  </si>
  <si>
    <t>All</t>
  </si>
  <si>
    <t>Table 2 - Impact by Rate Schedule</t>
  </si>
  <si>
    <t>Schedule No.</t>
  </si>
  <si>
    <t>Rate Schedule</t>
  </si>
  <si>
    <t>Change in Billed Revenue</t>
  </si>
  <si>
    <t>General Service</t>
  </si>
  <si>
    <t>Large General Service</t>
  </si>
  <si>
    <t>Overall</t>
  </si>
  <si>
    <t>Order 12/06 - March 2, 2023</t>
  </si>
  <si>
    <t>Dockets UE-220053, UG-220054, UE-210854 (Consolidated)</t>
  </si>
  <si>
    <t>Amount</t>
  </si>
  <si>
    <t>Electric</t>
  </si>
  <si>
    <t>Gas</t>
  </si>
  <si>
    <t>Submission Date</t>
  </si>
  <si>
    <t>Fund</t>
  </si>
  <si>
    <t>Allocation</t>
  </si>
  <si>
    <t>Customer Representation Sub-Fund</t>
  </si>
  <si>
    <t>assigned proportionally between electric and natural gas customers based on total billed revenue, and only allocated to and recovered from the industrial customer class.</t>
  </si>
  <si>
    <t>TEP</t>
  </si>
  <si>
    <t>assigned proportionally between electric and natural gas customers based on total billed revenue, and only allocated to and recovered from the residential customer class.</t>
  </si>
  <si>
    <t>SBUA</t>
  </si>
  <si>
    <t>assigned proportionally between electric and natural gas customers based on total billed revenue, and only allocated to and recovered from the commercial customer class.</t>
  </si>
  <si>
    <t>NWEC</t>
  </si>
  <si>
    <t>assigned proportionally between electric and natural gas customers based on total billed revenue, and allocated to and recovered from all customer classes on an equal percentage basis.</t>
  </si>
  <si>
    <t>Electric Billed Revenue</t>
  </si>
  <si>
    <t>Natural Gas Billed Revenue</t>
  </si>
  <si>
    <t>* From GRC Present Billed Revenue</t>
  </si>
  <si>
    <t>Interest Rate (amortizing)</t>
  </si>
  <si>
    <t>Interest</t>
  </si>
  <si>
    <t>Balance</t>
  </si>
  <si>
    <t>Expected Tariff Revenue</t>
  </si>
  <si>
    <t>Beg Amt</t>
  </si>
  <si>
    <t>Gross Revenue</t>
  </si>
  <si>
    <t>Net Revenue</t>
  </si>
  <si>
    <t>Summary by Rate Group</t>
  </si>
  <si>
    <t>Rates by Rate Group</t>
  </si>
  <si>
    <t>1st Payment</t>
  </si>
  <si>
    <t>Interest Rate (deferral)</t>
  </si>
  <si>
    <t>Additions/Payments</t>
  </si>
  <si>
    <t>SPECIAL</t>
  </si>
  <si>
    <t>GENERAL SVC.</t>
  </si>
  <si>
    <t xml:space="preserve">LG GENERAL SVC. </t>
  </si>
  <si>
    <t>INTERUPTIBLE</t>
  </si>
  <si>
    <t>TRANSPORTATION</t>
  </si>
  <si>
    <t>CONTRACTS</t>
  </si>
  <si>
    <t>SCHEDULE 101, 102</t>
  </si>
  <si>
    <t>SCH. 111,112</t>
  </si>
  <si>
    <t>SCH. 131,132</t>
  </si>
  <si>
    <t>SCHEDULE 146</t>
  </si>
  <si>
    <t>SCH. 148</t>
  </si>
  <si>
    <t>Residential Bill Impact (67 therms)</t>
  </si>
  <si>
    <t>Cents Per therm Rate</t>
  </si>
  <si>
    <t>Proposed Cents per therm Rate</t>
  </si>
  <si>
    <t>Present Cents per therm Rate</t>
  </si>
  <si>
    <t>Schedule 101/102</t>
  </si>
  <si>
    <t>Schedule 111/112</t>
  </si>
  <si>
    <t>Schedule 131/132</t>
  </si>
  <si>
    <t>Schedule 146</t>
  </si>
  <si>
    <t>WA101</t>
  </si>
  <si>
    <t>WA111</t>
  </si>
  <si>
    <t>WA112</t>
  </si>
  <si>
    <t>WA121</t>
  </si>
  <si>
    <t>WA132</t>
  </si>
  <si>
    <t>WA146</t>
  </si>
  <si>
    <t>WA148</t>
  </si>
  <si>
    <t>WA101/WA102</t>
  </si>
  <si>
    <t>WA111/112</t>
  </si>
  <si>
    <t>WA131/132</t>
  </si>
  <si>
    <t>CALCULATION OF CONVERSION FACTOR:  WASHINGTON NATURAL GAS</t>
  </si>
  <si>
    <t>UG-220054</t>
  </si>
  <si>
    <t>101/102</t>
  </si>
  <si>
    <t>111/112</t>
  </si>
  <si>
    <t>131/132</t>
  </si>
  <si>
    <t>Interuptible Service</t>
  </si>
  <si>
    <t>146</t>
  </si>
  <si>
    <t>Transportation Service</t>
  </si>
  <si>
    <t xml:space="preserve">GSFM Apr Mid-month 04.12.23 </t>
  </si>
  <si>
    <t>Industrial (Transport 146)</t>
  </si>
  <si>
    <t>Residential (101/102)</t>
  </si>
  <si>
    <t>Commercial (111 - 132)</t>
  </si>
  <si>
    <t>n/a</t>
  </si>
  <si>
    <t>Amount Allocated to Natural Gas Customers</t>
  </si>
  <si>
    <t>Table 1 - Amounts Paid</t>
  </si>
  <si>
    <t>Total Amount Paid</t>
  </si>
  <si>
    <t>Party</t>
  </si>
  <si>
    <t>Forecasted Deferral Balance</t>
  </si>
  <si>
    <t>Add: Interests and Revenue Related Expenses:</t>
  </si>
  <si>
    <t>Total Requested Recovery</t>
  </si>
  <si>
    <t>First 70 therms</t>
  </si>
  <si>
    <t>Next 70 therms</t>
  </si>
  <si>
    <t>Residential Bill at 5/1/2023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</si>
</sst>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00"/>
    <numFmt numFmtId="173" formatCode="0.000%"/>
    <numFmt numFmtId="174" formatCode="_(&quot;$&quot;* #,##0.000_);_(&quot;$&quot;* \(#,##0.000\);_(&quot;$&quot;* &quot;-&quot;??_);_(@_)"/>
    <numFmt numFmtId="175" formatCode="_(* #,##0.00000_);_(* \(#,##0.00000\);_(* &quot;-&quot;??_);_(@_)"/>
    <numFmt numFmtId="176" formatCode="0000"/>
    <numFmt numFmtId="177" formatCode="000000"/>
    <numFmt numFmtId="178" formatCode="d\.mmm\.yy"/>
    <numFmt numFmtId="179" formatCode="_-* #,##0.00\ _D_M_-;\-* #,##0.00\ _D_M_-;_-* &quot;-&quot;??\ _D_M_-;_-@_-"/>
    <numFmt numFmtId="180" formatCode="_(* #,##0.000_);_(* \(#,##0.000\);_(* &quot;-&quot;??_);_(@_)"/>
    <numFmt numFmtId="181" formatCode="#.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mmmm\ d\,\ yyyy"/>
    <numFmt numFmtId="186" formatCode="[Blue]#,##0_);[Magenta]\(#,##0\)"/>
    <numFmt numFmtId="187" formatCode="_([$€-2]* #,##0.00_);_([$€-2]* \(#,##0.00\);_([$€-2]* &quot;-&quot;??_)"/>
    <numFmt numFmtId="188" formatCode="_(&quot;$&quot;* #,##0.0_);_(&quot;$&quot;* \(#,##0.0\);_(&quot;$&quot;* &quot;-&quot;??_);_(@_)"/>
    <numFmt numFmtId="189" formatCode="0.0000_);\(0.0000\)"/>
    <numFmt numFmtId="190" formatCode="0.00_)"/>
    <numFmt numFmtId="191" formatCode="&quot;$&quot;#,##0;\-&quot;$&quot;#,##0"/>
    <numFmt numFmtId="192" formatCode="_(&quot;$&quot;* #,##0.000000_);_(&quot;$&quot;* \(#,##0.000000\);_(&quot;$&quot;* &quot;-&quot;??????_);_(@_)"/>
    <numFmt numFmtId="193" formatCode="#,##0.00\ ;\(#,##0.00\)"/>
    <numFmt numFmtId="194" formatCode="0\ &quot; HR&quot;"/>
    <numFmt numFmtId="195" formatCode="0000000"/>
    <numFmt numFmtId="196" formatCode="0.0000%"/>
    <numFmt numFmtId="197" formatCode="0.00000%"/>
    <numFmt numFmtId="198" formatCode="mmm\-yyyy"/>
    <numFmt numFmtId="199" formatCode="m/yy"/>
    <numFmt numFmtId="200" formatCode="_(&quot;$&quot;* #,##0.0000_);_(&quot;$&quot;* \(#,##0.0000\);_(&quot;$&quot;* &quot;-&quot;????_);_(@_)"/>
    <numFmt numFmtId="201" formatCode="_(* #,##0.0_);_(* \(#,##0.0\);_(* &quot;-&quot;_);_(@_)"/>
    <numFmt numFmtId="202" formatCode="_(&quot;$&quot;* #,##0.0000_);_(&quot;$&quot;* \(#,##0.0000\);_(&quot;$&quot;* &quot;-&quot;??_);_(@_)"/>
    <numFmt numFmtId="203" formatCode="&quot;$&quot;#,##0.00000_);\(&quot;$&quot;#,##0.00000\)"/>
  </numFmts>
  <fonts count="13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49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3" fillId="0" borderId="0">
      <alignment readingOrder="1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>
      <alignment readingOrder="1"/>
    </xf>
    <xf numFmtId="0" fontId="6" fillId="0" borderId="0"/>
    <xf numFmtId="3" fontId="9" fillId="0" borderId="0"/>
    <xf numFmtId="3" fontId="9" fillId="0" borderId="0"/>
    <xf numFmtId="0" fontId="1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2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42" fillId="0" borderId="0"/>
    <xf numFmtId="0" fontId="42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42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42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42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2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42" fillId="0" borderId="0"/>
    <xf numFmtId="0" fontId="42" fillId="0" borderId="0"/>
    <xf numFmtId="176" fontId="44" fillId="0" borderId="0">
      <alignment horizontal="left"/>
    </xf>
    <xf numFmtId="177" fontId="45" fillId="0" borderId="0">
      <alignment horizontal="left"/>
    </xf>
    <xf numFmtId="0" fontId="46" fillId="0" borderId="25"/>
    <xf numFmtId="0" fontId="47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170" fontId="43" fillId="0" borderId="0">
      <alignment horizontal="left" wrapText="1"/>
    </xf>
    <xf numFmtId="0" fontId="48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70" fontId="43" fillId="0" borderId="0">
      <alignment horizontal="left" wrapText="1"/>
    </xf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8" fillId="35" borderId="0" applyNumberFormat="0" applyBorder="0" applyAlignment="0" applyProtection="0"/>
    <xf numFmtId="170" fontId="43" fillId="0" borderId="0">
      <alignment horizontal="left" wrapText="1"/>
    </xf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0" fontId="43" fillId="0" borderId="0">
      <alignment horizontal="left" wrapText="1"/>
    </xf>
    <xf numFmtId="0" fontId="4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170" fontId="43" fillId="0" borderId="0">
      <alignment horizontal="left" wrapText="1"/>
    </xf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8" fillId="37" borderId="0" applyNumberFormat="0" applyBorder="0" applyAlignment="0" applyProtection="0"/>
    <xf numFmtId="170" fontId="43" fillId="0" borderId="0">
      <alignment horizontal="left" wrapText="1"/>
    </xf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170" fontId="43" fillId="0" borderId="0">
      <alignment horizontal="left" wrapText="1"/>
    </xf>
    <xf numFmtId="0" fontId="48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70" fontId="43" fillId="0" borderId="0">
      <alignment horizontal="left" wrapText="1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8" fillId="39" borderId="0" applyNumberFormat="0" applyBorder="0" applyAlignment="0" applyProtection="0"/>
    <xf numFmtId="170" fontId="43" fillId="0" borderId="0">
      <alignment horizontal="left" wrapText="1"/>
    </xf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3" fillId="0" borderId="0">
      <alignment horizontal="left" wrapText="1"/>
    </xf>
    <xf numFmtId="0" fontId="48" fillId="4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170" fontId="43" fillId="0" borderId="0">
      <alignment horizontal="left" wrapText="1"/>
    </xf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8" fillId="41" borderId="0" applyNumberFormat="0" applyBorder="0" applyAlignment="0" applyProtection="0"/>
    <xf numFmtId="170" fontId="43" fillId="0" borderId="0">
      <alignment horizontal="left" wrapText="1"/>
    </xf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170" fontId="43" fillId="0" borderId="0">
      <alignment horizontal="left" wrapText="1"/>
    </xf>
    <xf numFmtId="0" fontId="48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8" fillId="4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170" fontId="43" fillId="0" borderId="0">
      <alignment horizontal="left" wrapText="1"/>
    </xf>
    <xf numFmtId="0" fontId="48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70" fontId="43" fillId="0" borderId="0">
      <alignment horizontal="left" wrapText="1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8" fillId="42" borderId="0" applyNumberFormat="0" applyBorder="0" applyAlignment="0" applyProtection="0"/>
    <xf numFmtId="170" fontId="43" fillId="0" borderId="0">
      <alignment horizontal="left" wrapText="1"/>
    </xf>
    <xf numFmtId="0" fontId="48" fillId="4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3" fillId="0" borderId="0">
      <alignment horizontal="left" wrapText="1"/>
    </xf>
    <xf numFmtId="0" fontId="48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170" fontId="43" fillId="0" borderId="0">
      <alignment horizontal="left" wrapText="1"/>
    </xf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8" fillId="36" borderId="0" applyNumberFormat="0" applyBorder="0" applyAlignment="0" applyProtection="0"/>
    <xf numFmtId="170" fontId="43" fillId="0" borderId="0">
      <alignment horizontal="left" wrapText="1"/>
    </xf>
    <xf numFmtId="0" fontId="48" fillId="3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70" fontId="43" fillId="0" borderId="0">
      <alignment horizontal="left" wrapText="1"/>
    </xf>
    <xf numFmtId="0" fontId="48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8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70" fontId="43" fillId="0" borderId="0">
      <alignment horizontal="left" wrapText="1"/>
    </xf>
    <xf numFmtId="0" fontId="48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170" fontId="43" fillId="0" borderId="0">
      <alignment horizontal="left" wrapText="1"/>
    </xf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8" fillId="44" borderId="0" applyNumberFormat="0" applyBorder="0" applyAlignment="0" applyProtection="0"/>
    <xf numFmtId="170" fontId="43" fillId="0" borderId="0">
      <alignment horizontal="left" wrapText="1"/>
    </xf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170" fontId="43" fillId="0" borderId="0">
      <alignment horizontal="left" wrapText="1"/>
    </xf>
    <xf numFmtId="0" fontId="48" fillId="4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170" fontId="43" fillId="0" borderId="0">
      <alignment horizontal="left" wrapText="1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8" fillId="41" borderId="0" applyNumberFormat="0" applyBorder="0" applyAlignment="0" applyProtection="0"/>
    <xf numFmtId="170" fontId="43" fillId="0" borderId="0">
      <alignment horizontal="left" wrapText="1"/>
    </xf>
    <xf numFmtId="0" fontId="48" fillId="41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70" fontId="43" fillId="0" borderId="0">
      <alignment horizontal="left" wrapText="1"/>
    </xf>
    <xf numFmtId="0" fontId="48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170" fontId="43" fillId="0" borderId="0">
      <alignment horizontal="left" wrapText="1"/>
    </xf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8" fillId="36" borderId="0" applyNumberFormat="0" applyBorder="0" applyAlignment="0" applyProtection="0"/>
    <xf numFmtId="170" fontId="43" fillId="0" borderId="0">
      <alignment horizontal="left" wrapText="1"/>
    </xf>
    <xf numFmtId="0" fontId="48" fillId="3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170" fontId="43" fillId="0" borderId="0">
      <alignment horizontal="left" wrapText="1"/>
    </xf>
    <xf numFmtId="0" fontId="48" fillId="46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170" fontId="43" fillId="0" borderId="0">
      <alignment horizontal="left" wrapText="1"/>
    </xf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8" fillId="46" borderId="0" applyNumberFormat="0" applyBorder="0" applyAlignment="0" applyProtection="0"/>
    <xf numFmtId="170" fontId="43" fillId="0" borderId="0">
      <alignment horizontal="left" wrapText="1"/>
    </xf>
    <xf numFmtId="0" fontId="48" fillId="46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20" fillId="13" borderId="0" applyNumberFormat="0" applyBorder="0" applyAlignment="0" applyProtection="0"/>
    <xf numFmtId="0" fontId="20" fillId="43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49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49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20" fillId="21" borderId="0" applyNumberFormat="0" applyBorder="0" applyAlignment="0" applyProtection="0"/>
    <xf numFmtId="0" fontId="20" fillId="46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49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37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49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0" fillId="29" borderId="0" applyNumberFormat="0" applyBorder="0" applyAlignment="0" applyProtection="0"/>
    <xf numFmtId="0" fontId="20" fillId="43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49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49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0" fillId="10" borderId="0" applyNumberFormat="0" applyBorder="0" applyAlignment="0" applyProtection="0"/>
    <xf numFmtId="0" fontId="20" fillId="56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20" fillId="10" borderId="0" applyNumberFormat="0" applyBorder="0" applyAlignment="0" applyProtection="0"/>
    <xf numFmtId="0" fontId="20" fillId="56" borderId="0" applyNumberFormat="0" applyBorder="0" applyAlignment="0" applyProtection="0"/>
    <xf numFmtId="170" fontId="43" fillId="0" borderId="0">
      <alignment horizontal="left" wrapText="1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48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20" fillId="14" borderId="0" applyNumberFormat="0" applyBorder="0" applyAlignment="0" applyProtection="0"/>
    <xf numFmtId="0" fontId="20" fillId="48" borderId="0" applyNumberFormat="0" applyBorder="0" applyAlignment="0" applyProtection="0"/>
    <xf numFmtId="170" fontId="43" fillId="0" borderId="0">
      <alignment horizontal="left" wrapText="1"/>
    </xf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20" fillId="18" borderId="0" applyNumberFormat="0" applyBorder="0" applyAlignment="0" applyProtection="0"/>
    <xf numFmtId="0" fontId="20" fillId="46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20" fillId="18" borderId="0" applyNumberFormat="0" applyBorder="0" applyAlignment="0" applyProtection="0"/>
    <xf numFmtId="0" fontId="20" fillId="46" borderId="0" applyNumberFormat="0" applyBorder="0" applyAlignment="0" applyProtection="0"/>
    <xf numFmtId="170" fontId="43" fillId="0" borderId="0">
      <alignment horizontal="left" wrapText="1"/>
    </xf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0" fillId="22" borderId="0" applyNumberFormat="0" applyBorder="0" applyAlignment="0" applyProtection="0"/>
    <xf numFmtId="0" fontId="20" fillId="65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20" fillId="22" borderId="0" applyNumberFormat="0" applyBorder="0" applyAlignment="0" applyProtection="0"/>
    <xf numFmtId="0" fontId="20" fillId="65" borderId="0" applyNumberFormat="0" applyBorder="0" applyAlignment="0" applyProtection="0"/>
    <xf numFmtId="170" fontId="43" fillId="0" borderId="0">
      <alignment horizontal="left" wrapText="1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9" fillId="5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0" fontId="43" fillId="0" borderId="0">
      <alignment horizontal="left" wrapText="1"/>
    </xf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0" fillId="26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0" fillId="30" borderId="0" applyNumberFormat="0" applyBorder="0" applyAlignment="0" applyProtection="0"/>
    <xf numFmtId="0" fontId="20" fillId="60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20" fillId="30" borderId="0" applyNumberFormat="0" applyBorder="0" applyAlignment="0" applyProtection="0"/>
    <xf numFmtId="0" fontId="20" fillId="60" borderId="0" applyNumberFormat="0" applyBorder="0" applyAlignment="0" applyProtection="0"/>
    <xf numFmtId="170" fontId="43" fillId="0" borderId="0">
      <alignment horizontal="left" wrapText="1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27" fillId="4" borderId="0" applyNumberFormat="0" applyBorder="0" applyAlignment="0" applyProtection="0"/>
    <xf numFmtId="0" fontId="27" fillId="41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50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7" fillId="0" borderId="25"/>
    <xf numFmtId="178" fontId="51" fillId="0" borderId="0" applyFill="0" applyBorder="0" applyAlignment="0"/>
    <xf numFmtId="178" fontId="51" fillId="0" borderId="0" applyFill="0" applyBorder="0" applyAlignment="0"/>
    <xf numFmtId="170" fontId="43" fillId="0" borderId="0">
      <alignment horizontal="left" wrapText="1"/>
    </xf>
    <xf numFmtId="170" fontId="43" fillId="0" borderId="0">
      <alignment horizontal="left" wrapText="1"/>
    </xf>
    <xf numFmtId="178" fontId="51" fillId="0" borderId="0" applyFill="0" applyBorder="0" applyAlignment="0"/>
    <xf numFmtId="41" fontId="10" fillId="68" borderId="0"/>
    <xf numFmtId="0" fontId="52" fillId="69" borderId="26" applyNumberFormat="0" applyAlignment="0" applyProtection="0"/>
    <xf numFmtId="170" fontId="43" fillId="0" borderId="0">
      <alignment horizontal="left" wrapText="1"/>
    </xf>
    <xf numFmtId="0" fontId="52" fillId="69" borderId="26" applyNumberFormat="0" applyAlignment="0" applyProtection="0"/>
    <xf numFmtId="0" fontId="30" fillId="7" borderId="19" applyNumberFormat="0" applyAlignment="0" applyProtection="0"/>
    <xf numFmtId="0" fontId="53" fillId="70" borderId="19" applyNumberFormat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1" fontId="10" fillId="68" borderId="0"/>
    <xf numFmtId="170" fontId="43" fillId="0" borderId="0">
      <alignment horizontal="left" wrapText="1"/>
    </xf>
    <xf numFmtId="41" fontId="10" fillId="68" borderId="0"/>
    <xf numFmtId="0" fontId="30" fillId="7" borderId="19" applyNumberFormat="0" applyAlignment="0" applyProtection="0"/>
    <xf numFmtId="0" fontId="53" fillId="70" borderId="19" applyNumberFormat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1" fontId="10" fillId="68" borderId="0"/>
    <xf numFmtId="41" fontId="10" fillId="68" borderId="0"/>
    <xf numFmtId="170" fontId="43" fillId="0" borderId="0">
      <alignment horizontal="left" wrapText="1"/>
    </xf>
    <xf numFmtId="41" fontId="10" fillId="68" borderId="0"/>
    <xf numFmtId="170" fontId="43" fillId="0" borderId="0">
      <alignment horizontal="left" wrapText="1"/>
    </xf>
    <xf numFmtId="41" fontId="10" fillId="68" borderId="0"/>
    <xf numFmtId="170" fontId="43" fillId="0" borderId="0">
      <alignment horizontal="left" wrapText="1"/>
    </xf>
    <xf numFmtId="41" fontId="10" fillId="68" borderId="0"/>
    <xf numFmtId="170" fontId="43" fillId="0" borderId="0">
      <alignment horizontal="left" wrapText="1"/>
    </xf>
    <xf numFmtId="41" fontId="10" fillId="68" borderId="0"/>
    <xf numFmtId="41" fontId="10" fillId="68" borderId="0"/>
    <xf numFmtId="41" fontId="10" fillId="68" borderId="0"/>
    <xf numFmtId="0" fontId="53" fillId="70" borderId="19" applyNumberFormat="0" applyAlignment="0" applyProtection="0"/>
    <xf numFmtId="0" fontId="30" fillId="7" borderId="19" applyNumberFormat="0" applyAlignment="0" applyProtection="0"/>
    <xf numFmtId="0" fontId="54" fillId="71" borderId="27" applyNumberFormat="0" applyAlignment="0" applyProtection="0"/>
    <xf numFmtId="0" fontId="54" fillId="71" borderId="27" applyNumberFormat="0" applyAlignment="0" applyProtection="0"/>
    <xf numFmtId="170" fontId="43" fillId="0" borderId="0">
      <alignment horizontal="left" wrapText="1"/>
    </xf>
    <xf numFmtId="0" fontId="54" fillId="71" borderId="27" applyNumberFormat="0" applyAlignment="0" applyProtection="0"/>
    <xf numFmtId="170" fontId="43" fillId="0" borderId="0">
      <alignment horizontal="left" wrapText="1"/>
    </xf>
    <xf numFmtId="0" fontId="21" fillId="8" borderId="22" applyNumberFormat="0" applyAlignment="0" applyProtection="0"/>
    <xf numFmtId="0" fontId="54" fillId="71" borderId="27" applyNumberFormat="0" applyAlignment="0" applyProtection="0"/>
    <xf numFmtId="41" fontId="10" fillId="34" borderId="0"/>
    <xf numFmtId="41" fontId="10" fillId="34" borderId="0"/>
    <xf numFmtId="170" fontId="43" fillId="0" borderId="0">
      <alignment horizontal="left" wrapText="1"/>
    </xf>
    <xf numFmtId="41" fontId="10" fillId="34" borderId="0"/>
    <xf numFmtId="41" fontId="10" fillId="34" borderId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55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8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3" fontId="48" fillId="0" borderId="0" applyFont="0" applyFill="0" applyBorder="0" applyAlignment="0" applyProtection="0"/>
    <xf numFmtId="170" fontId="43" fillId="0" borderId="0">
      <alignment horizontal="left" wrapText="1"/>
    </xf>
    <xf numFmtId="43" fontId="48" fillId="0" borderId="0" applyFont="0" applyFill="0" applyBorder="0" applyAlignment="0" applyProtection="0"/>
    <xf numFmtId="170" fontId="43" fillId="0" borderId="0">
      <alignment horizontal="left" wrapText="1"/>
    </xf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>
      <alignment horizontal="left" wrapText="1"/>
    </xf>
    <xf numFmtId="43" fontId="10" fillId="0" borderId="0" applyFont="0" applyFill="0" applyBorder="0" applyAlignment="0" applyProtection="0"/>
    <xf numFmtId="3" fontId="58" fillId="0" borderId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70" fontId="43" fillId="0" borderId="0">
      <alignment horizontal="left" wrapText="1"/>
    </xf>
    <xf numFmtId="3" fontId="58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81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70" fontId="43" fillId="0" borderId="0">
      <alignment horizontal="left" wrapText="1"/>
    </xf>
    <xf numFmtId="170" fontId="43" fillId="0" borderId="0">
      <alignment horizontal="left" wrapText="1"/>
    </xf>
    <xf numFmtId="0" fontId="67" fillId="0" borderId="0" applyNumberFormat="0" applyAlignment="0"/>
    <xf numFmtId="0" fontId="59" fillId="0" borderId="0"/>
    <xf numFmtId="0" fontId="59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0" fontId="59" fillId="0" borderId="0"/>
    <xf numFmtId="0" fontId="59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8" fontId="5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3" fillId="0" borderId="0">
      <alignment horizontal="left" wrapText="1"/>
    </xf>
    <xf numFmtId="44" fontId="56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8" fontId="55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43" fillId="0" borderId="0">
      <alignment horizontal="left" wrapText="1"/>
    </xf>
    <xf numFmtId="182" fontId="10" fillId="0" borderId="0" applyFont="0" applyFill="0" applyBorder="0" applyAlignment="0" applyProtection="0"/>
    <xf numFmtId="170" fontId="43" fillId="0" borderId="0">
      <alignment horizontal="left" wrapText="1"/>
    </xf>
    <xf numFmtId="182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44" fontId="48" fillId="0" borderId="0" applyFont="0" applyFill="0" applyBorder="0" applyAlignment="0" applyProtection="0"/>
    <xf numFmtId="170" fontId="43" fillId="0" borderId="0">
      <alignment horizontal="left" wrapText="1"/>
    </xf>
    <xf numFmtId="4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3" fillId="0" borderId="0">
      <alignment horizontal="left" wrapText="1"/>
    </xf>
    <xf numFmtId="44" fontId="10" fillId="0" borderId="0" applyFont="0" applyFill="0" applyBorder="0" applyAlignment="0" applyProtection="0"/>
    <xf numFmtId="5" fontId="58" fillId="0" borderId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83" fontId="10" fillId="0" borderId="0" applyFont="0" applyFill="0" applyBorder="0" applyAlignment="0" applyProtection="0"/>
    <xf numFmtId="184" fontId="7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0" fontId="43" fillId="0" borderId="0">
      <alignment horizontal="left" wrapText="1"/>
    </xf>
    <xf numFmtId="5" fontId="58" fillId="0" borderId="0" applyFill="0" applyBorder="0" applyAlignment="0" applyProtection="0"/>
    <xf numFmtId="183" fontId="10" fillId="0" borderId="0" applyFont="0" applyFill="0" applyBorder="0" applyAlignment="0" applyProtection="0"/>
    <xf numFmtId="184" fontId="58" fillId="0" borderId="0" applyFont="0" applyFill="0" applyBorder="0" applyAlignment="0" applyProtection="0"/>
    <xf numFmtId="5" fontId="58" fillId="0" borderId="0" applyFill="0" applyBorder="0" applyAlignment="0" applyProtection="0"/>
    <xf numFmtId="183" fontId="10" fillId="0" borderId="0" applyFont="0" applyFill="0" applyBorder="0" applyAlignment="0" applyProtection="0"/>
    <xf numFmtId="185" fontId="58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3" fillId="0" borderId="0" applyFont="0" applyFill="0" applyBorder="0" applyAlignment="0" applyProtection="0"/>
    <xf numFmtId="170" fontId="43" fillId="0" borderId="0">
      <alignment horizontal="left" wrapText="1"/>
    </xf>
    <xf numFmtId="185" fontId="58" fillId="0" borderId="0" applyFill="0" applyBorder="0" applyAlignment="0" applyProtection="0"/>
    <xf numFmtId="0" fontId="63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58" fillId="0" borderId="0" applyFill="0" applyBorder="0" applyAlignment="0" applyProtection="0"/>
    <xf numFmtId="0" fontId="70" fillId="0" borderId="0" applyFont="0" applyFill="0" applyBorder="0" applyAlignment="0" applyProtection="0"/>
    <xf numFmtId="0" fontId="47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70" fontId="10" fillId="0" borderId="0"/>
    <xf numFmtId="170" fontId="10" fillId="0" borderId="0"/>
    <xf numFmtId="17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/>
    <xf numFmtId="170" fontId="10" fillId="0" borderId="0"/>
    <xf numFmtId="170" fontId="43" fillId="0" borderId="0">
      <alignment horizontal="left" wrapText="1"/>
    </xf>
    <xf numFmtId="170" fontId="10" fillId="0" borderId="0"/>
    <xf numFmtId="170" fontId="43" fillId="0" borderId="0">
      <alignment horizontal="left" wrapText="1"/>
    </xf>
    <xf numFmtId="170" fontId="10" fillId="0" borderId="0"/>
    <xf numFmtId="170" fontId="43" fillId="0" borderId="0">
      <alignment horizontal="left" wrapText="1"/>
    </xf>
    <xf numFmtId="186" fontId="72" fillId="0" borderId="0"/>
    <xf numFmtId="170" fontId="43" fillId="0" borderId="0">
      <alignment horizontal="left" wrapText="1"/>
    </xf>
    <xf numFmtId="17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/>
    <xf numFmtId="170" fontId="10" fillId="0" borderId="0"/>
    <xf numFmtId="170" fontId="10" fillId="0" borderId="0"/>
    <xf numFmtId="187" fontId="10" fillId="0" borderId="0" applyFont="0" applyFill="0" applyBorder="0" applyAlignment="0" applyProtection="0">
      <alignment horizontal="left" wrapText="1"/>
    </xf>
    <xf numFmtId="187" fontId="10" fillId="0" borderId="0" applyFont="0" applyFill="0" applyBorder="0" applyAlignment="0" applyProtection="0">
      <alignment horizontal="left" wrapText="1"/>
    </xf>
    <xf numFmtId="187" fontId="10" fillId="0" borderId="0" applyFont="0" applyFill="0" applyBorder="0" applyAlignment="0" applyProtection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87" fontId="10" fillId="0" borderId="0" applyFont="0" applyFill="0" applyBorder="0" applyAlignment="0" applyProtection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87" fontId="10" fillId="0" borderId="0" applyFont="0" applyFill="0" applyBorder="0" applyAlignment="0" applyProtection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43" fillId="0" borderId="0">
      <alignment horizontal="left" wrapText="1"/>
    </xf>
    <xf numFmtId="0" fontId="3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26" fillId="3" borderId="0" applyNumberFormat="0" applyBorder="0" applyAlignment="0" applyProtection="0"/>
    <xf numFmtId="0" fontId="26" fillId="43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74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170" fontId="43" fillId="0" borderId="0">
      <alignment horizontal="left" wrapText="1"/>
    </xf>
    <xf numFmtId="38" fontId="38" fillId="34" borderId="0" applyNumberFormat="0" applyBorder="0" applyAlignment="0" applyProtection="0"/>
    <xf numFmtId="0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38" fontId="38" fillId="34" borderId="0" applyNumberFormat="0" applyBorder="0" applyAlignment="0" applyProtection="0"/>
    <xf numFmtId="0" fontId="75" fillId="0" borderId="25"/>
    <xf numFmtId="188" fontId="36" fillId="0" borderId="0" applyNumberFormat="0" applyFill="0" applyBorder="0" applyProtection="0">
      <alignment horizontal="right"/>
    </xf>
    <xf numFmtId="0" fontId="76" fillId="0" borderId="1" applyNumberFormat="0" applyAlignment="0" applyProtection="0">
      <alignment horizontal="left"/>
    </xf>
    <xf numFmtId="0" fontId="76" fillId="0" borderId="1" applyNumberFormat="0" applyAlignment="0" applyProtection="0">
      <alignment horizontal="left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76" fillId="0" borderId="1" applyNumberFormat="0" applyAlignment="0" applyProtection="0">
      <alignment horizontal="left"/>
    </xf>
    <xf numFmtId="170" fontId="43" fillId="0" borderId="0">
      <alignment horizontal="left" wrapText="1"/>
    </xf>
    <xf numFmtId="0" fontId="76" fillId="0" borderId="12">
      <alignment horizontal="left"/>
    </xf>
    <xf numFmtId="0" fontId="76" fillId="0" borderId="12">
      <alignment horizontal="left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76" fillId="0" borderId="12">
      <alignment horizontal="left"/>
    </xf>
    <xf numFmtId="0" fontId="76" fillId="0" borderId="12">
      <alignment horizontal="left"/>
    </xf>
    <xf numFmtId="170" fontId="43" fillId="0" borderId="0">
      <alignment horizontal="left" wrapText="1"/>
    </xf>
    <xf numFmtId="14" fontId="35" fillId="75" borderId="28">
      <alignment horizontal="center" vertical="center" wrapText="1"/>
    </xf>
    <xf numFmtId="0" fontId="63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23" fillId="0" borderId="16" applyNumberFormat="0" applyFill="0" applyAlignment="0" applyProtection="0"/>
    <xf numFmtId="0" fontId="78" fillId="0" borderId="30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78" fillId="0" borderId="30" applyNumberFormat="0" applyFill="0" applyAlignment="0" applyProtection="0"/>
    <xf numFmtId="0" fontId="23" fillId="0" borderId="16" applyNumberFormat="0" applyFill="0" applyAlignment="0" applyProtection="0"/>
    <xf numFmtId="0" fontId="78" fillId="0" borderId="30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79" fillId="0" borderId="0" applyNumberFormat="0" applyFill="0" applyBorder="0" applyAlignment="0" applyProtection="0"/>
    <xf numFmtId="170" fontId="43" fillId="0" borderId="0">
      <alignment horizontal="left" wrapText="1"/>
    </xf>
    <xf numFmtId="0" fontId="78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30" applyNumberFormat="0" applyFill="0" applyAlignment="0" applyProtection="0"/>
    <xf numFmtId="0" fontId="23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24" fillId="0" borderId="17" applyNumberFormat="0" applyFill="0" applyAlignment="0" applyProtection="0"/>
    <xf numFmtId="0" fontId="81" fillId="0" borderId="32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81" fillId="0" borderId="32" applyNumberFormat="0" applyFill="0" applyAlignment="0" applyProtection="0"/>
    <xf numFmtId="0" fontId="24" fillId="0" borderId="17" applyNumberFormat="0" applyFill="0" applyAlignment="0" applyProtection="0"/>
    <xf numFmtId="0" fontId="81" fillId="0" borderId="32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38" fillId="0" borderId="0" applyNumberFormat="0" applyFill="0" applyBorder="0" applyAlignment="0" applyProtection="0"/>
    <xf numFmtId="170" fontId="43" fillId="0" borderId="0">
      <alignment horizontal="left" wrapText="1"/>
    </xf>
    <xf numFmtId="0" fontId="81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81" fillId="0" borderId="32" applyNumberFormat="0" applyFill="0" applyAlignment="0" applyProtection="0"/>
    <xf numFmtId="0" fontId="24" fillId="0" borderId="17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82" fillId="0" borderId="33" applyNumberFormat="0" applyFill="0" applyAlignment="0" applyProtection="0"/>
    <xf numFmtId="0" fontId="25" fillId="0" borderId="18" applyNumberFormat="0" applyFill="0" applyAlignment="0" applyProtection="0"/>
    <xf numFmtId="0" fontId="83" fillId="0" borderId="34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3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38" fontId="84" fillId="0" borderId="0"/>
    <xf numFmtId="38" fontId="84" fillId="0" borderId="0"/>
    <xf numFmtId="38" fontId="84" fillId="0" borderId="0"/>
    <xf numFmtId="38" fontId="84" fillId="0" borderId="0"/>
    <xf numFmtId="170" fontId="43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38" fontId="84" fillId="0" borderId="0"/>
    <xf numFmtId="38" fontId="84" fillId="0" borderId="0"/>
    <xf numFmtId="38" fontId="84" fillId="0" borderId="0"/>
    <xf numFmtId="40" fontId="84" fillId="0" borderId="0"/>
    <xf numFmtId="40" fontId="84" fillId="0" borderId="0"/>
    <xf numFmtId="40" fontId="84" fillId="0" borderId="0"/>
    <xf numFmtId="40" fontId="84" fillId="0" borderId="0"/>
    <xf numFmtId="170" fontId="43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40" fontId="84" fillId="0" borderId="0"/>
    <xf numFmtId="40" fontId="84" fillId="0" borderId="0"/>
    <xf numFmtId="40" fontId="84" fillId="0" borderId="0"/>
    <xf numFmtId="0" fontId="37" fillId="0" borderId="0" applyNumberFormat="0" applyFill="0" applyBorder="0" applyAlignment="0" applyProtection="0">
      <alignment vertical="top"/>
      <protection locked="0"/>
    </xf>
    <xf numFmtId="170" fontId="43" fillId="0" borderId="0">
      <alignment horizontal="left" wrapText="1"/>
    </xf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70" fontId="43" fillId="0" borderId="0">
      <alignment horizontal="left" wrapText="1"/>
    </xf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170" fontId="43" fillId="0" borderId="0">
      <alignment horizontal="left" wrapText="1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28" fillId="6" borderId="19" applyNumberFormat="0" applyAlignment="0" applyProtection="0"/>
    <xf numFmtId="0" fontId="28" fillId="45" borderId="19" applyNumberFormat="0" applyAlignment="0" applyProtection="0"/>
    <xf numFmtId="0" fontId="85" fillId="42" borderId="26" applyNumberFormat="0" applyAlignment="0" applyProtection="0"/>
    <xf numFmtId="170" fontId="43" fillId="0" borderId="0">
      <alignment horizontal="left" wrapText="1"/>
    </xf>
    <xf numFmtId="0" fontId="85" fillId="42" borderId="26" applyNumberFormat="0" applyAlignment="0" applyProtection="0"/>
    <xf numFmtId="0" fontId="28" fillId="6" borderId="19" applyNumberFormat="0" applyAlignment="0" applyProtection="0"/>
    <xf numFmtId="0" fontId="28" fillId="45" borderId="19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41" fontId="34" fillId="76" borderId="35">
      <alignment horizontal="left"/>
      <protection locked="0"/>
    </xf>
    <xf numFmtId="170" fontId="43" fillId="0" borderId="0">
      <alignment horizontal="left" wrapText="1"/>
    </xf>
    <xf numFmtId="41" fontId="34" fillId="76" borderId="35">
      <alignment horizontal="left"/>
      <protection locked="0"/>
    </xf>
    <xf numFmtId="10" fontId="34" fillId="76" borderId="35">
      <alignment horizontal="right"/>
      <protection locked="0"/>
    </xf>
    <xf numFmtId="170" fontId="43" fillId="0" borderId="0">
      <alignment horizontal="left" wrapText="1"/>
    </xf>
    <xf numFmtId="10" fontId="34" fillId="76" borderId="35">
      <alignment horizontal="right"/>
      <protection locked="0"/>
    </xf>
    <xf numFmtId="170" fontId="43" fillId="0" borderId="0">
      <alignment horizontal="left" wrapText="1"/>
    </xf>
    <xf numFmtId="41" fontId="34" fillId="76" borderId="35">
      <alignment horizontal="left"/>
      <protection locked="0"/>
    </xf>
    <xf numFmtId="0" fontId="75" fillId="0" borderId="36"/>
    <xf numFmtId="0" fontId="38" fillId="34" borderId="0"/>
    <xf numFmtId="0" fontId="38" fillId="34" borderId="0"/>
    <xf numFmtId="0" fontId="38" fillId="34" borderId="0"/>
    <xf numFmtId="0" fontId="38" fillId="34" borderId="0"/>
    <xf numFmtId="170" fontId="43" fillId="0" borderId="0">
      <alignment horizontal="left" wrapText="1"/>
    </xf>
    <xf numFmtId="3" fontId="86" fillId="0" borderId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3" fontId="86" fillId="0" borderId="0" applyFill="0" applyBorder="0" applyAlignment="0" applyProtection="0"/>
    <xf numFmtId="3" fontId="86" fillId="0" borderId="0" applyFill="0" applyBorder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1" fillId="0" borderId="21" applyNumberFormat="0" applyFill="0" applyAlignment="0" applyProtection="0"/>
    <xf numFmtId="0" fontId="88" fillId="0" borderId="38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18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170" fontId="43" fillId="0" borderId="0">
      <alignment horizontal="left" wrapText="1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39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170" fontId="43" fillId="0" borderId="0">
      <alignment horizontal="left" wrapText="1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44" fontId="35" fillId="0" borderId="40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40" fillId="5" borderId="0" applyNumberFormat="0" applyBorder="0" applyAlignment="0" applyProtection="0"/>
    <xf numFmtId="0" fontId="90" fillId="5" borderId="0" applyNumberForma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91" fillId="4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37" fontId="92" fillId="0" borderId="0"/>
    <xf numFmtId="37" fontId="92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37" fontId="92" fillId="0" borderId="0"/>
    <xf numFmtId="190" fontId="93" fillId="0" borderId="0"/>
    <xf numFmtId="191" fontId="10" fillId="0" borderId="0"/>
    <xf numFmtId="191" fontId="10" fillId="0" borderId="0"/>
    <xf numFmtId="170" fontId="43" fillId="0" borderId="0">
      <alignment horizontal="left" wrapText="1"/>
    </xf>
    <xf numFmtId="191" fontId="10" fillId="0" borderId="0"/>
    <xf numFmtId="191" fontId="10" fillId="0" borderId="0"/>
    <xf numFmtId="191" fontId="10" fillId="0" borderId="0"/>
    <xf numFmtId="191" fontId="10" fillId="0" borderId="0"/>
    <xf numFmtId="170" fontId="43" fillId="0" borderId="0">
      <alignment horizontal="left" wrapText="1"/>
    </xf>
    <xf numFmtId="191" fontId="10" fillId="0" borderId="0"/>
    <xf numFmtId="191" fontId="10" fillId="0" borderId="0"/>
    <xf numFmtId="191" fontId="10" fillId="0" borderId="0"/>
    <xf numFmtId="191" fontId="10" fillId="0" borderId="0"/>
    <xf numFmtId="170" fontId="43" fillId="0" borderId="0">
      <alignment horizontal="left" wrapText="1"/>
    </xf>
    <xf numFmtId="191" fontId="10" fillId="0" borderId="0"/>
    <xf numFmtId="191" fontId="10" fillId="0" borderId="0"/>
    <xf numFmtId="192" fontId="43" fillId="0" borderId="0"/>
    <xf numFmtId="192" fontId="43" fillId="0" borderId="0"/>
    <xf numFmtId="190" fontId="93" fillId="0" borderId="0"/>
    <xf numFmtId="0" fontId="10" fillId="0" borderId="0"/>
    <xf numFmtId="190" fontId="93" fillId="0" borderId="0"/>
    <xf numFmtId="193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92" fontId="43" fillId="0" borderId="0"/>
    <xf numFmtId="194" fontId="10" fillId="0" borderId="0"/>
    <xf numFmtId="195" fontId="57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10" fillId="0" borderId="0" applyFill="0" applyBorder="0" applyAlignment="0" applyProtection="0"/>
    <xf numFmtId="0" fontId="6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170" fontId="10" fillId="0" borderId="0">
      <alignment horizontal="left" wrapText="1"/>
    </xf>
    <xf numFmtId="0" fontId="6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6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6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191" fontId="43" fillId="0" borderId="0">
      <alignment horizontal="left" wrapText="1"/>
    </xf>
    <xf numFmtId="0" fontId="48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6" fillId="0" borderId="0"/>
    <xf numFmtId="191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10" fillId="0" borderId="0"/>
    <xf numFmtId="0" fontId="6" fillId="0" borderId="0"/>
    <xf numFmtId="191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10" fillId="0" borderId="0"/>
    <xf numFmtId="191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0" fontId="10" fillId="0" borderId="0"/>
    <xf numFmtId="191" fontId="43" fillId="0" borderId="0">
      <alignment horizontal="left" wrapText="1"/>
    </xf>
    <xf numFmtId="170" fontId="10" fillId="0" borderId="0">
      <alignment horizontal="left" wrapText="1"/>
    </xf>
    <xf numFmtId="191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91" fontId="43" fillId="0" borderId="0">
      <alignment horizontal="left" wrapText="1"/>
    </xf>
    <xf numFmtId="191" fontId="43" fillId="0" borderId="0">
      <alignment horizontal="left" wrapText="1"/>
    </xf>
    <xf numFmtId="191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91" fontId="43" fillId="0" borderId="0">
      <alignment horizontal="left" wrapText="1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4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56" fillId="0" borderId="0"/>
    <xf numFmtId="170" fontId="43" fillId="0" borderId="0">
      <alignment horizontal="left" wrapText="1"/>
    </xf>
    <xf numFmtId="0" fontId="48" fillId="0" borderId="0"/>
    <xf numFmtId="0" fontId="48" fillId="0" borderId="0"/>
    <xf numFmtId="0" fontId="56" fillId="0" borderId="0"/>
    <xf numFmtId="0" fontId="48" fillId="0" borderId="0"/>
    <xf numFmtId="0" fontId="48" fillId="0" borderId="0"/>
    <xf numFmtId="0" fontId="56" fillId="0" borderId="0"/>
    <xf numFmtId="0" fontId="48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96" fontId="10" fillId="0" borderId="0">
      <alignment horizontal="left" wrapText="1"/>
    </xf>
    <xf numFmtId="196" fontId="10" fillId="0" borderId="0">
      <alignment horizontal="left" wrapText="1"/>
    </xf>
    <xf numFmtId="170" fontId="43" fillId="0" borderId="0">
      <alignment horizontal="left" wrapText="1"/>
    </xf>
    <xf numFmtId="196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96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43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43" fillId="0" borderId="0"/>
    <xf numFmtId="198" fontId="43" fillId="0" borderId="0">
      <alignment horizontal="left" wrapText="1"/>
    </xf>
    <xf numFmtId="0" fontId="10" fillId="0" borderId="0"/>
    <xf numFmtId="0" fontId="10" fillId="0" borderId="0"/>
    <xf numFmtId="170" fontId="43" fillId="0" borderId="0">
      <alignment horizontal="left" wrapText="1"/>
    </xf>
    <xf numFmtId="172" fontId="43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174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48" fillId="0" borderId="0"/>
    <xf numFmtId="166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43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170" fontId="10" fillId="0" borderId="0">
      <alignment horizontal="left" wrapText="1"/>
    </xf>
    <xf numFmtId="0" fontId="68" fillId="0" borderId="0"/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39" fontId="95" fillId="0" borderId="0" applyNumberFormat="0" applyFill="0" applyBorder="0" applyAlignment="0" applyProtection="0"/>
    <xf numFmtId="39" fontId="95" fillId="0" borderId="0" applyNumberForma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39" fontId="95" fillId="0" borderId="0" applyNumberForma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39" fontId="95" fillId="0" borderId="0" applyNumberFormat="0" applyFill="0" applyBorder="0" applyAlignment="0" applyProtection="0"/>
    <xf numFmtId="170" fontId="43" fillId="0" borderId="0">
      <alignment horizontal="left" wrapText="1"/>
    </xf>
    <xf numFmtId="0" fontId="6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170" fontId="43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43" fillId="0" borderId="0">
      <alignment horizontal="left" wrapText="1"/>
    </xf>
    <xf numFmtId="0" fontId="6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10" fillId="0" borderId="0"/>
    <xf numFmtId="170" fontId="43" fillId="0" borderId="0">
      <alignment horizontal="left" wrapText="1"/>
    </xf>
    <xf numFmtId="172" fontId="43" fillId="0" borderId="0">
      <alignment horizontal="left" wrapText="1"/>
    </xf>
    <xf numFmtId="0" fontId="10" fillId="0" borderId="0"/>
    <xf numFmtId="0" fontId="10" fillId="0" borderId="0"/>
    <xf numFmtId="199" fontId="10" fillId="0" borderId="0">
      <alignment horizontal="left" wrapText="1"/>
    </xf>
    <xf numFmtId="0" fontId="10" fillId="0" borderId="0"/>
    <xf numFmtId="0" fontId="6" fillId="0" borderId="0"/>
    <xf numFmtId="0" fontId="10" fillId="0" borderId="0"/>
    <xf numFmtId="0" fontId="10" fillId="0" borderId="0"/>
    <xf numFmtId="0" fontId="48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170" fontId="10" fillId="0" borderId="0">
      <alignment horizontal="left" wrapText="1"/>
    </xf>
    <xf numFmtId="0" fontId="56" fillId="0" borderId="0"/>
    <xf numFmtId="170" fontId="10" fillId="0" borderId="0">
      <alignment horizontal="left" wrapText="1"/>
    </xf>
    <xf numFmtId="170" fontId="43" fillId="0" borderId="0">
      <alignment horizontal="left" wrapText="1"/>
    </xf>
    <xf numFmtId="0" fontId="56" fillId="0" borderId="0"/>
    <xf numFmtId="170" fontId="10" fillId="0" borderId="0">
      <alignment horizontal="left" wrapText="1"/>
    </xf>
    <xf numFmtId="0" fontId="56" fillId="0" borderId="0"/>
    <xf numFmtId="170" fontId="10" fillId="0" borderId="0">
      <alignment horizontal="left" wrapText="1"/>
    </xf>
    <xf numFmtId="170" fontId="43" fillId="0" borderId="0">
      <alignment horizontal="left" wrapText="1"/>
    </xf>
    <xf numFmtId="0" fontId="56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48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2" fontId="43" fillId="0" borderId="0">
      <alignment horizontal="left" wrapText="1"/>
    </xf>
    <xf numFmtId="172" fontId="43" fillId="0" borderId="0">
      <alignment horizontal="left" wrapText="1"/>
    </xf>
    <xf numFmtId="0" fontId="10" fillId="0" borderId="0"/>
    <xf numFmtId="0" fontId="10" fillId="0" borderId="0"/>
    <xf numFmtId="0" fontId="6" fillId="0" borderId="0"/>
    <xf numFmtId="0" fontId="6" fillId="0" borderId="0"/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48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0" fontId="6" fillId="0" borderId="0"/>
    <xf numFmtId="0" fontId="6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0" fontId="10" fillId="0" borderId="0"/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48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6" fillId="0" borderId="0"/>
    <xf numFmtId="0" fontId="6" fillId="0" borderId="0"/>
    <xf numFmtId="0" fontId="94" fillId="0" borderId="0"/>
    <xf numFmtId="20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48" fillId="0" borderId="0"/>
    <xf numFmtId="0" fontId="10" fillId="0" borderId="0"/>
    <xf numFmtId="0" fontId="10" fillId="0" borderId="0"/>
    <xf numFmtId="170" fontId="43" fillId="0" borderId="0">
      <alignment horizontal="left" wrapText="1"/>
    </xf>
    <xf numFmtId="170" fontId="43" fillId="0" borderId="0">
      <alignment horizontal="left" wrapText="1"/>
    </xf>
    <xf numFmtId="0" fontId="6" fillId="0" borderId="0"/>
    <xf numFmtId="0" fontId="6" fillId="0" borderId="0"/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10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10" fillId="40" borderId="41" applyNumberFormat="0" applyFont="0" applyAlignment="0" applyProtection="0"/>
    <xf numFmtId="170" fontId="43" fillId="0" borderId="0">
      <alignment horizontal="left" wrapText="1"/>
    </xf>
    <xf numFmtId="0" fontId="10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3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170" fontId="43" fillId="0" borderId="0">
      <alignment horizontal="left" wrapTex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170" fontId="43" fillId="0" borderId="0">
      <alignment horizontal="left" wrapTex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9" borderId="23" applyNumberFormat="0" applyFont="0" applyAlignment="0" applyProtection="0"/>
    <xf numFmtId="0" fontId="48" fillId="9" borderId="23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170" fontId="43" fillId="0" borderId="0">
      <alignment horizontal="left" wrapText="1"/>
    </xf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29" fillId="7" borderId="20" applyNumberFormat="0" applyAlignment="0" applyProtection="0"/>
    <xf numFmtId="0" fontId="29" fillId="70" borderId="20" applyNumberFormat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96" fillId="70" borderId="42" applyNumberFormat="0" applyAlignment="0" applyProtection="0"/>
    <xf numFmtId="0" fontId="29" fillId="70" borderId="20" applyNumberFormat="0" applyAlignment="0" applyProtection="0"/>
    <xf numFmtId="0" fontId="29" fillId="70" borderId="20" applyNumberFormat="0" applyAlignment="0" applyProtection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2" fillId="0" borderId="0"/>
    <xf numFmtId="171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0" fontId="10" fillId="0" borderId="35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69" fillId="0" borderId="0" applyFont="0" applyFill="0" applyBorder="0" applyAlignment="0" applyProtection="0"/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0" fontId="10" fillId="0" borderId="35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9" fontId="56" fillId="0" borderId="0" applyFont="0" applyFill="0" applyBorder="0" applyAlignment="0" applyProtection="0"/>
    <xf numFmtId="10" fontId="10" fillId="0" borderId="35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0" fontId="10" fillId="0" borderId="35"/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6" fillId="0" borderId="0" applyFont="0" applyFill="0" applyBorder="0" applyAlignment="0" applyProtection="0"/>
    <xf numFmtId="10" fontId="10" fillId="0" borderId="35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35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0" borderId="35"/>
    <xf numFmtId="9" fontId="55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9" fontId="56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9" fontId="56" fillId="0" borderId="0" applyFont="0" applyFill="0" applyBorder="0" applyAlignment="0" applyProtection="0"/>
    <xf numFmtId="10" fontId="10" fillId="0" borderId="35"/>
    <xf numFmtId="9" fontId="56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9" fontId="56" fillId="0" borderId="0" applyFont="0" applyFill="0" applyBorder="0" applyAlignment="0" applyProtection="0"/>
    <xf numFmtId="10" fontId="10" fillId="0" borderId="35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0" borderId="35"/>
    <xf numFmtId="10" fontId="10" fillId="0" borderId="35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35"/>
    <xf numFmtId="170" fontId="43" fillId="0" borderId="0">
      <alignment horizontal="left" wrapText="1"/>
    </xf>
    <xf numFmtId="10" fontId="10" fillId="0" borderId="35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0" fontId="10" fillId="0" borderId="35"/>
    <xf numFmtId="10" fontId="10" fillId="0" borderId="35"/>
    <xf numFmtId="10" fontId="10" fillId="0" borderId="35"/>
    <xf numFmtId="10" fontId="10" fillId="0" borderId="35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170" fontId="43" fillId="0" borderId="0">
      <alignment horizontal="left" wrapText="1"/>
    </xf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43" fillId="0" borderId="0">
      <alignment horizontal="left" wrapText="1"/>
    </xf>
    <xf numFmtId="9" fontId="55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0" fillId="0" borderId="35"/>
    <xf numFmtId="10" fontId="10" fillId="0" borderId="35"/>
    <xf numFmtId="10" fontId="10" fillId="0" borderId="35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43" fillId="0" borderId="0">
      <alignment horizontal="left" wrapText="1"/>
    </xf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10" fontId="10" fillId="0" borderId="35"/>
    <xf numFmtId="41" fontId="10" fillId="77" borderId="35"/>
    <xf numFmtId="41" fontId="10" fillId="77" borderId="35"/>
    <xf numFmtId="170" fontId="43" fillId="0" borderId="0">
      <alignment horizontal="left" wrapText="1"/>
    </xf>
    <xf numFmtId="41" fontId="10" fillId="77" borderId="35"/>
    <xf numFmtId="41" fontId="10" fillId="77" borderId="35"/>
    <xf numFmtId="170" fontId="43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" fontId="56" fillId="0" borderId="0" applyFont="0" applyFill="0" applyBorder="0" applyAlignment="0" applyProtection="0"/>
    <xf numFmtId="0" fontId="97" fillId="0" borderId="28">
      <alignment horizontal="center"/>
    </xf>
    <xf numFmtId="0" fontId="97" fillId="0" borderId="28">
      <alignment horizontal="center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97" fillId="0" borderId="28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3" fontId="56" fillId="0" borderId="0" applyFont="0" applyFill="0" applyBorder="0" applyAlignment="0" applyProtection="0"/>
    <xf numFmtId="0" fontId="56" fillId="78" borderId="0" applyNumberFormat="0" applyFont="0" applyBorder="0" applyAlignment="0" applyProtection="0"/>
    <xf numFmtId="0" fontId="56" fillId="78" borderId="0" applyNumberFormat="0" applyFont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56" fillId="78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3" fontId="98" fillId="0" borderId="0" applyFill="0" applyBorder="0" applyAlignment="0" applyProtection="0"/>
    <xf numFmtId="0" fontId="99" fillId="0" borderId="0"/>
    <xf numFmtId="0" fontId="100" fillId="0" borderId="0"/>
    <xf numFmtId="0" fontId="100" fillId="0" borderId="0"/>
    <xf numFmtId="0" fontId="99" fillId="0" borderId="0"/>
    <xf numFmtId="0" fontId="100" fillId="0" borderId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3" fontId="98" fillId="0" borderId="0" applyFill="0" applyBorder="0" applyAlignment="0" applyProtection="0"/>
    <xf numFmtId="42" fontId="10" fillId="68" borderId="0"/>
    <xf numFmtId="0" fontId="60" fillId="79" borderId="0"/>
    <xf numFmtId="0" fontId="101" fillId="79" borderId="36"/>
    <xf numFmtId="0" fontId="102" fillId="80" borderId="43"/>
    <xf numFmtId="0" fontId="103" fillId="79" borderId="44"/>
    <xf numFmtId="42" fontId="10" fillId="68" borderId="0"/>
    <xf numFmtId="170" fontId="43" fillId="0" borderId="0">
      <alignment horizontal="left" wrapText="1"/>
    </xf>
    <xf numFmtId="42" fontId="10" fillId="68" borderId="0"/>
    <xf numFmtId="170" fontId="43" fillId="0" borderId="0">
      <alignment horizontal="left" wrapText="1"/>
    </xf>
    <xf numFmtId="42" fontId="10" fillId="68" borderId="0"/>
    <xf numFmtId="42" fontId="10" fillId="68" borderId="0"/>
    <xf numFmtId="42" fontId="10" fillId="68" borderId="45">
      <alignment vertical="center"/>
    </xf>
    <xf numFmtId="42" fontId="10" fillId="68" borderId="45">
      <alignment vertical="center"/>
    </xf>
    <xf numFmtId="170" fontId="43" fillId="0" borderId="0">
      <alignment horizontal="left" wrapText="1"/>
    </xf>
    <xf numFmtId="42" fontId="10" fillId="68" borderId="45">
      <alignment vertical="center"/>
    </xf>
    <xf numFmtId="170" fontId="43" fillId="0" borderId="0">
      <alignment horizontal="left" wrapText="1"/>
    </xf>
    <xf numFmtId="42" fontId="10" fillId="68" borderId="45">
      <alignment vertical="center"/>
    </xf>
    <xf numFmtId="170" fontId="43" fillId="0" borderId="0">
      <alignment horizontal="left" wrapText="1"/>
    </xf>
    <xf numFmtId="0" fontId="35" fillId="68" borderId="7" applyNumberFormat="0">
      <alignment horizontal="center" vertical="center" wrapText="1"/>
    </xf>
    <xf numFmtId="0" fontId="35" fillId="68" borderId="7" applyNumberFormat="0">
      <alignment horizontal="center" vertical="center" wrapText="1"/>
    </xf>
    <xf numFmtId="0" fontId="35" fillId="68" borderId="7" applyNumberFormat="0">
      <alignment horizontal="center" vertical="center" wrapText="1"/>
    </xf>
    <xf numFmtId="170" fontId="43" fillId="0" borderId="0">
      <alignment horizontal="left" wrapText="1"/>
    </xf>
    <xf numFmtId="10" fontId="10" fillId="68" borderId="0"/>
    <xf numFmtId="10" fontId="10" fillId="68" borderId="0"/>
    <xf numFmtId="10" fontId="10" fillId="68" borderId="0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68" borderId="0"/>
    <xf numFmtId="10" fontId="10" fillId="68" borderId="0"/>
    <xf numFmtId="170" fontId="43" fillId="0" borderId="0">
      <alignment horizontal="left" wrapText="1"/>
    </xf>
    <xf numFmtId="10" fontId="10" fillId="68" borderId="0"/>
    <xf numFmtId="170" fontId="43" fillId="0" borderId="0">
      <alignment horizontal="left" wrapText="1"/>
    </xf>
    <xf numFmtId="10" fontId="10" fillId="68" borderId="0"/>
    <xf numFmtId="170" fontId="43" fillId="0" borderId="0">
      <alignment horizontal="left" wrapText="1"/>
    </xf>
    <xf numFmtId="10" fontId="10" fillId="68" borderId="0"/>
    <xf numFmtId="170" fontId="43" fillId="0" borderId="0">
      <alignment horizontal="left" wrapText="1"/>
    </xf>
    <xf numFmtId="170" fontId="43" fillId="0" borderId="0">
      <alignment horizontal="left" wrapText="1"/>
    </xf>
    <xf numFmtId="10" fontId="10" fillId="68" borderId="0"/>
    <xf numFmtId="10" fontId="10" fillId="68" borderId="0"/>
    <xf numFmtId="10" fontId="10" fillId="68" borderId="0"/>
    <xf numFmtId="200" fontId="10" fillId="68" borderId="0"/>
    <xf numFmtId="200" fontId="10" fillId="68" borderId="0"/>
    <xf numFmtId="200" fontId="10" fillId="68" borderId="0"/>
    <xf numFmtId="170" fontId="43" fillId="0" borderId="0">
      <alignment horizontal="left" wrapText="1"/>
    </xf>
    <xf numFmtId="170" fontId="43" fillId="0" borderId="0">
      <alignment horizontal="left" wrapText="1"/>
    </xf>
    <xf numFmtId="200" fontId="10" fillId="68" borderId="0"/>
    <xf numFmtId="200" fontId="10" fillId="68" borderId="0"/>
    <xf numFmtId="170" fontId="43" fillId="0" borderId="0">
      <alignment horizontal="left" wrapText="1"/>
    </xf>
    <xf numFmtId="200" fontId="10" fillId="68" borderId="0"/>
    <xf numFmtId="170" fontId="43" fillId="0" borderId="0">
      <alignment horizontal="left" wrapText="1"/>
    </xf>
    <xf numFmtId="200" fontId="10" fillId="68" borderId="0"/>
    <xf numFmtId="170" fontId="43" fillId="0" borderId="0">
      <alignment horizontal="left" wrapText="1"/>
    </xf>
    <xf numFmtId="200" fontId="10" fillId="68" borderId="0"/>
    <xf numFmtId="170" fontId="43" fillId="0" borderId="0">
      <alignment horizontal="left" wrapText="1"/>
    </xf>
    <xf numFmtId="170" fontId="43" fillId="0" borderId="0">
      <alignment horizontal="left" wrapText="1"/>
    </xf>
    <xf numFmtId="200" fontId="10" fillId="68" borderId="0"/>
    <xf numFmtId="200" fontId="10" fillId="68" borderId="0"/>
    <xf numFmtId="200" fontId="10" fillId="68" borderId="0"/>
    <xf numFmtId="42" fontId="10" fillId="68" borderId="0"/>
    <xf numFmtId="168" fontId="84" fillId="0" borderId="0" applyBorder="0" applyAlignment="0"/>
    <xf numFmtId="168" fontId="84" fillId="0" borderId="0" applyBorder="0" applyAlignment="0"/>
    <xf numFmtId="168" fontId="84" fillId="0" borderId="0" applyBorder="0" applyAlignment="0"/>
    <xf numFmtId="42" fontId="10" fillId="68" borderId="3">
      <alignment horizontal="left"/>
    </xf>
    <xf numFmtId="42" fontId="10" fillId="68" borderId="3">
      <alignment horizontal="left"/>
    </xf>
    <xf numFmtId="170" fontId="43" fillId="0" borderId="0">
      <alignment horizontal="left" wrapText="1"/>
    </xf>
    <xf numFmtId="42" fontId="10" fillId="68" borderId="3">
      <alignment horizontal="left"/>
    </xf>
    <xf numFmtId="170" fontId="43" fillId="0" borderId="0">
      <alignment horizontal="left" wrapText="1"/>
    </xf>
    <xf numFmtId="42" fontId="10" fillId="68" borderId="3">
      <alignment horizontal="left"/>
    </xf>
    <xf numFmtId="170" fontId="43" fillId="0" borderId="0">
      <alignment horizontal="left" wrapText="1"/>
    </xf>
    <xf numFmtId="200" fontId="104" fillId="68" borderId="3">
      <alignment horizontal="left"/>
    </xf>
    <xf numFmtId="170" fontId="43" fillId="0" borderId="0">
      <alignment horizontal="left" wrapText="1"/>
    </xf>
    <xf numFmtId="200" fontId="104" fillId="68" borderId="3">
      <alignment horizontal="left"/>
    </xf>
    <xf numFmtId="168" fontId="84" fillId="0" borderId="0" applyBorder="0" applyAlignment="0"/>
    <xf numFmtId="14" fontId="43" fillId="0" borderId="0" applyNumberFormat="0" applyFill="0" applyBorder="0" applyAlignment="0" applyProtection="0">
      <alignment horizontal="left"/>
    </xf>
    <xf numFmtId="14" fontId="43" fillId="0" borderId="0" applyNumberFormat="0" applyFill="0" applyBorder="0" applyAlignment="0" applyProtection="0">
      <alignment horizontal="left"/>
    </xf>
    <xf numFmtId="201" fontId="10" fillId="0" borderId="0" applyFont="0" applyFill="0" applyAlignment="0">
      <alignment horizontal="right"/>
    </xf>
    <xf numFmtId="201" fontId="10" fillId="0" borderId="0" applyFont="0" applyFill="0" applyAlignment="0">
      <alignment horizontal="right"/>
    </xf>
    <xf numFmtId="201" fontId="10" fillId="0" borderId="0" applyFont="0" applyFill="0" applyAlignment="0">
      <alignment horizontal="right"/>
    </xf>
    <xf numFmtId="170" fontId="43" fillId="0" borderId="0">
      <alignment horizontal="left" wrapText="1"/>
    </xf>
    <xf numFmtId="170" fontId="43" fillId="0" borderId="0">
      <alignment horizontal="left" wrapText="1"/>
    </xf>
    <xf numFmtId="201" fontId="10" fillId="0" borderId="0" applyFont="0" applyFill="0" applyAlignment="0">
      <alignment horizontal="right"/>
    </xf>
    <xf numFmtId="201" fontId="10" fillId="0" borderId="0" applyFont="0" applyFill="0" applyAlignment="0">
      <alignment horizontal="right"/>
    </xf>
    <xf numFmtId="170" fontId="43" fillId="0" borderId="0">
      <alignment horizontal="left" wrapText="1"/>
    </xf>
    <xf numFmtId="201" fontId="10" fillId="0" borderId="0" applyFont="0" applyFill="0" applyAlignment="0">
      <alignment horizontal="right"/>
    </xf>
    <xf numFmtId="170" fontId="43" fillId="0" borderId="0">
      <alignment horizontal="left" wrapText="1"/>
    </xf>
    <xf numFmtId="201" fontId="10" fillId="0" borderId="0" applyFont="0" applyFill="0" applyAlignment="0">
      <alignment horizontal="right"/>
    </xf>
    <xf numFmtId="170" fontId="43" fillId="0" borderId="0">
      <alignment horizontal="left" wrapText="1"/>
    </xf>
    <xf numFmtId="201" fontId="10" fillId="0" borderId="0" applyFont="0" applyFill="0" applyAlignment="0">
      <alignment horizontal="right"/>
    </xf>
    <xf numFmtId="170" fontId="43" fillId="0" borderId="0">
      <alignment horizontal="left" wrapText="1"/>
    </xf>
    <xf numFmtId="170" fontId="43" fillId="0" borderId="0">
      <alignment horizontal="left" wrapText="1"/>
    </xf>
    <xf numFmtId="201" fontId="10" fillId="0" borderId="0" applyFont="0" applyFill="0" applyAlignment="0">
      <alignment horizontal="right"/>
    </xf>
    <xf numFmtId="201" fontId="10" fillId="0" borderId="0" applyFont="0" applyFill="0" applyAlignment="0">
      <alignment horizontal="right"/>
    </xf>
    <xf numFmtId="4" fontId="105" fillId="76" borderId="42" applyNumberFormat="0" applyProtection="0">
      <alignment vertical="center"/>
    </xf>
    <xf numFmtId="170" fontId="43" fillId="0" borderId="0">
      <alignment horizontal="left" wrapText="1"/>
    </xf>
    <xf numFmtId="4" fontId="105" fillId="76" borderId="42" applyNumberFormat="0" applyProtection="0">
      <alignment vertical="center"/>
    </xf>
    <xf numFmtId="4" fontId="106" fillId="76" borderId="42" applyNumberFormat="0" applyProtection="0">
      <alignment vertical="center"/>
    </xf>
    <xf numFmtId="170" fontId="43" fillId="0" borderId="0">
      <alignment horizontal="left" wrapText="1"/>
    </xf>
    <xf numFmtId="4" fontId="106" fillId="76" borderId="42" applyNumberFormat="0" applyProtection="0">
      <alignment vertical="center"/>
    </xf>
    <xf numFmtId="4" fontId="105" fillId="76" borderId="42" applyNumberFormat="0" applyProtection="0">
      <alignment horizontal="left" vertical="center" indent="1"/>
    </xf>
    <xf numFmtId="170" fontId="43" fillId="0" borderId="0">
      <alignment horizontal="left" wrapTex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170" fontId="43" fillId="0" borderId="0">
      <alignment horizontal="left" wrapText="1"/>
    </xf>
    <xf numFmtId="4" fontId="105" fillId="7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82" borderId="0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83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3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4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5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6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7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8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89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90" borderId="42" applyNumberFormat="0" applyProtection="0">
      <alignment horizontal="right" vertical="center"/>
    </xf>
    <xf numFmtId="4" fontId="105" fillId="91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91" borderId="42" applyNumberFormat="0" applyProtection="0">
      <alignment horizontal="right" vertical="center"/>
    </xf>
    <xf numFmtId="4" fontId="107" fillId="92" borderId="42" applyNumberFormat="0" applyProtection="0">
      <alignment horizontal="left" vertical="center" indent="1"/>
    </xf>
    <xf numFmtId="4" fontId="107" fillId="93" borderId="0" applyNumberFormat="0" applyProtection="0">
      <alignment horizontal="left" vertical="center" indent="1"/>
    </xf>
    <xf numFmtId="4" fontId="107" fillId="93" borderId="0" applyNumberFormat="0" applyProtection="0">
      <alignment horizontal="left" vertical="center" indent="1"/>
    </xf>
    <xf numFmtId="4" fontId="107" fillId="92" borderId="42" applyNumberFormat="0" applyProtection="0">
      <alignment horizontal="left" vertical="center" indent="1"/>
    </xf>
    <xf numFmtId="4" fontId="105" fillId="94" borderId="46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4" fontId="108" fillId="95" borderId="0" applyNumberFormat="0" applyProtection="0">
      <alignment horizontal="left" vertical="center" indent="1"/>
    </xf>
    <xf numFmtId="4" fontId="108" fillId="95" borderId="0" applyNumberFormat="0" applyProtection="0">
      <alignment horizontal="left" vertical="center" indent="1"/>
    </xf>
    <xf numFmtId="4" fontId="108" fillId="95" borderId="0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9" fillId="0" borderId="0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96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96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96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70" borderId="13" applyNumberFormat="0">
      <protection locked="0"/>
    </xf>
    <xf numFmtId="0" fontId="10" fillId="70" borderId="13" applyNumberFormat="0">
      <protection locked="0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84" fillId="65" borderId="47" applyBorder="0"/>
    <xf numFmtId="4" fontId="105" fillId="98" borderId="42" applyNumberFormat="0" applyProtection="0">
      <alignment vertical="center"/>
    </xf>
    <xf numFmtId="170" fontId="43" fillId="0" borderId="0">
      <alignment horizontal="left" wrapText="1"/>
    </xf>
    <xf numFmtId="4" fontId="105" fillId="98" borderId="42" applyNumberFormat="0" applyProtection="0">
      <alignment vertical="center"/>
    </xf>
    <xf numFmtId="4" fontId="106" fillId="98" borderId="42" applyNumberFormat="0" applyProtection="0">
      <alignment vertical="center"/>
    </xf>
    <xf numFmtId="170" fontId="43" fillId="0" borderId="0">
      <alignment horizontal="left" wrapText="1"/>
    </xf>
    <xf numFmtId="4" fontId="106" fillId="98" borderId="42" applyNumberFormat="0" applyProtection="0">
      <alignment vertical="center"/>
    </xf>
    <xf numFmtId="4" fontId="105" fillId="98" borderId="42" applyNumberFormat="0" applyProtection="0">
      <alignment horizontal="left" vertical="center" indent="1"/>
    </xf>
    <xf numFmtId="170" fontId="43" fillId="0" borderId="0">
      <alignment horizontal="left" wrapTex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170" fontId="43" fillId="0" borderId="0">
      <alignment horizontal="left" wrapText="1"/>
    </xf>
    <xf numFmtId="4" fontId="105" fillId="98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170" fontId="43" fillId="0" borderId="0">
      <alignment horizontal="left" wrapText="1"/>
    </xf>
    <xf numFmtId="4" fontId="105" fillId="94" borderId="42" applyNumberFormat="0" applyProtection="0">
      <alignment horizontal="right" vertical="center"/>
    </xf>
    <xf numFmtId="4" fontId="106" fillId="94" borderId="42" applyNumberFormat="0" applyProtection="0">
      <alignment horizontal="right" vertical="center"/>
    </xf>
    <xf numFmtId="170" fontId="43" fillId="0" borderId="0">
      <alignment horizontal="left" wrapText="1"/>
    </xf>
    <xf numFmtId="4" fontId="106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170" fontId="43" fillId="0" borderId="0">
      <alignment horizontal="left" wrapText="1"/>
    </xf>
    <xf numFmtId="170" fontId="43" fillId="0" borderId="0">
      <alignment horizontal="left" wrapTex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10" fillId="0" borderId="0"/>
    <xf numFmtId="0" fontId="110" fillId="0" borderId="0"/>
    <xf numFmtId="0" fontId="111" fillId="0" borderId="0" applyNumberFormat="0" applyProtection="0">
      <alignment horizontal="left" indent="5"/>
    </xf>
    <xf numFmtId="0" fontId="38" fillId="99" borderId="13"/>
    <xf numFmtId="4" fontId="112" fillId="94" borderId="42" applyNumberFormat="0" applyProtection="0">
      <alignment horizontal="right" vertical="center"/>
    </xf>
    <xf numFmtId="170" fontId="43" fillId="0" borderId="0">
      <alignment horizontal="left" wrapText="1"/>
    </xf>
    <xf numFmtId="4" fontId="112" fillId="94" borderId="42" applyNumberFormat="0" applyProtection="0">
      <alignment horizontal="right" vertical="center"/>
    </xf>
    <xf numFmtId="39" fontId="10" fillId="100" borderId="0"/>
    <xf numFmtId="39" fontId="10" fillId="100" borderId="0"/>
    <xf numFmtId="39" fontId="10" fillId="100" borderId="0"/>
    <xf numFmtId="170" fontId="43" fillId="0" borderId="0">
      <alignment horizontal="left" wrapText="1"/>
    </xf>
    <xf numFmtId="170" fontId="43" fillId="0" borderId="0">
      <alignment horizontal="left" wrapText="1"/>
    </xf>
    <xf numFmtId="39" fontId="10" fillId="100" borderId="0"/>
    <xf numFmtId="39" fontId="10" fillId="100" borderId="0"/>
    <xf numFmtId="170" fontId="43" fillId="0" borderId="0">
      <alignment horizontal="left" wrapText="1"/>
    </xf>
    <xf numFmtId="39" fontId="10" fillId="100" borderId="0"/>
    <xf numFmtId="170" fontId="43" fillId="0" borderId="0">
      <alignment horizontal="left" wrapText="1"/>
    </xf>
    <xf numFmtId="39" fontId="10" fillId="100" borderId="0"/>
    <xf numFmtId="170" fontId="43" fillId="0" borderId="0">
      <alignment horizontal="left" wrapText="1"/>
    </xf>
    <xf numFmtId="39" fontId="10" fillId="100" borderId="0"/>
    <xf numFmtId="170" fontId="43" fillId="0" borderId="0">
      <alignment horizontal="left" wrapText="1"/>
    </xf>
    <xf numFmtId="170" fontId="43" fillId="0" borderId="0">
      <alignment horizontal="left" wrapText="1"/>
    </xf>
    <xf numFmtId="39" fontId="10" fillId="100" borderId="0"/>
    <xf numFmtId="39" fontId="10" fillId="100" borderId="0"/>
    <xf numFmtId="39" fontId="10" fillId="100" borderId="0"/>
    <xf numFmtId="0" fontId="113" fillId="0" borderId="0" applyNumberFormat="0" applyFill="0" applyBorder="0" applyAlignment="0" applyProtection="0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38" fontId="38" fillId="0" borderId="48"/>
    <xf numFmtId="170" fontId="43" fillId="0" borderId="0">
      <alignment horizontal="left" wrapText="1"/>
    </xf>
    <xf numFmtId="38" fontId="38" fillId="0" borderId="48"/>
    <xf numFmtId="0" fontId="38" fillId="0" borderId="48"/>
    <xf numFmtId="38" fontId="38" fillId="0" borderId="48"/>
    <xf numFmtId="38" fontId="38" fillId="0" borderId="48"/>
    <xf numFmtId="38" fontId="38" fillId="0" borderId="48"/>
    <xf numFmtId="38" fontId="84" fillId="0" borderId="3"/>
    <xf numFmtId="38" fontId="84" fillId="0" borderId="3"/>
    <xf numFmtId="38" fontId="84" fillId="0" borderId="3"/>
    <xf numFmtId="38" fontId="84" fillId="0" borderId="3"/>
    <xf numFmtId="170" fontId="43" fillId="0" borderId="0">
      <alignment horizontal="left" wrapText="1"/>
    </xf>
    <xf numFmtId="0" fontId="84" fillId="0" borderId="3"/>
    <xf numFmtId="0" fontId="84" fillId="0" borderId="3"/>
    <xf numFmtId="0" fontId="84" fillId="0" borderId="3"/>
    <xf numFmtId="38" fontId="84" fillId="0" borderId="3"/>
    <xf numFmtId="38" fontId="84" fillId="0" borderId="3"/>
    <xf numFmtId="38" fontId="84" fillId="0" borderId="3"/>
    <xf numFmtId="38" fontId="84" fillId="0" borderId="3"/>
    <xf numFmtId="39" fontId="43" fillId="101" borderId="0"/>
    <xf numFmtId="39" fontId="43" fillId="101" borderId="0"/>
    <xf numFmtId="170" fontId="10" fillId="0" borderId="0">
      <alignment horizontal="left" wrapText="1"/>
    </xf>
    <xf numFmtId="173" fontId="10" fillId="0" borderId="0">
      <alignment horizontal="left" wrapText="1"/>
    </xf>
    <xf numFmtId="196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5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200" fontId="10" fillId="0" borderId="0">
      <alignment horizontal="left" wrapText="1"/>
    </xf>
    <xf numFmtId="200" fontId="10" fillId="0" borderId="0">
      <alignment horizontal="left" wrapText="1"/>
    </xf>
    <xf numFmtId="200" fontId="10" fillId="0" borderId="0">
      <alignment horizontal="left" wrapText="1"/>
    </xf>
    <xf numFmtId="171" fontId="10" fillId="0" borderId="0">
      <alignment horizontal="left" wrapText="1"/>
    </xf>
    <xf numFmtId="200" fontId="10" fillId="0" borderId="0">
      <alignment horizontal="left" wrapText="1"/>
    </xf>
    <xf numFmtId="20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43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0" fontId="43" fillId="0" borderId="0">
      <alignment horizontal="left" wrapText="1"/>
    </xf>
    <xf numFmtId="170" fontId="43" fillId="0" borderId="0">
      <alignment horizontal="left" wrapText="1"/>
    </xf>
    <xf numFmtId="174" fontId="10" fillId="0" borderId="0">
      <alignment horizontal="left" wrapText="1"/>
    </xf>
    <xf numFmtId="173" fontId="10" fillId="0" borderId="0">
      <alignment horizontal="left" wrapText="1"/>
    </xf>
    <xf numFmtId="173" fontId="10" fillId="0" borderId="0">
      <alignment horizontal="left" wrapText="1"/>
    </xf>
    <xf numFmtId="170" fontId="43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197" fontId="10" fillId="0" borderId="0">
      <alignment horizontal="left" wrapText="1"/>
    </xf>
    <xf numFmtId="171" fontId="10" fillId="0" borderId="0">
      <alignment horizontal="left" wrapText="1"/>
    </xf>
    <xf numFmtId="171" fontId="10" fillId="0" borderId="0">
      <alignment horizontal="left" wrapText="1"/>
    </xf>
    <xf numFmtId="197" fontId="10" fillId="0" borderId="0">
      <alignment horizontal="left" wrapText="1"/>
    </xf>
    <xf numFmtId="170" fontId="10" fillId="0" borderId="0">
      <alignment horizontal="left" wrapText="1"/>
    </xf>
    <xf numFmtId="171" fontId="10" fillId="0" borderId="0">
      <alignment horizontal="left" wrapText="1"/>
    </xf>
    <xf numFmtId="170" fontId="10" fillId="0" borderId="0">
      <alignment horizontal="left" wrapText="1"/>
    </xf>
    <xf numFmtId="0" fontId="10" fillId="0" borderId="0">
      <alignment horizontal="left" wrapText="1"/>
    </xf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0" fontId="115" fillId="0" borderId="0"/>
    <xf numFmtId="0" fontId="75" fillId="0" borderId="44"/>
    <xf numFmtId="40" fontId="116" fillId="0" borderId="0" applyBorder="0">
      <alignment horizontal="right"/>
    </xf>
    <xf numFmtId="41" fontId="117" fillId="68" borderId="0">
      <alignment horizontal="left"/>
    </xf>
    <xf numFmtId="40" fontId="116" fillId="0" borderId="0" applyBorder="0">
      <alignment horizontal="right"/>
    </xf>
    <xf numFmtId="41" fontId="117" fillId="68" borderId="0">
      <alignment horizontal="left"/>
    </xf>
    <xf numFmtId="40" fontId="116" fillId="0" borderId="0" applyBorder="0">
      <alignment horizontal="right"/>
    </xf>
    <xf numFmtId="41" fontId="117" fillId="68" borderId="0">
      <alignment horizontal="left"/>
    </xf>
    <xf numFmtId="0" fontId="118" fillId="0" borderId="0"/>
    <xf numFmtId="0" fontId="10" fillId="0" borderId="0" applyNumberFormat="0" applyBorder="0" applyAlignment="0"/>
    <xf numFmtId="0" fontId="119" fillId="0" borderId="0" applyFill="0" applyBorder="0" applyProtection="0">
      <alignment horizontal="left" vertical="top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0" fillId="0" borderId="0"/>
    <xf numFmtId="0" fontId="101" fillId="79" borderId="0"/>
    <xf numFmtId="165" fontId="121" fillId="68" borderId="0">
      <alignment horizontal="left" vertical="center"/>
    </xf>
    <xf numFmtId="165" fontId="122" fillId="0" borderId="0">
      <alignment horizontal="left" vertical="center"/>
    </xf>
    <xf numFmtId="165" fontId="122" fillId="0" borderId="0">
      <alignment horizontal="left" vertical="center"/>
    </xf>
    <xf numFmtId="0" fontId="35" fillId="68" borderId="0">
      <alignment horizontal="left" wrapText="1"/>
    </xf>
    <xf numFmtId="0" fontId="35" fillId="68" borderId="0">
      <alignment horizontal="left" wrapText="1"/>
    </xf>
    <xf numFmtId="0" fontId="35" fillId="68" borderId="0">
      <alignment horizontal="left" wrapText="1"/>
    </xf>
    <xf numFmtId="170" fontId="43" fillId="0" borderId="0">
      <alignment horizontal="left" wrapText="1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63" fillId="0" borderId="49" applyNumberFormat="0" applyFon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11" fillId="0" borderId="24" applyNumberFormat="0" applyFill="0" applyAlignment="0" applyProtection="0"/>
    <xf numFmtId="0" fontId="11" fillId="0" borderId="51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0" fontId="11" fillId="0" borderId="51" applyNumberFormat="0" applyFill="0" applyAlignment="0" applyProtection="0"/>
    <xf numFmtId="0" fontId="11" fillId="0" borderId="24" applyNumberFormat="0" applyFill="0" applyAlignment="0" applyProtection="0"/>
    <xf numFmtId="0" fontId="11" fillId="0" borderId="51" applyNumberFormat="0" applyFill="0" applyAlignment="0" applyProtection="0"/>
    <xf numFmtId="170" fontId="43" fillId="0" borderId="0">
      <alignment horizontal="left" wrapText="1"/>
    </xf>
    <xf numFmtId="170" fontId="43" fillId="0" borderId="0">
      <alignment horizontal="left" wrapText="1"/>
    </xf>
    <xf numFmtId="41" fontId="35" fillId="68" borderId="0">
      <alignment horizontal="left"/>
    </xf>
    <xf numFmtId="170" fontId="43" fillId="0" borderId="0">
      <alignment horizontal="left" wrapText="1"/>
    </xf>
    <xf numFmtId="170" fontId="43" fillId="0" borderId="0">
      <alignment horizontal="left" wrapText="1"/>
    </xf>
    <xf numFmtId="41" fontId="35" fillId="68" borderId="0">
      <alignment horizontal="left"/>
    </xf>
    <xf numFmtId="0" fontId="11" fillId="0" borderId="51" applyNumberFormat="0" applyFill="0" applyAlignment="0" applyProtection="0"/>
    <xf numFmtId="0" fontId="11" fillId="0" borderId="24" applyNumberFormat="0" applyFill="0" applyAlignment="0" applyProtection="0"/>
    <xf numFmtId="0" fontId="61" fillId="0" borderId="52"/>
    <xf numFmtId="0" fontId="62" fillId="0" borderId="52"/>
    <xf numFmtId="0" fontId="62" fillId="0" borderId="52"/>
    <xf numFmtId="0" fontId="61" fillId="0" borderId="52"/>
    <xf numFmtId="0" fontId="62" fillId="0" borderId="52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0" fontId="43" fillId="0" borderId="0">
      <alignment horizontal="left" wrapText="1"/>
    </xf>
    <xf numFmtId="0" fontId="1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5" fillId="68" borderId="7" applyNumberFormat="0">
      <alignment horizontal="center" vertical="center" wrapText="1"/>
    </xf>
    <xf numFmtId="0" fontId="10" fillId="0" borderId="0">
      <alignment readingOrder="1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readingOrder="1"/>
    </xf>
    <xf numFmtId="0" fontId="10" fillId="0" borderId="0">
      <alignment readingOrder="1"/>
    </xf>
    <xf numFmtId="43" fontId="10" fillId="0" borderId="0" applyFont="0" applyFill="0" applyBorder="0" applyAlignment="0" applyProtection="0"/>
    <xf numFmtId="3" fontId="9" fillId="0" borderId="0"/>
    <xf numFmtId="9" fontId="10" fillId="0" borderId="0" applyFont="0" applyFill="0" applyBorder="0" applyAlignment="0" applyProtection="0"/>
    <xf numFmtId="0" fontId="10" fillId="89" borderId="0" applyNumberFormat="0" applyFont="0" applyFill="0" applyBorder="0" applyAlignment="0" applyProtection="0"/>
    <xf numFmtId="168" fontId="58" fillId="76" borderId="0" applyFont="0" applyFill="0" applyBorder="0" applyAlignment="0" applyProtection="0">
      <alignment wrapText="1"/>
    </xf>
    <xf numFmtId="3" fontId="9" fillId="0" borderId="0"/>
    <xf numFmtId="0" fontId="10" fillId="0" borderId="0">
      <alignment readingOrder="1"/>
    </xf>
    <xf numFmtId="38" fontId="126" fillId="0" borderId="0" applyNumberFormat="0" applyFont="0" applyFill="0" applyBorder="0">
      <alignment horizontal="left" indent="4"/>
      <protection locked="0"/>
    </xf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5" fillId="0" borderId="0"/>
    <xf numFmtId="0" fontId="58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24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42" fillId="0" borderId="0"/>
    <xf numFmtId="0" fontId="128" fillId="77" borderId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70" borderId="13" applyNumberFormat="0">
      <protection locked="0"/>
    </xf>
    <xf numFmtId="0" fontId="10" fillId="70" borderId="13" applyNumberFormat="0">
      <protection locked="0"/>
    </xf>
    <xf numFmtId="0" fontId="38" fillId="99" borderId="13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0" fontId="38" fillId="68" borderId="53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7" fillId="92" borderId="42" applyNumberFormat="0" applyProtection="0">
      <alignment horizontal="left" vertical="center" indent="1"/>
    </xf>
    <xf numFmtId="38" fontId="84" fillId="0" borderId="3"/>
    <xf numFmtId="38" fontId="84" fillId="0" borderId="3"/>
    <xf numFmtId="4" fontId="107" fillId="92" borderId="42" applyNumberFormat="0" applyProtection="0">
      <alignment horizontal="left" vertical="center" indent="1"/>
    </xf>
    <xf numFmtId="4" fontId="105" fillId="91" borderId="42" applyNumberFormat="0" applyProtection="0">
      <alignment horizontal="right" vertical="center"/>
    </xf>
    <xf numFmtId="38" fontId="84" fillId="0" borderId="3"/>
    <xf numFmtId="4" fontId="105" fillId="91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38" fontId="84" fillId="0" borderId="3"/>
    <xf numFmtId="4" fontId="105" fillId="90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4" fontId="105" fillId="87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4" fontId="105" fillId="86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4" fontId="105" fillId="85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6" fillId="76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6" fillId="76" borderId="42" applyNumberFormat="0" applyProtection="0">
      <alignment vertical="center"/>
    </xf>
    <xf numFmtId="4" fontId="105" fillId="76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5" fillId="76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6" fillId="94" borderId="42" applyNumberFormat="0" applyProtection="0">
      <alignment horizontal="right" vertical="center"/>
    </xf>
    <xf numFmtId="200" fontId="104" fillId="68" borderId="3">
      <alignment horizontal="left"/>
    </xf>
    <xf numFmtId="4" fontId="112" fillId="94" borderId="42" applyNumberFormat="0" applyProtection="0">
      <alignment horizontal="right" vertical="center"/>
    </xf>
    <xf numFmtId="200" fontId="104" fillId="68" borderId="3">
      <alignment horizontal="left"/>
    </xf>
    <xf numFmtId="42" fontId="10" fillId="68" borderId="3">
      <alignment horizontal="left"/>
    </xf>
    <xf numFmtId="4" fontId="112" fillId="94" borderId="42" applyNumberFormat="0" applyProtection="0">
      <alignment horizontal="right" vertical="center"/>
    </xf>
    <xf numFmtId="42" fontId="10" fillId="68" borderId="3">
      <alignment horizontal="left"/>
    </xf>
    <xf numFmtId="0" fontId="38" fillId="99" borderId="13"/>
    <xf numFmtId="42" fontId="10" fillId="68" borderId="3">
      <alignment horizontal="left"/>
    </xf>
    <xf numFmtId="42" fontId="10" fillId="68" borderId="3">
      <alignment horizontal="left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5" fillId="98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6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6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6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5" fillId="98" borderId="42" applyNumberFormat="0" applyProtection="0">
      <alignment horizontal="left" vertical="center" indent="1"/>
    </xf>
    <xf numFmtId="0" fontId="10" fillId="70" borderId="13" applyNumberFormat="0">
      <protection locked="0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0" fontId="10" fillId="70" borderId="13" applyNumberFormat="0">
      <protection locked="0"/>
    </xf>
    <xf numFmtId="4" fontId="106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6" fillId="98" borderId="42" applyNumberFormat="0" applyProtection="0">
      <alignment vertical="center"/>
    </xf>
    <xf numFmtId="4" fontId="105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vertical="center"/>
    </xf>
    <xf numFmtId="0" fontId="103" fillId="79" borderId="44"/>
    <xf numFmtId="0" fontId="102" fillId="80" borderId="43"/>
    <xf numFmtId="0" fontId="84" fillId="65" borderId="47" applyBorder="0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70" borderId="13" applyNumberFormat="0">
      <protection locked="0"/>
    </xf>
    <xf numFmtId="0" fontId="10" fillId="70" borderId="13" applyNumberFormat="0">
      <protection locked="0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70" borderId="13" applyNumberFormat="0">
      <protection locked="0"/>
    </xf>
    <xf numFmtId="0" fontId="10" fillId="34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70" borderId="13" applyNumberFormat="0">
      <protection locked="0"/>
    </xf>
    <xf numFmtId="0" fontId="10" fillId="81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4" fontId="107" fillId="92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07" fillId="92" borderId="42" applyNumberFormat="0" applyProtection="0">
      <alignment horizontal="left" vertical="center" indent="1"/>
    </xf>
    <xf numFmtId="4" fontId="105" fillId="91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4" fontId="105" fillId="91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4" fontId="105" fillId="90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4" fontId="105" fillId="87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4" fontId="105" fillId="85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4" fontId="105" fillId="83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6" fillId="76" borderId="42" applyNumberFormat="0" applyProtection="0">
      <alignment vertical="center"/>
    </xf>
    <xf numFmtId="38" fontId="84" fillId="0" borderId="3"/>
    <xf numFmtId="4" fontId="106" fillId="76" borderId="42" applyNumberFormat="0" applyProtection="0">
      <alignment vertical="center"/>
    </xf>
    <xf numFmtId="4" fontId="105" fillId="76" borderId="42" applyNumberFormat="0" applyProtection="0">
      <alignment vertical="center"/>
    </xf>
    <xf numFmtId="0" fontId="10" fillId="96" borderId="42" applyNumberFormat="0" applyProtection="0">
      <alignment horizontal="left" vertical="center" indent="1"/>
    </xf>
    <xf numFmtId="4" fontId="105" fillId="76" borderId="42" applyNumberFormat="0" applyProtection="0">
      <alignment vertical="center"/>
    </xf>
    <xf numFmtId="4" fontId="105" fillId="96" borderId="42" applyNumberFormat="0" applyProtection="0">
      <alignment horizontal="left" vertical="center" indent="1"/>
    </xf>
    <xf numFmtId="38" fontId="84" fillId="0" borderId="3"/>
    <xf numFmtId="4" fontId="105" fillId="96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38" fontId="84" fillId="0" borderId="3"/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84" fillId="0" borderId="3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84" fillId="0" borderId="3"/>
    <xf numFmtId="0" fontId="84" fillId="0" borderId="3"/>
    <xf numFmtId="38" fontId="84" fillId="0" borderId="3"/>
    <xf numFmtId="38" fontId="84" fillId="0" borderId="3"/>
    <xf numFmtId="38" fontId="84" fillId="0" borderId="3"/>
    <xf numFmtId="200" fontId="104" fillId="68" borderId="3">
      <alignment horizontal="left"/>
    </xf>
    <xf numFmtId="4" fontId="107" fillId="92" borderId="42" applyNumberFormat="0" applyProtection="0">
      <alignment horizontal="left" vertical="center" indent="1"/>
    </xf>
    <xf numFmtId="38" fontId="84" fillId="0" borderId="3"/>
    <xf numFmtId="42" fontId="10" fillId="68" borderId="3">
      <alignment horizontal="left"/>
    </xf>
    <xf numFmtId="42" fontId="10" fillId="68" borderId="3">
      <alignment horizontal="left"/>
    </xf>
    <xf numFmtId="4" fontId="107" fillId="92" borderId="42" applyNumberFormat="0" applyProtection="0">
      <alignment horizontal="left" vertical="center" indent="1"/>
    </xf>
    <xf numFmtId="42" fontId="10" fillId="68" borderId="3">
      <alignment horizontal="left"/>
    </xf>
    <xf numFmtId="42" fontId="10" fillId="68" borderId="3">
      <alignment horizontal="left"/>
    </xf>
    <xf numFmtId="4" fontId="105" fillId="91" borderId="42" applyNumberFormat="0" applyProtection="0">
      <alignment horizontal="right" vertical="center"/>
    </xf>
    <xf numFmtId="4" fontId="105" fillId="91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6" fillId="76" borderId="42" applyNumberFormat="0" applyProtection="0">
      <alignment vertical="center"/>
    </xf>
    <xf numFmtId="4" fontId="105" fillId="76" borderId="42" applyNumberFormat="0" applyProtection="0">
      <alignment vertical="center"/>
    </xf>
    <xf numFmtId="4" fontId="105" fillId="76" borderId="42" applyNumberFormat="0" applyProtection="0">
      <alignment vertical="center"/>
    </xf>
    <xf numFmtId="0" fontId="103" fillId="79" borderId="44"/>
    <xf numFmtId="0" fontId="102" fillId="80" borderId="43"/>
    <xf numFmtId="4" fontId="112" fillId="94" borderId="42" applyNumberFormat="0" applyProtection="0">
      <alignment horizontal="right" vertical="center"/>
    </xf>
    <xf numFmtId="4" fontId="112" fillId="94" borderId="42" applyNumberFormat="0" applyProtection="0">
      <alignment horizontal="right" vertical="center"/>
    </xf>
    <xf numFmtId="200" fontId="104" fillId="68" borderId="3">
      <alignment horizontal="left"/>
    </xf>
    <xf numFmtId="0" fontId="38" fillId="99" borderId="13"/>
    <xf numFmtId="200" fontId="104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6" fillId="94" borderId="42" applyNumberFormat="0" applyProtection="0">
      <alignment horizontal="right" vertical="center"/>
    </xf>
    <xf numFmtId="4" fontId="106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6" fillId="98" borderId="42" applyNumberFormat="0" applyProtection="0">
      <alignment vertical="center"/>
    </xf>
    <xf numFmtId="4" fontId="106" fillId="98" borderId="42" applyNumberFormat="0" applyProtection="0">
      <alignment vertical="center"/>
    </xf>
    <xf numFmtId="4" fontId="105" fillId="98" borderId="42" applyNumberFormat="0" applyProtection="0">
      <alignment vertical="center"/>
    </xf>
    <xf numFmtId="4" fontId="105" fillId="98" borderId="42" applyNumberFormat="0" applyProtection="0">
      <alignment vertical="center"/>
    </xf>
    <xf numFmtId="0" fontId="10" fillId="70" borderId="13" applyNumberFormat="0">
      <protection locked="0"/>
    </xf>
    <xf numFmtId="0" fontId="10" fillId="70" borderId="13" applyNumberFormat="0">
      <protection locked="0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7" fillId="92" borderId="42" applyNumberFormat="0" applyProtection="0">
      <alignment horizontal="left" vertical="center" indent="1"/>
    </xf>
    <xf numFmtId="4" fontId="105" fillId="91" borderId="42" applyNumberFormat="0" applyProtection="0">
      <alignment horizontal="right" vertical="center"/>
    </xf>
    <xf numFmtId="4" fontId="105" fillId="91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96" fillId="70" borderId="42" applyNumberFormat="0" applyAlignment="0" applyProtection="0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10" fillId="81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4" fontId="105" fillId="76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4" fontId="105" fillId="76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4" fontId="105" fillId="76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4" fontId="106" fillId="76" borderId="42" applyNumberFormat="0" applyProtection="0">
      <alignment vertical="center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4" fontId="106" fillId="76" borderId="42" applyNumberFormat="0" applyProtection="0">
      <alignment vertical="center"/>
    </xf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3" fillId="40" borderId="41" applyNumberFormat="0" applyFont="0" applyAlignment="0" applyProtection="0"/>
    <xf numFmtId="4" fontId="105" fillId="76" borderId="42" applyNumberFormat="0" applyProtection="0">
      <alignment vertical="center"/>
    </xf>
    <xf numFmtId="0" fontId="10" fillId="40" borderId="41" applyNumberFormat="0" applyFont="0" applyAlignment="0" applyProtection="0"/>
    <xf numFmtId="0" fontId="10" fillId="40" borderId="41" applyNumberFormat="0" applyFont="0" applyAlignment="0" applyProtection="0"/>
    <xf numFmtId="0" fontId="10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200" fontId="104" fillId="68" borderId="3">
      <alignment horizontal="left"/>
    </xf>
    <xf numFmtId="200" fontId="104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0" fontId="96" fillId="70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3" fillId="40" borderId="41" applyNumberFormat="0" applyFont="0" applyAlignment="0" applyProtection="0"/>
    <xf numFmtId="0" fontId="10" fillId="40" borderId="41" applyNumberFormat="0" applyFont="0" applyAlignment="0" applyProtection="0"/>
    <xf numFmtId="0" fontId="10" fillId="40" borderId="41" applyNumberFormat="0" applyFont="0" applyAlignment="0" applyProtection="0"/>
    <xf numFmtId="0" fontId="10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96" fillId="70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5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0" fontId="85" fillId="42" borderId="26" applyNumberFormat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0" fontId="85" fillId="42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70" borderId="42" applyNumberFormat="0" applyAlignment="0" applyProtection="0"/>
    <xf numFmtId="0" fontId="48" fillId="40" borderId="41" applyNumberFormat="0" applyFont="0" applyAlignment="0" applyProtection="0"/>
    <xf numFmtId="0" fontId="10" fillId="40" borderId="41" applyNumberFormat="0" applyFont="0" applyAlignment="0" applyProtection="0"/>
    <xf numFmtId="0" fontId="43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9" fontId="6" fillId="0" borderId="0" applyFont="0" applyFill="0" applyBorder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9" fontId="6" fillId="0" borderId="0" applyFont="0" applyFill="0" applyBorder="0" applyAlignment="0" applyProtection="0"/>
    <xf numFmtId="0" fontId="96" fillId="69" borderId="42" applyNumberFormat="0" applyAlignment="0" applyProtection="0"/>
    <xf numFmtId="0" fontId="96" fillId="69" borderId="42" applyNumberFormat="0" applyAlignment="0" applyProtection="0"/>
    <xf numFmtId="0" fontId="96" fillId="70" borderId="4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2" fillId="80" borderId="43"/>
    <xf numFmtId="0" fontId="103" fillId="79" borderId="44"/>
    <xf numFmtId="4" fontId="105" fillId="94" borderId="46" applyNumberFormat="0" applyProtection="0">
      <alignment horizontal="left" vertical="center" indent="1"/>
    </xf>
    <xf numFmtId="4" fontId="105" fillId="94" borderId="46" applyNumberFormat="0" applyProtection="0">
      <alignment horizontal="left" vertical="center" indent="1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200" fontId="104" fillId="68" borderId="3">
      <alignment horizontal="left"/>
    </xf>
    <xf numFmtId="200" fontId="104" fillId="68" borderId="3">
      <alignment horizontal="left"/>
    </xf>
    <xf numFmtId="4" fontId="105" fillId="76" borderId="42" applyNumberFormat="0" applyProtection="0">
      <alignment vertical="center"/>
    </xf>
    <xf numFmtId="4" fontId="105" fillId="76" borderId="42" applyNumberFormat="0" applyProtection="0">
      <alignment vertical="center"/>
    </xf>
    <xf numFmtId="4" fontId="106" fillId="76" borderId="42" applyNumberFormat="0" applyProtection="0">
      <alignment vertical="center"/>
    </xf>
    <xf numFmtId="4" fontId="106" fillId="76" borderId="42" applyNumberFormat="0" applyProtection="0">
      <alignment vertical="center"/>
    </xf>
    <xf numFmtId="4" fontId="105" fillId="76" borderId="42" applyNumberFormat="0" applyProtection="0">
      <alignment horizontal="left" vertical="center" indent="1"/>
    </xf>
    <xf numFmtId="4" fontId="105" fillId="94" borderId="46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84" fillId="65" borderId="47" applyBorder="0"/>
    <xf numFmtId="0" fontId="84" fillId="65" borderId="47" applyBorder="0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83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0" fontId="102" fillId="80" borderId="43"/>
    <xf numFmtId="0" fontId="103" fillId="79" borderId="44"/>
    <xf numFmtId="4" fontId="105" fillId="85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94" borderId="46" applyNumberFormat="0" applyProtection="0">
      <alignment horizontal="left" vertical="center" indent="1"/>
    </xf>
    <xf numFmtId="4" fontId="105" fillId="89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4" fontId="105" fillId="91" borderId="42" applyNumberFormat="0" applyProtection="0">
      <alignment horizontal="right" vertical="center"/>
    </xf>
    <xf numFmtId="4" fontId="107" fillId="92" borderId="42" applyNumberFormat="0" applyProtection="0">
      <alignment horizontal="left" vertical="center" indent="1"/>
    </xf>
    <xf numFmtId="4" fontId="107" fillId="92" borderId="42" applyNumberFormat="0" applyProtection="0">
      <alignment horizontal="left" vertical="center" indent="1"/>
    </xf>
    <xf numFmtId="4" fontId="105" fillId="94" borderId="46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84" fillId="65" borderId="47" applyBorder="0"/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42" fontId="10" fillId="68" borderId="3">
      <alignment horizontal="left"/>
    </xf>
    <xf numFmtId="0" fontId="10" fillId="96" borderId="42" applyNumberFormat="0" applyProtection="0">
      <alignment horizontal="left" vertical="center" indent="1"/>
    </xf>
    <xf numFmtId="200" fontId="104" fillId="68" borderId="3">
      <alignment horizontal="left"/>
    </xf>
    <xf numFmtId="0" fontId="10" fillId="96" borderId="42" applyNumberFormat="0" applyProtection="0">
      <alignment horizontal="left" vertical="center" indent="1"/>
    </xf>
    <xf numFmtId="200" fontId="104" fillId="68" borderId="3">
      <alignment horizontal="left"/>
    </xf>
    <xf numFmtId="0" fontId="10" fillId="96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84" fillId="65" borderId="47" applyBorder="0"/>
    <xf numFmtId="4" fontId="105" fillId="76" borderId="42" applyNumberFormat="0" applyProtection="0">
      <alignment vertical="center"/>
    </xf>
    <xf numFmtId="0" fontId="10" fillId="34" borderId="42" applyNumberFormat="0" applyProtection="0">
      <alignment horizontal="left" vertical="center" indent="1"/>
    </xf>
    <xf numFmtId="4" fontId="105" fillId="76" borderId="42" applyNumberFormat="0" applyProtection="0">
      <alignment vertical="center"/>
    </xf>
    <xf numFmtId="4" fontId="106" fillId="76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6" fillId="76" borderId="42" applyNumberFormat="0" applyProtection="0">
      <alignment vertical="center"/>
    </xf>
    <xf numFmtId="4" fontId="105" fillId="7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70" borderId="13" applyNumberFormat="0">
      <protection locked="0"/>
    </xf>
    <xf numFmtId="0" fontId="10" fillId="70" borderId="13" applyNumberFormat="0">
      <protection locked="0"/>
    </xf>
    <xf numFmtId="4" fontId="105" fillId="7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83" borderId="42" applyNumberFormat="0" applyProtection="0">
      <alignment horizontal="right" vertical="center"/>
    </xf>
    <xf numFmtId="4" fontId="105" fillId="83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4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4" fontId="105" fillId="85" borderId="42" applyNumberFormat="0" applyProtection="0">
      <alignment horizontal="right" vertical="center"/>
    </xf>
    <xf numFmtId="4" fontId="105" fillId="86" borderId="42" applyNumberFormat="0" applyProtection="0">
      <alignment horizontal="right" vertical="center"/>
    </xf>
    <xf numFmtId="0" fontId="84" fillId="65" borderId="47" applyBorder="0"/>
    <xf numFmtId="4" fontId="105" fillId="86" borderId="42" applyNumberFormat="0" applyProtection="0">
      <alignment horizontal="right" vertical="center"/>
    </xf>
    <xf numFmtId="4" fontId="105" fillId="87" borderId="42" applyNumberFormat="0" applyProtection="0">
      <alignment horizontal="right" vertical="center"/>
    </xf>
    <xf numFmtId="4" fontId="105" fillId="98" borderId="42" applyNumberFormat="0" applyProtection="0">
      <alignment vertical="center"/>
    </xf>
    <xf numFmtId="4" fontId="105" fillId="87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8" borderId="42" applyNumberFormat="0" applyProtection="0">
      <alignment horizontal="right" vertical="center"/>
    </xf>
    <xf numFmtId="4" fontId="105" fillId="89" borderId="42" applyNumberFormat="0" applyProtection="0">
      <alignment horizontal="right" vertical="center"/>
    </xf>
    <xf numFmtId="4" fontId="105" fillId="98" borderId="42" applyNumberFormat="0" applyProtection="0">
      <alignment vertical="center"/>
    </xf>
    <xf numFmtId="4" fontId="105" fillId="89" borderId="42" applyNumberFormat="0" applyProtection="0">
      <alignment horizontal="right" vertical="center"/>
    </xf>
    <xf numFmtId="4" fontId="105" fillId="90" borderId="42" applyNumberFormat="0" applyProtection="0">
      <alignment horizontal="right" vertical="center"/>
    </xf>
    <xf numFmtId="4" fontId="106" fillId="98" borderId="42" applyNumberFormat="0" applyProtection="0">
      <alignment vertical="center"/>
    </xf>
    <xf numFmtId="4" fontId="105" fillId="90" borderId="42" applyNumberFormat="0" applyProtection="0">
      <alignment horizontal="right" vertical="center"/>
    </xf>
    <xf numFmtId="4" fontId="105" fillId="91" borderId="42" applyNumberFormat="0" applyProtection="0">
      <alignment horizontal="right" vertical="center"/>
    </xf>
    <xf numFmtId="4" fontId="106" fillId="98" borderId="42" applyNumberFormat="0" applyProtection="0">
      <alignment vertical="center"/>
    </xf>
    <xf numFmtId="4" fontId="105" fillId="91" borderId="42" applyNumberFormat="0" applyProtection="0">
      <alignment horizontal="right" vertical="center"/>
    </xf>
    <xf numFmtId="4" fontId="107" fillId="92" borderId="42" applyNumberFormat="0" applyProtection="0">
      <alignment horizontal="left" vertical="center" indent="1"/>
    </xf>
    <xf numFmtId="4" fontId="107" fillId="92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38" fillId="99" borderId="13"/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6" fillId="94" borderId="42" applyNumberFormat="0" applyProtection="0">
      <alignment horizontal="right" vertical="center"/>
    </xf>
    <xf numFmtId="4" fontId="105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06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11" fillId="0" borderId="51" applyNumberFormat="0" applyFill="0" applyAlignment="0" applyProtection="0"/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1" fillId="0" borderId="51" applyNumberFormat="0" applyFill="0" applyAlignment="0" applyProtection="0"/>
    <xf numFmtId="0" fontId="10" fillId="96" borderId="42" applyNumberFormat="0" applyProtection="0">
      <alignment horizontal="left" vertical="center" indent="1"/>
    </xf>
    <xf numFmtId="0" fontId="11" fillId="0" borderId="51" applyNumberFormat="0" applyFill="0" applyAlignment="0" applyProtection="0"/>
    <xf numFmtId="0" fontId="10" fillId="96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1" fillId="0" borderId="51" applyNumberFormat="0" applyFill="0" applyAlignment="0" applyProtection="0"/>
    <xf numFmtId="0" fontId="10" fillId="97" borderId="42" applyNumberFormat="0" applyProtection="0">
      <alignment horizontal="left" vertical="center" indent="1"/>
    </xf>
    <xf numFmtId="10" fontId="38" fillId="68" borderId="13" applyNumberFormat="0" applyBorder="0" applyAlignment="0" applyProtection="0"/>
    <xf numFmtId="4" fontId="105" fillId="83" borderId="42" applyNumberFormat="0" applyProtection="0">
      <alignment horizontal="right" vertical="center"/>
    </xf>
    <xf numFmtId="0" fontId="48" fillId="40" borderId="41" applyNumberFormat="0" applyFon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81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10" fontId="38" fillId="68" borderId="53" applyNumberFormat="0" applyBorder="0" applyAlignment="0" applyProtection="0"/>
    <xf numFmtId="0" fontId="48" fillId="40" borderId="41" applyNumberFormat="0" applyFont="0" applyAlignment="0" applyProtection="0"/>
    <xf numFmtId="0" fontId="48" fillId="40" borderId="41" applyNumberFormat="0" applyFont="0" applyAlignment="0" applyProtection="0"/>
    <xf numFmtId="0" fontId="10" fillId="81" borderId="42" applyNumberFormat="0" applyProtection="0">
      <alignment horizontal="left" vertical="center" indent="1"/>
    </xf>
    <xf numFmtId="0" fontId="10" fillId="40" borderId="41" applyNumberFormat="0" applyFont="0" applyAlignment="0" applyProtection="0"/>
    <xf numFmtId="0" fontId="52" fillId="69" borderId="26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4" fontId="105" fillId="76" borderId="42" applyNumberFormat="0" applyProtection="0">
      <alignment horizontal="left" vertical="center" indent="1"/>
    </xf>
    <xf numFmtId="4" fontId="105" fillId="7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84" fillId="0" borderId="3"/>
    <xf numFmtId="0" fontId="84" fillId="0" borderId="3"/>
    <xf numFmtId="0" fontId="84" fillId="0" borderId="3"/>
    <xf numFmtId="38" fontId="84" fillId="0" borderId="3"/>
    <xf numFmtId="38" fontId="84" fillId="0" borderId="3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38" fontId="84" fillId="0" borderId="3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4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0" fontId="38" fillId="99" borderId="13"/>
    <xf numFmtId="4" fontId="105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12" fillId="94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4" fontId="112" fillId="94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70" borderId="13" applyNumberFormat="0">
      <protection locked="0"/>
    </xf>
    <xf numFmtId="0" fontId="10" fillId="70" borderId="13" applyNumberFormat="0">
      <protection locked="0"/>
    </xf>
    <xf numFmtId="0" fontId="10" fillId="70" borderId="53" applyNumberFormat="0">
      <protection locked="0"/>
    </xf>
    <xf numFmtId="4" fontId="105" fillId="98" borderId="42" applyNumberFormat="0" applyProtection="0">
      <alignment vertical="center"/>
    </xf>
    <xf numFmtId="0" fontId="10" fillId="70" borderId="53" applyNumberFormat="0">
      <protection locked="0"/>
    </xf>
    <xf numFmtId="4" fontId="105" fillId="98" borderId="42" applyNumberFormat="0" applyProtection="0">
      <alignment vertical="center"/>
    </xf>
    <xf numFmtId="4" fontId="106" fillId="98" borderId="42" applyNumberFormat="0" applyProtection="0">
      <alignment vertical="center"/>
    </xf>
    <xf numFmtId="4" fontId="106" fillId="98" borderId="42" applyNumberFormat="0" applyProtection="0">
      <alignment vertical="center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4" fontId="106" fillId="94" borderId="42" applyNumberFormat="0" applyProtection="0">
      <alignment horizontal="right" vertical="center"/>
    </xf>
    <xf numFmtId="4" fontId="106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38" fillId="99" borderId="13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38" fillId="99" borderId="13"/>
    <xf numFmtId="4" fontId="112" fillId="94" borderId="42" applyNumberFormat="0" applyProtection="0">
      <alignment horizontal="right" vertical="center"/>
    </xf>
    <xf numFmtId="38" fontId="84" fillId="0" borderId="3"/>
    <xf numFmtId="4" fontId="112" fillId="94" borderId="42" applyNumberFormat="0" applyProtection="0">
      <alignment horizontal="right" vertical="center"/>
    </xf>
    <xf numFmtId="38" fontId="84" fillId="0" borderId="3"/>
    <xf numFmtId="38" fontId="84" fillId="0" borderId="3"/>
    <xf numFmtId="0" fontId="84" fillId="0" borderId="3"/>
    <xf numFmtId="0" fontId="84" fillId="0" borderId="3"/>
    <xf numFmtId="0" fontId="75" fillId="0" borderId="44"/>
    <xf numFmtId="0" fontId="84" fillId="0" borderId="3"/>
    <xf numFmtId="38" fontId="84" fillId="0" borderId="3"/>
    <xf numFmtId="38" fontId="84" fillId="0" borderId="3"/>
    <xf numFmtId="38" fontId="84" fillId="0" borderId="3"/>
    <xf numFmtId="0" fontId="71" fillId="0" borderId="50" applyNumberFormat="0" applyFill="0" applyAlignment="0" applyProtection="0"/>
    <xf numFmtId="38" fontId="84" fillId="0" borderId="3"/>
    <xf numFmtId="38" fontId="84" fillId="0" borderId="3"/>
    <xf numFmtId="38" fontId="84" fillId="0" borderId="3"/>
    <xf numFmtId="38" fontId="84" fillId="0" borderId="3"/>
    <xf numFmtId="0" fontId="71" fillId="0" borderId="50" applyNumberFormat="0" applyFill="0" applyAlignment="0" applyProtection="0"/>
    <xf numFmtId="0" fontId="84" fillId="0" borderId="3"/>
    <xf numFmtId="0" fontId="84" fillId="0" borderId="3"/>
    <xf numFmtId="0" fontId="84" fillId="0" borderId="3"/>
    <xf numFmtId="38" fontId="84" fillId="0" borderId="3"/>
    <xf numFmtId="38" fontId="84" fillId="0" borderId="3"/>
    <xf numFmtId="38" fontId="84" fillId="0" borderId="3"/>
    <xf numFmtId="0" fontId="71" fillId="0" borderId="50" applyNumberFormat="0" applyFill="0" applyAlignment="0" applyProtection="0"/>
    <xf numFmtId="0" fontId="38" fillId="99" borderId="53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48" fillId="40" borderId="41" applyNumberFormat="0" applyFont="0" applyAlignment="0" applyProtection="0"/>
    <xf numFmtId="4" fontId="107" fillId="92" borderId="42" applyNumberFormat="0" applyProtection="0">
      <alignment horizontal="left" vertical="center" indent="1"/>
    </xf>
    <xf numFmtId="4" fontId="105" fillId="76" borderId="42" applyNumberFormat="0" applyProtection="0">
      <alignment vertical="center"/>
    </xf>
    <xf numFmtId="0" fontId="75" fillId="0" borderId="44"/>
    <xf numFmtId="0" fontId="52" fillId="69" borderId="26" applyNumberFormat="0" applyAlignment="0" applyProtection="0"/>
    <xf numFmtId="0" fontId="52" fillId="69" borderId="26" applyNumberFormat="0" applyAlignment="0" applyProtection="0"/>
    <xf numFmtId="0" fontId="48" fillId="40" borderId="41" applyNumberFormat="0" applyFont="0" applyAlignment="0" applyProtection="0"/>
    <xf numFmtId="0" fontId="96" fillId="69" borderId="42" applyNumberFormat="0" applyAlignment="0" applyProtection="0"/>
    <xf numFmtId="4" fontId="106" fillId="94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200" fontId="104" fillId="68" borderId="3">
      <alignment horizontal="left"/>
    </xf>
    <xf numFmtId="4" fontId="105" fillId="76" borderId="42" applyNumberFormat="0" applyProtection="0">
      <alignment horizontal="left" vertical="center" indent="1"/>
    </xf>
    <xf numFmtId="4" fontId="106" fillId="76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96" fillId="70" borderId="42" applyNumberFormat="0" applyAlignment="0" applyProtection="0"/>
    <xf numFmtId="0" fontId="10" fillId="97" borderId="42" applyNumberFormat="0" applyProtection="0">
      <alignment horizontal="left" vertical="center" indent="1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0" borderId="42" applyNumberFormat="0" applyProtection="0">
      <alignment horizontal="right" vertical="center"/>
    </xf>
    <xf numFmtId="0" fontId="10" fillId="96" borderId="42" applyNumberFormat="0" applyProtection="0">
      <alignment horizontal="left" vertical="center" indent="1"/>
    </xf>
    <xf numFmtId="4" fontId="105" fillId="96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10" fontId="38" fillId="68" borderId="13" applyNumberFormat="0" applyBorder="0" applyAlignment="0" applyProtection="0"/>
    <xf numFmtId="0" fontId="10" fillId="81" borderId="42" applyNumberFormat="0" applyProtection="0">
      <alignment horizontal="left" vertical="center" indent="1"/>
    </xf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42" fontId="10" fillId="68" borderId="3">
      <alignment horizontal="left"/>
    </xf>
    <xf numFmtId="0" fontId="96" fillId="69" borderId="42" applyNumberFormat="0" applyAlignment="0" applyProtection="0"/>
    <xf numFmtId="0" fontId="10" fillId="81" borderId="42" applyNumberFormat="0" applyProtection="0">
      <alignment horizontal="left" vertical="center" indent="1"/>
    </xf>
    <xf numFmtId="0" fontId="96" fillId="69" borderId="42" applyNumberFormat="0" applyAlignment="0" applyProtection="0"/>
    <xf numFmtId="10" fontId="38" fillId="68" borderId="53" applyNumberFormat="0" applyBorder="0" applyAlignment="0" applyProtection="0"/>
    <xf numFmtId="38" fontId="84" fillId="0" borderId="3"/>
    <xf numFmtId="0" fontId="10" fillId="34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97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70" borderId="53" applyNumberFormat="0">
      <protection locked="0"/>
    </xf>
    <xf numFmtId="0" fontId="10" fillId="70" borderId="53" applyNumberFormat="0">
      <protection locked="0"/>
    </xf>
    <xf numFmtId="0" fontId="10" fillId="81" borderId="42" applyNumberFormat="0" applyProtection="0">
      <alignment horizontal="left" vertical="center" indent="1"/>
    </xf>
    <xf numFmtId="0" fontId="84" fillId="65" borderId="47" applyBorder="0"/>
    <xf numFmtId="4" fontId="105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vertical="center"/>
    </xf>
    <xf numFmtId="4" fontId="106" fillId="98" borderId="42" applyNumberFormat="0" applyProtection="0">
      <alignment vertical="center"/>
    </xf>
    <xf numFmtId="0" fontId="10" fillId="81" borderId="42" applyNumberFormat="0" applyProtection="0">
      <alignment horizontal="left" vertical="center" indent="1"/>
    </xf>
    <xf numFmtId="4" fontId="106" fillId="98" borderId="42" applyNumberFormat="0" applyProtection="0">
      <alignment vertical="center"/>
    </xf>
    <xf numFmtId="4" fontId="105" fillId="98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5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4" fontId="106" fillId="94" borderId="42" applyNumberFormat="0" applyProtection="0">
      <alignment horizontal="right" vertical="center"/>
    </xf>
    <xf numFmtId="4" fontId="106" fillId="94" borderId="42" applyNumberFormat="0" applyProtection="0">
      <alignment horizontal="right" vertical="center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10" fillId="81" borderId="42" applyNumberFormat="0" applyProtection="0">
      <alignment horizontal="left" vertical="center" indent="1"/>
    </xf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38" fillId="99" borderId="53"/>
    <xf numFmtId="0" fontId="11" fillId="0" borderId="51" applyNumberFormat="0" applyFill="0" applyAlignment="0" applyProtection="0"/>
    <xf numFmtId="4" fontId="112" fillId="94" borderId="42" applyNumberFormat="0" applyProtection="0">
      <alignment horizontal="right" vertical="center"/>
    </xf>
    <xf numFmtId="4" fontId="112" fillId="94" borderId="42" applyNumberFormat="0" applyProtection="0">
      <alignment horizontal="right" vertical="center"/>
    </xf>
    <xf numFmtId="0" fontId="11" fillId="0" borderId="51" applyNumberFormat="0" applyFill="0" applyAlignment="0" applyProtection="0"/>
    <xf numFmtId="4" fontId="112" fillId="94" borderId="42" applyNumberFormat="0" applyProtection="0">
      <alignment horizontal="right" vertical="center"/>
    </xf>
    <xf numFmtId="0" fontId="11" fillId="0" borderId="51" applyNumberFormat="0" applyFill="0" applyAlignment="0" applyProtection="0"/>
    <xf numFmtId="4" fontId="112" fillId="94" borderId="42" applyNumberFormat="0" applyProtection="0">
      <alignment horizontal="right" vertical="center"/>
    </xf>
    <xf numFmtId="0" fontId="11" fillId="0" borderId="51" applyNumberFormat="0" applyFill="0" applyAlignment="0" applyProtection="0"/>
    <xf numFmtId="0" fontId="96" fillId="69" borderId="42" applyNumberFormat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34" borderId="42" applyNumberFormat="0" applyProtection="0">
      <alignment horizontal="left" vertical="center" indent="1"/>
    </xf>
    <xf numFmtId="0" fontId="10" fillId="34" borderId="42" applyNumberFormat="0" applyProtection="0">
      <alignment horizontal="left" vertical="center" indent="1"/>
    </xf>
    <xf numFmtId="4" fontId="105" fillId="98" borderId="42" applyNumberFormat="0" applyProtection="0">
      <alignment horizontal="left" vertical="center" indent="1"/>
    </xf>
    <xf numFmtId="0" fontId="10" fillId="40" borderId="41" applyNumberFormat="0" applyFon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81" borderId="42" applyNumberFormat="0" applyProtection="0">
      <alignment horizontal="left" vertical="center" indent="1"/>
    </xf>
    <xf numFmtId="4" fontId="106" fillId="94" borderId="42" applyNumberFormat="0" applyProtection="0">
      <alignment horizontal="right" vertical="center"/>
    </xf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38" fontId="84" fillId="0" borderId="3"/>
    <xf numFmtId="38" fontId="84" fillId="0" borderId="3"/>
    <xf numFmtId="38" fontId="84" fillId="0" borderId="3"/>
    <xf numFmtId="38" fontId="84" fillId="0" borderId="3"/>
    <xf numFmtId="0" fontId="84" fillId="0" borderId="3"/>
    <xf numFmtId="0" fontId="84" fillId="0" borderId="3"/>
    <xf numFmtId="0" fontId="84" fillId="0" borderId="3"/>
    <xf numFmtId="38" fontId="84" fillId="0" borderId="3"/>
    <xf numFmtId="38" fontId="84" fillId="0" borderId="3"/>
    <xf numFmtId="38" fontId="84" fillId="0" borderId="3"/>
    <xf numFmtId="0" fontId="11" fillId="0" borderId="51" applyNumberFormat="0" applyFill="0" applyAlignment="0" applyProtection="0"/>
    <xf numFmtId="0" fontId="10" fillId="40" borderId="41" applyNumberFormat="0" applyFont="0" applyAlignment="0" applyProtection="0"/>
    <xf numFmtId="0" fontId="75" fillId="0" borderId="44"/>
    <xf numFmtId="0" fontId="10" fillId="40" borderId="41" applyNumberFormat="0" applyFont="0" applyAlignment="0" applyProtection="0"/>
    <xf numFmtId="0" fontId="10" fillId="40" borderId="41" applyNumberFormat="0" applyFont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1" fillId="0" borderId="51" applyNumberFormat="0" applyFill="0" applyAlignment="0" applyProtection="0"/>
    <xf numFmtId="10" fontId="38" fillId="68" borderId="13" applyNumberFormat="0" applyBorder="0" applyAlignment="0" applyProtection="0"/>
    <xf numFmtId="4" fontId="105" fillId="91" borderId="42" applyNumberFormat="0" applyProtection="0">
      <alignment horizontal="right" vertical="center"/>
    </xf>
    <xf numFmtId="0" fontId="52" fillId="69" borderId="26" applyNumberFormat="0" applyAlignment="0" applyProtection="0"/>
    <xf numFmtId="0" fontId="52" fillId="69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81" borderId="42" applyNumberFormat="0" applyProtection="0">
      <alignment horizontal="left" vertical="center" indent="1"/>
    </xf>
    <xf numFmtId="4" fontId="105" fillId="94" borderId="42" applyNumberFormat="0" applyProtection="0">
      <alignment horizontal="right" vertical="center"/>
    </xf>
    <xf numFmtId="0" fontId="96" fillId="69" borderId="42" applyNumberFormat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4" fontId="105" fillId="98" borderId="42" applyNumberFormat="0" applyProtection="0">
      <alignment horizontal="left" vertical="center" indent="1"/>
    </xf>
    <xf numFmtId="4" fontId="105" fillId="90" borderId="42" applyNumberFormat="0" applyProtection="0">
      <alignment horizontal="right" vertical="center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96" borderId="42" applyNumberFormat="0" applyProtection="0">
      <alignment horizontal="left" vertical="center" indent="1"/>
    </xf>
    <xf numFmtId="0" fontId="48" fillId="40" borderId="41" applyNumberFormat="0" applyFont="0" applyAlignment="0" applyProtection="0"/>
    <xf numFmtId="0" fontId="43" fillId="40" borderId="41" applyNumberFormat="0" applyFont="0" applyAlignment="0" applyProtection="0"/>
    <xf numFmtId="38" fontId="84" fillId="0" borderId="3"/>
    <xf numFmtId="38" fontId="84" fillId="0" borderId="3"/>
    <xf numFmtId="38" fontId="84" fillId="0" borderId="3"/>
    <xf numFmtId="38" fontId="84" fillId="0" borderId="3"/>
    <xf numFmtId="0" fontId="84" fillId="0" borderId="3"/>
    <xf numFmtId="0" fontId="84" fillId="0" borderId="3"/>
    <xf numFmtId="0" fontId="84" fillId="0" borderId="3"/>
    <xf numFmtId="38" fontId="84" fillId="0" borderId="3"/>
    <xf numFmtId="38" fontId="84" fillId="0" borderId="3"/>
    <xf numFmtId="38" fontId="84" fillId="0" borderId="3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10" fillId="96" borderId="42" applyNumberFormat="0" applyProtection="0">
      <alignment horizontal="left" vertical="center" indent="1"/>
    </xf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10" fontId="38" fillId="68" borderId="13" applyNumberFormat="0" applyBorder="0" applyAlignment="0" applyProtection="0"/>
    <xf numFmtId="0" fontId="75" fillId="0" borderId="44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11" fillId="0" borderId="51" applyNumberFormat="0" applyFill="0" applyAlignment="0" applyProtection="0"/>
    <xf numFmtId="0" fontId="52" fillId="69" borderId="26" applyNumberFormat="0" applyAlignment="0" applyProtection="0"/>
    <xf numFmtId="0" fontId="52" fillId="69" borderId="26" applyNumberFormat="0" applyAlignment="0" applyProtection="0"/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76" fillId="0" borderId="12">
      <alignment horizontal="left"/>
    </xf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0" fontId="85" fillId="42" borderId="26" applyNumberFormat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>
      <alignment readingOrder="1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>
      <alignment readingOrder="1"/>
    </xf>
    <xf numFmtId="0" fontId="33" fillId="0" borderId="0">
      <alignment readingOrder="1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29" fillId="0" borderId="0">
      <alignment readingOrder="1"/>
    </xf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6" fillId="0" borderId="54">
      <alignment horizontal="left"/>
    </xf>
    <xf numFmtId="0" fontId="76" fillId="0" borderId="54">
      <alignment horizontal="left"/>
    </xf>
    <xf numFmtId="0" fontId="76" fillId="0" borderId="54">
      <alignment horizontal="left"/>
    </xf>
    <xf numFmtId="0" fontId="76" fillId="0" borderId="5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44" fontId="3" fillId="0" borderId="0" applyFont="0" applyFill="0" applyBorder="0" applyAlignment="0" applyProtection="0"/>
  </cellStyleXfs>
  <cellXfs count="154">
    <xf numFmtId="0" fontId="0" fillId="0" borderId="0" xfId="0"/>
    <xf numFmtId="0" fontId="3" fillId="2" borderId="0" xfId="12490" applyFill="1"/>
    <xf numFmtId="166" fontId="0" fillId="2" borderId="0" xfId="12491" applyNumberFormat="1" applyFont="1" applyFill="1"/>
    <xf numFmtId="0" fontId="11" fillId="2" borderId="7" xfId="12490" applyFont="1" applyFill="1" applyBorder="1"/>
    <xf numFmtId="0" fontId="11" fillId="2" borderId="0" xfId="12490" applyFont="1" applyFill="1" applyBorder="1"/>
    <xf numFmtId="166" fontId="130" fillId="2" borderId="0" xfId="12491" applyNumberFormat="1" applyFont="1" applyFill="1" applyBorder="1" applyAlignment="1">
      <alignment horizontal="center" wrapText="1"/>
    </xf>
    <xf numFmtId="0" fontId="11" fillId="2" borderId="0" xfId="12490" applyFont="1" applyFill="1" applyBorder="1" applyAlignment="1">
      <alignment horizontal="center" wrapText="1"/>
    </xf>
    <xf numFmtId="170" fontId="3" fillId="2" borderId="0" xfId="12490" applyNumberFormat="1" applyFill="1"/>
    <xf numFmtId="0" fontId="3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0" xfId="0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11" xfId="4" applyFont="1" applyFill="1" applyBorder="1" applyAlignment="1">
      <alignment horizontal="center" wrapText="1"/>
    </xf>
    <xf numFmtId="0" fontId="12" fillId="2" borderId="12" xfId="4" applyFont="1" applyFill="1" applyBorder="1" applyAlignment="1">
      <alignment horizontal="center"/>
    </xf>
    <xf numFmtId="0" fontId="12" fillId="2" borderId="13" xfId="4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0" xfId="0" applyFont="1" applyFill="1" applyBorder="1"/>
    <xf numFmtId="166" fontId="12" fillId="2" borderId="6" xfId="2" applyNumberFormat="1" applyFont="1" applyFill="1" applyBorder="1"/>
    <xf numFmtId="166" fontId="15" fillId="2" borderId="6" xfId="2" applyNumberFormat="1" applyFont="1" applyFill="1" applyBorder="1"/>
    <xf numFmtId="166" fontId="14" fillId="2" borderId="14" xfId="2" applyNumberFormat="1" applyFont="1" applyFill="1" applyBorder="1"/>
    <xf numFmtId="37" fontId="12" fillId="2" borderId="6" xfId="5" applyNumberFormat="1" applyFont="1" applyFill="1" applyBorder="1"/>
    <xf numFmtId="0" fontId="12" fillId="2" borderId="6" xfId="0" applyFont="1" applyFill="1" applyBorder="1"/>
    <xf numFmtId="167" fontId="14" fillId="2" borderId="13" xfId="2" applyNumberFormat="1" applyFont="1" applyFill="1" applyBorder="1"/>
    <xf numFmtId="37" fontId="12" fillId="2" borderId="6" xfId="6" applyNumberFormat="1" applyFont="1" applyFill="1" applyBorder="1"/>
    <xf numFmtId="44" fontId="12" fillId="2" borderId="6" xfId="2" applyFont="1" applyFill="1" applyBorder="1"/>
    <xf numFmtId="0" fontId="12" fillId="2" borderId="0" xfId="0" applyFont="1" applyFill="1"/>
    <xf numFmtId="167" fontId="12" fillId="2" borderId="6" xfId="0" applyNumberFormat="1" applyFont="1" applyFill="1" applyBorder="1"/>
    <xf numFmtId="167" fontId="15" fillId="2" borderId="6" xfId="0" applyNumberFormat="1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/>
    <xf numFmtId="166" fontId="12" fillId="2" borderId="9" xfId="0" applyNumberFormat="1" applyFont="1" applyFill="1" applyBorder="1"/>
    <xf numFmtId="166" fontId="12" fillId="2" borderId="8" xfId="0" applyNumberFormat="1" applyFont="1" applyFill="1" applyBorder="1"/>
    <xf numFmtId="166" fontId="8" fillId="2" borderId="0" xfId="0" applyNumberFormat="1" applyFont="1" applyFill="1"/>
    <xf numFmtId="0" fontId="12" fillId="2" borderId="0" xfId="0" applyFont="1" applyFill="1" applyBorder="1" applyAlignment="1">
      <alignment horizontal="center"/>
    </xf>
    <xf numFmtId="166" fontId="12" fillId="2" borderId="0" xfId="2" applyNumberFormat="1" applyFont="1" applyFill="1"/>
    <xf numFmtId="171" fontId="8" fillId="2" borderId="0" xfId="3" applyNumberFormat="1" applyFont="1" applyFill="1"/>
    <xf numFmtId="174" fontId="8" fillId="2" borderId="0" xfId="0" applyNumberFormat="1" applyFont="1" applyFill="1"/>
    <xf numFmtId="44" fontId="8" fillId="2" borderId="0" xfId="0" applyNumberFormat="1" applyFont="1" applyFill="1"/>
    <xf numFmtId="49" fontId="11" fillId="2" borderId="0" xfId="0" applyNumberFormat="1" applyFont="1" applyFill="1" applyBorder="1" applyAlignment="1">
      <alignment horizontal="center"/>
    </xf>
    <xf numFmtId="0" fontId="19" fillId="2" borderId="0" xfId="0" applyFont="1" applyFill="1"/>
    <xf numFmtId="37" fontId="8" fillId="2" borderId="0" xfId="0" applyNumberFormat="1" applyFont="1" applyFill="1"/>
    <xf numFmtId="0" fontId="4" fillId="2" borderId="0" xfId="0" applyFont="1" applyFill="1"/>
    <xf numFmtId="0" fontId="16" fillId="2" borderId="0" xfId="0" applyFont="1" applyFill="1"/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44" fontId="8" fillId="2" borderId="0" xfId="2" applyFont="1" applyFill="1"/>
    <xf numFmtId="0" fontId="20" fillId="2" borderId="0" xfId="0" applyFont="1" applyFill="1"/>
    <xf numFmtId="44" fontId="20" fillId="2" borderId="0" xfId="2" applyFont="1" applyFill="1"/>
    <xf numFmtId="167" fontId="12" fillId="2" borderId="0" xfId="2" applyNumberFormat="1" applyFont="1" applyFill="1"/>
    <xf numFmtId="0" fontId="5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" fontId="12" fillId="2" borderId="0" xfId="0" quotePrefix="1" applyNumberFormat="1" applyFont="1" applyFill="1" applyAlignment="1">
      <alignment horizontal="center"/>
    </xf>
    <xf numFmtId="171" fontId="12" fillId="2" borderId="0" xfId="0" applyNumberFormat="1" applyFont="1" applyFill="1"/>
    <xf numFmtId="0" fontId="12" fillId="2" borderId="0" xfId="0" quotePrefix="1" applyFont="1" applyFill="1" applyAlignment="1">
      <alignment horizontal="center"/>
    </xf>
    <xf numFmtId="0" fontId="14" fillId="2" borderId="0" xfId="0" applyFont="1" applyFill="1"/>
    <xf numFmtId="171" fontId="14" fillId="2" borderId="0" xfId="0" applyNumberFormat="1" applyFont="1" applyFill="1"/>
    <xf numFmtId="0" fontId="7" fillId="2" borderId="0" xfId="0" applyFont="1" applyFill="1"/>
    <xf numFmtId="169" fontId="14" fillId="2" borderId="0" xfId="0" applyNumberFormat="1" applyFont="1" applyFill="1" applyAlignment="1">
      <alignment readingOrder="1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 indent="1" readingOrder="1"/>
    </xf>
    <xf numFmtId="3" fontId="15" fillId="2" borderId="0" xfId="4" applyNumberFormat="1" applyFont="1" applyFill="1"/>
    <xf numFmtId="168" fontId="15" fillId="2" borderId="0" xfId="0" applyNumberFormat="1" applyFont="1" applyFill="1"/>
    <xf numFmtId="168" fontId="7" fillId="2" borderId="0" xfId="1" applyNumberFormat="1" applyFont="1" applyFill="1"/>
    <xf numFmtId="168" fontId="15" fillId="2" borderId="0" xfId="1" applyNumberFormat="1" applyFont="1" applyFill="1"/>
    <xf numFmtId="0" fontId="12" fillId="2" borderId="0" xfId="0" applyFont="1" applyFill="1" applyBorder="1" applyAlignment="1">
      <alignment horizontal="left" indent="1" readingOrder="1"/>
    </xf>
    <xf numFmtId="168" fontId="12" fillId="2" borderId="0" xfId="0" applyNumberFormat="1" applyFont="1" applyFill="1"/>
    <xf numFmtId="168" fontId="7" fillId="2" borderId="0" xfId="0" applyNumberFormat="1" applyFont="1" applyFill="1"/>
    <xf numFmtId="9" fontId="7" fillId="2" borderId="0" xfId="3" applyFont="1" applyFill="1"/>
    <xf numFmtId="2" fontId="7" fillId="2" borderId="0" xfId="0" applyNumberFormat="1" applyFont="1" applyFill="1"/>
    <xf numFmtId="3" fontId="7" fillId="2" borderId="0" xfId="0" applyNumberFormat="1" applyFont="1" applyFill="1"/>
    <xf numFmtId="170" fontId="14" fillId="2" borderId="0" xfId="5" applyNumberFormat="1" applyFont="1" applyFill="1"/>
    <xf numFmtId="0" fontId="14" fillId="2" borderId="0" xfId="5" applyFont="1" applyFill="1"/>
    <xf numFmtId="14" fontId="14" fillId="2" borderId="0" xfId="5" applyNumberFormat="1" applyFont="1" applyFill="1"/>
    <xf numFmtId="170" fontId="12" fillId="2" borderId="0" xfId="5" applyNumberFormat="1" applyFont="1" applyFill="1"/>
    <xf numFmtId="0" fontId="12" fillId="2" borderId="0" xfId="5" applyFont="1" applyFill="1"/>
    <xf numFmtId="0" fontId="17" fillId="2" borderId="0" xfId="5" applyFont="1" applyFill="1"/>
    <xf numFmtId="170" fontId="18" fillId="2" borderId="15" xfId="5" applyNumberFormat="1" applyFont="1" applyFill="1" applyBorder="1"/>
    <xf numFmtId="10" fontId="12" fillId="2" borderId="0" xfId="5" applyNumberFormat="1" applyFont="1" applyFill="1"/>
    <xf numFmtId="4" fontId="18" fillId="2" borderId="0" xfId="5" applyNumberFormat="1" applyFont="1" applyFill="1" applyAlignment="1">
      <alignment horizontal="left"/>
    </xf>
    <xf numFmtId="0" fontId="19" fillId="2" borderId="0" xfId="5" applyFont="1" applyFill="1"/>
    <xf numFmtId="0" fontId="16" fillId="2" borderId="0" xfId="5" applyFont="1" applyFill="1"/>
    <xf numFmtId="44" fontId="12" fillId="2" borderId="0" xfId="2" applyFont="1" applyFill="1"/>
    <xf numFmtId="166" fontId="15" fillId="2" borderId="6" xfId="2" quotePrefix="1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14" fontId="11" fillId="2" borderId="7" xfId="12490" applyNumberFormat="1" applyFont="1" applyFill="1" applyBorder="1" applyAlignment="1">
      <alignment horizontal="center" wrapText="1"/>
    </xf>
    <xf numFmtId="0" fontId="2" fillId="2" borderId="0" xfId="12490" applyFont="1" applyFill="1"/>
    <xf numFmtId="10" fontId="3" fillId="2" borderId="0" xfId="3" applyNumberFormat="1" applyFont="1" applyFill="1"/>
    <xf numFmtId="166" fontId="0" fillId="2" borderId="0" xfId="12491" applyNumberFormat="1" applyFont="1" applyFill="1" applyBorder="1"/>
    <xf numFmtId="0" fontId="2" fillId="2" borderId="0" xfId="12490" applyFont="1" applyFill="1" applyAlignment="1">
      <alignment horizontal="right"/>
    </xf>
    <xf numFmtId="44" fontId="7" fillId="2" borderId="0" xfId="2" applyFont="1" applyFill="1"/>
    <xf numFmtId="166" fontId="133" fillId="2" borderId="0" xfId="12491" applyNumberFormat="1" applyFont="1" applyFill="1"/>
    <xf numFmtId="202" fontId="133" fillId="2" borderId="0" xfId="12491" applyNumberFormat="1" applyFont="1" applyFill="1"/>
    <xf numFmtId="10" fontId="15" fillId="2" borderId="0" xfId="3" applyNumberFormat="1" applyFont="1" applyFill="1"/>
    <xf numFmtId="0" fontId="0" fillId="2" borderId="0" xfId="0" applyFill="1"/>
    <xf numFmtId="0" fontId="131" fillId="2" borderId="0" xfId="0" applyFont="1" applyFill="1" applyAlignment="1">
      <alignment horizontal="center"/>
    </xf>
    <xf numFmtId="166" fontId="0" fillId="2" borderId="0" xfId="2" applyNumberFormat="1" applyFont="1" applyFill="1"/>
    <xf numFmtId="14" fontId="0" fillId="2" borderId="0" xfId="2" applyNumberFormat="1" applyFont="1" applyFill="1"/>
    <xf numFmtId="3" fontId="0" fillId="2" borderId="0" xfId="0" applyNumberFormat="1" applyFill="1"/>
    <xf numFmtId="171" fontId="0" fillId="2" borderId="0" xfId="3" applyNumberFormat="1" applyFont="1" applyFill="1"/>
    <xf numFmtId="166" fontId="132" fillId="2" borderId="0" xfId="2" applyNumberFormat="1" applyFont="1" applyFill="1"/>
    <xf numFmtId="0" fontId="12" fillId="2" borderId="58" xfId="0" applyFont="1" applyFill="1" applyBorder="1"/>
    <xf numFmtId="0" fontId="12" fillId="2" borderId="58" xfId="0" applyFont="1" applyFill="1" applyBorder="1" applyAlignment="1">
      <alignment horizontal="center"/>
    </xf>
    <xf numFmtId="0" fontId="1" fillId="2" borderId="0" xfId="0" applyFont="1" applyFill="1"/>
    <xf numFmtId="44" fontId="1" fillId="2" borderId="0" xfId="2" applyFont="1" applyFill="1"/>
    <xf numFmtId="170" fontId="12" fillId="2" borderId="54" xfId="5" applyNumberFormat="1" applyFont="1" applyFill="1" applyBorder="1"/>
    <xf numFmtId="0" fontId="1" fillId="2" borderId="0" xfId="12490" applyFont="1" applyFill="1"/>
    <xf numFmtId="0" fontId="11" fillId="2" borderId="0" xfId="12490" applyFont="1" applyFill="1"/>
    <xf numFmtId="166" fontId="3" fillId="2" borderId="0" xfId="12490" applyNumberFormat="1" applyFill="1"/>
    <xf numFmtId="0" fontId="135" fillId="0" borderId="0" xfId="0" applyFont="1"/>
    <xf numFmtId="0" fontId="134" fillId="0" borderId="0" xfId="0" applyFont="1" applyAlignment="1">
      <alignment wrapText="1"/>
    </xf>
    <xf numFmtId="0" fontId="135" fillId="0" borderId="0" xfId="0" applyFont="1" applyAlignment="1">
      <alignment wrapText="1"/>
    </xf>
    <xf numFmtId="0" fontId="3" fillId="2" borderId="0" xfId="12490" applyFill="1" applyAlignment="1">
      <alignment vertical="top"/>
    </xf>
    <xf numFmtId="0" fontId="0" fillId="2" borderId="0" xfId="0" applyFill="1" applyAlignment="1">
      <alignment vertical="top"/>
    </xf>
    <xf numFmtId="166" fontId="0" fillId="2" borderId="0" xfId="2" applyNumberFormat="1" applyFont="1" applyFill="1" applyAlignment="1">
      <alignment vertical="top"/>
    </xf>
    <xf numFmtId="14" fontId="0" fillId="2" borderId="0" xfId="2" applyNumberFormat="1" applyFont="1" applyFill="1" applyAlignment="1">
      <alignment vertical="top"/>
    </xf>
    <xf numFmtId="3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10" fontId="0" fillId="2" borderId="0" xfId="3" applyNumberFormat="1" applyFont="1" applyFill="1" applyAlignment="1">
      <alignment horizontal="left"/>
    </xf>
    <xf numFmtId="10" fontId="8" fillId="2" borderId="0" xfId="3" applyNumberFormat="1" applyFont="1" applyFill="1"/>
    <xf numFmtId="0" fontId="136" fillId="2" borderId="55" xfId="0" applyFont="1" applyFill="1" applyBorder="1" applyAlignment="1">
      <alignment horizontal="center" wrapText="1"/>
    </xf>
    <xf numFmtId="0" fontId="136" fillId="2" borderId="54" xfId="0" applyFont="1" applyFill="1" applyBorder="1" applyAlignment="1">
      <alignment wrapText="1"/>
    </xf>
    <xf numFmtId="0" fontId="136" fillId="2" borderId="56" xfId="0" applyFont="1" applyFill="1" applyBorder="1" applyAlignment="1">
      <alignment horizontal="center" wrapText="1"/>
    </xf>
    <xf numFmtId="0" fontId="137" fillId="2" borderId="5" xfId="0" quotePrefix="1" applyFont="1" applyFill="1" applyBorder="1"/>
    <xf numFmtId="0" fontId="137" fillId="2" borderId="0" xfId="0" applyFont="1" applyFill="1"/>
    <xf numFmtId="10" fontId="137" fillId="2" borderId="57" xfId="3" applyNumberFormat="1" applyFont="1" applyFill="1" applyBorder="1"/>
    <xf numFmtId="0" fontId="137" fillId="2" borderId="9" xfId="0" quotePrefix="1" applyFont="1" applyFill="1" applyBorder="1"/>
    <xf numFmtId="0" fontId="137" fillId="2" borderId="7" xfId="0" applyFont="1" applyFill="1" applyBorder="1"/>
    <xf numFmtId="10" fontId="137" fillId="2" borderId="10" xfId="3" applyNumberFormat="1" applyFont="1" applyFill="1" applyBorder="1"/>
    <xf numFmtId="0" fontId="137" fillId="0" borderId="9" xfId="0" applyFont="1" applyBorder="1"/>
    <xf numFmtId="0" fontId="136" fillId="2" borderId="9" xfId="0" applyFont="1" applyFill="1" applyBorder="1" applyAlignment="1">
      <alignment horizontal="center" wrapText="1"/>
    </xf>
    <xf numFmtId="0" fontId="136" fillId="2" borderId="7" xfId="0" applyFont="1" applyFill="1" applyBorder="1" applyAlignment="1">
      <alignment horizontal="center" wrapText="1"/>
    </xf>
    <xf numFmtId="0" fontId="136" fillId="2" borderId="10" xfId="0" applyFont="1" applyFill="1" applyBorder="1" applyAlignment="1">
      <alignment horizontal="center" wrapText="1"/>
    </xf>
    <xf numFmtId="0" fontId="137" fillId="2" borderId="5" xfId="0" applyFont="1" applyFill="1" applyBorder="1"/>
    <xf numFmtId="0" fontId="137" fillId="2" borderId="0" xfId="0" applyFont="1" applyFill="1" applyBorder="1"/>
    <xf numFmtId="166" fontId="137" fillId="2" borderId="0" xfId="2" applyNumberFormat="1" applyFont="1" applyFill="1" applyBorder="1"/>
    <xf numFmtId="166" fontId="136" fillId="2" borderId="57" xfId="2" applyNumberFormat="1" applyFont="1" applyFill="1" applyBorder="1"/>
    <xf numFmtId="0" fontId="137" fillId="2" borderId="9" xfId="0" applyFont="1" applyFill="1" applyBorder="1"/>
    <xf numFmtId="166" fontId="137" fillId="2" borderId="7" xfId="2" applyNumberFormat="1" applyFont="1" applyFill="1" applyBorder="1"/>
    <xf numFmtId="166" fontId="136" fillId="2" borderId="10" xfId="2" applyNumberFormat="1" applyFont="1" applyFill="1" applyBorder="1"/>
    <xf numFmtId="0" fontId="136" fillId="2" borderId="55" xfId="0" applyFont="1" applyFill="1" applyBorder="1" applyAlignment="1">
      <alignment horizontal="center"/>
    </xf>
    <xf numFmtId="0" fontId="136" fillId="2" borderId="54" xfId="0" applyFont="1" applyFill="1" applyBorder="1" applyAlignment="1">
      <alignment horizontal="center"/>
    </xf>
    <xf numFmtId="0" fontId="136" fillId="2" borderId="5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03" fontId="133" fillId="0" borderId="0" xfId="2" applyNumberFormat="1" applyFont="1" applyFill="1"/>
    <xf numFmtId="10" fontId="1" fillId="2" borderId="0" xfId="3" applyNumberFormat="1" applyFont="1" applyFill="1"/>
  </cellXfs>
  <cellStyles count="12492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29" xfId="12491" xr:uid="{F00901BB-F30A-4824-BB53-A4D95F693F04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1" xfId="12490" xr:uid="{E6662E71-6E35-4730-9895-65EE062FECA7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023%20WA%20Intervenor%20Funding%20Sch%2061%20and%20Sch%20161%20Filing/2023%20Avista%20WA-G%20Intervenor%20Funding%20Work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Payments"/>
      <sheetName val="Usage Forecast"/>
      <sheetName val="CF WA Nat Gas"/>
      <sheetName val="For Cover Letter"/>
    </sheetNames>
    <sheetDataSet>
      <sheetData sheetId="0">
        <row r="23">
          <cell r="C23">
            <v>1.5077495151544294E-4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7"/>
  <sheetViews>
    <sheetView tabSelected="1" view="pageBreakPreview" topLeftCell="A37" zoomScaleNormal="100" zoomScaleSheetLayoutView="100" workbookViewId="0">
      <selection activeCell="D34" sqref="D34"/>
    </sheetView>
  </sheetViews>
  <sheetFormatPr defaultColWidth="9.140625" defaultRowHeight="15"/>
  <cols>
    <col min="1" max="1" width="9.140625" style="9"/>
    <col min="2" max="2" width="36.42578125" style="9" customWidth="1"/>
    <col min="3" max="3" width="17.85546875" style="9" customWidth="1"/>
    <col min="4" max="8" width="17" style="9" customWidth="1"/>
    <col min="9" max="10" width="9.140625" style="9"/>
    <col min="11" max="11" width="10.5703125" style="9" customWidth="1"/>
    <col min="12" max="12" width="30" style="9" customWidth="1"/>
    <col min="13" max="13" width="15.5703125" style="9" customWidth="1"/>
    <col min="14" max="14" width="13.140625" style="9" customWidth="1"/>
    <col min="15" max="16384" width="9.140625" style="9"/>
  </cols>
  <sheetData>
    <row r="1" spans="1:8">
      <c r="A1" s="8" t="s">
        <v>48</v>
      </c>
      <c r="C1" s="10"/>
      <c r="D1" s="10"/>
    </row>
    <row r="2" spans="1:8">
      <c r="A2" s="8" t="s">
        <v>49</v>
      </c>
    </row>
    <row r="3" spans="1:8">
      <c r="A3" s="11"/>
      <c r="B3" s="12"/>
      <c r="C3" s="13"/>
      <c r="D3" s="108"/>
      <c r="E3" s="108"/>
      <c r="F3" s="108"/>
      <c r="G3" s="108"/>
      <c r="H3" s="109" t="s">
        <v>97</v>
      </c>
    </row>
    <row r="4" spans="1:8">
      <c r="A4" s="14"/>
      <c r="B4" s="15"/>
      <c r="C4" s="16" t="s">
        <v>1</v>
      </c>
      <c r="D4" s="16" t="s">
        <v>98</v>
      </c>
      <c r="E4" s="16" t="s">
        <v>99</v>
      </c>
      <c r="F4" s="16" t="s">
        <v>100</v>
      </c>
      <c r="G4" s="16" t="s">
        <v>101</v>
      </c>
      <c r="H4" s="16" t="s">
        <v>102</v>
      </c>
    </row>
    <row r="5" spans="1:8">
      <c r="A5" s="14"/>
      <c r="B5" s="17" t="s">
        <v>2</v>
      </c>
      <c r="C5" s="18" t="s">
        <v>3</v>
      </c>
      <c r="D5" s="18" t="s">
        <v>103</v>
      </c>
      <c r="E5" s="18" t="s">
        <v>104</v>
      </c>
      <c r="F5" s="18" t="s">
        <v>105</v>
      </c>
      <c r="G5" s="18" t="s">
        <v>106</v>
      </c>
      <c r="H5" s="18" t="s">
        <v>107</v>
      </c>
    </row>
    <row r="6" spans="1:8">
      <c r="A6" s="19" t="s">
        <v>4</v>
      </c>
      <c r="B6" s="20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</row>
    <row r="7" spans="1:8">
      <c r="A7" s="22">
        <v>1</v>
      </c>
      <c r="B7" s="23" t="s">
        <v>39</v>
      </c>
      <c r="C7" s="16"/>
      <c r="D7" s="16"/>
      <c r="E7" s="16"/>
      <c r="F7" s="16"/>
      <c r="G7" s="16"/>
      <c r="H7" s="16"/>
    </row>
    <row r="8" spans="1:8" ht="15.75" thickBot="1">
      <c r="A8" s="22">
        <f>A7+1</f>
        <v>2</v>
      </c>
      <c r="B8" s="15" t="s">
        <v>40</v>
      </c>
      <c r="C8" s="24">
        <f>SUM(D8:H8)</f>
        <v>249564000</v>
      </c>
      <c r="D8" s="25">
        <v>184901000</v>
      </c>
      <c r="E8" s="25">
        <v>58976000</v>
      </c>
      <c r="F8" s="25">
        <v>863000</v>
      </c>
      <c r="G8" s="25">
        <v>3474000</v>
      </c>
      <c r="H8" s="25">
        <v>1350000</v>
      </c>
    </row>
    <row r="9" spans="1:8" ht="15.75" thickBot="1">
      <c r="A9" s="22">
        <f>A8+1</f>
        <v>3</v>
      </c>
      <c r="B9" s="15" t="s">
        <v>41</v>
      </c>
      <c r="C9" s="26">
        <f>SUM(D9:H9)</f>
        <v>40044.148917455299</v>
      </c>
      <c r="D9" s="25">
        <f>-SUM('Balance Forecast'!H4:S4)</f>
        <v>19248.622398760665</v>
      </c>
      <c r="E9" s="25">
        <f>-SUM('Balance Forecast'!H9:S9)</f>
        <v>7146.2533423931982</v>
      </c>
      <c r="F9" s="25">
        <f>-SUM('Balance Forecast'!H14:S14)</f>
        <v>104.54116810165056</v>
      </c>
      <c r="G9" s="25">
        <f>-SUM('Balance Forecast'!H19:S19)</f>
        <v>13544.73200819979</v>
      </c>
      <c r="H9" s="90" t="s">
        <v>138</v>
      </c>
    </row>
    <row r="10" spans="1:8">
      <c r="A10" s="22">
        <f t="shared" ref="A10:A19" si="0">A9+1</f>
        <v>4</v>
      </c>
      <c r="B10" s="15" t="s">
        <v>12</v>
      </c>
      <c r="C10" s="27">
        <f>SUM(D10:H10)</f>
        <v>280281900.73399353</v>
      </c>
      <c r="D10" s="27">
        <f>'Load Forecast'!N17</f>
        <v>136584128.17191231</v>
      </c>
      <c r="E10" s="27">
        <f>'Load Forecast'!N18</f>
        <v>61178736.462041877</v>
      </c>
      <c r="F10" s="27">
        <f>'Load Forecast'!N19</f>
        <v>2518085.1000393378</v>
      </c>
      <c r="G10" s="27">
        <f>'Load Forecast'!N20</f>
        <v>32093437</v>
      </c>
      <c r="H10" s="27">
        <f>'Load Forecast'!N21</f>
        <v>47907514</v>
      </c>
    </row>
    <row r="11" spans="1:8">
      <c r="A11" s="22">
        <f t="shared" si="0"/>
        <v>5</v>
      </c>
      <c r="B11" s="15" t="s">
        <v>109</v>
      </c>
      <c r="C11" s="28"/>
      <c r="D11" s="29">
        <v>1.4737147727358815E-4</v>
      </c>
      <c r="E11" s="29">
        <v>1.2214956480733019E-4</v>
      </c>
      <c r="F11" s="29">
        <v>4.3414116168912117E-5</v>
      </c>
      <c r="G11" s="29">
        <v>4.4133483260990364E-4</v>
      </c>
      <c r="H11" s="29">
        <v>0</v>
      </c>
    </row>
    <row r="12" spans="1:8">
      <c r="A12" s="22">
        <f t="shared" si="0"/>
        <v>6</v>
      </c>
      <c r="B12" s="15" t="s">
        <v>13</v>
      </c>
      <c r="C12" s="30">
        <f>SUM(D12:H12)</f>
        <v>2132090.1546659162</v>
      </c>
      <c r="D12" s="30">
        <f>'Load Forecast'!N60</f>
        <v>2090881.5132201833</v>
      </c>
      <c r="E12" s="30">
        <f>'Load Forecast'!N61</f>
        <v>40668.641445733134</v>
      </c>
      <c r="F12" s="30">
        <f>'Load Forecast'!N62</f>
        <v>60</v>
      </c>
      <c r="G12" s="30">
        <f>'Load Forecast'!N63</f>
        <v>420</v>
      </c>
      <c r="H12" s="30">
        <f>'Load Forecast'!N64</f>
        <v>60</v>
      </c>
    </row>
    <row r="13" spans="1:8">
      <c r="A13" s="22">
        <f t="shared" si="0"/>
        <v>7</v>
      </c>
      <c r="B13" s="15" t="s">
        <v>42</v>
      </c>
      <c r="C13" s="28"/>
      <c r="D13" s="31">
        <f t="shared" ref="D13:G13" si="1">(D10/D12)*D11</f>
        <v>9.6268509781884289E-3</v>
      </c>
      <c r="E13" s="31">
        <f t="shared" si="1"/>
        <v>0.18375229092106307</v>
      </c>
      <c r="F13" s="31">
        <f t="shared" si="1"/>
        <v>1.8220073176052416</v>
      </c>
      <c r="G13" s="31">
        <f t="shared" si="1"/>
        <v>33.7236943958845</v>
      </c>
      <c r="H13" s="31">
        <f t="shared" ref="H13" si="2">(H10/H12)*H11</f>
        <v>0</v>
      </c>
    </row>
    <row r="14" spans="1:8">
      <c r="A14" s="22">
        <f t="shared" si="0"/>
        <v>8</v>
      </c>
      <c r="B14" s="15" t="s">
        <v>43</v>
      </c>
      <c r="C14" s="28"/>
      <c r="D14" s="31">
        <f t="shared" ref="D14:G14" si="3">(D10/(D12/12))*D11</f>
        <v>0.11552221173826116</v>
      </c>
      <c r="E14" s="31">
        <f t="shared" si="3"/>
        <v>2.205027491052757</v>
      </c>
      <c r="F14" s="31">
        <f t="shared" si="3"/>
        <v>21.864087811262898</v>
      </c>
      <c r="G14" s="31">
        <f t="shared" si="3"/>
        <v>404.68433275061398</v>
      </c>
      <c r="H14" s="31">
        <f t="shared" ref="H14" si="4">(H10/(H12/12))*H11</f>
        <v>0</v>
      </c>
    </row>
    <row r="15" spans="1:8">
      <c r="A15" s="22">
        <f t="shared" si="0"/>
        <v>9</v>
      </c>
      <c r="B15" s="32"/>
      <c r="C15" s="14"/>
      <c r="D15" s="28"/>
      <c r="E15" s="28"/>
      <c r="F15" s="28"/>
      <c r="G15" s="28"/>
      <c r="H15" s="28"/>
    </row>
    <row r="16" spans="1:8">
      <c r="A16" s="22">
        <f t="shared" si="0"/>
        <v>10</v>
      </c>
      <c r="B16" s="32" t="s">
        <v>110</v>
      </c>
      <c r="C16" s="14"/>
      <c r="D16" s="33">
        <f>D11</f>
        <v>1.4737147727358815E-4</v>
      </c>
      <c r="E16" s="33">
        <f t="shared" ref="E16:G16" si="5">E11</f>
        <v>1.2214956480733019E-4</v>
      </c>
      <c r="F16" s="33">
        <f t="shared" si="5"/>
        <v>4.3414116168912117E-5</v>
      </c>
      <c r="G16" s="33">
        <f t="shared" si="5"/>
        <v>4.4133483260990364E-4</v>
      </c>
      <c r="H16" s="33">
        <f t="shared" ref="H16" si="6">H11</f>
        <v>0</v>
      </c>
    </row>
    <row r="17" spans="1:12">
      <c r="A17" s="22">
        <f t="shared" si="0"/>
        <v>11</v>
      </c>
      <c r="B17" s="32" t="s">
        <v>111</v>
      </c>
      <c r="C17" s="14"/>
      <c r="D17" s="34">
        <v>0</v>
      </c>
      <c r="E17" s="34">
        <v>0</v>
      </c>
      <c r="F17" s="34">
        <v>0</v>
      </c>
      <c r="G17" s="34">
        <v>0</v>
      </c>
      <c r="H17" s="34">
        <v>0</v>
      </c>
    </row>
    <row r="18" spans="1:12">
      <c r="A18" s="22">
        <f t="shared" si="0"/>
        <v>12</v>
      </c>
      <c r="B18" s="32" t="s">
        <v>14</v>
      </c>
      <c r="C18" s="14"/>
      <c r="D18" s="33">
        <f t="shared" ref="D18:G18" si="7">D16-D17</f>
        <v>1.4737147727358815E-4</v>
      </c>
      <c r="E18" s="33">
        <f t="shared" si="7"/>
        <v>1.2214956480733019E-4</v>
      </c>
      <c r="F18" s="33">
        <f t="shared" si="7"/>
        <v>4.3414116168912117E-5</v>
      </c>
      <c r="G18" s="33">
        <f t="shared" si="7"/>
        <v>4.4133483260990364E-4</v>
      </c>
      <c r="H18" s="33">
        <f t="shared" ref="H18" si="8">H16-H17</f>
        <v>0</v>
      </c>
    </row>
    <row r="19" spans="1:12">
      <c r="A19" s="35">
        <f t="shared" si="0"/>
        <v>13</v>
      </c>
      <c r="B19" s="36" t="s">
        <v>15</v>
      </c>
      <c r="C19" s="37">
        <f>SUM(D19:H19)</f>
        <v>41874.832860448383</v>
      </c>
      <c r="D19" s="38">
        <f>D18*D10</f>
        <v>20128.604740819825</v>
      </c>
      <c r="E19" s="38">
        <f>E18*E10</f>
        <v>7472.9560343007588</v>
      </c>
      <c r="F19" s="38">
        <f>F18*F10</f>
        <v>109.3204390563145</v>
      </c>
      <c r="G19" s="38">
        <f>G18*G10</f>
        <v>14163.951646271487</v>
      </c>
      <c r="H19" s="38">
        <f>H18*H10</f>
        <v>0</v>
      </c>
    </row>
    <row r="20" spans="1:12">
      <c r="A20" s="91"/>
      <c r="B20" s="32"/>
      <c r="C20" s="32"/>
      <c r="D20" s="32"/>
      <c r="E20" s="32"/>
      <c r="F20" s="32"/>
      <c r="G20" s="32"/>
      <c r="H20" s="32"/>
      <c r="L20" s="39"/>
    </row>
    <row r="21" spans="1:12">
      <c r="A21" s="40"/>
      <c r="B21" s="32"/>
      <c r="C21" s="32"/>
      <c r="D21" s="32"/>
      <c r="E21" s="32"/>
      <c r="F21" s="32"/>
      <c r="G21" s="32"/>
      <c r="H21" s="32"/>
    </row>
    <row r="22" spans="1:12">
      <c r="B22" s="15" t="s">
        <v>22</v>
      </c>
      <c r="C22" s="41">
        <f>SUM(D22:H22)</f>
        <v>249564000</v>
      </c>
      <c r="D22" s="41">
        <f t="shared" ref="D22:H22" si="9">D8</f>
        <v>184901000</v>
      </c>
      <c r="E22" s="41">
        <f t="shared" si="9"/>
        <v>58976000</v>
      </c>
      <c r="F22" s="41">
        <f t="shared" si="9"/>
        <v>863000</v>
      </c>
      <c r="G22" s="41">
        <f t="shared" si="9"/>
        <v>3474000</v>
      </c>
      <c r="H22" s="41">
        <f t="shared" si="9"/>
        <v>1350000</v>
      </c>
    </row>
    <row r="23" spans="1:12">
      <c r="B23" s="15" t="s">
        <v>23</v>
      </c>
      <c r="C23" s="126">
        <f>C19/C22</f>
        <v>1.6779196062111676E-4</v>
      </c>
      <c r="D23" s="42">
        <f>D19/D22</f>
        <v>1.0886152449591849E-4</v>
      </c>
      <c r="E23" s="42">
        <f t="shared" ref="E23:H23" si="10">E19/E22</f>
        <v>1.2671181555718868E-4</v>
      </c>
      <c r="F23" s="42">
        <f t="shared" si="10"/>
        <v>1.266749004128789E-4</v>
      </c>
      <c r="G23" s="42">
        <f t="shared" si="10"/>
        <v>4.0771305832675558E-3</v>
      </c>
      <c r="H23" s="42">
        <f t="shared" si="10"/>
        <v>0</v>
      </c>
    </row>
    <row r="25" spans="1:12">
      <c r="B25" s="110" t="s">
        <v>108</v>
      </c>
      <c r="C25" s="110"/>
      <c r="D25" s="111">
        <f>ROUND((ROUND(D16,5)-ROUND(D17,5))*67,2)</f>
        <v>0.01</v>
      </c>
    </row>
    <row r="26" spans="1:12">
      <c r="B26" s="110" t="s">
        <v>24</v>
      </c>
      <c r="C26" s="110"/>
      <c r="D26" s="153">
        <f>D25/C42</f>
        <v>1.0101768243818703E-4</v>
      </c>
      <c r="F26" s="39"/>
    </row>
    <row r="27" spans="1:12">
      <c r="H27" s="39"/>
    </row>
    <row r="28" spans="1:12">
      <c r="D28" s="43"/>
      <c r="F28" s="44"/>
    </row>
    <row r="29" spans="1:12">
      <c r="A29" s="45"/>
      <c r="B29" s="15"/>
    </row>
    <row r="30" spans="1:12">
      <c r="A30" s="45"/>
      <c r="B30" s="15"/>
      <c r="G30" s="46"/>
    </row>
    <row r="31" spans="1:12">
      <c r="A31" s="45"/>
      <c r="B31" s="15"/>
      <c r="G31" s="47"/>
    </row>
    <row r="32" spans="1:12">
      <c r="A32" s="45"/>
    </row>
    <row r="35" spans="2:20">
      <c r="F35" s="48"/>
    </row>
    <row r="36" spans="2:20">
      <c r="F36" s="48"/>
    </row>
    <row r="37" spans="2:20">
      <c r="F37" s="48"/>
    </row>
    <row r="38" spans="2:20">
      <c r="B38" s="49" t="s">
        <v>25</v>
      </c>
      <c r="K38" s="50"/>
      <c r="L38" s="51"/>
      <c r="M38" s="51"/>
      <c r="N38" s="50"/>
    </row>
    <row r="39" spans="2:20">
      <c r="B39" s="150" t="s">
        <v>26</v>
      </c>
      <c r="C39" s="52">
        <v>9.5</v>
      </c>
      <c r="K39" s="53"/>
      <c r="L39" s="54"/>
      <c r="M39" s="54"/>
      <c r="N39" s="54"/>
    </row>
    <row r="40" spans="2:20">
      <c r="B40" s="150" t="s">
        <v>146</v>
      </c>
      <c r="C40" s="152">
        <v>1.33571</v>
      </c>
      <c r="G40" s="32"/>
      <c r="H40" s="32"/>
      <c r="I40" s="32"/>
      <c r="J40" s="32"/>
      <c r="K40" s="32"/>
      <c r="L40" s="55"/>
      <c r="M40" s="55"/>
      <c r="N40" s="55"/>
      <c r="O40" s="32"/>
      <c r="P40" s="32"/>
      <c r="Q40" s="32"/>
      <c r="R40" s="32"/>
      <c r="S40" s="32"/>
      <c r="T40" s="32"/>
    </row>
    <row r="41" spans="2:20">
      <c r="B41" s="150" t="s">
        <v>147</v>
      </c>
      <c r="C41" s="152">
        <v>1.4703299999999999</v>
      </c>
      <c r="G41" s="32"/>
      <c r="H41" s="32"/>
      <c r="I41" s="32"/>
      <c r="J41" s="32"/>
      <c r="K41" s="32"/>
      <c r="L41" s="55"/>
      <c r="M41" s="55"/>
      <c r="N41" s="55"/>
      <c r="O41" s="32"/>
      <c r="P41" s="32"/>
      <c r="Q41" s="32"/>
      <c r="R41" s="32"/>
      <c r="S41" s="32"/>
      <c r="T41" s="32"/>
    </row>
    <row r="42" spans="2:20">
      <c r="B42" s="151" t="s">
        <v>148</v>
      </c>
      <c r="C42" s="52">
        <f>C40*67+C39</f>
        <v>98.992570000000001</v>
      </c>
      <c r="G42" s="32"/>
      <c r="H42" s="32"/>
      <c r="I42" s="32"/>
      <c r="J42" s="32"/>
      <c r="K42" s="32"/>
      <c r="L42" s="55"/>
      <c r="M42" s="55"/>
      <c r="N42" s="55"/>
      <c r="O42" s="32"/>
      <c r="P42" s="32"/>
      <c r="Q42" s="32"/>
      <c r="R42" s="32"/>
      <c r="S42" s="32"/>
      <c r="T42" s="32"/>
    </row>
    <row r="43" spans="2:20"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2:20">
      <c r="B44" s="56" t="s">
        <v>37</v>
      </c>
      <c r="C44" s="44">
        <f>D25</f>
        <v>0.01</v>
      </c>
      <c r="D44" s="42">
        <f>C44/C42</f>
        <v>1.0101768243818703E-4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2:20">
      <c r="G45" s="32"/>
      <c r="H45" s="32"/>
      <c r="I45" s="32"/>
      <c r="J45" s="32"/>
      <c r="K45" s="57"/>
      <c r="L45" s="58"/>
      <c r="M45" s="57"/>
      <c r="N45" s="32"/>
      <c r="O45" s="32"/>
      <c r="P45" s="32"/>
      <c r="Q45" s="32"/>
      <c r="R45" s="32"/>
      <c r="S45" s="32"/>
      <c r="T45" s="32"/>
    </row>
    <row r="46" spans="2:20">
      <c r="B46" s="9" t="s">
        <v>35</v>
      </c>
      <c r="C46" s="44">
        <f>SUM(C42:C45)</f>
        <v>99.002570000000006</v>
      </c>
      <c r="G46" s="32"/>
      <c r="H46" s="32"/>
      <c r="I46" s="32"/>
      <c r="J46" s="32"/>
      <c r="K46" s="59"/>
      <c r="L46" s="32"/>
      <c r="M46" s="60"/>
      <c r="N46" s="32"/>
      <c r="O46" s="32"/>
      <c r="P46" s="32"/>
      <c r="Q46" s="32"/>
      <c r="R46" s="32"/>
      <c r="S46" s="32"/>
      <c r="T46" s="32"/>
    </row>
    <row r="47" spans="2:20">
      <c r="G47" s="32"/>
      <c r="H47" s="32"/>
      <c r="I47" s="32"/>
      <c r="J47" s="32"/>
      <c r="K47" s="61"/>
      <c r="L47" s="32"/>
      <c r="M47" s="60"/>
      <c r="N47" s="32"/>
      <c r="O47" s="32"/>
      <c r="P47" s="32"/>
      <c r="Q47" s="32"/>
      <c r="R47" s="32"/>
      <c r="S47" s="32"/>
      <c r="T47" s="32"/>
    </row>
    <row r="48" spans="2:20">
      <c r="G48" s="32"/>
      <c r="H48" s="32"/>
      <c r="I48" s="32"/>
      <c r="J48" s="32"/>
      <c r="K48" s="61"/>
      <c r="L48" s="32"/>
      <c r="M48" s="60"/>
      <c r="N48" s="32"/>
      <c r="O48" s="32"/>
      <c r="P48" s="32"/>
      <c r="Q48" s="32"/>
      <c r="R48" s="32"/>
      <c r="S48" s="32"/>
      <c r="T48" s="32"/>
    </row>
    <row r="49" spans="7:20">
      <c r="G49" s="32"/>
      <c r="H49" s="32"/>
      <c r="I49" s="32"/>
      <c r="J49" s="32"/>
      <c r="K49" s="61"/>
      <c r="L49" s="32"/>
      <c r="M49" s="60"/>
      <c r="N49" s="32"/>
      <c r="O49" s="32"/>
      <c r="P49" s="32"/>
      <c r="Q49" s="32"/>
      <c r="R49" s="32"/>
      <c r="S49" s="32"/>
      <c r="T49" s="32"/>
    </row>
    <row r="50" spans="7:20">
      <c r="G50" s="32"/>
      <c r="H50" s="32"/>
      <c r="I50" s="32"/>
      <c r="J50" s="32"/>
      <c r="K50" s="61"/>
      <c r="L50" s="32"/>
      <c r="M50" s="60"/>
      <c r="N50" s="32"/>
      <c r="O50" s="32"/>
      <c r="P50" s="32"/>
      <c r="Q50" s="32"/>
      <c r="R50" s="32"/>
      <c r="S50" s="32"/>
      <c r="T50" s="32"/>
    </row>
    <row r="51" spans="7:20">
      <c r="G51" s="32"/>
      <c r="H51" s="32"/>
      <c r="I51" s="32"/>
      <c r="J51" s="32"/>
      <c r="K51" s="61"/>
      <c r="L51" s="32"/>
      <c r="M51" s="60"/>
      <c r="N51" s="32"/>
      <c r="O51" s="32"/>
      <c r="P51" s="32"/>
      <c r="Q51" s="32"/>
      <c r="R51" s="32"/>
      <c r="S51" s="32"/>
      <c r="T51" s="32"/>
    </row>
    <row r="52" spans="7:20">
      <c r="G52" s="32"/>
      <c r="H52" s="32"/>
      <c r="I52" s="32"/>
      <c r="J52" s="32"/>
      <c r="K52" s="32"/>
      <c r="L52" s="62"/>
      <c r="M52" s="63"/>
      <c r="N52" s="32"/>
      <c r="O52" s="32"/>
      <c r="P52" s="32"/>
      <c r="Q52" s="32"/>
      <c r="R52" s="32"/>
      <c r="S52" s="32"/>
      <c r="T52" s="32"/>
    </row>
    <row r="53" spans="7:20"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7:20"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7:20"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7:20"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7:20"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</sheetData>
  <pageMargins left="0.7" right="0.7" top="0.75" bottom="0.75" header="0.3" footer="0.3"/>
  <pageSetup scale="83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A14-E501-4210-AE1B-A4A105051001}">
  <sheetPr>
    <pageSetUpPr fitToPage="1"/>
  </sheetPr>
  <dimension ref="A1:XEZ59"/>
  <sheetViews>
    <sheetView view="pageBreakPreview" zoomScale="115" zoomScaleNormal="100" zoomScaleSheetLayoutView="115" workbookViewId="0"/>
  </sheetViews>
  <sheetFormatPr defaultRowHeight="15"/>
  <cols>
    <col min="1" max="1" width="23.5703125" style="1" customWidth="1"/>
    <col min="2" max="2" width="10.42578125" style="2" customWidth="1"/>
    <col min="3" max="19" width="10.42578125" style="1" customWidth="1"/>
    <col min="20" max="16384" width="9.140625" style="1"/>
  </cols>
  <sheetData>
    <row r="1" spans="1:19 16380:16380">
      <c r="A1" s="113" t="s">
        <v>143</v>
      </c>
      <c r="C1" s="93" t="s">
        <v>94</v>
      </c>
      <c r="H1" s="93" t="s">
        <v>89</v>
      </c>
    </row>
    <row r="2" spans="1:19 16380:16380">
      <c r="A2" s="3"/>
      <c r="B2" s="92">
        <v>44985</v>
      </c>
      <c r="C2" s="92">
        <f>EOMONTH(B2,1)</f>
        <v>45016</v>
      </c>
      <c r="D2" s="92">
        <f>EOMONTH(C2,1)</f>
        <v>45046</v>
      </c>
      <c r="E2" s="92">
        <f>EOMONTH(D2,1)</f>
        <v>45077</v>
      </c>
      <c r="F2" s="92">
        <f>EOMONTH(E2,1)</f>
        <v>45107</v>
      </c>
      <c r="G2" s="92">
        <f t="shared" ref="G2:S2" si="0">EOMONTH(F2,1)</f>
        <v>45138</v>
      </c>
      <c r="H2" s="92">
        <f t="shared" si="0"/>
        <v>45169</v>
      </c>
      <c r="I2" s="92">
        <f t="shared" si="0"/>
        <v>45199</v>
      </c>
      <c r="J2" s="92">
        <f t="shared" si="0"/>
        <v>45230</v>
      </c>
      <c r="K2" s="92">
        <f t="shared" si="0"/>
        <v>45260</v>
      </c>
      <c r="L2" s="92">
        <f t="shared" si="0"/>
        <v>45291</v>
      </c>
      <c r="M2" s="92">
        <f t="shared" si="0"/>
        <v>45322</v>
      </c>
      <c r="N2" s="92">
        <f t="shared" si="0"/>
        <v>45351</v>
      </c>
      <c r="O2" s="92">
        <f t="shared" si="0"/>
        <v>45382</v>
      </c>
      <c r="P2" s="92">
        <f t="shared" si="0"/>
        <v>45412</v>
      </c>
      <c r="Q2" s="92">
        <f t="shared" si="0"/>
        <v>45443</v>
      </c>
      <c r="R2" s="92">
        <f t="shared" si="0"/>
        <v>45473</v>
      </c>
      <c r="S2" s="92">
        <f t="shared" si="0"/>
        <v>45504</v>
      </c>
    </row>
    <row r="3" spans="1:19 16380:16380">
      <c r="A3" s="4" t="s">
        <v>112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 16380:16380">
      <c r="A4" s="96" t="s">
        <v>88</v>
      </c>
      <c r="C4" s="98">
        <v>0</v>
      </c>
      <c r="D4" s="98">
        <v>0</v>
      </c>
      <c r="E4" s="98">
        <v>0</v>
      </c>
      <c r="F4" s="98">
        <v>0</v>
      </c>
      <c r="G4" s="98">
        <v>0</v>
      </c>
      <c r="H4" s="2">
        <f>-'Load Forecast'!B41</f>
        <v>-323.42252813303628</v>
      </c>
      <c r="I4" s="2">
        <f>-'Load Forecast'!C41</f>
        <v>-504.63444963210492</v>
      </c>
      <c r="J4" s="2">
        <f>-'Load Forecast'!D41</f>
        <v>-1343.9450484460222</v>
      </c>
      <c r="K4" s="2">
        <f>-'Load Forecast'!E41</f>
        <v>-2381.2332785628919</v>
      </c>
      <c r="L4" s="2">
        <f>-'Load Forecast'!F41</f>
        <v>-3568.1398997091778</v>
      </c>
      <c r="M4" s="2">
        <f>-'Load Forecast'!G41</f>
        <v>-3232.3760058600787</v>
      </c>
      <c r="N4" s="2">
        <f>-'Load Forecast'!H41</f>
        <v>-2833.4416182481687</v>
      </c>
      <c r="O4" s="2">
        <f>-'Load Forecast'!I41</f>
        <v>-2178.1283446308857</v>
      </c>
      <c r="P4" s="2">
        <f>-'Load Forecast'!J41</f>
        <v>-1366.2014011027343</v>
      </c>
      <c r="Q4" s="2">
        <f>-'Load Forecast'!K41</f>
        <v>-730.56087113511421</v>
      </c>
      <c r="R4" s="2">
        <f>-'Load Forecast'!L41</f>
        <v>-456.70365107211342</v>
      </c>
      <c r="S4" s="2">
        <f>-'Load Forecast'!M41</f>
        <v>-329.83530222833645</v>
      </c>
      <c r="XEZ4" s="2"/>
    </row>
    <row r="5" spans="1:19 16380:16380">
      <c r="A5" s="96" t="s">
        <v>96</v>
      </c>
      <c r="B5" s="98"/>
      <c r="C5" s="98">
        <f>'Payments - Allocation'!D9+('Payments - Allocation'!D13*('Rate Design'!D8/('Rate Design'!D8+'Rate Design'!E8+'Rate Design'!F8+'Rate Design'!G8)))</f>
        <v>18104.959642897287</v>
      </c>
      <c r="D5" s="98">
        <v>0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  <c r="P5" s="98">
        <v>0</v>
      </c>
      <c r="Q5" s="98">
        <v>0</v>
      </c>
      <c r="R5" s="98">
        <v>0</v>
      </c>
      <c r="S5" s="98">
        <v>0</v>
      </c>
    </row>
    <row r="6" spans="1:19 16380:16380">
      <c r="A6" s="96" t="s">
        <v>86</v>
      </c>
      <c r="C6" s="2">
        <f>(B7*($B$29/12))+((C5/2)*($B$29/12))+((C4/2)*($B$29/12))</f>
        <v>53.032444287319969</v>
      </c>
      <c r="D6" s="2">
        <f>(C7*($B$29/12))+((D5/2)*($B$29/12))+((D4/2)*($B$29/12))</f>
        <v>106.3755703107565</v>
      </c>
      <c r="E6" s="2">
        <f>(D7*($B$29/12))+((E5/2)*($B$29/12))+((E4/2)*($B$29/12))</f>
        <v>106.99875386016035</v>
      </c>
      <c r="F6" s="2">
        <f>(E7*($B$29/12))+((F5/2)*($B$29/12))+((F4/2)*($B$29/12))</f>
        <v>107.62558822652444</v>
      </c>
      <c r="G6" s="2">
        <f>(F7*($B$29/12))+((G5/2)*($B$29/12))+((G4/2)*($B$29/12))</f>
        <v>108.25609479755151</v>
      </c>
      <c r="H6" s="2">
        <f>(G7*($B$30/12))+((H5/2)*($B$30/12))+((H4/2)*($B$30/12))</f>
        <v>115.15960518945676</v>
      </c>
      <c r="I6" s="2">
        <f>(H7*($B$30/12))+((I5/2)*($B$30/12))+((I4/2)*($B$30/12))</f>
        <v>113.29167466637479</v>
      </c>
      <c r="J6" s="2">
        <f>(I7*($B$30/12))+((J5/2)*($B$30/12))+((J4/2)*($B$30/12))</f>
        <v>108.22293670154548</v>
      </c>
      <c r="K6" s="2">
        <f>(J7*($B$30/12))+((K5/2)*($B$30/12))+((K4/2)*($B$30/12))</f>
        <v>97.258147784027287</v>
      </c>
      <c r="L6" s="2">
        <f>(K7*($B$30/12))+((L5/2)*($B$30/12))+((L4/2)*($B$30/12))</f>
        <v>79.274220025577236</v>
      </c>
      <c r="M6" s="2">
        <f>(L7*($B$30/12))+((M5/2)*($B$30/12))+((M4/2)*($B$30/12))</f>
        <v>58.518071695833171</v>
      </c>
      <c r="N6" s="2">
        <f>(M7*($B$30/12))+((N5/2)*($B$30/12))+((N4/2)*($B$30/12))</f>
        <v>39.92812956859386</v>
      </c>
      <c r="O6" s="2">
        <f>(N7*($B$30/12))+((O5/2)*($B$30/12))+((O4/2)*($B$30/12))</f>
        <v>24.516524244400529</v>
      </c>
      <c r="P6" s="2">
        <f>(O7*($B$30/12))+((P5/2)*($B$30/12))+((P4/2)*($B$30/12))</f>
        <v>13.59372206551047</v>
      </c>
      <c r="Q6" s="2">
        <f>(P7*($B$30/12))+((Q5/2)*($B$30/12))+((Q4/2)*($B$30/12))</f>
        <v>7.1263007276766341</v>
      </c>
      <c r="R6" s="2">
        <f>(Q7*($B$30/12))+((R5/2)*($B$30/12))+((R4/2)*($B$30/12))</f>
        <v>3.4606384753270265</v>
      </c>
      <c r="S6" s="2">
        <f>(R7*($B$30/12))+((S5/2)*($B$30/12))+((S4/2)*($B$30/12))</f>
        <v>1.0243332367339149</v>
      </c>
    </row>
    <row r="7" spans="1:19 16380:16380">
      <c r="A7" s="96" t="s">
        <v>87</v>
      </c>
      <c r="B7" s="98">
        <v>0</v>
      </c>
      <c r="C7" s="2">
        <f>B7+SUM(C4:C6)</f>
        <v>18157.992087184608</v>
      </c>
      <c r="D7" s="2">
        <f t="shared" ref="D7:S7" si="1">C7+SUM(D4:D6)</f>
        <v>18264.367657495364</v>
      </c>
      <c r="E7" s="2">
        <f t="shared" si="1"/>
        <v>18371.366411355524</v>
      </c>
      <c r="F7" s="2">
        <f t="shared" si="1"/>
        <v>18478.991999582049</v>
      </c>
      <c r="G7" s="2">
        <f t="shared" si="1"/>
        <v>18587.2480943796</v>
      </c>
      <c r="H7" s="2">
        <f t="shared" si="1"/>
        <v>18378.985171436019</v>
      </c>
      <c r="I7" s="2">
        <f t="shared" si="1"/>
        <v>17987.642396470288</v>
      </c>
      <c r="J7" s="2">
        <f t="shared" si="1"/>
        <v>16751.920284725813</v>
      </c>
      <c r="K7" s="2">
        <f t="shared" si="1"/>
        <v>14467.945153946948</v>
      </c>
      <c r="L7" s="2">
        <f t="shared" si="1"/>
        <v>10979.079474263348</v>
      </c>
      <c r="M7" s="2">
        <f t="shared" si="1"/>
        <v>7805.2215400991026</v>
      </c>
      <c r="N7" s="2">
        <f t="shared" si="1"/>
        <v>5011.7080514195277</v>
      </c>
      <c r="O7" s="2">
        <f t="shared" si="1"/>
        <v>2858.0962310330424</v>
      </c>
      <c r="P7" s="2">
        <f t="shared" si="1"/>
        <v>1505.4885519958186</v>
      </c>
      <c r="Q7" s="2">
        <f t="shared" si="1"/>
        <v>782.05398158838102</v>
      </c>
      <c r="R7" s="2">
        <f t="shared" si="1"/>
        <v>328.81096899159462</v>
      </c>
      <c r="S7" s="2">
        <f t="shared" si="1"/>
        <v>-7.9012352216523141E-12</v>
      </c>
    </row>
    <row r="8" spans="1:19 16380:16380">
      <c r="A8" s="4" t="s">
        <v>113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 16380:16380">
      <c r="A9" s="96" t="s">
        <v>88</v>
      </c>
      <c r="B9" s="99"/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2">
        <f>-'Load Forecast'!B42</f>
        <v>-211.54880453766967</v>
      </c>
      <c r="I9" s="2">
        <f>-'Load Forecast'!C42</f>
        <v>-281.55554322036181</v>
      </c>
      <c r="J9" s="2">
        <f>-'Load Forecast'!D42</f>
        <v>-595.41002598537102</v>
      </c>
      <c r="K9" s="2">
        <f>-'Load Forecast'!E42</f>
        <v>-908.09995709505552</v>
      </c>
      <c r="L9" s="2">
        <f>-'Load Forecast'!F42</f>
        <v>-1152.5234542184855</v>
      </c>
      <c r="M9" s="2">
        <f>-'Load Forecast'!G42</f>
        <v>-1051.5926716970582</v>
      </c>
      <c r="N9" s="2">
        <f>-'Load Forecast'!H42</f>
        <v>-922.85991416101751</v>
      </c>
      <c r="O9" s="2">
        <f>-'Load Forecast'!I42</f>
        <v>-748.42044868350342</v>
      </c>
      <c r="P9" s="2">
        <f>-'Load Forecast'!J42</f>
        <v>-513.11232688211919</v>
      </c>
      <c r="Q9" s="2">
        <f>-'Load Forecast'!K42</f>
        <v>-314.45122863970857</v>
      </c>
      <c r="R9" s="2">
        <f>-'Load Forecast'!L42</f>
        <v>-242.8357125814444</v>
      </c>
      <c r="S9" s="2">
        <f>-'Load Forecast'!M42</f>
        <v>-203.84325469140322</v>
      </c>
    </row>
    <row r="10" spans="1:19 16380:16380">
      <c r="A10" s="96" t="s">
        <v>96</v>
      </c>
      <c r="B10" s="98"/>
      <c r="C10" s="98">
        <f>('Payments - Allocation'!D11*('Rate Design'!E8/('Rate Design'!E8+'Rate Design'!F8))+('Payments - Allocation'!D13*('Rate Design'!E8/('Rate Design'!D8+'Rate Design'!E8+'Rate Design'!F8+'Rate Design'!G8))))</f>
        <v>6723.0284384217593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</row>
    <row r="11" spans="1:19 16380:16380">
      <c r="A11" s="96" t="s">
        <v>86</v>
      </c>
      <c r="C11" s="2">
        <f>(B12*($B$29/12))+((C10/2)*($B$29/12))+((C9/2)*($B$29/12))</f>
        <v>19.692870800877071</v>
      </c>
      <c r="D11" s="2">
        <f>(C12*($B$29/12))+((D10/2)*($B$29/12))+((D9/2)*($B$29/12))</f>
        <v>39.50110900319595</v>
      </c>
      <c r="E11" s="2">
        <f>(D12*($B$29/12))+((E10/2)*($B$29/12))+((E9/2)*($B$29/12))</f>
        <v>39.732519666773001</v>
      </c>
      <c r="F11" s="2">
        <f>(E12*($B$29/12))+((F10/2)*($B$29/12))+((F9/2)*($B$29/12))</f>
        <v>39.965286011154184</v>
      </c>
      <c r="G11" s="2">
        <f>(F12*($B$29/12))+((G10/2)*($B$29/12))+((G9/2)*($B$29/12))</f>
        <v>40.19941597836953</v>
      </c>
      <c r="H11" s="2">
        <f>(G12*($B$30/12))+((H10/2)*($B$30/12))+((H9/2)*($B$30/12))</f>
        <v>42.47715773508309</v>
      </c>
      <c r="I11" s="2">
        <f>(H12*($B$30/12))+((I10/2)*($B$30/12))+((I9/2)*($B$30/12))</f>
        <v>41.201688884183518</v>
      </c>
      <c r="J11" s="2">
        <f>(I12*($B$30/12))+((J10/2)*($B$30/12))+((J9/2)*($B$30/12))</f>
        <v>38.718682035941747</v>
      </c>
      <c r="K11" s="2">
        <f>(J12*($B$30/12))+((K10/2)*($B$30/12))+((K9/2)*($B$30/12))</f>
        <v>34.262205101540047</v>
      </c>
      <c r="L11" s="2">
        <f>(K12*($B$30/12))+((L10/2)*($B$30/12))+((L9/2)*($B$30/12))</f>
        <v>28.036895723069858</v>
      </c>
      <c r="M11" s="2">
        <f>(L12*($B$30/12))+((M10/2)*($B$30/12))+((M9/2)*($B$30/12))</f>
        <v>21.324263427852969</v>
      </c>
      <c r="N11" s="2">
        <f>(M12*($B$30/12))+((N10/2)*($B$30/12))+((N9/2)*($B$30/12))</f>
        <v>15.287375743470562</v>
      </c>
      <c r="O11" s="2">
        <f>(N12*($B$30/12))+((O10/2)*($B$30/12))+((O9/2)*($B$30/12))</f>
        <v>10.160170707978127</v>
      </c>
      <c r="P11" s="2">
        <f>(O12*($B$30/12))+((P10/2)*($B$30/12))+((P9/2)*($B$30/12))</f>
        <v>6.28138185126042</v>
      </c>
      <c r="Q11" s="2">
        <f>(P12*($B$30/12))+((Q10/2)*($B$30/12))+((Q9/2)*($B$30/12))</f>
        <v>3.7345043768250861</v>
      </c>
      <c r="R11" s="2">
        <f>(Q12*($B$30/12))+((R10/2)*($B$30/12))+((R9/2)*($B$30/12))</f>
        <v>2.0163233378641401</v>
      </c>
      <c r="S11" s="2">
        <f>(R12*($B$30/12))+((S10/2)*($B$30/12))+((S9/2)*($B$30/12))</f>
        <v>0.63305358599814232</v>
      </c>
    </row>
    <row r="12" spans="1:19 16380:16380">
      <c r="A12" s="96" t="s">
        <v>87</v>
      </c>
      <c r="B12" s="98">
        <v>0</v>
      </c>
      <c r="C12" s="2">
        <f>B12+SUM(C9:C11)</f>
        <v>6742.7213092226366</v>
      </c>
      <c r="D12" s="2">
        <f t="shared" ref="D12" si="2">C12+SUM(D9:D11)</f>
        <v>6782.2224182258324</v>
      </c>
      <c r="E12" s="2">
        <f t="shared" ref="E12" si="3">D12+SUM(E9:E11)</f>
        <v>6821.9549378926058</v>
      </c>
      <c r="F12" s="2">
        <f t="shared" ref="F12" si="4">E12+SUM(F9:F11)</f>
        <v>6861.9202239037604</v>
      </c>
      <c r="G12" s="2">
        <f t="shared" ref="G12" si="5">F12+SUM(G9:G11)</f>
        <v>6902.1196398821303</v>
      </c>
      <c r="H12" s="2">
        <f t="shared" ref="H12" si="6">G12+SUM(H9:H11)</f>
        <v>6733.0479930795436</v>
      </c>
      <c r="I12" s="2">
        <f t="shared" ref="I12" si="7">H12+SUM(I9:I11)</f>
        <v>6492.6941387433653</v>
      </c>
      <c r="J12" s="2">
        <f t="shared" ref="J12" si="8">I12+SUM(J9:J11)</f>
        <v>5936.0027947939361</v>
      </c>
      <c r="K12" s="2">
        <f t="shared" ref="K12" si="9">J12+SUM(K9:K11)</f>
        <v>5062.1650428004205</v>
      </c>
      <c r="L12" s="2">
        <f t="shared" ref="L12" si="10">K12+SUM(L9:L11)</f>
        <v>3937.6784843050045</v>
      </c>
      <c r="M12" s="2">
        <f t="shared" ref="M12" si="11">L12+SUM(M9:M11)</f>
        <v>2907.4100760357992</v>
      </c>
      <c r="N12" s="2">
        <f t="shared" ref="N12" si="12">M12+SUM(N9:N11)</f>
        <v>1999.8375376182521</v>
      </c>
      <c r="O12" s="2">
        <f t="shared" ref="O12" si="13">N12+SUM(O9:O11)</f>
        <v>1261.5772596427269</v>
      </c>
      <c r="P12" s="2">
        <f t="shared" ref="P12" si="14">O12+SUM(P9:P11)</f>
        <v>754.74631461186812</v>
      </c>
      <c r="Q12" s="2">
        <f t="shared" ref="Q12" si="15">P12+SUM(Q9:Q11)</f>
        <v>444.02959034898464</v>
      </c>
      <c r="R12" s="2">
        <f t="shared" ref="R12" si="16">Q12+SUM(R9:R11)</f>
        <v>203.21020110540439</v>
      </c>
      <c r="S12" s="2">
        <f t="shared" ref="S12" si="17">R12+SUM(S9:S11)</f>
        <v>-6.8212102632969618E-13</v>
      </c>
    </row>
    <row r="13" spans="1:19 16380:16380">
      <c r="A13" s="4" t="s">
        <v>114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 16380:16380">
      <c r="A14" s="96" t="s">
        <v>88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2">
        <f>-'Load Forecast'!B43</f>
        <v>-4.1131001022834495</v>
      </c>
      <c r="I14" s="2">
        <f>-'Load Forecast'!C43</f>
        <v>-5.0187889190362815</v>
      </c>
      <c r="J14" s="2">
        <f>-'Load Forecast'!D43</f>
        <v>-10.362812820478714</v>
      </c>
      <c r="K14" s="2">
        <f>-'Load Forecast'!E43</f>
        <v>-14.433975067876275</v>
      </c>
      <c r="L14" s="2">
        <f>-'Load Forecast'!F43</f>
        <v>-14.432362505641715</v>
      </c>
      <c r="M14" s="2">
        <f>-'Load Forecast'!G43</f>
        <v>-13.695669142255264</v>
      </c>
      <c r="N14" s="2">
        <f>-'Load Forecast'!H43</f>
        <v>-11.491324550638383</v>
      </c>
      <c r="O14" s="2">
        <f>-'Load Forecast'!I43</f>
        <v>-9.9231248536764411</v>
      </c>
      <c r="P14" s="2">
        <f>-'Load Forecast'!J43</f>
        <v>-7.4540252976595101</v>
      </c>
      <c r="Q14" s="2">
        <f>-'Load Forecast'!K43</f>
        <v>-5.0100126971632486</v>
      </c>
      <c r="R14" s="2">
        <f>-'Load Forecast'!L43</f>
        <v>-4.391517078306407</v>
      </c>
      <c r="S14" s="2">
        <f>-'Load Forecast'!M43</f>
        <v>-4.2144550666348675</v>
      </c>
    </row>
    <row r="15" spans="1:19 16380:16380">
      <c r="A15" s="96" t="s">
        <v>96</v>
      </c>
      <c r="B15" s="98"/>
      <c r="C15" s="98">
        <f>('Payments - Allocation'!D11*('Rate Design'!F8/('Rate Design'!E8+'Rate Design'!F8))+('Payments - Allocation'!D13*('Rate Design'!F8/('Rate Design'!D8+'Rate Design'!E8+'Rate Design'!F8+'Rate Design'!G8))))</f>
        <v>98.378553010681927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</row>
    <row r="16" spans="1:19 16380:16380">
      <c r="A16" s="96" t="s">
        <v>86</v>
      </c>
      <c r="C16" s="2">
        <f>(B17*($B$29/12))+((C15/2)*($B$29/12))+((C14/2)*($B$29/12))</f>
        <v>0.28816717819378918</v>
      </c>
      <c r="D16" s="2">
        <f>(C17*($B$29/12))+((D15/2)*($B$29/12))+((D14/2)*($B$29/12))</f>
        <v>0.57802253577316354</v>
      </c>
      <c r="E16" s="2">
        <f>(D17*($B$29/12))+((E15/2)*($B$29/12))+((E14/2)*($B$29/12))</f>
        <v>0.58140878446190136</v>
      </c>
      <c r="F16" s="2">
        <f>(E17*($B$29/12))+((F15/2)*($B$29/12))+((F14/2)*($B$29/12))</f>
        <v>0.58481487092420725</v>
      </c>
      <c r="G16" s="2">
        <f>(F17*($B$29/12))+((G15/2)*($B$29/12))+((G14/2)*($B$29/12))</f>
        <v>0.58824091137637158</v>
      </c>
      <c r="H16" s="2">
        <f>(G17*($B$30/12))+((H15/2)*($B$30/12))+((H14/2)*($B$30/12))</f>
        <v>0.61839160775168511</v>
      </c>
      <c r="I16" s="2">
        <f>(H17*($B$30/12))+((I15/2)*($B$30/12))+((I14/2)*($B$30/12))</f>
        <v>0.59371940210850893</v>
      </c>
      <c r="J16" s="2">
        <f>(I17*($B$30/12))+((J15/2)*($B$30/12))+((J14/2)*($B$30/12))</f>
        <v>0.54936264293570281</v>
      </c>
      <c r="K16" s="2">
        <f>(J17*($B$30/12))+((K15/2)*($B$30/12))+((K14/2)*($B$30/12))</f>
        <v>0.4753061973029416</v>
      </c>
      <c r="L16" s="2">
        <f>(K17*($B$30/12))+((L15/2)*($B$30/12))+((L14/2)*($B$30/12))</f>
        <v>0.38806955611884131</v>
      </c>
      <c r="M16" s="2">
        <f>(L17*($B$30/12))+((M15/2)*($B$30/12))+((M14/2)*($B$30/12))</f>
        <v>0.30259489194490602</v>
      </c>
      <c r="N16" s="2">
        <f>(M17*($B$30/12))+((N15/2)*($B$30/12))+((N14/2)*($B$30/12))</f>
        <v>0.22577675472926909</v>
      </c>
      <c r="O16" s="2">
        <f>(N17*($B$30/12))+((O15/2)*($B$30/12))+((O14/2)*($B$30/12))</f>
        <v>0.16026770505784318</v>
      </c>
      <c r="P16" s="2">
        <f>(O17*($B$30/12))+((P15/2)*($B$30/12))+((P14/2)*($B$30/12))</f>
        <v>0.10696578399152985</v>
      </c>
      <c r="Q16" s="2">
        <f>(P17*($B$30/12))+((Q15/2)*($B$30/12))+((Q14/2)*($B$30/12))</f>
        <v>6.8684201407655798E-2</v>
      </c>
      <c r="R16" s="2">
        <f>(Q17*($B$30/12))+((R15/2)*($B$30/12))+((R14/2)*($B$30/12))</f>
        <v>3.9733697118110985E-2</v>
      </c>
      <c r="S16" s="2">
        <f>(R17*($B$30/12))+((S15/2)*($B$30/12))+((S14/2)*($B$30/12))</f>
        <v>1.3088369772157696E-2</v>
      </c>
    </row>
    <row r="17" spans="1:19">
      <c r="A17" s="96" t="s">
        <v>87</v>
      </c>
      <c r="B17" s="98">
        <v>0</v>
      </c>
      <c r="C17" s="2">
        <f>B17+SUM(C14:C16)</f>
        <v>98.666720188875715</v>
      </c>
      <c r="D17" s="2">
        <f t="shared" ref="D17" si="18">C17+SUM(D14:D16)</f>
        <v>99.244742724648873</v>
      </c>
      <c r="E17" s="2">
        <f t="shared" ref="E17" si="19">D17+SUM(E14:E16)</f>
        <v>99.826151509110773</v>
      </c>
      <c r="F17" s="2">
        <f t="shared" ref="F17" si="20">E17+SUM(F14:F16)</f>
        <v>100.41096638003498</v>
      </c>
      <c r="G17" s="2">
        <f t="shared" ref="G17" si="21">F17+SUM(G14:G16)</f>
        <v>100.99920729141135</v>
      </c>
      <c r="H17" s="2">
        <f t="shared" ref="H17" si="22">G17+SUM(H14:H16)</f>
        <v>97.504498796879588</v>
      </c>
      <c r="I17" s="2">
        <f t="shared" ref="I17" si="23">H17+SUM(I14:I16)</f>
        <v>93.07942927995181</v>
      </c>
      <c r="J17" s="2">
        <f t="shared" ref="J17" si="24">I17+SUM(J14:J16)</f>
        <v>83.265979102408807</v>
      </c>
      <c r="K17" s="2">
        <f t="shared" ref="K17" si="25">J17+SUM(K14:K16)</f>
        <v>69.307310231835473</v>
      </c>
      <c r="L17" s="2">
        <f t="shared" ref="L17" si="26">K17+SUM(L14:L16)</f>
        <v>55.263017282312603</v>
      </c>
      <c r="M17" s="2">
        <f t="shared" ref="M17" si="27">L17+SUM(M14:M16)</f>
        <v>41.869943032002247</v>
      </c>
      <c r="N17" s="2">
        <f t="shared" ref="N17" si="28">M17+SUM(N14:N16)</f>
        <v>30.604395236093133</v>
      </c>
      <c r="O17" s="2">
        <f t="shared" ref="O17" si="29">N17+SUM(O14:O16)</f>
        <v>20.841538087474532</v>
      </c>
      <c r="P17" s="2">
        <f t="shared" ref="P17" si="30">O17+SUM(P14:P16)</f>
        <v>13.494478573806553</v>
      </c>
      <c r="Q17" s="2">
        <f t="shared" ref="Q17" si="31">P17+SUM(Q14:Q16)</f>
        <v>8.5531500780509617</v>
      </c>
      <c r="R17" s="2">
        <f t="shared" ref="R17" si="32">Q17+SUM(R14:R16)</f>
        <v>4.2013666968626655</v>
      </c>
      <c r="S17" s="2">
        <f t="shared" ref="S17" si="33">R17+SUM(S14:S16)</f>
        <v>-4.4408920985006262E-14</v>
      </c>
    </row>
    <row r="18" spans="1:19">
      <c r="A18" s="4" t="s">
        <v>115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96" t="s">
        <v>88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2">
        <f>-'Load Forecast'!B44</f>
        <v>-867.85212509428106</v>
      </c>
      <c r="I19" s="2">
        <f>-'Load Forecast'!C44</f>
        <v>-896.63233675672052</v>
      </c>
      <c r="J19" s="2">
        <f>-'Load Forecast'!D44</f>
        <v>-904.36876219604983</v>
      </c>
      <c r="K19" s="2">
        <f>-'Load Forecast'!E44</f>
        <v>-1132.4622690635008</v>
      </c>
      <c r="L19" s="2">
        <f>-'Load Forecast'!F44</f>
        <v>-1304.2513453019128</v>
      </c>
      <c r="M19" s="2">
        <f>-'Load Forecast'!G44</f>
        <v>-1400.7298164944648</v>
      </c>
      <c r="N19" s="2">
        <f>-'Load Forecast'!H44</f>
        <v>-1456.3176222587401</v>
      </c>
      <c r="O19" s="2">
        <f>-'Load Forecast'!I44</f>
        <v>-1298.8606212750431</v>
      </c>
      <c r="P19" s="2">
        <f>-'Load Forecast'!J44</f>
        <v>-1272.5025003657709</v>
      </c>
      <c r="Q19" s="2">
        <f>-'Load Forecast'!K44</f>
        <v>-1106.7486040838482</v>
      </c>
      <c r="R19" s="2">
        <f>-'Load Forecast'!L44</f>
        <v>-992.24098236253622</v>
      </c>
      <c r="S19" s="2">
        <f>-'Load Forecast'!M44</f>
        <v>-911.76502294692239</v>
      </c>
    </row>
    <row r="20" spans="1:19">
      <c r="A20" s="96" t="s">
        <v>96</v>
      </c>
      <c r="B20" s="98"/>
      <c r="C20" s="98">
        <f>'Payments - Allocation'!D7+('Payments - Allocation'!D13*('Rate Design'!G8/('Rate Design'!D8+'Rate Design'!E8+'Rate Design'!F8+'Rate Design'!G8)))</f>
        <v>12701.529457635404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</row>
    <row r="21" spans="1:19">
      <c r="A21" s="96" t="s">
        <v>86</v>
      </c>
      <c r="C21" s="2">
        <f>(B22*($B$29/12))+((C20/2)*($B$29/12))+((C19/2)*($B$29/12))</f>
        <v>37.204896702990375</v>
      </c>
      <c r="D21" s="2">
        <f>(C22*($B$29/12))+((D20/2)*($B$29/12))+((D19/2)*($B$29/12))</f>
        <v>74.627752092499094</v>
      </c>
      <c r="E21" s="2">
        <f>(D22*($B$29/12))+((E20/2)*($B$29/12))+((E19/2)*($B$29/12))</f>
        <v>75.064946340174316</v>
      </c>
      <c r="F21" s="2">
        <f>(E22*($B$29/12))+((F20/2)*($B$29/12))+((F19/2)*($B$29/12))</f>
        <v>75.504701817483848</v>
      </c>
      <c r="G21" s="2">
        <f>(F22*($B$29/12))+((G20/2)*($B$29/12))+((G19/2)*($B$29/12))</f>
        <v>75.94703352896461</v>
      </c>
      <c r="H21" s="2">
        <f t="shared" ref="H21:S21" si="34">(G22*($B$30/12))+((H20/2)*($B$30/12))+((H19/2)*($B$30/12))</f>
        <v>78.787204534814848</v>
      </c>
      <c r="I21" s="2">
        <f t="shared" si="34"/>
        <v>73.765610619873073</v>
      </c>
      <c r="J21" s="2">
        <f t="shared" si="34"/>
        <v>68.59851725201986</v>
      </c>
      <c r="K21" s="2">
        <f t="shared" si="34"/>
        <v>62.662161012158897</v>
      </c>
      <c r="L21" s="2">
        <f t="shared" si="34"/>
        <v>55.439069473592966</v>
      </c>
      <c r="M21" s="2">
        <f t="shared" si="34"/>
        <v>47.332497527189247</v>
      </c>
      <c r="N21" s="2">
        <f t="shared" si="34"/>
        <v>38.700052390630418</v>
      </c>
      <c r="O21" s="2">
        <f t="shared" si="34"/>
        <v>30.331995707028785</v>
      </c>
      <c r="P21" s="2">
        <f t="shared" si="34"/>
        <v>22.486060925070174</v>
      </c>
      <c r="Q21" s="2">
        <f t="shared" si="34"/>
        <v>15.191439104446804</v>
      </c>
      <c r="R21" s="2">
        <f t="shared" si="34"/>
        <v>8.7270431412046445</v>
      </c>
      <c r="S21" s="2">
        <f t="shared" si="34"/>
        <v>2.8315683942451155</v>
      </c>
    </row>
    <row r="22" spans="1:19">
      <c r="A22" s="96" t="s">
        <v>87</v>
      </c>
      <c r="B22" s="98">
        <v>0</v>
      </c>
      <c r="C22" s="2">
        <f>B22+SUM(C19:C21)</f>
        <v>12738.734354338394</v>
      </c>
      <c r="D22" s="2">
        <f t="shared" ref="D22" si="35">C22+SUM(D19:D21)</f>
        <v>12813.362106430894</v>
      </c>
      <c r="E22" s="2">
        <f t="shared" ref="E22" si="36">D22+SUM(E19:E21)</f>
        <v>12888.427052771069</v>
      </c>
      <c r="F22" s="2">
        <f t="shared" ref="F22" si="37">E22+SUM(F19:F21)</f>
        <v>12963.931754588553</v>
      </c>
      <c r="G22" s="2">
        <f t="shared" ref="G22" si="38">F22+SUM(G19:G21)</f>
        <v>13039.878788117518</v>
      </c>
      <c r="H22" s="2">
        <f t="shared" ref="H22" si="39">G22+SUM(H19:H21)</f>
        <v>12250.813867558052</v>
      </c>
      <c r="I22" s="2">
        <f t="shared" ref="I22" si="40">H22+SUM(I19:I21)</f>
        <v>11427.947141421204</v>
      </c>
      <c r="J22" s="2">
        <f t="shared" ref="J22" si="41">I22+SUM(J19:J21)</f>
        <v>10592.176896477175</v>
      </c>
      <c r="K22" s="2">
        <f t="shared" ref="K22" si="42">J22+SUM(K19:K21)</f>
        <v>9522.3767884258323</v>
      </c>
      <c r="L22" s="2">
        <f t="shared" ref="L22" si="43">K22+SUM(L19:L21)</f>
        <v>8273.5645125975134</v>
      </c>
      <c r="M22" s="2">
        <f t="shared" ref="M22" si="44">L22+SUM(M19:M21)</f>
        <v>6920.1671936302373</v>
      </c>
      <c r="N22" s="2">
        <f t="shared" ref="N22" si="45">M22+SUM(N19:N21)</f>
        <v>5502.5496237621273</v>
      </c>
      <c r="O22" s="2">
        <f t="shared" ref="O22" si="46">N22+SUM(O19:O21)</f>
        <v>4234.0209981941134</v>
      </c>
      <c r="P22" s="2">
        <f t="shared" ref="P22" si="47">O22+SUM(P19:P21)</f>
        <v>2984.0045587534128</v>
      </c>
      <c r="Q22" s="2">
        <f t="shared" ref="Q22" si="48">P22+SUM(Q19:Q21)</f>
        <v>1892.4473937740113</v>
      </c>
      <c r="R22" s="2">
        <f t="shared" ref="R22" si="49">Q22+SUM(R19:R21)</f>
        <v>908.93345455267968</v>
      </c>
      <c r="S22" s="2">
        <f t="shared" ref="S22" si="50">R22+SUM(S19:S21)</f>
        <v>2.3874235921539366E-12</v>
      </c>
    </row>
    <row r="23" spans="1:19">
      <c r="A23" s="114" t="s">
        <v>0</v>
      </c>
      <c r="B23" s="95"/>
      <c r="C23" s="95"/>
      <c r="D23" s="95"/>
      <c r="E23" s="2"/>
      <c r="F23" s="2"/>
      <c r="G23" s="2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19">
      <c r="A24" s="96" t="s">
        <v>88</v>
      </c>
      <c r="B24" s="95"/>
      <c r="C24" s="95">
        <f t="shared" ref="C24:S24" si="51">C4+C9+C14+C19</f>
        <v>0</v>
      </c>
      <c r="D24" s="95">
        <f t="shared" si="51"/>
        <v>0</v>
      </c>
      <c r="E24" s="95">
        <f t="shared" si="51"/>
        <v>0</v>
      </c>
      <c r="F24" s="95">
        <f t="shared" si="51"/>
        <v>0</v>
      </c>
      <c r="G24" s="95">
        <f t="shared" si="51"/>
        <v>0</v>
      </c>
      <c r="H24" s="95">
        <f t="shared" si="51"/>
        <v>-1406.9365578672705</v>
      </c>
      <c r="I24" s="95">
        <f t="shared" si="51"/>
        <v>-1687.8411185282234</v>
      </c>
      <c r="J24" s="95">
        <f t="shared" si="51"/>
        <v>-2854.0866494479214</v>
      </c>
      <c r="K24" s="95">
        <f t="shared" si="51"/>
        <v>-4436.2294797893246</v>
      </c>
      <c r="L24" s="95">
        <f t="shared" si="51"/>
        <v>-6039.3470617352177</v>
      </c>
      <c r="M24" s="95">
        <f t="shared" si="51"/>
        <v>-5698.3941631938578</v>
      </c>
      <c r="N24" s="95">
        <f t="shared" si="51"/>
        <v>-5224.1104792185643</v>
      </c>
      <c r="O24" s="95">
        <f t="shared" si="51"/>
        <v>-4235.3325394431085</v>
      </c>
      <c r="P24" s="95">
        <f t="shared" si="51"/>
        <v>-3159.2702536482839</v>
      </c>
      <c r="Q24" s="95">
        <f t="shared" si="51"/>
        <v>-2156.770716555834</v>
      </c>
      <c r="R24" s="95">
        <f t="shared" si="51"/>
        <v>-1696.1718630944004</v>
      </c>
      <c r="S24" s="95">
        <f t="shared" si="51"/>
        <v>-1449.6580349332969</v>
      </c>
    </row>
    <row r="25" spans="1:19">
      <c r="A25" s="96" t="s">
        <v>96</v>
      </c>
      <c r="B25" s="95"/>
      <c r="C25" s="95">
        <f t="shared" ref="C25:S25" si="52">C5+C10+C15+C20</f>
        <v>37627.896091965136</v>
      </c>
      <c r="D25" s="95">
        <f t="shared" si="52"/>
        <v>0</v>
      </c>
      <c r="E25" s="95">
        <f t="shared" si="52"/>
        <v>0</v>
      </c>
      <c r="F25" s="95">
        <f t="shared" si="52"/>
        <v>0</v>
      </c>
      <c r="G25" s="95">
        <f t="shared" si="52"/>
        <v>0</v>
      </c>
      <c r="H25" s="95">
        <f t="shared" si="52"/>
        <v>0</v>
      </c>
      <c r="I25" s="95">
        <f t="shared" si="52"/>
        <v>0</v>
      </c>
      <c r="J25" s="95">
        <f t="shared" si="52"/>
        <v>0</v>
      </c>
      <c r="K25" s="95">
        <f t="shared" si="52"/>
        <v>0</v>
      </c>
      <c r="L25" s="95">
        <f t="shared" si="52"/>
        <v>0</v>
      </c>
      <c r="M25" s="95">
        <f t="shared" si="52"/>
        <v>0</v>
      </c>
      <c r="N25" s="95">
        <f t="shared" si="52"/>
        <v>0</v>
      </c>
      <c r="O25" s="95">
        <f t="shared" si="52"/>
        <v>0</v>
      </c>
      <c r="P25" s="95">
        <f t="shared" si="52"/>
        <v>0</v>
      </c>
      <c r="Q25" s="95">
        <f t="shared" si="52"/>
        <v>0</v>
      </c>
      <c r="R25" s="95">
        <f t="shared" si="52"/>
        <v>0</v>
      </c>
      <c r="S25" s="95">
        <f t="shared" si="52"/>
        <v>0</v>
      </c>
    </row>
    <row r="26" spans="1:19">
      <c r="A26" s="96" t="s">
        <v>86</v>
      </c>
      <c r="B26" s="95"/>
      <c r="C26" s="95">
        <f t="shared" ref="C26:S26" si="53">C6+C11+C16+C21</f>
        <v>110.21837896938121</v>
      </c>
      <c r="D26" s="95">
        <f t="shared" si="53"/>
        <v>221.0824539422247</v>
      </c>
      <c r="E26" s="95">
        <f t="shared" si="53"/>
        <v>222.37762865156958</v>
      </c>
      <c r="F26" s="95">
        <f t="shared" si="53"/>
        <v>223.68039092608672</v>
      </c>
      <c r="G26" s="95">
        <f t="shared" si="53"/>
        <v>224.990785216262</v>
      </c>
      <c r="H26" s="95">
        <f t="shared" si="53"/>
        <v>237.04235906710636</v>
      </c>
      <c r="I26" s="95">
        <f t="shared" si="53"/>
        <v>228.85269357253992</v>
      </c>
      <c r="J26" s="95">
        <f t="shared" si="53"/>
        <v>216.0894986324428</v>
      </c>
      <c r="K26" s="95">
        <f t="shared" si="53"/>
        <v>194.65782009502914</v>
      </c>
      <c r="L26" s="95">
        <f t="shared" si="53"/>
        <v>163.13825477835888</v>
      </c>
      <c r="M26" s="95">
        <f t="shared" si="53"/>
        <v>127.47742754282029</v>
      </c>
      <c r="N26" s="95">
        <f t="shared" si="53"/>
        <v>94.141334457424108</v>
      </c>
      <c r="O26" s="95">
        <f t="shared" si="53"/>
        <v>65.168958364465283</v>
      </c>
      <c r="P26" s="95">
        <f t="shared" si="53"/>
        <v>42.468130625832593</v>
      </c>
      <c r="Q26" s="95">
        <f t="shared" si="53"/>
        <v>26.120928410356179</v>
      </c>
      <c r="R26" s="95">
        <f t="shared" si="53"/>
        <v>14.243738651513922</v>
      </c>
      <c r="S26" s="95">
        <f t="shared" si="53"/>
        <v>4.5020435867493305</v>
      </c>
    </row>
    <row r="27" spans="1:19">
      <c r="A27" s="96" t="s">
        <v>87</v>
      </c>
      <c r="B27" s="2">
        <f>B22+B17+B12+B7</f>
        <v>0</v>
      </c>
      <c r="C27" s="95">
        <f t="shared" ref="C27:S27" si="54">C7+C12+C17+C22</f>
        <v>37738.11447093451</v>
      </c>
      <c r="D27" s="95">
        <f t="shared" si="54"/>
        <v>37959.196924876742</v>
      </c>
      <c r="E27" s="95">
        <f t="shared" si="54"/>
        <v>38181.574553528306</v>
      </c>
      <c r="F27" s="95">
        <f t="shared" si="54"/>
        <v>38405.254944454398</v>
      </c>
      <c r="G27" s="95">
        <f t="shared" si="54"/>
        <v>38630.245729670656</v>
      </c>
      <c r="H27" s="95">
        <f t="shared" si="54"/>
        <v>37460.351530870495</v>
      </c>
      <c r="I27" s="95">
        <f t="shared" si="54"/>
        <v>36001.36310591481</v>
      </c>
      <c r="J27" s="95">
        <f t="shared" si="54"/>
        <v>33363.365955099332</v>
      </c>
      <c r="K27" s="95">
        <f t="shared" si="54"/>
        <v>29121.794295405038</v>
      </c>
      <c r="L27" s="95">
        <f t="shared" si="54"/>
        <v>23245.585488448178</v>
      </c>
      <c r="M27" s="95">
        <f t="shared" si="54"/>
        <v>17674.668752797144</v>
      </c>
      <c r="N27" s="95">
        <f t="shared" si="54"/>
        <v>12544.699608036</v>
      </c>
      <c r="O27" s="95">
        <f t="shared" si="54"/>
        <v>8374.5360269573575</v>
      </c>
      <c r="P27" s="95">
        <f t="shared" si="54"/>
        <v>5257.7339039349063</v>
      </c>
      <c r="Q27" s="95">
        <f t="shared" si="54"/>
        <v>3127.0841157894279</v>
      </c>
      <c r="R27" s="95">
        <f t="shared" si="54"/>
        <v>1445.1559913465412</v>
      </c>
      <c r="S27" s="95">
        <f t="shared" si="54"/>
        <v>-6.2403415768130799E-12</v>
      </c>
    </row>
    <row r="28" spans="1:19">
      <c r="A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1:19">
      <c r="A29" s="93" t="s">
        <v>95</v>
      </c>
      <c r="B29" s="100">
        <v>7.0300000000000001E-2</v>
      </c>
      <c r="C29" s="115">
        <f>C25-'Payments - Allocation'!D13-'Payments - Allocation'!D11-'Payments - Allocation'!D9-'Payments - Allocation'!D7</f>
        <v>0</v>
      </c>
      <c r="E29" s="7"/>
    </row>
    <row r="30" spans="1:19">
      <c r="A30" s="93" t="s">
        <v>85</v>
      </c>
      <c r="B30" s="100">
        <v>7.4999999999999997E-2</v>
      </c>
    </row>
    <row r="31" spans="1:19">
      <c r="A31" s="94"/>
    </row>
    <row r="36" spans="1:8">
      <c r="A36" s="101"/>
      <c r="B36" s="101"/>
      <c r="C36" s="101"/>
      <c r="D36" s="101"/>
      <c r="E36" s="101"/>
      <c r="F36" s="101"/>
      <c r="G36" s="101"/>
      <c r="H36" s="101"/>
    </row>
    <row r="37" spans="1:8">
      <c r="A37" s="101"/>
      <c r="B37" s="101"/>
      <c r="C37" s="101"/>
      <c r="D37" s="101"/>
      <c r="E37" s="101"/>
      <c r="F37" s="101"/>
      <c r="G37" s="101"/>
      <c r="H37" s="101"/>
    </row>
    <row r="38" spans="1:8">
      <c r="A38" s="101"/>
      <c r="B38" s="101"/>
      <c r="C38" s="101"/>
      <c r="D38" s="101"/>
      <c r="E38" s="101"/>
      <c r="F38" s="101"/>
      <c r="G38" s="101"/>
      <c r="H38" s="101"/>
    </row>
    <row r="39" spans="1:8">
      <c r="A39" s="101"/>
      <c r="B39" s="101"/>
      <c r="C39" s="101"/>
      <c r="D39" s="101"/>
      <c r="E39" s="101"/>
      <c r="F39" s="101"/>
      <c r="G39" s="101"/>
      <c r="H39" s="101"/>
    </row>
    <row r="40" spans="1:8">
      <c r="A40" s="102"/>
      <c r="B40" s="102"/>
      <c r="C40" s="102"/>
      <c r="D40" s="102"/>
      <c r="E40" s="102"/>
      <c r="F40" s="102"/>
      <c r="G40" s="102"/>
      <c r="H40" s="101"/>
    </row>
    <row r="41" spans="1:8">
      <c r="A41" s="103"/>
      <c r="B41" s="103"/>
      <c r="C41" s="103"/>
      <c r="D41" s="103"/>
      <c r="E41" s="104"/>
      <c r="F41" s="105"/>
      <c r="G41" s="101"/>
      <c r="H41" s="101"/>
    </row>
    <row r="42" spans="1:8">
      <c r="A42" s="103"/>
      <c r="B42" s="103"/>
      <c r="C42" s="103"/>
      <c r="D42" s="103"/>
      <c r="E42" s="103"/>
      <c r="F42" s="101"/>
      <c r="G42" s="101"/>
      <c r="H42" s="101"/>
    </row>
    <row r="43" spans="1:8">
      <c r="A43" s="103"/>
      <c r="B43" s="103"/>
      <c r="C43" s="103"/>
      <c r="D43" s="103"/>
      <c r="E43" s="104"/>
      <c r="F43" s="105"/>
      <c r="G43" s="101"/>
      <c r="H43" s="101"/>
    </row>
    <row r="44" spans="1:8">
      <c r="A44" s="103"/>
      <c r="B44" s="103"/>
      <c r="C44" s="103"/>
      <c r="D44" s="103"/>
      <c r="E44" s="103"/>
      <c r="F44" s="101"/>
      <c r="G44" s="101"/>
      <c r="H44" s="101"/>
    </row>
    <row r="45" spans="1:8">
      <c r="A45" s="103"/>
      <c r="B45" s="103"/>
      <c r="C45" s="103"/>
      <c r="D45" s="103"/>
      <c r="E45" s="104"/>
      <c r="F45" s="105"/>
      <c r="G45" s="101"/>
      <c r="H45" s="101"/>
    </row>
    <row r="46" spans="1:8">
      <c r="A46" s="103"/>
      <c r="B46" s="103"/>
      <c r="C46" s="103"/>
      <c r="D46" s="103"/>
      <c r="E46" s="103"/>
      <c r="F46" s="101"/>
      <c r="G46" s="101"/>
      <c r="H46" s="101"/>
    </row>
    <row r="47" spans="1:8">
      <c r="A47" s="103"/>
      <c r="B47" s="103"/>
      <c r="C47" s="103"/>
      <c r="D47" s="103"/>
      <c r="E47" s="104"/>
      <c r="F47" s="105"/>
      <c r="G47" s="101"/>
      <c r="H47" s="101"/>
    </row>
    <row r="48" spans="1:8">
      <c r="A48" s="103"/>
      <c r="B48" s="103"/>
      <c r="C48" s="103"/>
      <c r="D48" s="103"/>
      <c r="E48" s="103"/>
      <c r="F48" s="101"/>
      <c r="G48" s="101"/>
      <c r="H48" s="101"/>
    </row>
    <row r="49" spans="1:8">
      <c r="A49" s="103"/>
      <c r="B49" s="103"/>
      <c r="C49" s="103"/>
      <c r="D49" s="103"/>
      <c r="E49" s="103"/>
      <c r="F49" s="101"/>
      <c r="G49" s="101"/>
      <c r="H49" s="101"/>
    </row>
    <row r="50" spans="1:8">
      <c r="A50" s="103"/>
      <c r="B50" s="103"/>
      <c r="C50" s="103"/>
      <c r="D50" s="103"/>
      <c r="E50" s="103"/>
      <c r="F50" s="101"/>
      <c r="G50" s="101"/>
      <c r="H50" s="101"/>
    </row>
    <row r="51" spans="1:8">
      <c r="A51" s="103"/>
      <c r="B51" s="103"/>
      <c r="C51" s="103"/>
      <c r="D51" s="103"/>
      <c r="E51" s="103"/>
      <c r="F51" s="101"/>
      <c r="G51" s="101"/>
      <c r="H51" s="101"/>
    </row>
    <row r="52" spans="1:8">
      <c r="A52" s="103"/>
      <c r="B52" s="103"/>
      <c r="C52" s="103"/>
      <c r="D52" s="103"/>
      <c r="E52" s="103"/>
      <c r="F52" s="101"/>
      <c r="G52" s="101"/>
      <c r="H52" s="101"/>
    </row>
    <row r="53" spans="1:8">
      <c r="A53" s="103"/>
      <c r="B53" s="103"/>
      <c r="C53" s="103"/>
      <c r="D53" s="103"/>
      <c r="E53" s="103"/>
      <c r="F53" s="101"/>
      <c r="G53" s="101"/>
      <c r="H53" s="101"/>
    </row>
    <row r="54" spans="1:8">
      <c r="A54" s="103"/>
      <c r="B54" s="103"/>
      <c r="C54" s="103"/>
      <c r="D54" s="103"/>
      <c r="E54" s="103"/>
      <c r="F54" s="102"/>
      <c r="G54" s="101"/>
      <c r="H54" s="101"/>
    </row>
    <row r="55" spans="1:8">
      <c r="A55" s="103"/>
      <c r="B55" s="103"/>
      <c r="C55" s="103"/>
      <c r="D55" s="103"/>
      <c r="E55" s="103"/>
      <c r="F55" s="101"/>
      <c r="G55" s="103"/>
      <c r="H55" s="106"/>
    </row>
    <row r="56" spans="1:8" ht="17.25">
      <c r="A56" s="103"/>
      <c r="B56" s="103"/>
      <c r="C56" s="103"/>
      <c r="D56" s="103"/>
      <c r="E56" s="103"/>
      <c r="F56" s="101"/>
      <c r="G56" s="107"/>
      <c r="H56" s="106"/>
    </row>
    <row r="57" spans="1:8">
      <c r="A57" s="103"/>
      <c r="B57" s="103"/>
      <c r="C57" s="103"/>
      <c r="D57" s="103"/>
      <c r="E57" s="103"/>
      <c r="F57" s="101"/>
      <c r="G57" s="103"/>
      <c r="H57" s="101"/>
    </row>
    <row r="58" spans="1:8">
      <c r="A58" s="103"/>
      <c r="B58" s="103"/>
      <c r="C58" s="103"/>
      <c r="D58" s="103"/>
      <c r="E58" s="103"/>
      <c r="F58" s="101"/>
      <c r="G58" s="101"/>
      <c r="H58" s="101"/>
    </row>
    <row r="59" spans="1:8">
      <c r="A59" s="103"/>
      <c r="B59" s="103"/>
      <c r="C59" s="103"/>
      <c r="D59" s="103"/>
      <c r="E59" s="103"/>
      <c r="F59" s="101"/>
      <c r="G59" s="101"/>
      <c r="H59" s="101"/>
    </row>
  </sheetData>
  <pageMargins left="0.7" right="0.7" top="0.75" bottom="0.75" header="0.3" footer="0.3"/>
  <pageSetup scale="58" fitToHeight="0" orientation="landscape" horizontalDpi="1200" verticalDpi="1200" r:id="rId1"/>
  <headerFooter>
    <oddFooter>&amp;L&amp;F\&amp;A&amp;RPage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D940-3AA9-423F-93B3-FCA2A5C34256}">
  <sheetPr>
    <pageSetUpPr fitToPage="1"/>
  </sheetPr>
  <dimension ref="A1:H25"/>
  <sheetViews>
    <sheetView view="pageBreakPreview" zoomScale="115" zoomScaleNormal="100" zoomScaleSheetLayoutView="115" workbookViewId="0"/>
  </sheetViews>
  <sheetFormatPr defaultRowHeight="12.75"/>
  <cols>
    <col min="1" max="1" width="6.7109375" style="101" bestFit="1" customWidth="1"/>
    <col min="2" max="2" width="8.7109375" style="101" bestFit="1" customWidth="1"/>
    <col min="3" max="4" width="11.5703125" style="101" customWidth="1"/>
    <col min="5" max="5" width="15.85546875" style="101" bestFit="1" customWidth="1"/>
    <col min="6" max="6" width="31.5703125" style="101" bestFit="1" customWidth="1"/>
    <col min="7" max="7" width="50.85546875" style="101" customWidth="1"/>
    <col min="8" max="8" width="21.85546875" style="101" bestFit="1" customWidth="1"/>
    <col min="9" max="16384" width="9.140625" style="101"/>
  </cols>
  <sheetData>
    <row r="1" spans="1:8" ht="15">
      <c r="A1" s="10" t="s">
        <v>66</v>
      </c>
    </row>
    <row r="2" spans="1:8">
      <c r="A2" s="101" t="s">
        <v>67</v>
      </c>
    </row>
    <row r="6" spans="1:8" s="1" customFormat="1" ht="15">
      <c r="A6" s="102" t="s">
        <v>142</v>
      </c>
      <c r="B6" s="102" t="s">
        <v>68</v>
      </c>
      <c r="C6" s="102" t="s">
        <v>69</v>
      </c>
      <c r="D6" s="102" t="s">
        <v>70</v>
      </c>
      <c r="E6" s="102" t="s">
        <v>71</v>
      </c>
      <c r="F6" s="102" t="s">
        <v>72</v>
      </c>
      <c r="G6" s="102" t="s">
        <v>73</v>
      </c>
      <c r="H6" s="102" t="s">
        <v>44</v>
      </c>
    </row>
    <row r="7" spans="1:8" s="119" customFormat="1" ht="54.75" customHeight="1">
      <c r="A7" s="120" t="s">
        <v>45</v>
      </c>
      <c r="B7" s="121">
        <v>50000</v>
      </c>
      <c r="C7" s="121">
        <f>B7*$G$21</f>
        <v>37401.936489900516</v>
      </c>
      <c r="D7" s="121">
        <f>B7*$G$22</f>
        <v>12598.063510099482</v>
      </c>
      <c r="E7" s="122">
        <v>44988</v>
      </c>
      <c r="F7" s="123" t="s">
        <v>74</v>
      </c>
      <c r="G7" s="124" t="s">
        <v>75</v>
      </c>
      <c r="H7" s="120" t="s">
        <v>135</v>
      </c>
    </row>
    <row r="8" spans="1:8" s="1" customFormat="1" ht="15">
      <c r="A8" s="101"/>
      <c r="B8" s="103"/>
      <c r="C8" s="103"/>
      <c r="D8" s="103"/>
      <c r="E8" s="103"/>
      <c r="F8" s="101"/>
      <c r="G8" s="101"/>
      <c r="H8" s="4"/>
    </row>
    <row r="9" spans="1:8" s="119" customFormat="1" ht="54.75" customHeight="1">
      <c r="A9" s="120" t="s">
        <v>76</v>
      </c>
      <c r="B9" s="121">
        <v>50000</v>
      </c>
      <c r="C9" s="121">
        <f>B9*$G$21</f>
        <v>37401.936489900516</v>
      </c>
      <c r="D9" s="121">
        <f>B9*$G$22</f>
        <v>12598.063510099482</v>
      </c>
      <c r="E9" s="122">
        <v>44988</v>
      </c>
      <c r="F9" s="123" t="s">
        <v>74</v>
      </c>
      <c r="G9" s="124" t="s">
        <v>77</v>
      </c>
      <c r="H9" s="120" t="s">
        <v>136</v>
      </c>
    </row>
    <row r="10" spans="1:8" s="1" customFormat="1" ht="15">
      <c r="A10" s="101"/>
      <c r="B10" s="103"/>
      <c r="C10" s="103"/>
      <c r="D10" s="103"/>
      <c r="E10" s="103"/>
      <c r="F10" s="101"/>
      <c r="G10" s="101"/>
      <c r="H10" s="4"/>
    </row>
    <row r="11" spans="1:8" s="119" customFormat="1" ht="54.75" customHeight="1">
      <c r="A11" s="120" t="s">
        <v>78</v>
      </c>
      <c r="B11" s="121">
        <v>20000</v>
      </c>
      <c r="C11" s="121">
        <f>B11*$G$21</f>
        <v>14960.774595960207</v>
      </c>
      <c r="D11" s="121">
        <f>B11*$G$22</f>
        <v>5039.2254040397929</v>
      </c>
      <c r="E11" s="122">
        <v>44988</v>
      </c>
      <c r="F11" s="123" t="s">
        <v>74</v>
      </c>
      <c r="G11" s="124" t="s">
        <v>79</v>
      </c>
      <c r="H11" s="120" t="s">
        <v>137</v>
      </c>
    </row>
    <row r="12" spans="1:8" s="1" customFormat="1" ht="15">
      <c r="A12" s="101"/>
      <c r="B12" s="103"/>
      <c r="C12" s="103"/>
      <c r="D12" s="103"/>
      <c r="E12" s="103"/>
      <c r="F12" s="101"/>
      <c r="G12" s="101"/>
      <c r="H12" s="101"/>
    </row>
    <row r="13" spans="1:8" s="119" customFormat="1" ht="54.75" customHeight="1">
      <c r="A13" s="120" t="s">
        <v>80</v>
      </c>
      <c r="B13" s="121">
        <v>29340</v>
      </c>
      <c r="C13" s="121">
        <f>B13*$G$21</f>
        <v>21947.456332273625</v>
      </c>
      <c r="D13" s="121">
        <f>B13*$G$22</f>
        <v>7392.543667726377</v>
      </c>
      <c r="E13" s="122">
        <v>44988</v>
      </c>
      <c r="F13" s="123" t="s">
        <v>74</v>
      </c>
      <c r="G13" s="124" t="s">
        <v>81</v>
      </c>
      <c r="H13" s="120" t="s">
        <v>47</v>
      </c>
    </row>
    <row r="14" spans="1:8" s="1" customFormat="1" ht="15">
      <c r="A14" s="101"/>
      <c r="B14" s="103"/>
      <c r="C14" s="103"/>
      <c r="D14" s="103"/>
      <c r="E14" s="103"/>
      <c r="F14" s="101"/>
      <c r="G14" s="101"/>
      <c r="H14" s="101"/>
    </row>
    <row r="15" spans="1:8" s="1" customFormat="1" ht="15">
      <c r="A15" s="101"/>
      <c r="B15" s="103"/>
      <c r="C15" s="103"/>
      <c r="D15" s="103"/>
      <c r="E15" s="103"/>
      <c r="F15" s="101"/>
      <c r="G15" s="101"/>
      <c r="H15" s="101"/>
    </row>
    <row r="16" spans="1:8" s="1" customFormat="1" ht="15">
      <c r="A16" s="101"/>
      <c r="B16" s="103"/>
      <c r="C16" s="103"/>
      <c r="D16" s="103"/>
      <c r="E16" s="103"/>
      <c r="F16" s="101"/>
      <c r="G16" s="101"/>
      <c r="H16" s="101"/>
    </row>
    <row r="17" spans="1:8" s="1" customFormat="1" ht="15">
      <c r="A17" s="101"/>
      <c r="B17" s="103"/>
      <c r="C17" s="103"/>
      <c r="D17" s="103"/>
      <c r="E17" s="103"/>
      <c r="F17" s="101"/>
      <c r="G17" s="101"/>
      <c r="H17" s="101"/>
    </row>
    <row r="18" spans="1:8" s="1" customFormat="1" ht="15">
      <c r="A18" s="101"/>
      <c r="B18" s="103"/>
      <c r="C18" s="103"/>
      <c r="D18" s="103"/>
      <c r="E18" s="101"/>
      <c r="F18" s="101"/>
      <c r="G18" s="101"/>
    </row>
    <row r="19" spans="1:8" s="1" customFormat="1" ht="15">
      <c r="A19" s="101"/>
      <c r="B19" s="103"/>
      <c r="C19" s="103"/>
      <c r="D19" s="103"/>
      <c r="E19" s="101"/>
      <c r="F19" s="101"/>
      <c r="G19" s="101"/>
    </row>
    <row r="20" spans="1:8" s="1" customFormat="1" ht="15">
      <c r="A20" s="101"/>
      <c r="B20" s="103"/>
      <c r="C20" s="103"/>
      <c r="D20" s="103"/>
      <c r="E20" s="102" t="s">
        <v>73</v>
      </c>
      <c r="F20" s="101"/>
      <c r="G20" s="101"/>
    </row>
    <row r="21" spans="1:8" s="1" customFormat="1" ht="15">
      <c r="A21" s="101"/>
      <c r="B21" s="103"/>
      <c r="C21" s="103"/>
      <c r="D21" s="103"/>
      <c r="E21" s="101" t="s">
        <v>82</v>
      </c>
      <c r="F21" s="103">
        <v>556947</v>
      </c>
      <c r="G21" s="125">
        <f>F21/$F$23</f>
        <v>0.74803872979801034</v>
      </c>
    </row>
    <row r="22" spans="1:8" s="1" customFormat="1" ht="17.25">
      <c r="A22" s="101"/>
      <c r="B22" s="103"/>
      <c r="C22" s="103"/>
      <c r="D22" s="103"/>
      <c r="E22" s="101" t="s">
        <v>83</v>
      </c>
      <c r="F22" s="107">
        <v>187596</v>
      </c>
      <c r="G22" s="125">
        <f>F22/$F$23</f>
        <v>0.25196127020198966</v>
      </c>
    </row>
    <row r="23" spans="1:8" s="1" customFormat="1" ht="15">
      <c r="A23" s="101"/>
      <c r="B23" s="103"/>
      <c r="C23" s="103"/>
      <c r="D23" s="103"/>
      <c r="E23" s="101"/>
      <c r="F23" s="103">
        <f>SUM(F21:F22)</f>
        <v>744543</v>
      </c>
      <c r="G23" s="101"/>
    </row>
    <row r="24" spans="1:8" s="1" customFormat="1" ht="15">
      <c r="A24" s="101"/>
      <c r="B24" s="103"/>
      <c r="C24" s="103"/>
      <c r="D24" s="103"/>
      <c r="E24" s="101"/>
      <c r="F24" s="101"/>
      <c r="G24" s="101"/>
    </row>
    <row r="25" spans="1:8" s="1" customFormat="1" ht="15">
      <c r="A25" s="101"/>
      <c r="B25" s="103"/>
      <c r="C25" s="103"/>
      <c r="D25" s="103"/>
      <c r="E25" s="101" t="s">
        <v>84</v>
      </c>
      <c r="F25" s="101"/>
      <c r="G25" s="101"/>
    </row>
  </sheetData>
  <pageMargins left="0.7" right="0.7" top="0.75" bottom="0.75" header="0.3" footer="0.3"/>
  <pageSetup scale="7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13"/>
  <sheetViews>
    <sheetView view="pageBreakPreview" zoomScale="60" zoomScaleNormal="100" workbookViewId="0"/>
  </sheetViews>
  <sheetFormatPr defaultColWidth="9.140625" defaultRowHeight="15"/>
  <cols>
    <col min="1" max="1" width="16.5703125" style="64" customWidth="1"/>
    <col min="2" max="5" width="12.5703125" style="64" bestFit="1" customWidth="1"/>
    <col min="6" max="8" width="14.28515625" style="64" customWidth="1"/>
    <col min="9" max="13" width="12.5703125" style="64" bestFit="1" customWidth="1"/>
    <col min="14" max="14" width="15.5703125" style="64" customWidth="1"/>
    <col min="15" max="15" width="9.28515625" style="64" bestFit="1" customWidth="1"/>
    <col min="16" max="16" width="14.5703125" style="64" customWidth="1"/>
    <col min="17" max="16384" width="9.140625" style="64"/>
  </cols>
  <sheetData>
    <row r="1" spans="1:16">
      <c r="A1" s="110" t="s">
        <v>134</v>
      </c>
    </row>
    <row r="3" spans="1:16">
      <c r="A3" s="10" t="s">
        <v>16</v>
      </c>
    </row>
    <row r="4" spans="1:16">
      <c r="A4" s="64" t="s">
        <v>27</v>
      </c>
    </row>
    <row r="6" spans="1:16">
      <c r="B6" s="65">
        <v>45169</v>
      </c>
      <c r="C6" s="65">
        <f t="shared" ref="C6:M6" si="0">EOMONTH(B6,1)</f>
        <v>45199</v>
      </c>
      <c r="D6" s="65">
        <f t="shared" si="0"/>
        <v>45230</v>
      </c>
      <c r="E6" s="65">
        <f t="shared" si="0"/>
        <v>45260</v>
      </c>
      <c r="F6" s="65">
        <f t="shared" si="0"/>
        <v>45291</v>
      </c>
      <c r="G6" s="65">
        <f t="shared" si="0"/>
        <v>45322</v>
      </c>
      <c r="H6" s="65">
        <f t="shared" si="0"/>
        <v>45351</v>
      </c>
      <c r="I6" s="65">
        <f t="shared" si="0"/>
        <v>45382</v>
      </c>
      <c r="J6" s="65">
        <f t="shared" si="0"/>
        <v>45412</v>
      </c>
      <c r="K6" s="65">
        <f t="shared" si="0"/>
        <v>45443</v>
      </c>
      <c r="L6" s="65">
        <f t="shared" si="0"/>
        <v>45473</v>
      </c>
      <c r="M6" s="65">
        <f t="shared" si="0"/>
        <v>45504</v>
      </c>
      <c r="N6" s="66" t="s">
        <v>0</v>
      </c>
    </row>
    <row r="7" spans="1:16">
      <c r="A7" s="67" t="s">
        <v>116</v>
      </c>
      <c r="B7" s="68">
        <v>2294937.430901587</v>
      </c>
      <c r="C7" s="68">
        <v>3580778.6614875691</v>
      </c>
      <c r="D7" s="68">
        <v>9536348.0539146084</v>
      </c>
      <c r="E7" s="68">
        <v>16896724.585724</v>
      </c>
      <c r="F7" s="68">
        <v>25318761.379441429</v>
      </c>
      <c r="G7" s="68">
        <v>22936252.243829809</v>
      </c>
      <c r="H7" s="68">
        <v>20105498.728020974</v>
      </c>
      <c r="I7" s="68">
        <v>15455535.198045896</v>
      </c>
      <c r="J7" s="68">
        <v>9694274.395910874</v>
      </c>
      <c r="K7" s="68">
        <v>5183904.46824532</v>
      </c>
      <c r="L7" s="68">
        <v>3240671.9152343152</v>
      </c>
      <c r="M7" s="68">
        <v>2340441.1111559412</v>
      </c>
      <c r="N7" s="69">
        <f t="shared" ref="N7:N13" si="1">SUM(B7:M7)</f>
        <v>136584128.17191231</v>
      </c>
      <c r="P7" s="70"/>
    </row>
    <row r="8" spans="1:16">
      <c r="A8" s="67" t="s">
        <v>117</v>
      </c>
      <c r="B8" s="68">
        <v>1788424.4328219858</v>
      </c>
      <c r="C8" s="68">
        <v>2383581.0727075031</v>
      </c>
      <c r="D8" s="68">
        <v>5048195.0594924744</v>
      </c>
      <c r="E8" s="68">
        <v>7705945.5661882907</v>
      </c>
      <c r="F8" s="68">
        <v>9797127.9517010469</v>
      </c>
      <c r="G8" s="68">
        <v>8938966.3986753449</v>
      </c>
      <c r="H8" s="68">
        <v>7838869.9781867638</v>
      </c>
      <c r="I8" s="68">
        <v>6354425.0969351623</v>
      </c>
      <c r="J8" s="68">
        <v>4350960.9671011157</v>
      </c>
      <c r="K8" s="68">
        <v>2662882.1370576401</v>
      </c>
      <c r="L8" s="68">
        <v>2053543.3142675646</v>
      </c>
      <c r="M8" s="68">
        <v>1722905.7282588359</v>
      </c>
      <c r="N8" s="69">
        <f t="shared" si="1"/>
        <v>60645827.703393728</v>
      </c>
      <c r="P8" s="70"/>
    </row>
    <row r="9" spans="1:16">
      <c r="A9" s="67" t="s">
        <v>118</v>
      </c>
      <c r="B9" s="68">
        <v>22634.865187155025</v>
      </c>
      <c r="C9" s="68">
        <v>26802.600079702086</v>
      </c>
      <c r="D9" s="68">
        <v>49081.978046434386</v>
      </c>
      <c r="E9" s="68">
        <v>68255.164527020141</v>
      </c>
      <c r="F9" s="68">
        <v>69570.763508783013</v>
      </c>
      <c r="G9" s="68">
        <v>63668.666823712752</v>
      </c>
      <c r="H9" s="68">
        <v>61690.046030328544</v>
      </c>
      <c r="I9" s="68">
        <v>52766.923698899664</v>
      </c>
      <c r="J9" s="68">
        <v>41769.365522886255</v>
      </c>
      <c r="K9" s="68">
        <v>29119.940869184575</v>
      </c>
      <c r="L9" s="68">
        <v>25361.721950631145</v>
      </c>
      <c r="M9" s="68">
        <v>22186.722403413907</v>
      </c>
      <c r="N9" s="69">
        <f t="shared" si="1"/>
        <v>532908.75864815153</v>
      </c>
      <c r="P9" s="70"/>
    </row>
    <row r="10" spans="1:16">
      <c r="A10" s="67" t="s">
        <v>119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9">
        <f t="shared" si="1"/>
        <v>0</v>
      </c>
      <c r="P10" s="70"/>
    </row>
    <row r="11" spans="1:16">
      <c r="A11" s="67" t="s">
        <v>120</v>
      </c>
      <c r="B11" s="68">
        <v>99072.320221823771</v>
      </c>
      <c r="C11" s="68">
        <v>120887.66393904743</v>
      </c>
      <c r="D11" s="68">
        <v>249609.26907159825</v>
      </c>
      <c r="E11" s="68">
        <v>347671.43138689199</v>
      </c>
      <c r="F11" s="68">
        <v>347632.58956974506</v>
      </c>
      <c r="G11" s="68">
        <v>329887.84254494117</v>
      </c>
      <c r="H11" s="68">
        <v>276791.75253276987</v>
      </c>
      <c r="I11" s="68">
        <v>239018.49667086484</v>
      </c>
      <c r="J11" s="68">
        <v>179545.24880668859</v>
      </c>
      <c r="K11" s="68">
        <v>120676.27091623716</v>
      </c>
      <c r="L11" s="68">
        <v>105778.55520706638</v>
      </c>
      <c r="M11" s="68">
        <v>101513.6591716637</v>
      </c>
      <c r="N11" s="69">
        <f t="shared" si="1"/>
        <v>2518085.1000393378</v>
      </c>
      <c r="P11" s="70"/>
    </row>
    <row r="12" spans="1:16">
      <c r="A12" s="67" t="s">
        <v>121</v>
      </c>
      <c r="B12" s="68">
        <v>2056324</v>
      </c>
      <c r="C12" s="68">
        <v>2124517</v>
      </c>
      <c r="D12" s="68">
        <v>2142848</v>
      </c>
      <c r="E12" s="68">
        <v>2683302</v>
      </c>
      <c r="F12" s="68">
        <v>3090346</v>
      </c>
      <c r="G12" s="68">
        <v>3318946</v>
      </c>
      <c r="H12" s="68">
        <v>3450658</v>
      </c>
      <c r="I12" s="68">
        <v>3077573</v>
      </c>
      <c r="J12" s="68">
        <v>3015119</v>
      </c>
      <c r="K12" s="68">
        <v>2622375</v>
      </c>
      <c r="L12" s="68">
        <v>2351056</v>
      </c>
      <c r="M12" s="68">
        <v>2160373</v>
      </c>
      <c r="N12" s="69">
        <f t="shared" si="1"/>
        <v>32093437</v>
      </c>
      <c r="P12" s="70"/>
    </row>
    <row r="13" spans="1:16">
      <c r="A13" s="67" t="s">
        <v>122</v>
      </c>
      <c r="B13" s="68">
        <v>3274936</v>
      </c>
      <c r="C13" s="68">
        <v>3394097</v>
      </c>
      <c r="D13" s="68">
        <v>3472303</v>
      </c>
      <c r="E13" s="68">
        <v>4012777</v>
      </c>
      <c r="F13" s="68">
        <v>4389174</v>
      </c>
      <c r="G13" s="68">
        <v>4792623</v>
      </c>
      <c r="H13" s="68">
        <v>4825009</v>
      </c>
      <c r="I13" s="68">
        <v>4352849</v>
      </c>
      <c r="J13" s="68">
        <v>4317680</v>
      </c>
      <c r="K13" s="68">
        <v>3939169</v>
      </c>
      <c r="L13" s="68">
        <v>3656651</v>
      </c>
      <c r="M13" s="68">
        <v>3480246</v>
      </c>
      <c r="N13" s="69">
        <f t="shared" si="1"/>
        <v>47907514</v>
      </c>
      <c r="P13" s="70"/>
    </row>
    <row r="14" spans="1:16">
      <c r="A14" s="72" t="s">
        <v>0</v>
      </c>
      <c r="B14" s="73">
        <f t="shared" ref="B14:N14" si="2">SUM(B7:B13)</f>
        <v>9536329.049132552</v>
      </c>
      <c r="C14" s="73">
        <f t="shared" si="2"/>
        <v>11630663.998213822</v>
      </c>
      <c r="D14" s="73">
        <f t="shared" si="2"/>
        <v>20498385.360525116</v>
      </c>
      <c r="E14" s="73">
        <f t="shared" si="2"/>
        <v>31714675.747826204</v>
      </c>
      <c r="F14" s="73">
        <f t="shared" si="2"/>
        <v>43012612.684221007</v>
      </c>
      <c r="G14" s="73">
        <f t="shared" si="2"/>
        <v>40380344.151873805</v>
      </c>
      <c r="H14" s="73">
        <f t="shared" si="2"/>
        <v>36558517.50477083</v>
      </c>
      <c r="I14" s="73">
        <f t="shared" si="2"/>
        <v>29532167.715350822</v>
      </c>
      <c r="J14" s="73">
        <f t="shared" si="2"/>
        <v>21599348.977341563</v>
      </c>
      <c r="K14" s="73">
        <f t="shared" si="2"/>
        <v>14558126.81708838</v>
      </c>
      <c r="L14" s="73">
        <f t="shared" si="2"/>
        <v>11433062.506659579</v>
      </c>
      <c r="M14" s="73">
        <f t="shared" si="2"/>
        <v>9827666.220989855</v>
      </c>
      <c r="N14" s="73">
        <f t="shared" si="2"/>
        <v>280281900.73399353</v>
      </c>
    </row>
    <row r="15" spans="1:16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6">
      <c r="A16" s="32" t="s">
        <v>92</v>
      </c>
      <c r="B16" s="32"/>
      <c r="N16" s="74"/>
    </row>
    <row r="17" spans="1:15">
      <c r="A17" s="67" t="s">
        <v>123</v>
      </c>
      <c r="B17" s="73">
        <f>B7</f>
        <v>2294937.430901587</v>
      </c>
      <c r="C17" s="73">
        <f t="shared" ref="C17:M17" si="3">C7</f>
        <v>3580778.6614875691</v>
      </c>
      <c r="D17" s="73">
        <f t="shared" si="3"/>
        <v>9536348.0539146084</v>
      </c>
      <c r="E17" s="73">
        <f t="shared" si="3"/>
        <v>16896724.585724</v>
      </c>
      <c r="F17" s="73">
        <f t="shared" si="3"/>
        <v>25318761.379441429</v>
      </c>
      <c r="G17" s="73">
        <f t="shared" si="3"/>
        <v>22936252.243829809</v>
      </c>
      <c r="H17" s="73">
        <f t="shared" si="3"/>
        <v>20105498.728020974</v>
      </c>
      <c r="I17" s="73">
        <f t="shared" si="3"/>
        <v>15455535.198045896</v>
      </c>
      <c r="J17" s="73">
        <f t="shared" si="3"/>
        <v>9694274.395910874</v>
      </c>
      <c r="K17" s="73">
        <f t="shared" si="3"/>
        <v>5183904.46824532</v>
      </c>
      <c r="L17" s="73">
        <f t="shared" si="3"/>
        <v>3240671.9152343152</v>
      </c>
      <c r="M17" s="73">
        <f t="shared" si="3"/>
        <v>2340441.1111559412</v>
      </c>
      <c r="N17" s="74">
        <f t="shared" ref="N17:N23" si="4">SUM(B17:M17)</f>
        <v>136584128.17191231</v>
      </c>
      <c r="O17" s="75"/>
    </row>
    <row r="18" spans="1:15">
      <c r="A18" s="67" t="s">
        <v>124</v>
      </c>
      <c r="B18" s="73">
        <f>B8+B9</f>
        <v>1811059.2980091409</v>
      </c>
      <c r="C18" s="73">
        <f t="shared" ref="C18:M18" si="5">C8+C9</f>
        <v>2410383.6727872053</v>
      </c>
      <c r="D18" s="73">
        <f t="shared" si="5"/>
        <v>5097277.0375389084</v>
      </c>
      <c r="E18" s="73">
        <f t="shared" si="5"/>
        <v>7774200.7307153111</v>
      </c>
      <c r="F18" s="73">
        <f t="shared" si="5"/>
        <v>9866698.7152098306</v>
      </c>
      <c r="G18" s="73">
        <f t="shared" si="5"/>
        <v>9002635.065499058</v>
      </c>
      <c r="H18" s="73">
        <f t="shared" si="5"/>
        <v>7900560.0242170924</v>
      </c>
      <c r="I18" s="73">
        <f t="shared" si="5"/>
        <v>6407192.0206340617</v>
      </c>
      <c r="J18" s="73">
        <f t="shared" si="5"/>
        <v>4392730.3326240024</v>
      </c>
      <c r="K18" s="73">
        <f t="shared" si="5"/>
        <v>2692002.0779268248</v>
      </c>
      <c r="L18" s="73">
        <f t="shared" si="5"/>
        <v>2078905.0362181957</v>
      </c>
      <c r="M18" s="73">
        <f t="shared" si="5"/>
        <v>1745092.4506622497</v>
      </c>
      <c r="N18" s="74">
        <f t="shared" si="4"/>
        <v>61178736.462041877</v>
      </c>
    </row>
    <row r="19" spans="1:15">
      <c r="A19" s="67" t="s">
        <v>125</v>
      </c>
      <c r="B19" s="73">
        <f>B11</f>
        <v>99072.320221823771</v>
      </c>
      <c r="C19" s="73">
        <f t="shared" ref="C19:M19" si="6">C11</f>
        <v>120887.66393904743</v>
      </c>
      <c r="D19" s="73">
        <f t="shared" si="6"/>
        <v>249609.26907159825</v>
      </c>
      <c r="E19" s="73">
        <f t="shared" si="6"/>
        <v>347671.43138689199</v>
      </c>
      <c r="F19" s="73">
        <f t="shared" si="6"/>
        <v>347632.58956974506</v>
      </c>
      <c r="G19" s="73">
        <f t="shared" si="6"/>
        <v>329887.84254494117</v>
      </c>
      <c r="H19" s="73">
        <f t="shared" si="6"/>
        <v>276791.75253276987</v>
      </c>
      <c r="I19" s="73">
        <f t="shared" si="6"/>
        <v>239018.49667086484</v>
      </c>
      <c r="J19" s="73">
        <f t="shared" si="6"/>
        <v>179545.24880668859</v>
      </c>
      <c r="K19" s="73">
        <f t="shared" si="6"/>
        <v>120676.27091623716</v>
      </c>
      <c r="L19" s="73">
        <f t="shared" si="6"/>
        <v>105778.55520706638</v>
      </c>
      <c r="M19" s="73">
        <f t="shared" si="6"/>
        <v>101513.6591716637</v>
      </c>
      <c r="N19" s="74">
        <f t="shared" si="4"/>
        <v>2518085.1000393378</v>
      </c>
    </row>
    <row r="20" spans="1:15">
      <c r="A20" s="67" t="s">
        <v>121</v>
      </c>
      <c r="B20" s="73">
        <f>B12</f>
        <v>2056324</v>
      </c>
      <c r="C20" s="73">
        <f t="shared" ref="C20:M20" si="7">C12</f>
        <v>2124517</v>
      </c>
      <c r="D20" s="73">
        <f t="shared" si="7"/>
        <v>2142848</v>
      </c>
      <c r="E20" s="73">
        <f t="shared" si="7"/>
        <v>2683302</v>
      </c>
      <c r="F20" s="73">
        <f t="shared" si="7"/>
        <v>3090346</v>
      </c>
      <c r="G20" s="73">
        <f t="shared" si="7"/>
        <v>3318946</v>
      </c>
      <c r="H20" s="73">
        <f t="shared" si="7"/>
        <v>3450658</v>
      </c>
      <c r="I20" s="73">
        <f t="shared" si="7"/>
        <v>3077573</v>
      </c>
      <c r="J20" s="73">
        <f t="shared" si="7"/>
        <v>3015119</v>
      </c>
      <c r="K20" s="73">
        <f t="shared" si="7"/>
        <v>2622375</v>
      </c>
      <c r="L20" s="73">
        <f t="shared" si="7"/>
        <v>2351056</v>
      </c>
      <c r="M20" s="73">
        <f t="shared" si="7"/>
        <v>2160373</v>
      </c>
      <c r="N20" s="74">
        <f t="shared" si="4"/>
        <v>32093437</v>
      </c>
    </row>
    <row r="21" spans="1:15">
      <c r="A21" s="67" t="s">
        <v>122</v>
      </c>
      <c r="B21" s="73">
        <f>B13</f>
        <v>3274936</v>
      </c>
      <c r="C21" s="73">
        <f t="shared" ref="C21:M21" si="8">C13</f>
        <v>3394097</v>
      </c>
      <c r="D21" s="73">
        <f t="shared" si="8"/>
        <v>3472303</v>
      </c>
      <c r="E21" s="73">
        <f t="shared" si="8"/>
        <v>4012777</v>
      </c>
      <c r="F21" s="73">
        <f t="shared" si="8"/>
        <v>4389174</v>
      </c>
      <c r="G21" s="73">
        <f t="shared" si="8"/>
        <v>4792623</v>
      </c>
      <c r="H21" s="73">
        <f t="shared" si="8"/>
        <v>4825009</v>
      </c>
      <c r="I21" s="73">
        <f t="shared" si="8"/>
        <v>4352849</v>
      </c>
      <c r="J21" s="73">
        <f t="shared" si="8"/>
        <v>4317680</v>
      </c>
      <c r="K21" s="73">
        <f t="shared" si="8"/>
        <v>3939169</v>
      </c>
      <c r="L21" s="73">
        <f t="shared" si="8"/>
        <v>3656651</v>
      </c>
      <c r="M21" s="73">
        <f t="shared" si="8"/>
        <v>3480246</v>
      </c>
      <c r="N21" s="74">
        <f t="shared" si="4"/>
        <v>47907514</v>
      </c>
    </row>
    <row r="22" spans="1:15">
      <c r="A22" s="72" t="s">
        <v>0</v>
      </c>
      <c r="B22" s="73">
        <f t="shared" ref="B22:N22" si="9">SUM(B17:B21)</f>
        <v>9536329.049132552</v>
      </c>
      <c r="C22" s="74">
        <f t="shared" si="9"/>
        <v>11630663.998213822</v>
      </c>
      <c r="D22" s="74">
        <f t="shared" si="9"/>
        <v>20498385.360525116</v>
      </c>
      <c r="E22" s="74">
        <f t="shared" si="9"/>
        <v>31714675.747826204</v>
      </c>
      <c r="F22" s="74">
        <f t="shared" si="9"/>
        <v>43012612.684221007</v>
      </c>
      <c r="G22" s="74">
        <f t="shared" si="9"/>
        <v>40380344.151873812</v>
      </c>
      <c r="H22" s="74">
        <f t="shared" si="9"/>
        <v>36558517.50477083</v>
      </c>
      <c r="I22" s="74">
        <f t="shared" si="9"/>
        <v>29532167.715350822</v>
      </c>
      <c r="J22" s="74">
        <f t="shared" si="9"/>
        <v>21599348.977341566</v>
      </c>
      <c r="K22" s="74">
        <f t="shared" si="9"/>
        <v>14558126.817088382</v>
      </c>
      <c r="L22" s="74">
        <f t="shared" si="9"/>
        <v>11433062.506659577</v>
      </c>
      <c r="M22" s="74">
        <f t="shared" si="9"/>
        <v>9827666.220989855</v>
      </c>
      <c r="N22" s="74">
        <f t="shared" si="9"/>
        <v>280281900.73399353</v>
      </c>
    </row>
    <row r="23" spans="1:15">
      <c r="A23" s="32"/>
      <c r="B23" s="32"/>
      <c r="N23" s="74">
        <f t="shared" si="4"/>
        <v>0</v>
      </c>
    </row>
    <row r="24" spans="1:15">
      <c r="A24" s="72" t="s">
        <v>34</v>
      </c>
      <c r="B24" s="74">
        <f t="shared" ref="B24:N24" si="10">SUM(B7:B13)-SUM(B17:B21)</f>
        <v>0</v>
      </c>
      <c r="C24" s="74">
        <f t="shared" si="10"/>
        <v>0</v>
      </c>
      <c r="D24" s="74">
        <f t="shared" si="10"/>
        <v>0</v>
      </c>
      <c r="E24" s="74">
        <f t="shared" si="10"/>
        <v>0</v>
      </c>
      <c r="F24" s="74">
        <f t="shared" si="10"/>
        <v>0</v>
      </c>
      <c r="G24" s="74">
        <f t="shared" si="10"/>
        <v>0</v>
      </c>
      <c r="H24" s="74">
        <f t="shared" si="10"/>
        <v>0</v>
      </c>
      <c r="I24" s="74">
        <f t="shared" si="10"/>
        <v>0</v>
      </c>
      <c r="J24" s="74">
        <f t="shared" si="10"/>
        <v>0</v>
      </c>
      <c r="K24" s="74">
        <f t="shared" si="10"/>
        <v>0</v>
      </c>
      <c r="L24" s="74">
        <f t="shared" si="10"/>
        <v>0</v>
      </c>
      <c r="M24" s="74">
        <f t="shared" si="10"/>
        <v>0</v>
      </c>
      <c r="N24" s="74">
        <f t="shared" si="10"/>
        <v>0</v>
      </c>
    </row>
    <row r="25" spans="1:15">
      <c r="A25" s="72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5">
      <c r="A26" s="32" t="s">
        <v>93</v>
      </c>
    </row>
    <row r="27" spans="1:15">
      <c r="A27" s="67" t="s">
        <v>123</v>
      </c>
      <c r="B27" s="97">
        <f>'Rate Design'!D11</f>
        <v>1.4737147727358815E-4</v>
      </c>
      <c r="C27" s="97">
        <f>$B27</f>
        <v>1.4737147727358815E-4</v>
      </c>
      <c r="D27" s="97">
        <f t="shared" ref="D27:M27" si="11">$B27</f>
        <v>1.4737147727358815E-4</v>
      </c>
      <c r="E27" s="97">
        <f t="shared" si="11"/>
        <v>1.4737147727358815E-4</v>
      </c>
      <c r="F27" s="97">
        <f t="shared" si="11"/>
        <v>1.4737147727358815E-4</v>
      </c>
      <c r="G27" s="97">
        <f t="shared" si="11"/>
        <v>1.4737147727358815E-4</v>
      </c>
      <c r="H27" s="97">
        <f t="shared" si="11"/>
        <v>1.4737147727358815E-4</v>
      </c>
      <c r="I27" s="97">
        <f t="shared" si="11"/>
        <v>1.4737147727358815E-4</v>
      </c>
      <c r="J27" s="97">
        <f t="shared" si="11"/>
        <v>1.4737147727358815E-4</v>
      </c>
      <c r="K27" s="97">
        <f t="shared" si="11"/>
        <v>1.4737147727358815E-4</v>
      </c>
      <c r="L27" s="97">
        <f t="shared" si="11"/>
        <v>1.4737147727358815E-4</v>
      </c>
      <c r="M27" s="97">
        <f t="shared" si="11"/>
        <v>1.4737147727358815E-4</v>
      </c>
    </row>
    <row r="28" spans="1:15">
      <c r="A28" s="67" t="s">
        <v>124</v>
      </c>
      <c r="B28" s="97">
        <f>'Rate Design'!E11</f>
        <v>1.2214956480733019E-4</v>
      </c>
      <c r="C28" s="97">
        <f t="shared" ref="C28:M31" si="12">$B28</f>
        <v>1.2214956480733019E-4</v>
      </c>
      <c r="D28" s="97">
        <f t="shared" si="12"/>
        <v>1.2214956480733019E-4</v>
      </c>
      <c r="E28" s="97">
        <f t="shared" si="12"/>
        <v>1.2214956480733019E-4</v>
      </c>
      <c r="F28" s="97">
        <f t="shared" si="12"/>
        <v>1.2214956480733019E-4</v>
      </c>
      <c r="G28" s="97">
        <f t="shared" si="12"/>
        <v>1.2214956480733019E-4</v>
      </c>
      <c r="H28" s="97">
        <f t="shared" si="12"/>
        <v>1.2214956480733019E-4</v>
      </c>
      <c r="I28" s="97">
        <f t="shared" si="12"/>
        <v>1.2214956480733019E-4</v>
      </c>
      <c r="J28" s="97">
        <f t="shared" si="12"/>
        <v>1.2214956480733019E-4</v>
      </c>
      <c r="K28" s="97">
        <f t="shared" si="12"/>
        <v>1.2214956480733019E-4</v>
      </c>
      <c r="L28" s="97">
        <f t="shared" si="12"/>
        <v>1.2214956480733019E-4</v>
      </c>
      <c r="M28" s="97">
        <f t="shared" si="12"/>
        <v>1.2214956480733019E-4</v>
      </c>
    </row>
    <row r="29" spans="1:15">
      <c r="A29" s="67" t="s">
        <v>125</v>
      </c>
      <c r="B29" s="97">
        <f>'Rate Design'!F11</f>
        <v>4.3414116168912117E-5</v>
      </c>
      <c r="C29" s="97">
        <f t="shared" si="12"/>
        <v>4.3414116168912117E-5</v>
      </c>
      <c r="D29" s="97">
        <f t="shared" si="12"/>
        <v>4.3414116168912117E-5</v>
      </c>
      <c r="E29" s="97">
        <f t="shared" si="12"/>
        <v>4.3414116168912117E-5</v>
      </c>
      <c r="F29" s="97">
        <f t="shared" si="12"/>
        <v>4.3414116168912117E-5</v>
      </c>
      <c r="G29" s="97">
        <f t="shared" si="12"/>
        <v>4.3414116168912117E-5</v>
      </c>
      <c r="H29" s="97">
        <f t="shared" si="12"/>
        <v>4.3414116168912117E-5</v>
      </c>
      <c r="I29" s="97">
        <f t="shared" si="12"/>
        <v>4.3414116168912117E-5</v>
      </c>
      <c r="J29" s="97">
        <f t="shared" si="12"/>
        <v>4.3414116168912117E-5</v>
      </c>
      <c r="K29" s="97">
        <f t="shared" si="12"/>
        <v>4.3414116168912117E-5</v>
      </c>
      <c r="L29" s="97">
        <f t="shared" si="12"/>
        <v>4.3414116168912117E-5</v>
      </c>
      <c r="M29" s="97">
        <f t="shared" si="12"/>
        <v>4.3414116168912117E-5</v>
      </c>
    </row>
    <row r="30" spans="1:15">
      <c r="A30" s="67" t="s">
        <v>121</v>
      </c>
      <c r="B30" s="97">
        <f>'Rate Design'!G11</f>
        <v>4.4133483260990364E-4</v>
      </c>
      <c r="C30" s="97">
        <f t="shared" si="12"/>
        <v>4.4133483260990364E-4</v>
      </c>
      <c r="D30" s="97">
        <f t="shared" si="12"/>
        <v>4.4133483260990364E-4</v>
      </c>
      <c r="E30" s="97">
        <f t="shared" si="12"/>
        <v>4.4133483260990364E-4</v>
      </c>
      <c r="F30" s="97">
        <f t="shared" si="12"/>
        <v>4.4133483260990364E-4</v>
      </c>
      <c r="G30" s="97">
        <f t="shared" si="12"/>
        <v>4.4133483260990364E-4</v>
      </c>
      <c r="H30" s="97">
        <f t="shared" si="12"/>
        <v>4.4133483260990364E-4</v>
      </c>
      <c r="I30" s="97">
        <f t="shared" si="12"/>
        <v>4.4133483260990364E-4</v>
      </c>
      <c r="J30" s="97">
        <f t="shared" si="12"/>
        <v>4.4133483260990364E-4</v>
      </c>
      <c r="K30" s="97">
        <f t="shared" si="12"/>
        <v>4.4133483260990364E-4</v>
      </c>
      <c r="L30" s="97">
        <f t="shared" si="12"/>
        <v>4.4133483260990364E-4</v>
      </c>
      <c r="M30" s="97">
        <f t="shared" si="12"/>
        <v>4.4133483260990364E-4</v>
      </c>
    </row>
    <row r="31" spans="1:15">
      <c r="A31" s="67" t="s">
        <v>122</v>
      </c>
      <c r="B31" s="97">
        <f>'Rate Design'!H11</f>
        <v>0</v>
      </c>
      <c r="C31" s="97">
        <f t="shared" si="12"/>
        <v>0</v>
      </c>
      <c r="D31" s="97">
        <f t="shared" si="12"/>
        <v>0</v>
      </c>
      <c r="E31" s="97">
        <f t="shared" si="12"/>
        <v>0</v>
      </c>
      <c r="F31" s="97">
        <f t="shared" si="12"/>
        <v>0</v>
      </c>
      <c r="G31" s="97">
        <f t="shared" si="12"/>
        <v>0</v>
      </c>
      <c r="H31" s="97">
        <f t="shared" si="12"/>
        <v>0</v>
      </c>
      <c r="I31" s="97">
        <f t="shared" si="12"/>
        <v>0</v>
      </c>
      <c r="J31" s="97">
        <f t="shared" si="12"/>
        <v>0</v>
      </c>
      <c r="K31" s="97">
        <f t="shared" si="12"/>
        <v>0</v>
      </c>
      <c r="L31" s="97">
        <f t="shared" si="12"/>
        <v>0</v>
      </c>
      <c r="M31" s="97">
        <f t="shared" si="12"/>
        <v>0</v>
      </c>
    </row>
    <row r="32" spans="1:15">
      <c r="A32" s="72"/>
    </row>
    <row r="33" spans="1:13">
      <c r="A33" t="s">
        <v>90</v>
      </c>
    </row>
    <row r="34" spans="1:13">
      <c r="A34" s="67" t="s">
        <v>123</v>
      </c>
      <c r="B34" s="64">
        <f t="shared" ref="B34:M34" si="13">B27*B17</f>
        <v>338.20831944242002</v>
      </c>
      <c r="C34" s="64">
        <f t="shared" si="13"/>
        <v>527.70464113316461</v>
      </c>
      <c r="D34" s="64">
        <f t="shared" si="13"/>
        <v>1405.3857005005032</v>
      </c>
      <c r="E34" s="64">
        <f t="shared" si="13"/>
        <v>2490.0952632831027</v>
      </c>
      <c r="F34" s="64">
        <f t="shared" si="13"/>
        <v>3731.2632672257537</v>
      </c>
      <c r="G34" s="64">
        <f t="shared" si="13"/>
        <v>3380.1493762928499</v>
      </c>
      <c r="H34" s="64">
        <f t="shared" si="13"/>
        <v>2962.9770488706981</v>
      </c>
      <c r="I34" s="64">
        <f t="shared" si="13"/>
        <v>2277.7050541899625</v>
      </c>
      <c r="J34" s="64">
        <f t="shared" si="13"/>
        <v>1428.6595388209068</v>
      </c>
      <c r="K34" s="64">
        <f t="shared" si="13"/>
        <v>763.95965953046721</v>
      </c>
      <c r="L34" s="64">
        <f t="shared" si="13"/>
        <v>477.58260750710923</v>
      </c>
      <c r="M34" s="64">
        <f t="shared" si="13"/>
        <v>344.91426402288914</v>
      </c>
    </row>
    <row r="35" spans="1:13">
      <c r="A35" s="67" t="s">
        <v>124</v>
      </c>
      <c r="B35" s="64">
        <f t="shared" ref="B35:M35" si="14">B28*B18</f>
        <v>221.22010509208548</v>
      </c>
      <c r="C35" s="64">
        <f t="shared" si="14"/>
        <v>294.42731664965129</v>
      </c>
      <c r="D35" s="64">
        <f t="shared" si="14"/>
        <v>622.63017183777492</v>
      </c>
      <c r="E35" s="64">
        <f t="shared" si="14"/>
        <v>949.61523598170368</v>
      </c>
      <c r="F35" s="64">
        <f t="shared" si="14"/>
        <v>1205.2129541479246</v>
      </c>
      <c r="G35" s="64">
        <f t="shared" si="14"/>
        <v>1099.6679553699205</v>
      </c>
      <c r="H35" s="64">
        <f t="shared" si="14"/>
        <v>965.04996869230786</v>
      </c>
      <c r="I35" s="64">
        <f t="shared" si="14"/>
        <v>782.63571695744918</v>
      </c>
      <c r="J35" s="64">
        <f t="shared" si="14"/>
        <v>536.57009844598065</v>
      </c>
      <c r="K35" s="64">
        <f t="shared" si="14"/>
        <v>328.82688227919022</v>
      </c>
      <c r="L35" s="64">
        <f t="shared" si="14"/>
        <v>253.93734544981962</v>
      </c>
      <c r="M35" s="64">
        <f t="shared" si="14"/>
        <v>213.16228339695112</v>
      </c>
    </row>
    <row r="36" spans="1:13">
      <c r="A36" s="67" t="s">
        <v>125</v>
      </c>
      <c r="B36" s="64">
        <f t="shared" ref="B36:M36" si="15">B29*B19</f>
        <v>4.3011372192339179</v>
      </c>
      <c r="C36" s="64">
        <f t="shared" si="15"/>
        <v>5.2482310856382135</v>
      </c>
      <c r="D36" s="64">
        <f t="shared" si="15"/>
        <v>10.83656580431161</v>
      </c>
      <c r="E36" s="64">
        <f t="shared" si="15"/>
        <v>15.093847910842488</v>
      </c>
      <c r="F36" s="64">
        <f t="shared" si="15"/>
        <v>15.092161627680658</v>
      </c>
      <c r="G36" s="64">
        <f t="shared" si="15"/>
        <v>14.321789118957865</v>
      </c>
      <c r="H36" s="64">
        <f t="shared" si="15"/>
        <v>12.016669299054445</v>
      </c>
      <c r="I36" s="64">
        <f t="shared" si="15"/>
        <v>10.37677678098766</v>
      </c>
      <c r="J36" s="64">
        <f t="shared" si="15"/>
        <v>7.7947982892698082</v>
      </c>
      <c r="K36" s="64">
        <f t="shared" si="15"/>
        <v>5.2390536443886306</v>
      </c>
      <c r="L36" s="64">
        <f t="shared" si="15"/>
        <v>4.5922824839392637</v>
      </c>
      <c r="M36" s="64">
        <f t="shared" si="15"/>
        <v>4.4071257920099587</v>
      </c>
    </row>
    <row r="37" spans="1:13">
      <c r="A37" s="67" t="s">
        <v>121</v>
      </c>
      <c r="B37" s="64">
        <f t="shared" ref="B37:M37" si="16">B30*B20</f>
        <v>907.52740833172754</v>
      </c>
      <c r="C37" s="64">
        <f t="shared" si="16"/>
        <v>937.62335457189465</v>
      </c>
      <c r="D37" s="64">
        <f t="shared" si="16"/>
        <v>945.71346338846683</v>
      </c>
      <c r="E37" s="64">
        <f t="shared" si="16"/>
        <v>1184.2346390118196</v>
      </c>
      <c r="F37" s="64">
        <f t="shared" si="16"/>
        <v>1363.8773346166852</v>
      </c>
      <c r="G37" s="64">
        <f t="shared" si="16"/>
        <v>1464.7664773513093</v>
      </c>
      <c r="H37" s="64">
        <f t="shared" si="16"/>
        <v>1522.8955708240248</v>
      </c>
      <c r="I37" s="64">
        <f t="shared" si="16"/>
        <v>1358.240164799759</v>
      </c>
      <c r="J37" s="64">
        <f t="shared" si="16"/>
        <v>1330.67703916394</v>
      </c>
      <c r="K37" s="64">
        <f t="shared" si="16"/>
        <v>1157.3454316653961</v>
      </c>
      <c r="L37" s="64">
        <f t="shared" si="16"/>
        <v>1037.6029062165096</v>
      </c>
      <c r="M37" s="64">
        <f t="shared" si="16"/>
        <v>953.44785632995536</v>
      </c>
    </row>
    <row r="38" spans="1:13">
      <c r="A38" s="67" t="s">
        <v>122</v>
      </c>
      <c r="B38" s="64">
        <f t="shared" ref="B38:M38" si="17">B31*B21</f>
        <v>0</v>
      </c>
      <c r="C38" s="64">
        <f t="shared" si="17"/>
        <v>0</v>
      </c>
      <c r="D38" s="64">
        <f t="shared" si="17"/>
        <v>0</v>
      </c>
      <c r="E38" s="64">
        <f t="shared" si="17"/>
        <v>0</v>
      </c>
      <c r="F38" s="64">
        <f t="shared" si="17"/>
        <v>0</v>
      </c>
      <c r="G38" s="64">
        <f t="shared" si="17"/>
        <v>0</v>
      </c>
      <c r="H38" s="64">
        <f t="shared" si="17"/>
        <v>0</v>
      </c>
      <c r="I38" s="64">
        <f t="shared" si="17"/>
        <v>0</v>
      </c>
      <c r="J38" s="64">
        <f t="shared" si="17"/>
        <v>0</v>
      </c>
      <c r="K38" s="64">
        <f t="shared" si="17"/>
        <v>0</v>
      </c>
      <c r="L38" s="64">
        <f t="shared" si="17"/>
        <v>0</v>
      </c>
      <c r="M38" s="64">
        <f t="shared" si="17"/>
        <v>0</v>
      </c>
    </row>
    <row r="39" spans="1:13">
      <c r="A39"/>
    </row>
    <row r="40" spans="1:13">
      <c r="A40" t="s">
        <v>91</v>
      </c>
      <c r="B40" s="64">
        <f>'CF WA NG'!E21</f>
        <v>0.95628199999999997</v>
      </c>
    </row>
    <row r="41" spans="1:13">
      <c r="A41" s="67" t="s">
        <v>123</v>
      </c>
      <c r="B41" s="64">
        <f t="shared" ref="B41:M41" si="18">B34*$B$40</f>
        <v>323.42252813303628</v>
      </c>
      <c r="C41" s="64">
        <f t="shared" si="18"/>
        <v>504.63444963210492</v>
      </c>
      <c r="D41" s="64">
        <f t="shared" si="18"/>
        <v>1343.9450484460222</v>
      </c>
      <c r="E41" s="64">
        <f t="shared" si="18"/>
        <v>2381.2332785628919</v>
      </c>
      <c r="F41" s="64">
        <f t="shared" si="18"/>
        <v>3568.1398997091778</v>
      </c>
      <c r="G41" s="64">
        <f t="shared" si="18"/>
        <v>3232.3760058600787</v>
      </c>
      <c r="H41" s="64">
        <f t="shared" si="18"/>
        <v>2833.4416182481687</v>
      </c>
      <c r="I41" s="64">
        <f t="shared" si="18"/>
        <v>2178.1283446308857</v>
      </c>
      <c r="J41" s="64">
        <f t="shared" si="18"/>
        <v>1366.2014011027343</v>
      </c>
      <c r="K41" s="64">
        <f t="shared" si="18"/>
        <v>730.56087113511421</v>
      </c>
      <c r="L41" s="64">
        <f t="shared" si="18"/>
        <v>456.70365107211342</v>
      </c>
      <c r="M41" s="64">
        <f t="shared" si="18"/>
        <v>329.83530222833645</v>
      </c>
    </row>
    <row r="42" spans="1:13">
      <c r="A42" s="67" t="s">
        <v>124</v>
      </c>
      <c r="B42" s="64">
        <f t="shared" ref="B42:M42" si="19">B35*$B$40</f>
        <v>211.54880453766967</v>
      </c>
      <c r="C42" s="64">
        <f t="shared" si="19"/>
        <v>281.55554322036181</v>
      </c>
      <c r="D42" s="64">
        <f t="shared" si="19"/>
        <v>595.41002598537102</v>
      </c>
      <c r="E42" s="64">
        <f t="shared" si="19"/>
        <v>908.09995709505552</v>
      </c>
      <c r="F42" s="64">
        <f t="shared" si="19"/>
        <v>1152.5234542184855</v>
      </c>
      <c r="G42" s="64">
        <f t="shared" si="19"/>
        <v>1051.5926716970582</v>
      </c>
      <c r="H42" s="64">
        <f t="shared" si="19"/>
        <v>922.85991416101751</v>
      </c>
      <c r="I42" s="64">
        <f t="shared" si="19"/>
        <v>748.42044868350342</v>
      </c>
      <c r="J42" s="64">
        <f t="shared" si="19"/>
        <v>513.11232688211919</v>
      </c>
      <c r="K42" s="64">
        <f t="shared" si="19"/>
        <v>314.45122863970857</v>
      </c>
      <c r="L42" s="64">
        <f t="shared" si="19"/>
        <v>242.8357125814444</v>
      </c>
      <c r="M42" s="64">
        <f t="shared" si="19"/>
        <v>203.84325469140322</v>
      </c>
    </row>
    <row r="43" spans="1:13">
      <c r="A43" s="67" t="s">
        <v>125</v>
      </c>
      <c r="B43" s="64">
        <f t="shared" ref="B43:M43" si="20">B36*$B$40</f>
        <v>4.1131001022834495</v>
      </c>
      <c r="C43" s="64">
        <f t="shared" si="20"/>
        <v>5.0187889190362815</v>
      </c>
      <c r="D43" s="64">
        <f t="shared" si="20"/>
        <v>10.362812820478714</v>
      </c>
      <c r="E43" s="64">
        <f t="shared" si="20"/>
        <v>14.433975067876275</v>
      </c>
      <c r="F43" s="64">
        <f t="shared" si="20"/>
        <v>14.432362505641715</v>
      </c>
      <c r="G43" s="64">
        <f t="shared" si="20"/>
        <v>13.695669142255264</v>
      </c>
      <c r="H43" s="64">
        <f t="shared" si="20"/>
        <v>11.491324550638383</v>
      </c>
      <c r="I43" s="64">
        <f t="shared" si="20"/>
        <v>9.9231248536764411</v>
      </c>
      <c r="J43" s="64">
        <f t="shared" si="20"/>
        <v>7.4540252976595101</v>
      </c>
      <c r="K43" s="64">
        <f t="shared" si="20"/>
        <v>5.0100126971632486</v>
      </c>
      <c r="L43" s="64">
        <f t="shared" si="20"/>
        <v>4.391517078306407</v>
      </c>
      <c r="M43" s="64">
        <f t="shared" si="20"/>
        <v>4.2144550666348675</v>
      </c>
    </row>
    <row r="44" spans="1:13">
      <c r="A44" s="67" t="s">
        <v>121</v>
      </c>
      <c r="B44" s="64">
        <f t="shared" ref="B44:M44" si="21">B37*$B$40</f>
        <v>867.85212509428106</v>
      </c>
      <c r="C44" s="64">
        <f t="shared" si="21"/>
        <v>896.63233675672052</v>
      </c>
      <c r="D44" s="64">
        <f t="shared" si="21"/>
        <v>904.36876219604983</v>
      </c>
      <c r="E44" s="64">
        <f t="shared" si="21"/>
        <v>1132.4622690635008</v>
      </c>
      <c r="F44" s="64">
        <f t="shared" si="21"/>
        <v>1304.2513453019128</v>
      </c>
      <c r="G44" s="64">
        <f t="shared" si="21"/>
        <v>1400.7298164944648</v>
      </c>
      <c r="H44" s="64">
        <f t="shared" si="21"/>
        <v>1456.3176222587401</v>
      </c>
      <c r="I44" s="64">
        <f t="shared" si="21"/>
        <v>1298.8606212750431</v>
      </c>
      <c r="J44" s="64">
        <f t="shared" si="21"/>
        <v>1272.5025003657709</v>
      </c>
      <c r="K44" s="64">
        <f t="shared" si="21"/>
        <v>1106.7486040838482</v>
      </c>
      <c r="L44" s="64">
        <f t="shared" si="21"/>
        <v>992.24098236253622</v>
      </c>
      <c r="M44" s="64">
        <f t="shared" si="21"/>
        <v>911.76502294692239</v>
      </c>
    </row>
    <row r="45" spans="1:13">
      <c r="A45" s="67" t="s">
        <v>122</v>
      </c>
      <c r="B45" s="64">
        <f t="shared" ref="B45:M45" si="22">B38*$B$40</f>
        <v>0</v>
      </c>
      <c r="C45" s="64">
        <f t="shared" si="22"/>
        <v>0</v>
      </c>
      <c r="D45" s="64">
        <f t="shared" si="22"/>
        <v>0</v>
      </c>
      <c r="E45" s="64">
        <f t="shared" si="22"/>
        <v>0</v>
      </c>
      <c r="F45" s="64">
        <f t="shared" si="22"/>
        <v>0</v>
      </c>
      <c r="G45" s="64">
        <f t="shared" si="22"/>
        <v>0</v>
      </c>
      <c r="H45" s="64">
        <f t="shared" si="22"/>
        <v>0</v>
      </c>
      <c r="I45" s="64">
        <f t="shared" si="22"/>
        <v>0</v>
      </c>
      <c r="J45" s="64">
        <f t="shared" si="22"/>
        <v>0</v>
      </c>
      <c r="K45" s="64">
        <f t="shared" si="22"/>
        <v>0</v>
      </c>
      <c r="L45" s="64">
        <f t="shared" si="22"/>
        <v>0</v>
      </c>
      <c r="M45" s="64">
        <f t="shared" si="22"/>
        <v>0</v>
      </c>
    </row>
    <row r="47" spans="1:13">
      <c r="A47" s="10" t="s">
        <v>17</v>
      </c>
    </row>
    <row r="48" spans="1:13">
      <c r="A48" s="64" t="s">
        <v>28</v>
      </c>
      <c r="B48" s="46"/>
    </row>
    <row r="50" spans="1:17">
      <c r="B50" s="65">
        <f t="shared" ref="B50:M50" si="23">B6</f>
        <v>45169</v>
      </c>
      <c r="C50" s="65">
        <f t="shared" si="23"/>
        <v>45199</v>
      </c>
      <c r="D50" s="65">
        <f t="shared" si="23"/>
        <v>45230</v>
      </c>
      <c r="E50" s="65">
        <f t="shared" si="23"/>
        <v>45260</v>
      </c>
      <c r="F50" s="65">
        <f t="shared" si="23"/>
        <v>45291</v>
      </c>
      <c r="G50" s="65">
        <f t="shared" si="23"/>
        <v>45322</v>
      </c>
      <c r="H50" s="65">
        <f t="shared" si="23"/>
        <v>45351</v>
      </c>
      <c r="I50" s="65">
        <f t="shared" si="23"/>
        <v>45382</v>
      </c>
      <c r="J50" s="65">
        <f t="shared" si="23"/>
        <v>45412</v>
      </c>
      <c r="K50" s="65">
        <f t="shared" si="23"/>
        <v>45443</v>
      </c>
      <c r="L50" s="65">
        <f t="shared" si="23"/>
        <v>45473</v>
      </c>
      <c r="M50" s="65">
        <f t="shared" si="23"/>
        <v>45504</v>
      </c>
      <c r="N50" s="66" t="s">
        <v>0</v>
      </c>
    </row>
    <row r="51" spans="1:17">
      <c r="A51" s="67" t="s">
        <v>116</v>
      </c>
      <c r="B51" s="68">
        <v>174110.235302482</v>
      </c>
      <c r="C51" s="68">
        <v>173984.34793427799</v>
      </c>
      <c r="D51" s="68">
        <v>174584.13468073914</v>
      </c>
      <c r="E51" s="68">
        <v>174395.2350514209</v>
      </c>
      <c r="F51" s="68">
        <v>175133.50851500829</v>
      </c>
      <c r="G51" s="68">
        <v>173982.97209642892</v>
      </c>
      <c r="H51" s="68">
        <v>174081.80893970595</v>
      </c>
      <c r="I51" s="68">
        <v>173992.90120756865</v>
      </c>
      <c r="J51" s="68">
        <v>174193.23549731745</v>
      </c>
      <c r="K51" s="68">
        <v>174103.36811276607</v>
      </c>
      <c r="L51" s="68">
        <v>174163.68928879377</v>
      </c>
      <c r="M51" s="68">
        <v>174156.07659367422</v>
      </c>
      <c r="N51" s="69">
        <f>SUM(B51:M51)</f>
        <v>2090881.5132201833</v>
      </c>
      <c r="P51" s="70"/>
      <c r="Q51" s="76"/>
    </row>
    <row r="52" spans="1:17">
      <c r="A52" s="67" t="s">
        <v>117</v>
      </c>
      <c r="B52" s="68">
        <v>3378.5512993650782</v>
      </c>
      <c r="C52" s="68">
        <v>3381.8472409788351</v>
      </c>
      <c r="D52" s="68">
        <v>3386.0011777270706</v>
      </c>
      <c r="E52" s="68">
        <v>3390.4179425376601</v>
      </c>
      <c r="F52" s="68">
        <v>3393.202771082465</v>
      </c>
      <c r="G52" s="68">
        <v>3387.8030020060037</v>
      </c>
      <c r="H52" s="68">
        <v>3387.8030020060037</v>
      </c>
      <c r="I52" s="68">
        <v>3387.8030020060037</v>
      </c>
      <c r="J52" s="68">
        <v>3387.8030020060037</v>
      </c>
      <c r="K52" s="68">
        <v>3387.8030020060037</v>
      </c>
      <c r="L52" s="68">
        <v>3387.8030020060037</v>
      </c>
      <c r="M52" s="68">
        <v>3387.8030020060037</v>
      </c>
      <c r="N52" s="69">
        <f t="shared" ref="N52:N57" si="24">SUM(B52:M52)</f>
        <v>40644.641445733134</v>
      </c>
      <c r="P52" s="70"/>
      <c r="Q52" s="76"/>
    </row>
    <row r="53" spans="1:17">
      <c r="A53" s="67" t="s">
        <v>118</v>
      </c>
      <c r="B53" s="68">
        <v>2</v>
      </c>
      <c r="C53" s="68">
        <v>2</v>
      </c>
      <c r="D53" s="68">
        <v>2</v>
      </c>
      <c r="E53" s="68">
        <v>2</v>
      </c>
      <c r="F53" s="68">
        <v>2</v>
      </c>
      <c r="G53" s="68">
        <v>2</v>
      </c>
      <c r="H53" s="68">
        <v>2</v>
      </c>
      <c r="I53" s="68">
        <v>2</v>
      </c>
      <c r="J53" s="68">
        <v>2</v>
      </c>
      <c r="K53" s="68">
        <v>2</v>
      </c>
      <c r="L53" s="68">
        <v>2</v>
      </c>
      <c r="M53" s="68">
        <v>2</v>
      </c>
      <c r="N53" s="69">
        <f t="shared" si="24"/>
        <v>24</v>
      </c>
      <c r="P53" s="70"/>
      <c r="Q53" s="76"/>
    </row>
    <row r="54" spans="1:17">
      <c r="A54" s="67" t="s">
        <v>119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9">
        <f t="shared" si="24"/>
        <v>0</v>
      </c>
      <c r="P54" s="70"/>
      <c r="Q54" s="76"/>
    </row>
    <row r="55" spans="1:17">
      <c r="A55" s="67" t="s">
        <v>120</v>
      </c>
      <c r="B55" s="68">
        <v>5</v>
      </c>
      <c r="C55" s="68">
        <v>5</v>
      </c>
      <c r="D55" s="68">
        <v>5</v>
      </c>
      <c r="E55" s="68">
        <v>5</v>
      </c>
      <c r="F55" s="68">
        <v>5</v>
      </c>
      <c r="G55" s="68">
        <v>5</v>
      </c>
      <c r="H55" s="68">
        <v>5</v>
      </c>
      <c r="I55" s="68">
        <v>5</v>
      </c>
      <c r="J55" s="68">
        <v>5</v>
      </c>
      <c r="K55" s="68">
        <v>5</v>
      </c>
      <c r="L55" s="68">
        <v>5</v>
      </c>
      <c r="M55" s="68">
        <v>5</v>
      </c>
      <c r="N55" s="69">
        <f t="shared" si="24"/>
        <v>60</v>
      </c>
      <c r="P55" s="70"/>
      <c r="Q55" s="76"/>
    </row>
    <row r="56" spans="1:17">
      <c r="A56" s="67" t="s">
        <v>121</v>
      </c>
      <c r="B56" s="68">
        <v>35</v>
      </c>
      <c r="C56" s="68">
        <v>35</v>
      </c>
      <c r="D56" s="68">
        <v>35</v>
      </c>
      <c r="E56" s="68">
        <v>35</v>
      </c>
      <c r="F56" s="68">
        <v>35</v>
      </c>
      <c r="G56" s="68">
        <v>35</v>
      </c>
      <c r="H56" s="68">
        <v>35</v>
      </c>
      <c r="I56" s="68">
        <v>35</v>
      </c>
      <c r="J56" s="68">
        <v>35</v>
      </c>
      <c r="K56" s="68">
        <v>35</v>
      </c>
      <c r="L56" s="68">
        <v>35</v>
      </c>
      <c r="M56" s="68">
        <v>35</v>
      </c>
      <c r="N56" s="69">
        <f t="shared" si="24"/>
        <v>420</v>
      </c>
      <c r="P56" s="70"/>
      <c r="Q56" s="76"/>
    </row>
    <row r="57" spans="1:17">
      <c r="A57" s="67" t="s">
        <v>122</v>
      </c>
      <c r="B57" s="68">
        <v>5</v>
      </c>
      <c r="C57" s="68">
        <v>5</v>
      </c>
      <c r="D57" s="68">
        <v>5</v>
      </c>
      <c r="E57" s="68">
        <v>5</v>
      </c>
      <c r="F57" s="68">
        <v>5</v>
      </c>
      <c r="G57" s="68">
        <v>5</v>
      </c>
      <c r="H57" s="68">
        <v>5</v>
      </c>
      <c r="I57" s="68">
        <v>5</v>
      </c>
      <c r="J57" s="68">
        <v>5</v>
      </c>
      <c r="K57" s="68">
        <v>5</v>
      </c>
      <c r="L57" s="68">
        <v>5</v>
      </c>
      <c r="M57" s="68">
        <v>5</v>
      </c>
      <c r="N57" s="69">
        <f t="shared" si="24"/>
        <v>60</v>
      </c>
      <c r="P57" s="70"/>
      <c r="Q57" s="76"/>
    </row>
    <row r="58" spans="1:17">
      <c r="A58" s="72" t="s">
        <v>0</v>
      </c>
      <c r="B58" s="73">
        <f t="shared" ref="B58:N58" si="25">SUM(B51:B57)</f>
        <v>177535.7866018471</v>
      </c>
      <c r="C58" s="73">
        <f t="shared" si="25"/>
        <v>177413.19517525681</v>
      </c>
      <c r="D58" s="73">
        <f t="shared" si="25"/>
        <v>178017.13585846621</v>
      </c>
      <c r="E58" s="73">
        <f t="shared" si="25"/>
        <v>177832.65299395856</v>
      </c>
      <c r="F58" s="73">
        <f t="shared" si="25"/>
        <v>178573.71128609075</v>
      </c>
      <c r="G58" s="73">
        <f t="shared" si="25"/>
        <v>177417.77509843491</v>
      </c>
      <c r="H58" s="73">
        <f t="shared" si="25"/>
        <v>177516.61194171195</v>
      </c>
      <c r="I58" s="73">
        <f t="shared" si="25"/>
        <v>177427.70420957464</v>
      </c>
      <c r="J58" s="73">
        <f t="shared" si="25"/>
        <v>177628.03849932345</v>
      </c>
      <c r="K58" s="73">
        <f t="shared" si="25"/>
        <v>177538.17111477206</v>
      </c>
      <c r="L58" s="73">
        <f t="shared" si="25"/>
        <v>177598.49229079977</v>
      </c>
      <c r="M58" s="73">
        <f t="shared" si="25"/>
        <v>177590.87959568022</v>
      </c>
      <c r="N58" s="73">
        <f t="shared" si="25"/>
        <v>2132090.1546659162</v>
      </c>
    </row>
    <row r="59" spans="1:17">
      <c r="A59" s="32"/>
      <c r="N59" s="74"/>
    </row>
    <row r="60" spans="1:17">
      <c r="A60" s="67" t="s">
        <v>123</v>
      </c>
      <c r="B60" s="73">
        <f>B51</f>
        <v>174110.235302482</v>
      </c>
      <c r="C60" s="73">
        <f t="shared" ref="C60:M60" si="26">C51</f>
        <v>173984.34793427799</v>
      </c>
      <c r="D60" s="73">
        <f t="shared" si="26"/>
        <v>174584.13468073914</v>
      </c>
      <c r="E60" s="73">
        <f t="shared" si="26"/>
        <v>174395.2350514209</v>
      </c>
      <c r="F60" s="73">
        <f t="shared" si="26"/>
        <v>175133.50851500829</v>
      </c>
      <c r="G60" s="73">
        <f t="shared" si="26"/>
        <v>173982.97209642892</v>
      </c>
      <c r="H60" s="73">
        <f t="shared" si="26"/>
        <v>174081.80893970595</v>
      </c>
      <c r="I60" s="73">
        <f t="shared" si="26"/>
        <v>173992.90120756865</v>
      </c>
      <c r="J60" s="73">
        <f t="shared" si="26"/>
        <v>174193.23549731745</v>
      </c>
      <c r="K60" s="73">
        <f t="shared" si="26"/>
        <v>174103.36811276607</v>
      </c>
      <c r="L60" s="73">
        <f t="shared" si="26"/>
        <v>174163.68928879377</v>
      </c>
      <c r="M60" s="73">
        <f t="shared" si="26"/>
        <v>174156.07659367422</v>
      </c>
      <c r="N60" s="74">
        <f t="shared" ref="N60:N64" si="27">SUM(B60:M60)</f>
        <v>2090881.5132201833</v>
      </c>
    </row>
    <row r="61" spans="1:17">
      <c r="A61" s="67" t="s">
        <v>124</v>
      </c>
      <c r="B61" s="73">
        <f>B52+B53</f>
        <v>3380.5512993650782</v>
      </c>
      <c r="C61" s="73">
        <f t="shared" ref="C61:M61" si="28">C52+C53</f>
        <v>3383.8472409788351</v>
      </c>
      <c r="D61" s="73">
        <f t="shared" si="28"/>
        <v>3388.0011777270706</v>
      </c>
      <c r="E61" s="73">
        <f t="shared" si="28"/>
        <v>3392.4179425376601</v>
      </c>
      <c r="F61" s="73">
        <f t="shared" si="28"/>
        <v>3395.202771082465</v>
      </c>
      <c r="G61" s="73">
        <f t="shared" si="28"/>
        <v>3389.8030020060037</v>
      </c>
      <c r="H61" s="73">
        <f t="shared" si="28"/>
        <v>3389.8030020060037</v>
      </c>
      <c r="I61" s="73">
        <f t="shared" si="28"/>
        <v>3389.8030020060037</v>
      </c>
      <c r="J61" s="73">
        <f t="shared" si="28"/>
        <v>3389.8030020060037</v>
      </c>
      <c r="K61" s="73">
        <f t="shared" si="28"/>
        <v>3389.8030020060037</v>
      </c>
      <c r="L61" s="73">
        <f t="shared" si="28"/>
        <v>3389.8030020060037</v>
      </c>
      <c r="M61" s="73">
        <f t="shared" si="28"/>
        <v>3389.8030020060037</v>
      </c>
      <c r="N61" s="74">
        <f t="shared" si="27"/>
        <v>40668.641445733134</v>
      </c>
    </row>
    <row r="62" spans="1:17">
      <c r="A62" s="67" t="s">
        <v>125</v>
      </c>
      <c r="B62" s="73">
        <f>B55</f>
        <v>5</v>
      </c>
      <c r="C62" s="73">
        <f t="shared" ref="C62:M62" si="29">C55</f>
        <v>5</v>
      </c>
      <c r="D62" s="73">
        <f t="shared" si="29"/>
        <v>5</v>
      </c>
      <c r="E62" s="73">
        <f t="shared" si="29"/>
        <v>5</v>
      </c>
      <c r="F62" s="73">
        <f t="shared" si="29"/>
        <v>5</v>
      </c>
      <c r="G62" s="73">
        <f t="shared" si="29"/>
        <v>5</v>
      </c>
      <c r="H62" s="73">
        <f t="shared" si="29"/>
        <v>5</v>
      </c>
      <c r="I62" s="73">
        <f t="shared" si="29"/>
        <v>5</v>
      </c>
      <c r="J62" s="73">
        <f t="shared" si="29"/>
        <v>5</v>
      </c>
      <c r="K62" s="73">
        <f t="shared" si="29"/>
        <v>5</v>
      </c>
      <c r="L62" s="73">
        <f t="shared" si="29"/>
        <v>5</v>
      </c>
      <c r="M62" s="73">
        <f t="shared" si="29"/>
        <v>5</v>
      </c>
      <c r="N62" s="74">
        <f t="shared" si="27"/>
        <v>60</v>
      </c>
    </row>
    <row r="63" spans="1:17">
      <c r="A63" s="67" t="s">
        <v>121</v>
      </c>
      <c r="B63" s="73">
        <f>B56</f>
        <v>35</v>
      </c>
      <c r="C63" s="73">
        <f t="shared" ref="C63:M63" si="30">C56</f>
        <v>35</v>
      </c>
      <c r="D63" s="73">
        <f t="shared" si="30"/>
        <v>35</v>
      </c>
      <c r="E63" s="73">
        <f t="shared" si="30"/>
        <v>35</v>
      </c>
      <c r="F63" s="73">
        <f t="shared" si="30"/>
        <v>35</v>
      </c>
      <c r="G63" s="73">
        <f t="shared" si="30"/>
        <v>35</v>
      </c>
      <c r="H63" s="73">
        <f t="shared" si="30"/>
        <v>35</v>
      </c>
      <c r="I63" s="73">
        <f t="shared" si="30"/>
        <v>35</v>
      </c>
      <c r="J63" s="73">
        <f t="shared" si="30"/>
        <v>35</v>
      </c>
      <c r="K63" s="73">
        <f t="shared" si="30"/>
        <v>35</v>
      </c>
      <c r="L63" s="73">
        <f t="shared" si="30"/>
        <v>35</v>
      </c>
      <c r="M63" s="73">
        <f t="shared" si="30"/>
        <v>35</v>
      </c>
      <c r="N63" s="74">
        <f t="shared" si="27"/>
        <v>420</v>
      </c>
    </row>
    <row r="64" spans="1:17">
      <c r="A64" s="67" t="s">
        <v>122</v>
      </c>
      <c r="B64" s="73">
        <f>B57</f>
        <v>5</v>
      </c>
      <c r="C64" s="73">
        <f t="shared" ref="C64:M64" si="31">C57</f>
        <v>5</v>
      </c>
      <c r="D64" s="73">
        <f t="shared" si="31"/>
        <v>5</v>
      </c>
      <c r="E64" s="73">
        <f t="shared" si="31"/>
        <v>5</v>
      </c>
      <c r="F64" s="73">
        <f t="shared" si="31"/>
        <v>5</v>
      </c>
      <c r="G64" s="73">
        <f t="shared" si="31"/>
        <v>5</v>
      </c>
      <c r="H64" s="73">
        <f t="shared" si="31"/>
        <v>5</v>
      </c>
      <c r="I64" s="73">
        <f t="shared" si="31"/>
        <v>5</v>
      </c>
      <c r="J64" s="73">
        <f t="shared" si="31"/>
        <v>5</v>
      </c>
      <c r="K64" s="73">
        <f t="shared" si="31"/>
        <v>5</v>
      </c>
      <c r="L64" s="73">
        <f t="shared" si="31"/>
        <v>5</v>
      </c>
      <c r="M64" s="73">
        <f t="shared" si="31"/>
        <v>5</v>
      </c>
      <c r="N64" s="74">
        <f t="shared" si="27"/>
        <v>60</v>
      </c>
    </row>
    <row r="65" spans="1:14">
      <c r="A65" s="72" t="s">
        <v>0</v>
      </c>
      <c r="B65" s="74">
        <f>SUM(B60:B64)</f>
        <v>177535.7866018471</v>
      </c>
      <c r="C65" s="74">
        <f t="shared" ref="C65:M65" si="32">SUM(C60:C64)</f>
        <v>177413.19517525681</v>
      </c>
      <c r="D65" s="74">
        <f t="shared" si="32"/>
        <v>178017.13585846621</v>
      </c>
      <c r="E65" s="74">
        <f t="shared" si="32"/>
        <v>177832.65299395856</v>
      </c>
      <c r="F65" s="74">
        <f t="shared" si="32"/>
        <v>178573.71128609075</v>
      </c>
      <c r="G65" s="74">
        <f t="shared" si="32"/>
        <v>177417.77509843491</v>
      </c>
      <c r="H65" s="74">
        <f t="shared" si="32"/>
        <v>177516.61194171195</v>
      </c>
      <c r="I65" s="74">
        <f t="shared" si="32"/>
        <v>177427.70420957464</v>
      </c>
      <c r="J65" s="74">
        <f t="shared" si="32"/>
        <v>177628.03849932345</v>
      </c>
      <c r="K65" s="74">
        <f t="shared" si="32"/>
        <v>177538.17111477206</v>
      </c>
      <c r="L65" s="74">
        <f t="shared" si="32"/>
        <v>177598.49229079977</v>
      </c>
      <c r="M65" s="74">
        <f t="shared" si="32"/>
        <v>177590.87959568022</v>
      </c>
      <c r="N65" s="74">
        <f>SUM(N60:N64)</f>
        <v>2132090.1546659162</v>
      </c>
    </row>
    <row r="66" spans="1:14">
      <c r="N66" s="74">
        <f>SUM(B66:M66)</f>
        <v>0</v>
      </c>
    </row>
    <row r="67" spans="1:14">
      <c r="A67" s="72" t="s">
        <v>34</v>
      </c>
      <c r="B67" s="74">
        <f t="shared" ref="B67:M67" si="33">SUM(B51:B57)-SUM(B60:B64)</f>
        <v>0</v>
      </c>
      <c r="C67" s="74">
        <f t="shared" si="33"/>
        <v>0</v>
      </c>
      <c r="D67" s="74">
        <f t="shared" si="33"/>
        <v>0</v>
      </c>
      <c r="E67" s="74">
        <f t="shared" si="33"/>
        <v>0</v>
      </c>
      <c r="F67" s="74">
        <f t="shared" si="33"/>
        <v>0</v>
      </c>
      <c r="G67" s="74">
        <f t="shared" si="33"/>
        <v>0</v>
      </c>
      <c r="H67" s="74">
        <f t="shared" si="33"/>
        <v>0</v>
      </c>
      <c r="I67" s="74">
        <f t="shared" si="33"/>
        <v>0</v>
      </c>
      <c r="J67" s="74">
        <f t="shared" si="33"/>
        <v>0</v>
      </c>
      <c r="K67" s="74">
        <f t="shared" si="33"/>
        <v>0</v>
      </c>
      <c r="L67" s="74">
        <f t="shared" si="33"/>
        <v>0</v>
      </c>
      <c r="M67" s="74">
        <f t="shared" si="33"/>
        <v>0</v>
      </c>
      <c r="N67" s="74">
        <f>SUM(B67:M67)</f>
        <v>0</v>
      </c>
    </row>
    <row r="69" spans="1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1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1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1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2:13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</row>
    <row r="103" spans="2:13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</row>
    <row r="105" spans="2:13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</row>
    <row r="106" spans="2:13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2:13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</row>
    <row r="108" spans="2:13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</row>
    <row r="109" spans="2:13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</row>
    <row r="110" spans="2:13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</row>
    <row r="111" spans="2:13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2:13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2:13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4"/>
  <sheetViews>
    <sheetView view="pageBreakPreview" zoomScale="115" zoomScaleNormal="100" zoomScaleSheetLayoutView="115" workbookViewId="0"/>
  </sheetViews>
  <sheetFormatPr defaultRowHeight="15"/>
  <cols>
    <col min="1" max="1" width="30.85546875" style="82" customWidth="1"/>
    <col min="2" max="2" width="9.140625" style="82" customWidth="1"/>
    <col min="3" max="3" width="9.7109375" style="82" customWidth="1"/>
    <col min="4" max="4" width="15.140625" style="82" customWidth="1"/>
    <col min="5" max="5" width="11.85546875" style="82" bestFit="1" customWidth="1"/>
    <col min="6" max="8" width="9.140625" style="82"/>
    <col min="9" max="9" width="9.42578125" style="82" customWidth="1"/>
    <col min="10" max="255" width="9.140625" style="82"/>
    <col min="256" max="256" width="30.85546875" style="82" customWidth="1"/>
    <col min="257" max="257" width="9.140625" style="82" customWidth="1"/>
    <col min="258" max="258" width="9.7109375" style="82" customWidth="1"/>
    <col min="259" max="259" width="15.140625" style="82" customWidth="1"/>
    <col min="260" max="260" width="12" style="82" customWidth="1"/>
    <col min="261" max="264" width="9.140625" style="82"/>
    <col min="265" max="265" width="9.42578125" style="82" customWidth="1"/>
    <col min="266" max="511" width="9.140625" style="82"/>
    <col min="512" max="512" width="30.85546875" style="82" customWidth="1"/>
    <col min="513" max="513" width="9.140625" style="82" customWidth="1"/>
    <col min="514" max="514" width="9.7109375" style="82" customWidth="1"/>
    <col min="515" max="515" width="15.140625" style="82" customWidth="1"/>
    <col min="516" max="516" width="12" style="82" customWidth="1"/>
    <col min="517" max="520" width="9.140625" style="82"/>
    <col min="521" max="521" width="9.42578125" style="82" customWidth="1"/>
    <col min="522" max="767" width="9.140625" style="82"/>
    <col min="768" max="768" width="30.85546875" style="82" customWidth="1"/>
    <col min="769" max="769" width="9.140625" style="82" customWidth="1"/>
    <col min="770" max="770" width="9.7109375" style="82" customWidth="1"/>
    <col min="771" max="771" width="15.140625" style="82" customWidth="1"/>
    <col min="772" max="772" width="12" style="82" customWidth="1"/>
    <col min="773" max="776" width="9.140625" style="82"/>
    <col min="777" max="777" width="9.42578125" style="82" customWidth="1"/>
    <col min="778" max="1023" width="9.140625" style="82"/>
    <col min="1024" max="1024" width="30.85546875" style="82" customWidth="1"/>
    <col min="1025" max="1025" width="9.140625" style="82" customWidth="1"/>
    <col min="1026" max="1026" width="9.7109375" style="82" customWidth="1"/>
    <col min="1027" max="1027" width="15.140625" style="82" customWidth="1"/>
    <col min="1028" max="1028" width="12" style="82" customWidth="1"/>
    <col min="1029" max="1032" width="9.140625" style="82"/>
    <col min="1033" max="1033" width="9.42578125" style="82" customWidth="1"/>
    <col min="1034" max="1279" width="9.140625" style="82"/>
    <col min="1280" max="1280" width="30.85546875" style="82" customWidth="1"/>
    <col min="1281" max="1281" width="9.140625" style="82" customWidth="1"/>
    <col min="1282" max="1282" width="9.7109375" style="82" customWidth="1"/>
    <col min="1283" max="1283" width="15.140625" style="82" customWidth="1"/>
    <col min="1284" max="1284" width="12" style="82" customWidth="1"/>
    <col min="1285" max="1288" width="9.140625" style="82"/>
    <col min="1289" max="1289" width="9.42578125" style="82" customWidth="1"/>
    <col min="1290" max="1535" width="9.140625" style="82"/>
    <col min="1536" max="1536" width="30.85546875" style="82" customWidth="1"/>
    <col min="1537" max="1537" width="9.140625" style="82" customWidth="1"/>
    <col min="1538" max="1538" width="9.7109375" style="82" customWidth="1"/>
    <col min="1539" max="1539" width="15.140625" style="82" customWidth="1"/>
    <col min="1540" max="1540" width="12" style="82" customWidth="1"/>
    <col min="1541" max="1544" width="9.140625" style="82"/>
    <col min="1545" max="1545" width="9.42578125" style="82" customWidth="1"/>
    <col min="1546" max="1791" width="9.140625" style="82"/>
    <col min="1792" max="1792" width="30.85546875" style="82" customWidth="1"/>
    <col min="1793" max="1793" width="9.140625" style="82" customWidth="1"/>
    <col min="1794" max="1794" width="9.7109375" style="82" customWidth="1"/>
    <col min="1795" max="1795" width="15.140625" style="82" customWidth="1"/>
    <col min="1796" max="1796" width="12" style="82" customWidth="1"/>
    <col min="1797" max="1800" width="9.140625" style="82"/>
    <col min="1801" max="1801" width="9.42578125" style="82" customWidth="1"/>
    <col min="1802" max="2047" width="9.140625" style="82"/>
    <col min="2048" max="2048" width="30.85546875" style="82" customWidth="1"/>
    <col min="2049" max="2049" width="9.140625" style="82" customWidth="1"/>
    <col min="2050" max="2050" width="9.7109375" style="82" customWidth="1"/>
    <col min="2051" max="2051" width="15.140625" style="82" customWidth="1"/>
    <col min="2052" max="2052" width="12" style="82" customWidth="1"/>
    <col min="2053" max="2056" width="9.140625" style="82"/>
    <col min="2057" max="2057" width="9.42578125" style="82" customWidth="1"/>
    <col min="2058" max="2303" width="9.140625" style="82"/>
    <col min="2304" max="2304" width="30.85546875" style="82" customWidth="1"/>
    <col min="2305" max="2305" width="9.140625" style="82" customWidth="1"/>
    <col min="2306" max="2306" width="9.7109375" style="82" customWidth="1"/>
    <col min="2307" max="2307" width="15.140625" style="82" customWidth="1"/>
    <col min="2308" max="2308" width="12" style="82" customWidth="1"/>
    <col min="2309" max="2312" width="9.140625" style="82"/>
    <col min="2313" max="2313" width="9.42578125" style="82" customWidth="1"/>
    <col min="2314" max="2559" width="9.140625" style="82"/>
    <col min="2560" max="2560" width="30.85546875" style="82" customWidth="1"/>
    <col min="2561" max="2561" width="9.140625" style="82" customWidth="1"/>
    <col min="2562" max="2562" width="9.7109375" style="82" customWidth="1"/>
    <col min="2563" max="2563" width="15.140625" style="82" customWidth="1"/>
    <col min="2564" max="2564" width="12" style="82" customWidth="1"/>
    <col min="2565" max="2568" width="9.140625" style="82"/>
    <col min="2569" max="2569" width="9.42578125" style="82" customWidth="1"/>
    <col min="2570" max="2815" width="9.140625" style="82"/>
    <col min="2816" max="2816" width="30.85546875" style="82" customWidth="1"/>
    <col min="2817" max="2817" width="9.140625" style="82" customWidth="1"/>
    <col min="2818" max="2818" width="9.7109375" style="82" customWidth="1"/>
    <col min="2819" max="2819" width="15.140625" style="82" customWidth="1"/>
    <col min="2820" max="2820" width="12" style="82" customWidth="1"/>
    <col min="2821" max="2824" width="9.140625" style="82"/>
    <col min="2825" max="2825" width="9.42578125" style="82" customWidth="1"/>
    <col min="2826" max="3071" width="9.140625" style="82"/>
    <col min="3072" max="3072" width="30.85546875" style="82" customWidth="1"/>
    <col min="3073" max="3073" width="9.140625" style="82" customWidth="1"/>
    <col min="3074" max="3074" width="9.7109375" style="82" customWidth="1"/>
    <col min="3075" max="3075" width="15.140625" style="82" customWidth="1"/>
    <col min="3076" max="3076" width="12" style="82" customWidth="1"/>
    <col min="3077" max="3080" width="9.140625" style="82"/>
    <col min="3081" max="3081" width="9.42578125" style="82" customWidth="1"/>
    <col min="3082" max="3327" width="9.140625" style="82"/>
    <col min="3328" max="3328" width="30.85546875" style="82" customWidth="1"/>
    <col min="3329" max="3329" width="9.140625" style="82" customWidth="1"/>
    <col min="3330" max="3330" width="9.7109375" style="82" customWidth="1"/>
    <col min="3331" max="3331" width="15.140625" style="82" customWidth="1"/>
    <col min="3332" max="3332" width="12" style="82" customWidth="1"/>
    <col min="3333" max="3336" width="9.140625" style="82"/>
    <col min="3337" max="3337" width="9.42578125" style="82" customWidth="1"/>
    <col min="3338" max="3583" width="9.140625" style="82"/>
    <col min="3584" max="3584" width="30.85546875" style="82" customWidth="1"/>
    <col min="3585" max="3585" width="9.140625" style="82" customWidth="1"/>
    <col min="3586" max="3586" width="9.7109375" style="82" customWidth="1"/>
    <col min="3587" max="3587" width="15.140625" style="82" customWidth="1"/>
    <col min="3588" max="3588" width="12" style="82" customWidth="1"/>
    <col min="3589" max="3592" width="9.140625" style="82"/>
    <col min="3593" max="3593" width="9.42578125" style="82" customWidth="1"/>
    <col min="3594" max="3839" width="9.140625" style="82"/>
    <col min="3840" max="3840" width="30.85546875" style="82" customWidth="1"/>
    <col min="3841" max="3841" width="9.140625" style="82" customWidth="1"/>
    <col min="3842" max="3842" width="9.7109375" style="82" customWidth="1"/>
    <col min="3843" max="3843" width="15.140625" style="82" customWidth="1"/>
    <col min="3844" max="3844" width="12" style="82" customWidth="1"/>
    <col min="3845" max="3848" width="9.140625" style="82"/>
    <col min="3849" max="3849" width="9.42578125" style="82" customWidth="1"/>
    <col min="3850" max="4095" width="9.140625" style="82"/>
    <col min="4096" max="4096" width="30.85546875" style="82" customWidth="1"/>
    <col min="4097" max="4097" width="9.140625" style="82" customWidth="1"/>
    <col min="4098" max="4098" width="9.7109375" style="82" customWidth="1"/>
    <col min="4099" max="4099" width="15.140625" style="82" customWidth="1"/>
    <col min="4100" max="4100" width="12" style="82" customWidth="1"/>
    <col min="4101" max="4104" width="9.140625" style="82"/>
    <col min="4105" max="4105" width="9.42578125" style="82" customWidth="1"/>
    <col min="4106" max="4351" width="9.140625" style="82"/>
    <col min="4352" max="4352" width="30.85546875" style="82" customWidth="1"/>
    <col min="4353" max="4353" width="9.140625" style="82" customWidth="1"/>
    <col min="4354" max="4354" width="9.7109375" style="82" customWidth="1"/>
    <col min="4355" max="4355" width="15.140625" style="82" customWidth="1"/>
    <col min="4356" max="4356" width="12" style="82" customWidth="1"/>
    <col min="4357" max="4360" width="9.140625" style="82"/>
    <col min="4361" max="4361" width="9.42578125" style="82" customWidth="1"/>
    <col min="4362" max="4607" width="9.140625" style="82"/>
    <col min="4608" max="4608" width="30.85546875" style="82" customWidth="1"/>
    <col min="4609" max="4609" width="9.140625" style="82" customWidth="1"/>
    <col min="4610" max="4610" width="9.7109375" style="82" customWidth="1"/>
    <col min="4611" max="4611" width="15.140625" style="82" customWidth="1"/>
    <col min="4612" max="4612" width="12" style="82" customWidth="1"/>
    <col min="4613" max="4616" width="9.140625" style="82"/>
    <col min="4617" max="4617" width="9.42578125" style="82" customWidth="1"/>
    <col min="4618" max="4863" width="9.140625" style="82"/>
    <col min="4864" max="4864" width="30.85546875" style="82" customWidth="1"/>
    <col min="4865" max="4865" width="9.140625" style="82" customWidth="1"/>
    <col min="4866" max="4866" width="9.7109375" style="82" customWidth="1"/>
    <col min="4867" max="4867" width="15.140625" style="82" customWidth="1"/>
    <col min="4868" max="4868" width="12" style="82" customWidth="1"/>
    <col min="4869" max="4872" width="9.140625" style="82"/>
    <col min="4873" max="4873" width="9.42578125" style="82" customWidth="1"/>
    <col min="4874" max="5119" width="9.140625" style="82"/>
    <col min="5120" max="5120" width="30.85546875" style="82" customWidth="1"/>
    <col min="5121" max="5121" width="9.140625" style="82" customWidth="1"/>
    <col min="5122" max="5122" width="9.7109375" style="82" customWidth="1"/>
    <col min="5123" max="5123" width="15.140625" style="82" customWidth="1"/>
    <col min="5124" max="5124" width="12" style="82" customWidth="1"/>
    <col min="5125" max="5128" width="9.140625" style="82"/>
    <col min="5129" max="5129" width="9.42578125" style="82" customWidth="1"/>
    <col min="5130" max="5375" width="9.140625" style="82"/>
    <col min="5376" max="5376" width="30.85546875" style="82" customWidth="1"/>
    <col min="5377" max="5377" width="9.140625" style="82" customWidth="1"/>
    <col min="5378" max="5378" width="9.7109375" style="82" customWidth="1"/>
    <col min="5379" max="5379" width="15.140625" style="82" customWidth="1"/>
    <col min="5380" max="5380" width="12" style="82" customWidth="1"/>
    <col min="5381" max="5384" width="9.140625" style="82"/>
    <col min="5385" max="5385" width="9.42578125" style="82" customWidth="1"/>
    <col min="5386" max="5631" width="9.140625" style="82"/>
    <col min="5632" max="5632" width="30.85546875" style="82" customWidth="1"/>
    <col min="5633" max="5633" width="9.140625" style="82" customWidth="1"/>
    <col min="5634" max="5634" width="9.7109375" style="82" customWidth="1"/>
    <col min="5635" max="5635" width="15.140625" style="82" customWidth="1"/>
    <col min="5636" max="5636" width="12" style="82" customWidth="1"/>
    <col min="5637" max="5640" width="9.140625" style="82"/>
    <col min="5641" max="5641" width="9.42578125" style="82" customWidth="1"/>
    <col min="5642" max="5887" width="9.140625" style="82"/>
    <col min="5888" max="5888" width="30.85546875" style="82" customWidth="1"/>
    <col min="5889" max="5889" width="9.140625" style="82" customWidth="1"/>
    <col min="5890" max="5890" width="9.7109375" style="82" customWidth="1"/>
    <col min="5891" max="5891" width="15.140625" style="82" customWidth="1"/>
    <col min="5892" max="5892" width="12" style="82" customWidth="1"/>
    <col min="5893" max="5896" width="9.140625" style="82"/>
    <col min="5897" max="5897" width="9.42578125" style="82" customWidth="1"/>
    <col min="5898" max="6143" width="9.140625" style="82"/>
    <col min="6144" max="6144" width="30.85546875" style="82" customWidth="1"/>
    <col min="6145" max="6145" width="9.140625" style="82" customWidth="1"/>
    <col min="6146" max="6146" width="9.7109375" style="82" customWidth="1"/>
    <col min="6147" max="6147" width="15.140625" style="82" customWidth="1"/>
    <col min="6148" max="6148" width="12" style="82" customWidth="1"/>
    <col min="6149" max="6152" width="9.140625" style="82"/>
    <col min="6153" max="6153" width="9.42578125" style="82" customWidth="1"/>
    <col min="6154" max="6399" width="9.140625" style="82"/>
    <col min="6400" max="6400" width="30.85546875" style="82" customWidth="1"/>
    <col min="6401" max="6401" width="9.140625" style="82" customWidth="1"/>
    <col min="6402" max="6402" width="9.7109375" style="82" customWidth="1"/>
    <col min="6403" max="6403" width="15.140625" style="82" customWidth="1"/>
    <col min="6404" max="6404" width="12" style="82" customWidth="1"/>
    <col min="6405" max="6408" width="9.140625" style="82"/>
    <col min="6409" max="6409" width="9.42578125" style="82" customWidth="1"/>
    <col min="6410" max="6655" width="9.140625" style="82"/>
    <col min="6656" max="6656" width="30.85546875" style="82" customWidth="1"/>
    <col min="6657" max="6657" width="9.140625" style="82" customWidth="1"/>
    <col min="6658" max="6658" width="9.7109375" style="82" customWidth="1"/>
    <col min="6659" max="6659" width="15.140625" style="82" customWidth="1"/>
    <col min="6660" max="6660" width="12" style="82" customWidth="1"/>
    <col min="6661" max="6664" width="9.140625" style="82"/>
    <col min="6665" max="6665" width="9.42578125" style="82" customWidth="1"/>
    <col min="6666" max="6911" width="9.140625" style="82"/>
    <col min="6912" max="6912" width="30.85546875" style="82" customWidth="1"/>
    <col min="6913" max="6913" width="9.140625" style="82" customWidth="1"/>
    <col min="6914" max="6914" width="9.7109375" style="82" customWidth="1"/>
    <col min="6915" max="6915" width="15.140625" style="82" customWidth="1"/>
    <col min="6916" max="6916" width="12" style="82" customWidth="1"/>
    <col min="6917" max="6920" width="9.140625" style="82"/>
    <col min="6921" max="6921" width="9.42578125" style="82" customWidth="1"/>
    <col min="6922" max="7167" width="9.140625" style="82"/>
    <col min="7168" max="7168" width="30.85546875" style="82" customWidth="1"/>
    <col min="7169" max="7169" width="9.140625" style="82" customWidth="1"/>
    <col min="7170" max="7170" width="9.7109375" style="82" customWidth="1"/>
    <col min="7171" max="7171" width="15.140625" style="82" customWidth="1"/>
    <col min="7172" max="7172" width="12" style="82" customWidth="1"/>
    <col min="7173" max="7176" width="9.140625" style="82"/>
    <col min="7177" max="7177" width="9.42578125" style="82" customWidth="1"/>
    <col min="7178" max="7423" width="9.140625" style="82"/>
    <col min="7424" max="7424" width="30.85546875" style="82" customWidth="1"/>
    <col min="7425" max="7425" width="9.140625" style="82" customWidth="1"/>
    <col min="7426" max="7426" width="9.7109375" style="82" customWidth="1"/>
    <col min="7427" max="7427" width="15.140625" style="82" customWidth="1"/>
    <col min="7428" max="7428" width="12" style="82" customWidth="1"/>
    <col min="7429" max="7432" width="9.140625" style="82"/>
    <col min="7433" max="7433" width="9.42578125" style="82" customWidth="1"/>
    <col min="7434" max="7679" width="9.140625" style="82"/>
    <col min="7680" max="7680" width="30.85546875" style="82" customWidth="1"/>
    <col min="7681" max="7681" width="9.140625" style="82" customWidth="1"/>
    <col min="7682" max="7682" width="9.7109375" style="82" customWidth="1"/>
    <col min="7683" max="7683" width="15.140625" style="82" customWidth="1"/>
    <col min="7684" max="7684" width="12" style="82" customWidth="1"/>
    <col min="7685" max="7688" width="9.140625" style="82"/>
    <col min="7689" max="7689" width="9.42578125" style="82" customWidth="1"/>
    <col min="7690" max="7935" width="9.140625" style="82"/>
    <col min="7936" max="7936" width="30.85546875" style="82" customWidth="1"/>
    <col min="7937" max="7937" width="9.140625" style="82" customWidth="1"/>
    <col min="7938" max="7938" width="9.7109375" style="82" customWidth="1"/>
    <col min="7939" max="7939" width="15.140625" style="82" customWidth="1"/>
    <col min="7940" max="7940" width="12" style="82" customWidth="1"/>
    <col min="7941" max="7944" width="9.140625" style="82"/>
    <col min="7945" max="7945" width="9.42578125" style="82" customWidth="1"/>
    <col min="7946" max="8191" width="9.140625" style="82"/>
    <col min="8192" max="8192" width="30.85546875" style="82" customWidth="1"/>
    <col min="8193" max="8193" width="9.140625" style="82" customWidth="1"/>
    <col min="8194" max="8194" width="9.7109375" style="82" customWidth="1"/>
    <col min="8195" max="8195" width="15.140625" style="82" customWidth="1"/>
    <col min="8196" max="8196" width="12" style="82" customWidth="1"/>
    <col min="8197" max="8200" width="9.140625" style="82"/>
    <col min="8201" max="8201" width="9.42578125" style="82" customWidth="1"/>
    <col min="8202" max="8447" width="9.140625" style="82"/>
    <col min="8448" max="8448" width="30.85546875" style="82" customWidth="1"/>
    <col min="8449" max="8449" width="9.140625" style="82" customWidth="1"/>
    <col min="8450" max="8450" width="9.7109375" style="82" customWidth="1"/>
    <col min="8451" max="8451" width="15.140625" style="82" customWidth="1"/>
    <col min="8452" max="8452" width="12" style="82" customWidth="1"/>
    <col min="8453" max="8456" width="9.140625" style="82"/>
    <col min="8457" max="8457" width="9.42578125" style="82" customWidth="1"/>
    <col min="8458" max="8703" width="9.140625" style="82"/>
    <col min="8704" max="8704" width="30.85546875" style="82" customWidth="1"/>
    <col min="8705" max="8705" width="9.140625" style="82" customWidth="1"/>
    <col min="8706" max="8706" width="9.7109375" style="82" customWidth="1"/>
    <col min="8707" max="8707" width="15.140625" style="82" customWidth="1"/>
    <col min="8708" max="8708" width="12" style="82" customWidth="1"/>
    <col min="8709" max="8712" width="9.140625" style="82"/>
    <col min="8713" max="8713" width="9.42578125" style="82" customWidth="1"/>
    <col min="8714" max="8959" width="9.140625" style="82"/>
    <col min="8960" max="8960" width="30.85546875" style="82" customWidth="1"/>
    <col min="8961" max="8961" width="9.140625" style="82" customWidth="1"/>
    <col min="8962" max="8962" width="9.7109375" style="82" customWidth="1"/>
    <col min="8963" max="8963" width="15.140625" style="82" customWidth="1"/>
    <col min="8964" max="8964" width="12" style="82" customWidth="1"/>
    <col min="8965" max="8968" width="9.140625" style="82"/>
    <col min="8969" max="8969" width="9.42578125" style="82" customWidth="1"/>
    <col min="8970" max="9215" width="9.140625" style="82"/>
    <col min="9216" max="9216" width="30.85546875" style="82" customWidth="1"/>
    <col min="9217" max="9217" width="9.140625" style="82" customWidth="1"/>
    <col min="9218" max="9218" width="9.7109375" style="82" customWidth="1"/>
    <col min="9219" max="9219" width="15.140625" style="82" customWidth="1"/>
    <col min="9220" max="9220" width="12" style="82" customWidth="1"/>
    <col min="9221" max="9224" width="9.140625" style="82"/>
    <col min="9225" max="9225" width="9.42578125" style="82" customWidth="1"/>
    <col min="9226" max="9471" width="9.140625" style="82"/>
    <col min="9472" max="9472" width="30.85546875" style="82" customWidth="1"/>
    <col min="9473" max="9473" width="9.140625" style="82" customWidth="1"/>
    <col min="9474" max="9474" width="9.7109375" style="82" customWidth="1"/>
    <col min="9475" max="9475" width="15.140625" style="82" customWidth="1"/>
    <col min="9476" max="9476" width="12" style="82" customWidth="1"/>
    <col min="9477" max="9480" width="9.140625" style="82"/>
    <col min="9481" max="9481" width="9.42578125" style="82" customWidth="1"/>
    <col min="9482" max="9727" width="9.140625" style="82"/>
    <col min="9728" max="9728" width="30.85546875" style="82" customWidth="1"/>
    <col min="9729" max="9729" width="9.140625" style="82" customWidth="1"/>
    <col min="9730" max="9730" width="9.7109375" style="82" customWidth="1"/>
    <col min="9731" max="9731" width="15.140625" style="82" customWidth="1"/>
    <col min="9732" max="9732" width="12" style="82" customWidth="1"/>
    <col min="9733" max="9736" width="9.140625" style="82"/>
    <col min="9737" max="9737" width="9.42578125" style="82" customWidth="1"/>
    <col min="9738" max="9983" width="9.140625" style="82"/>
    <col min="9984" max="9984" width="30.85546875" style="82" customWidth="1"/>
    <col min="9985" max="9985" width="9.140625" style="82" customWidth="1"/>
    <col min="9986" max="9986" width="9.7109375" style="82" customWidth="1"/>
    <col min="9987" max="9987" width="15.140625" style="82" customWidth="1"/>
    <col min="9988" max="9988" width="12" style="82" customWidth="1"/>
    <col min="9989" max="9992" width="9.140625" style="82"/>
    <col min="9993" max="9993" width="9.42578125" style="82" customWidth="1"/>
    <col min="9994" max="10239" width="9.140625" style="82"/>
    <col min="10240" max="10240" width="30.85546875" style="82" customWidth="1"/>
    <col min="10241" max="10241" width="9.140625" style="82" customWidth="1"/>
    <col min="10242" max="10242" width="9.7109375" style="82" customWidth="1"/>
    <col min="10243" max="10243" width="15.140625" style="82" customWidth="1"/>
    <col min="10244" max="10244" width="12" style="82" customWidth="1"/>
    <col min="10245" max="10248" width="9.140625" style="82"/>
    <col min="10249" max="10249" width="9.42578125" style="82" customWidth="1"/>
    <col min="10250" max="10495" width="9.140625" style="82"/>
    <col min="10496" max="10496" width="30.85546875" style="82" customWidth="1"/>
    <col min="10497" max="10497" width="9.140625" style="82" customWidth="1"/>
    <col min="10498" max="10498" width="9.7109375" style="82" customWidth="1"/>
    <col min="10499" max="10499" width="15.140625" style="82" customWidth="1"/>
    <col min="10500" max="10500" width="12" style="82" customWidth="1"/>
    <col min="10501" max="10504" width="9.140625" style="82"/>
    <col min="10505" max="10505" width="9.42578125" style="82" customWidth="1"/>
    <col min="10506" max="10751" width="9.140625" style="82"/>
    <col min="10752" max="10752" width="30.85546875" style="82" customWidth="1"/>
    <col min="10753" max="10753" width="9.140625" style="82" customWidth="1"/>
    <col min="10754" max="10754" width="9.7109375" style="82" customWidth="1"/>
    <col min="10755" max="10755" width="15.140625" style="82" customWidth="1"/>
    <col min="10756" max="10756" width="12" style="82" customWidth="1"/>
    <col min="10757" max="10760" width="9.140625" style="82"/>
    <col min="10761" max="10761" width="9.42578125" style="82" customWidth="1"/>
    <col min="10762" max="11007" width="9.140625" style="82"/>
    <col min="11008" max="11008" width="30.85546875" style="82" customWidth="1"/>
    <col min="11009" max="11009" width="9.140625" style="82" customWidth="1"/>
    <col min="11010" max="11010" width="9.7109375" style="82" customWidth="1"/>
    <col min="11011" max="11011" width="15.140625" style="82" customWidth="1"/>
    <col min="11012" max="11012" width="12" style="82" customWidth="1"/>
    <col min="11013" max="11016" width="9.140625" style="82"/>
    <col min="11017" max="11017" width="9.42578125" style="82" customWidth="1"/>
    <col min="11018" max="11263" width="9.140625" style="82"/>
    <col min="11264" max="11264" width="30.85546875" style="82" customWidth="1"/>
    <col min="11265" max="11265" width="9.140625" style="82" customWidth="1"/>
    <col min="11266" max="11266" width="9.7109375" style="82" customWidth="1"/>
    <col min="11267" max="11267" width="15.140625" style="82" customWidth="1"/>
    <col min="11268" max="11268" width="12" style="82" customWidth="1"/>
    <col min="11269" max="11272" width="9.140625" style="82"/>
    <col min="11273" max="11273" width="9.42578125" style="82" customWidth="1"/>
    <col min="11274" max="11519" width="9.140625" style="82"/>
    <col min="11520" max="11520" width="30.85546875" style="82" customWidth="1"/>
    <col min="11521" max="11521" width="9.140625" style="82" customWidth="1"/>
    <col min="11522" max="11522" width="9.7109375" style="82" customWidth="1"/>
    <col min="11523" max="11523" width="15.140625" style="82" customWidth="1"/>
    <col min="11524" max="11524" width="12" style="82" customWidth="1"/>
    <col min="11525" max="11528" width="9.140625" style="82"/>
    <col min="11529" max="11529" width="9.42578125" style="82" customWidth="1"/>
    <col min="11530" max="11775" width="9.140625" style="82"/>
    <col min="11776" max="11776" width="30.85546875" style="82" customWidth="1"/>
    <col min="11777" max="11777" width="9.140625" style="82" customWidth="1"/>
    <col min="11778" max="11778" width="9.7109375" style="82" customWidth="1"/>
    <col min="11779" max="11779" width="15.140625" style="82" customWidth="1"/>
    <col min="11780" max="11780" width="12" style="82" customWidth="1"/>
    <col min="11781" max="11784" width="9.140625" style="82"/>
    <col min="11785" max="11785" width="9.42578125" style="82" customWidth="1"/>
    <col min="11786" max="12031" width="9.140625" style="82"/>
    <col min="12032" max="12032" width="30.85546875" style="82" customWidth="1"/>
    <col min="12033" max="12033" width="9.140625" style="82" customWidth="1"/>
    <col min="12034" max="12034" width="9.7109375" style="82" customWidth="1"/>
    <col min="12035" max="12035" width="15.140625" style="82" customWidth="1"/>
    <col min="12036" max="12036" width="12" style="82" customWidth="1"/>
    <col min="12037" max="12040" width="9.140625" style="82"/>
    <col min="12041" max="12041" width="9.42578125" style="82" customWidth="1"/>
    <col min="12042" max="12287" width="9.140625" style="82"/>
    <col min="12288" max="12288" width="30.85546875" style="82" customWidth="1"/>
    <col min="12289" max="12289" width="9.140625" style="82" customWidth="1"/>
    <col min="12290" max="12290" width="9.7109375" style="82" customWidth="1"/>
    <col min="12291" max="12291" width="15.140625" style="82" customWidth="1"/>
    <col min="12292" max="12292" width="12" style="82" customWidth="1"/>
    <col min="12293" max="12296" width="9.140625" style="82"/>
    <col min="12297" max="12297" width="9.42578125" style="82" customWidth="1"/>
    <col min="12298" max="12543" width="9.140625" style="82"/>
    <col min="12544" max="12544" width="30.85546875" style="82" customWidth="1"/>
    <col min="12545" max="12545" width="9.140625" style="82" customWidth="1"/>
    <col min="12546" max="12546" width="9.7109375" style="82" customWidth="1"/>
    <col min="12547" max="12547" width="15.140625" style="82" customWidth="1"/>
    <col min="12548" max="12548" width="12" style="82" customWidth="1"/>
    <col min="12549" max="12552" width="9.140625" style="82"/>
    <col min="12553" max="12553" width="9.42578125" style="82" customWidth="1"/>
    <col min="12554" max="12799" width="9.140625" style="82"/>
    <col min="12800" max="12800" width="30.85546875" style="82" customWidth="1"/>
    <col min="12801" max="12801" width="9.140625" style="82" customWidth="1"/>
    <col min="12802" max="12802" width="9.7109375" style="82" customWidth="1"/>
    <col min="12803" max="12803" width="15.140625" style="82" customWidth="1"/>
    <col min="12804" max="12804" width="12" style="82" customWidth="1"/>
    <col min="12805" max="12808" width="9.140625" style="82"/>
    <col min="12809" max="12809" width="9.42578125" style="82" customWidth="1"/>
    <col min="12810" max="13055" width="9.140625" style="82"/>
    <col min="13056" max="13056" width="30.85546875" style="82" customWidth="1"/>
    <col min="13057" max="13057" width="9.140625" style="82" customWidth="1"/>
    <col min="13058" max="13058" width="9.7109375" style="82" customWidth="1"/>
    <col min="13059" max="13059" width="15.140625" style="82" customWidth="1"/>
    <col min="13060" max="13060" width="12" style="82" customWidth="1"/>
    <col min="13061" max="13064" width="9.140625" style="82"/>
    <col min="13065" max="13065" width="9.42578125" style="82" customWidth="1"/>
    <col min="13066" max="13311" width="9.140625" style="82"/>
    <col min="13312" max="13312" width="30.85546875" style="82" customWidth="1"/>
    <col min="13313" max="13313" width="9.140625" style="82" customWidth="1"/>
    <col min="13314" max="13314" width="9.7109375" style="82" customWidth="1"/>
    <col min="13315" max="13315" width="15.140625" style="82" customWidth="1"/>
    <col min="13316" max="13316" width="12" style="82" customWidth="1"/>
    <col min="13317" max="13320" width="9.140625" style="82"/>
    <col min="13321" max="13321" width="9.42578125" style="82" customWidth="1"/>
    <col min="13322" max="13567" width="9.140625" style="82"/>
    <col min="13568" max="13568" width="30.85546875" style="82" customWidth="1"/>
    <col min="13569" max="13569" width="9.140625" style="82" customWidth="1"/>
    <col min="13570" max="13570" width="9.7109375" style="82" customWidth="1"/>
    <col min="13571" max="13571" width="15.140625" style="82" customWidth="1"/>
    <col min="13572" max="13572" width="12" style="82" customWidth="1"/>
    <col min="13573" max="13576" width="9.140625" style="82"/>
    <col min="13577" max="13577" width="9.42578125" style="82" customWidth="1"/>
    <col min="13578" max="13823" width="9.140625" style="82"/>
    <col min="13824" max="13824" width="30.85546875" style="82" customWidth="1"/>
    <col min="13825" max="13825" width="9.140625" style="82" customWidth="1"/>
    <col min="13826" max="13826" width="9.7109375" style="82" customWidth="1"/>
    <col min="13827" max="13827" width="15.140625" style="82" customWidth="1"/>
    <col min="13828" max="13828" width="12" style="82" customWidth="1"/>
    <col min="13829" max="13832" width="9.140625" style="82"/>
    <col min="13833" max="13833" width="9.42578125" style="82" customWidth="1"/>
    <col min="13834" max="14079" width="9.140625" style="82"/>
    <col min="14080" max="14080" width="30.85546875" style="82" customWidth="1"/>
    <col min="14081" max="14081" width="9.140625" style="82" customWidth="1"/>
    <col min="14082" max="14082" width="9.7109375" style="82" customWidth="1"/>
    <col min="14083" max="14083" width="15.140625" style="82" customWidth="1"/>
    <col min="14084" max="14084" width="12" style="82" customWidth="1"/>
    <col min="14085" max="14088" width="9.140625" style="82"/>
    <col min="14089" max="14089" width="9.42578125" style="82" customWidth="1"/>
    <col min="14090" max="14335" width="9.140625" style="82"/>
    <col min="14336" max="14336" width="30.85546875" style="82" customWidth="1"/>
    <col min="14337" max="14337" width="9.140625" style="82" customWidth="1"/>
    <col min="14338" max="14338" width="9.7109375" style="82" customWidth="1"/>
    <col min="14339" max="14339" width="15.140625" style="82" customWidth="1"/>
    <col min="14340" max="14340" width="12" style="82" customWidth="1"/>
    <col min="14341" max="14344" width="9.140625" style="82"/>
    <col min="14345" max="14345" width="9.42578125" style="82" customWidth="1"/>
    <col min="14346" max="14591" width="9.140625" style="82"/>
    <col min="14592" max="14592" width="30.85546875" style="82" customWidth="1"/>
    <col min="14593" max="14593" width="9.140625" style="82" customWidth="1"/>
    <col min="14594" max="14594" width="9.7109375" style="82" customWidth="1"/>
    <col min="14595" max="14595" width="15.140625" style="82" customWidth="1"/>
    <col min="14596" max="14596" width="12" style="82" customWidth="1"/>
    <col min="14597" max="14600" width="9.140625" style="82"/>
    <col min="14601" max="14601" width="9.42578125" style="82" customWidth="1"/>
    <col min="14602" max="14847" width="9.140625" style="82"/>
    <col min="14848" max="14848" width="30.85546875" style="82" customWidth="1"/>
    <col min="14849" max="14849" width="9.140625" style="82" customWidth="1"/>
    <col min="14850" max="14850" width="9.7109375" style="82" customWidth="1"/>
    <col min="14851" max="14851" width="15.140625" style="82" customWidth="1"/>
    <col min="14852" max="14852" width="12" style="82" customWidth="1"/>
    <col min="14853" max="14856" width="9.140625" style="82"/>
    <col min="14857" max="14857" width="9.42578125" style="82" customWidth="1"/>
    <col min="14858" max="15103" width="9.140625" style="82"/>
    <col min="15104" max="15104" width="30.85546875" style="82" customWidth="1"/>
    <col min="15105" max="15105" width="9.140625" style="82" customWidth="1"/>
    <col min="15106" max="15106" width="9.7109375" style="82" customWidth="1"/>
    <col min="15107" max="15107" width="15.140625" style="82" customWidth="1"/>
    <col min="15108" max="15108" width="12" style="82" customWidth="1"/>
    <col min="15109" max="15112" width="9.140625" style="82"/>
    <col min="15113" max="15113" width="9.42578125" style="82" customWidth="1"/>
    <col min="15114" max="15359" width="9.140625" style="82"/>
    <col min="15360" max="15360" width="30.85546875" style="82" customWidth="1"/>
    <col min="15361" max="15361" width="9.140625" style="82" customWidth="1"/>
    <col min="15362" max="15362" width="9.7109375" style="82" customWidth="1"/>
    <col min="15363" max="15363" width="15.140625" style="82" customWidth="1"/>
    <col min="15364" max="15364" width="12" style="82" customWidth="1"/>
    <col min="15365" max="15368" width="9.140625" style="82"/>
    <col min="15369" max="15369" width="9.42578125" style="82" customWidth="1"/>
    <col min="15370" max="15615" width="9.140625" style="82"/>
    <col min="15616" max="15616" width="30.85546875" style="82" customWidth="1"/>
    <col min="15617" max="15617" width="9.140625" style="82" customWidth="1"/>
    <col min="15618" max="15618" width="9.7109375" style="82" customWidth="1"/>
    <col min="15619" max="15619" width="15.140625" style="82" customWidth="1"/>
    <col min="15620" max="15620" width="12" style="82" customWidth="1"/>
    <col min="15621" max="15624" width="9.140625" style="82"/>
    <col min="15625" max="15625" width="9.42578125" style="82" customWidth="1"/>
    <col min="15626" max="15871" width="9.140625" style="82"/>
    <col min="15872" max="15872" width="30.85546875" style="82" customWidth="1"/>
    <col min="15873" max="15873" width="9.140625" style="82" customWidth="1"/>
    <col min="15874" max="15874" width="9.7109375" style="82" customWidth="1"/>
    <col min="15875" max="15875" width="15.140625" style="82" customWidth="1"/>
    <col min="15876" max="15876" width="12" style="82" customWidth="1"/>
    <col min="15877" max="15880" width="9.140625" style="82"/>
    <col min="15881" max="15881" width="9.42578125" style="82" customWidth="1"/>
    <col min="15882" max="16127" width="9.140625" style="82"/>
    <col min="16128" max="16128" width="30.85546875" style="82" customWidth="1"/>
    <col min="16129" max="16129" width="9.140625" style="82" customWidth="1"/>
    <col min="16130" max="16130" width="9.7109375" style="82" customWidth="1"/>
    <col min="16131" max="16131" width="15.140625" style="82" customWidth="1"/>
    <col min="16132" max="16132" width="12" style="82" customWidth="1"/>
    <col min="16133" max="16136" width="9.140625" style="82"/>
    <col min="16137" max="16137" width="9.42578125" style="82" customWidth="1"/>
    <col min="16138" max="16384" width="9.140625" style="82"/>
  </cols>
  <sheetData>
    <row r="1" spans="1:5" s="79" customFormat="1">
      <c r="A1" s="78" t="str">
        <f>[2]SharedInputs!B4</f>
        <v>AVISTA UTILITIES</v>
      </c>
      <c r="B1" s="78"/>
      <c r="C1" s="78"/>
      <c r="D1" s="78"/>
      <c r="E1" s="78"/>
    </row>
    <row r="2" spans="1:5" s="79" customFormat="1">
      <c r="A2" s="78" t="s">
        <v>126</v>
      </c>
      <c r="B2" s="78"/>
      <c r="C2" s="78"/>
      <c r="D2" s="78"/>
    </row>
    <row r="3" spans="1:5" s="79" customFormat="1">
      <c r="A3" s="78" t="s">
        <v>38</v>
      </c>
      <c r="B3" s="78"/>
      <c r="C3" s="78"/>
      <c r="D3" s="78"/>
      <c r="E3" s="80"/>
    </row>
    <row r="4" spans="1:5" s="79" customFormat="1">
      <c r="A4" s="78"/>
      <c r="B4" s="78"/>
      <c r="C4" s="78"/>
      <c r="D4" s="78"/>
      <c r="E4" s="80"/>
    </row>
    <row r="5" spans="1:5" s="79" customFormat="1">
      <c r="A5" s="78"/>
      <c r="B5" s="78"/>
      <c r="C5" s="78"/>
      <c r="D5" s="78"/>
      <c r="E5" s="78" t="s">
        <v>36</v>
      </c>
    </row>
    <row r="6" spans="1:5">
      <c r="A6" s="78"/>
      <c r="B6" s="81"/>
      <c r="C6" s="81"/>
      <c r="E6" s="78" t="s">
        <v>127</v>
      </c>
    </row>
    <row r="7" spans="1:5">
      <c r="A7" s="81"/>
      <c r="B7" s="81"/>
      <c r="C7" s="81"/>
      <c r="E7" s="81"/>
    </row>
    <row r="8" spans="1:5">
      <c r="A8" s="81" t="s">
        <v>29</v>
      </c>
      <c r="B8" s="81"/>
      <c r="C8" s="81"/>
      <c r="E8" s="81">
        <v>1</v>
      </c>
    </row>
    <row r="9" spans="1:5">
      <c r="A9" s="81"/>
      <c r="B9" s="81"/>
      <c r="C9" s="81"/>
      <c r="E9" s="81"/>
    </row>
    <row r="10" spans="1:5">
      <c r="A10" s="81" t="s">
        <v>19</v>
      </c>
      <c r="B10" s="81"/>
      <c r="C10" s="81"/>
      <c r="E10" s="81"/>
    </row>
    <row r="11" spans="1:5">
      <c r="A11" s="81"/>
      <c r="B11" s="81"/>
      <c r="C11" s="81"/>
      <c r="E11" s="81"/>
    </row>
    <row r="12" spans="1:5">
      <c r="A12" s="81" t="s">
        <v>30</v>
      </c>
      <c r="B12" s="81"/>
      <c r="C12" s="81"/>
      <c r="E12" s="81">
        <v>3.326E-3</v>
      </c>
    </row>
    <row r="13" spans="1:5">
      <c r="A13" s="81"/>
      <c r="B13" s="81"/>
      <c r="C13" s="81"/>
      <c r="E13" s="81"/>
    </row>
    <row r="14" spans="1:5">
      <c r="A14" s="81" t="s">
        <v>31</v>
      </c>
      <c r="B14" s="81"/>
      <c r="C14" s="81"/>
      <c r="E14" s="81">
        <v>2E-3</v>
      </c>
    </row>
    <row r="15" spans="1:5">
      <c r="A15" s="81"/>
      <c r="B15" s="81"/>
      <c r="C15" s="81"/>
      <c r="E15" s="81"/>
    </row>
    <row r="16" spans="1:5">
      <c r="A16" s="81" t="s">
        <v>32</v>
      </c>
      <c r="B16" s="81"/>
      <c r="C16" s="81"/>
      <c r="E16" s="81">
        <v>3.8392000000000003E-2</v>
      </c>
    </row>
    <row r="17" spans="1:10">
      <c r="A17" s="81"/>
      <c r="B17" s="81"/>
      <c r="C17" s="81"/>
      <c r="E17" s="81"/>
    </row>
    <row r="18" spans="1:10">
      <c r="A18" s="81"/>
      <c r="B18" s="81"/>
      <c r="C18" s="81"/>
    </row>
    <row r="19" spans="1:10">
      <c r="A19" s="81" t="s">
        <v>20</v>
      </c>
      <c r="B19" s="81"/>
      <c r="C19" s="81"/>
      <c r="E19" s="112">
        <f>SUM(E11:E17)</f>
        <v>4.3718E-2</v>
      </c>
      <c r="J19" s="83"/>
    </row>
    <row r="20" spans="1:10" ht="15.75" thickBot="1">
      <c r="A20" s="81"/>
      <c r="B20" s="81"/>
      <c r="C20" s="81"/>
    </row>
    <row r="21" spans="1:10" ht="16.5" thickTop="1" thickBot="1">
      <c r="A21" s="81" t="s">
        <v>21</v>
      </c>
      <c r="B21" s="81"/>
      <c r="C21" s="81"/>
      <c r="E21" s="84">
        <f>E8-E19</f>
        <v>0.95628199999999997</v>
      </c>
    </row>
    <row r="22" spans="1:10" ht="15.75" thickTop="1">
      <c r="A22" s="81"/>
      <c r="B22" s="81"/>
      <c r="C22" s="81"/>
      <c r="E22" s="81"/>
    </row>
    <row r="23" spans="1:10">
      <c r="A23" s="81" t="s">
        <v>33</v>
      </c>
      <c r="B23" s="85">
        <v>0.21</v>
      </c>
      <c r="C23" s="86"/>
      <c r="E23" s="81">
        <v>0.20081921999999999</v>
      </c>
    </row>
    <row r="24" spans="1:10">
      <c r="A24" s="81"/>
      <c r="B24" s="81"/>
      <c r="C24" s="81"/>
      <c r="E24" s="81"/>
    </row>
    <row r="25" spans="1:10">
      <c r="A25" s="81" t="s">
        <v>18</v>
      </c>
      <c r="B25" s="81"/>
      <c r="C25" s="81"/>
      <c r="E25" s="112">
        <f>E21-E23</f>
        <v>0.75546278</v>
      </c>
    </row>
    <row r="26" spans="1:10">
      <c r="A26" s="81"/>
      <c r="B26" s="81"/>
      <c r="C26" s="81"/>
      <c r="E26" s="81"/>
    </row>
    <row r="27" spans="1:10">
      <c r="A27" s="81"/>
      <c r="B27" s="81"/>
      <c r="C27" s="81"/>
      <c r="E27" s="81"/>
    </row>
    <row r="28" spans="1:10">
      <c r="A28" s="81"/>
      <c r="B28" s="81"/>
      <c r="C28" s="81"/>
      <c r="D28" s="81"/>
      <c r="E28" s="81"/>
    </row>
    <row r="33" spans="2:6">
      <c r="F33" s="87"/>
    </row>
    <row r="41" spans="2:6">
      <c r="B41" s="88"/>
    </row>
    <row r="42" spans="2:6">
      <c r="C42" s="89"/>
    </row>
    <row r="43" spans="2:6">
      <c r="C43" s="55"/>
    </row>
    <row r="44" spans="2:6">
      <c r="C44" s="55"/>
    </row>
  </sheetData>
  <pageMargins left="0.7" right="0.7" top="0.75" bottom="0.75" header="0.3" footer="0.3"/>
  <pageSetup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C8A8-2F00-4223-BF6C-03D8B0574749}">
  <dimension ref="B1:I16"/>
  <sheetViews>
    <sheetView workbookViewId="0"/>
  </sheetViews>
  <sheetFormatPr defaultRowHeight="12.75"/>
  <cols>
    <col min="1" max="1" width="9.140625" style="116"/>
    <col min="2" max="2" width="36.42578125" style="116" customWidth="1"/>
    <col min="3" max="3" width="16.28515625" style="116" customWidth="1"/>
    <col min="4" max="4" width="12.28515625" style="116" bestFit="1" customWidth="1"/>
    <col min="5" max="5" width="16.140625" style="116" customWidth="1"/>
    <col min="6" max="6" width="9.140625" style="116"/>
    <col min="7" max="7" width="19.28515625" style="116" customWidth="1"/>
    <col min="8" max="8" width="33" style="116" customWidth="1"/>
    <col min="9" max="9" width="28.7109375" style="116" customWidth="1"/>
    <col min="10" max="16384" width="9.140625" style="116"/>
  </cols>
  <sheetData>
    <row r="1" spans="2:9" ht="14.25">
      <c r="B1" s="147" t="s">
        <v>140</v>
      </c>
      <c r="C1" s="148"/>
      <c r="D1" s="148"/>
      <c r="E1" s="149"/>
    </row>
    <row r="2" spans="2:9" s="117" customFormat="1" ht="57">
      <c r="B2" s="137" t="s">
        <v>50</v>
      </c>
      <c r="C2" s="138" t="s">
        <v>54</v>
      </c>
      <c r="D2" s="138" t="s">
        <v>141</v>
      </c>
      <c r="E2" s="139" t="s">
        <v>139</v>
      </c>
    </row>
    <row r="3" spans="2:9" ht="15">
      <c r="B3" s="140" t="s">
        <v>51</v>
      </c>
      <c r="C3" s="141" t="s">
        <v>55</v>
      </c>
      <c r="D3" s="142">
        <v>50000</v>
      </c>
      <c r="E3" s="143">
        <f>'Payments - Allocation'!D7</f>
        <v>12598.063510099482</v>
      </c>
    </row>
    <row r="4" spans="2:9" ht="15">
      <c r="B4" s="140" t="s">
        <v>52</v>
      </c>
      <c r="C4" s="141" t="s">
        <v>56</v>
      </c>
      <c r="D4" s="142">
        <v>50000</v>
      </c>
      <c r="E4" s="143">
        <f>'Payments - Allocation'!D9</f>
        <v>12598.063510099482</v>
      </c>
    </row>
    <row r="5" spans="2:9" ht="15">
      <c r="B5" s="140" t="s">
        <v>46</v>
      </c>
      <c r="C5" s="141" t="s">
        <v>58</v>
      </c>
      <c r="D5" s="142">
        <v>29340</v>
      </c>
      <c r="E5" s="143">
        <f>'Payments - Allocation'!D13</f>
        <v>7392.543667726377</v>
      </c>
    </row>
    <row r="6" spans="2:9" ht="15">
      <c r="B6" s="144" t="s">
        <v>53</v>
      </c>
      <c r="C6" s="134" t="s">
        <v>57</v>
      </c>
      <c r="D6" s="145">
        <v>20000</v>
      </c>
      <c r="E6" s="146">
        <f>'Payments - Allocation'!D11</f>
        <v>5039.2254040397929</v>
      </c>
    </row>
    <row r="7" spans="2:9" ht="15">
      <c r="B7" s="140" t="s">
        <v>0</v>
      </c>
      <c r="C7" s="131"/>
      <c r="D7" s="142">
        <f>SUM(D3:D6)</f>
        <v>149340</v>
      </c>
      <c r="E7" s="143">
        <f>SUM(E3:E6)</f>
        <v>37627.896091965129</v>
      </c>
    </row>
    <row r="8" spans="2:9" ht="15">
      <c r="B8" s="140" t="s">
        <v>144</v>
      </c>
      <c r="C8" s="131"/>
      <c r="D8" s="142"/>
      <c r="E8" s="146">
        <f>'Rate Design'!C9-'For Cover Letter'!E7</f>
        <v>2416.2528254901699</v>
      </c>
    </row>
    <row r="9" spans="2:9" ht="15">
      <c r="B9" s="144" t="s">
        <v>145</v>
      </c>
      <c r="C9" s="134"/>
      <c r="D9" s="145"/>
      <c r="E9" s="146">
        <f>E7+E8</f>
        <v>40044.148917455299</v>
      </c>
    </row>
    <row r="10" spans="2:9" ht="14.25">
      <c r="G10" s="147" t="s">
        <v>59</v>
      </c>
      <c r="H10" s="148"/>
      <c r="I10" s="149"/>
    </row>
    <row r="11" spans="2:9" s="118" customFormat="1" ht="14.25">
      <c r="G11" s="127" t="s">
        <v>60</v>
      </c>
      <c r="H11" s="128" t="s">
        <v>61</v>
      </c>
      <c r="I11" s="129" t="s">
        <v>62</v>
      </c>
    </row>
    <row r="12" spans="2:9" ht="15">
      <c r="G12" s="130" t="s">
        <v>128</v>
      </c>
      <c r="H12" s="131" t="s">
        <v>63</v>
      </c>
      <c r="I12" s="132">
        <f>'Rate Design'!D23</f>
        <v>1.0886152449591849E-4</v>
      </c>
    </row>
    <row r="13" spans="2:9" ht="15">
      <c r="G13" s="130" t="s">
        <v>129</v>
      </c>
      <c r="H13" s="131" t="s">
        <v>64</v>
      </c>
      <c r="I13" s="132">
        <f>'Rate Design'!E23</f>
        <v>1.2671181555718868E-4</v>
      </c>
    </row>
    <row r="14" spans="2:9" ht="15">
      <c r="G14" s="130" t="s">
        <v>130</v>
      </c>
      <c r="H14" s="131" t="s">
        <v>131</v>
      </c>
      <c r="I14" s="132">
        <f>'Rate Design'!F23</f>
        <v>1.266749004128789E-4</v>
      </c>
    </row>
    <row r="15" spans="2:9" ht="15">
      <c r="G15" s="133" t="s">
        <v>132</v>
      </c>
      <c r="H15" s="134" t="s">
        <v>133</v>
      </c>
      <c r="I15" s="135">
        <f>'Rate Design'!G23</f>
        <v>4.0771305832675558E-3</v>
      </c>
    </row>
    <row r="16" spans="2:9" ht="15">
      <c r="G16" s="136"/>
      <c r="H16" s="134" t="s">
        <v>65</v>
      </c>
      <c r="I16" s="135">
        <f>'[3]Rate Design'!C23</f>
        <v>1.5077495151544294E-4</v>
      </c>
    </row>
  </sheetData>
  <mergeCells count="2">
    <mergeCell ref="B1:E1"/>
    <mergeCell ref="G10:I10"/>
  </mergeCells>
  <pageMargins left="0.7" right="0.7" top="0.75" bottom="0.75" header="0.3" footer="0.3"/>
  <pageSetup orientation="portrait" r:id="rId1"/>
  <ignoredErrors>
    <ignoredError sqref="G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545810CC40E84597666517602E7E70" ma:contentTypeVersion="24" ma:contentTypeDescription="" ma:contentTypeScope="" ma:versionID="f6a09ff0d0511f5893ed3ca6be5b9e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786D989E-8DD5-4146-844A-1426F902C0E3}"/>
</file>

<file path=customXml/itemProps3.xml><?xml version="1.0" encoding="utf-8"?>
<ds:datastoreItem xmlns:ds="http://schemas.openxmlformats.org/officeDocument/2006/customXml" ds:itemID="{960D3FF6-2F95-49DB-B102-CA8DB19C9714}"/>
</file>

<file path=customXml/itemProps4.xml><?xml version="1.0" encoding="utf-8"?>
<ds:datastoreItem xmlns:ds="http://schemas.openxmlformats.org/officeDocument/2006/customXml" ds:itemID="{3676A0B1-4BC2-496D-A07E-3AAC6780A19A}"/>
</file>

<file path=customXml/itemProps5.xml><?xml version="1.0" encoding="utf-8"?>
<ds:datastoreItem xmlns:ds="http://schemas.openxmlformats.org/officeDocument/2006/customXml" ds:itemID="{2E50A030-BAB6-4227-B17C-69D1155F3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Rate Design</vt:lpstr>
      <vt:lpstr>Balance Forecast</vt:lpstr>
      <vt:lpstr>Payments - Allocation</vt:lpstr>
      <vt:lpstr>Load Forecast</vt:lpstr>
      <vt:lpstr>CF WA NG</vt:lpstr>
      <vt:lpstr>For Cover Letter</vt:lpstr>
      <vt:lpstr>'Balance Forecast'!Print_Area</vt:lpstr>
      <vt:lpstr>'CF WA NG'!Print_Area</vt:lpstr>
      <vt:lpstr>'Load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Garbarino, Marcus</cp:lastModifiedBy>
  <cp:lastPrinted>2022-03-30T23:12:01Z</cp:lastPrinted>
  <dcterms:created xsi:type="dcterms:W3CDTF">2016-02-09T19:01:57Z</dcterms:created>
  <dcterms:modified xsi:type="dcterms:W3CDTF">2023-05-25T23:53:09Z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0x0101006E56B4D1795A2E4DB2F0B01679ED314A006A545810CC40E84597666517602E7E70</vt:lpwstr>
  </property>
  <property fmtid="{D5CDD505-2E9C-101B-9397-08002B2CF9AE}" pid="3" name="_docset_NoMedatataSyncRequired">
    <vt:lpwstr>False</vt:lpwstr>
  </property>
</Properties>
</file>