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3\2023 WA Participatory (Intervenor) Funding Sch 61 and Sch 161 Filing\"/>
    </mc:Choice>
  </mc:AlternateContent>
  <xr:revisionPtr revIDLastSave="0" documentId="13_ncr:1_{FF14A858-40D2-4DD5-A26B-386B97D08277}" xr6:coauthVersionLast="47" xr6:coauthVersionMax="47" xr10:uidLastSave="{00000000-0000-0000-0000-000000000000}"/>
  <bookViews>
    <workbookView xWindow="28680" yWindow="-120" windowWidth="29040" windowHeight="16440" activeTab="5" xr2:uid="{F40AA6A8-A7E3-45ED-B3FD-CF1ECD6AB89F}"/>
  </bookViews>
  <sheets>
    <sheet name="Rate Design" sheetId="2" r:id="rId1"/>
    <sheet name="Balance Forecast" sheetId="11" r:id="rId2"/>
    <sheet name="Payments - Allocation" sheetId="13" r:id="rId3"/>
    <sheet name="kWh Forecast" sheetId="3" r:id="rId4"/>
    <sheet name="CF WA Elec" sheetId="9" r:id="rId5"/>
    <sheet name="For Cover Letter" sheetId="12" r:id="rId6"/>
  </sheets>
  <externalReferences>
    <externalReference r:id="rId7"/>
    <externalReference r:id="rId8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1">'Balance Forecast'!$A$1:$S$32</definedName>
    <definedName name="_xlnm.Print_Area" localSheetId="4">'CF WA Elec'!$A$1:$E$26</definedName>
    <definedName name="_xlnm.Print_Area" localSheetId="3">'kWh Forecast'!$A$1:$N$84</definedName>
    <definedName name="_xlnm.Print_Area" localSheetId="0">'Rate Design'!$A$1:$I$26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2" l="1"/>
  <c r="E8" i="12" s="1"/>
  <c r="E9" i="12" s="1"/>
  <c r="D19" i="2" l="1"/>
  <c r="K6" i="11"/>
  <c r="D9" i="2"/>
  <c r="D6" i="11"/>
  <c r="C6" i="11"/>
  <c r="H6" i="11"/>
  <c r="G6" i="11"/>
  <c r="B39" i="3"/>
  <c r="B38" i="3"/>
  <c r="K38" i="3" s="1"/>
  <c r="B37" i="3"/>
  <c r="G37" i="3" s="1"/>
  <c r="B36" i="3"/>
  <c r="K36" i="3" s="1"/>
  <c r="B35" i="3"/>
  <c r="K35" i="3" s="1"/>
  <c r="B34" i="3"/>
  <c r="D34" i="3" s="1"/>
  <c r="D39" i="3"/>
  <c r="E39" i="3"/>
  <c r="F39" i="3"/>
  <c r="G39" i="3"/>
  <c r="H39" i="3"/>
  <c r="I39" i="3"/>
  <c r="J39" i="3"/>
  <c r="K39" i="3"/>
  <c r="L39" i="3"/>
  <c r="M39" i="3"/>
  <c r="C39" i="3"/>
  <c r="B49" i="3"/>
  <c r="C24" i="11"/>
  <c r="C25" i="11" s="1"/>
  <c r="C17" i="11"/>
  <c r="C18" i="11" s="1"/>
  <c r="C19" i="11" s="1"/>
  <c r="D18" i="11" s="1"/>
  <c r="C10" i="11"/>
  <c r="C11" i="11" s="1"/>
  <c r="C12" i="11" s="1"/>
  <c r="D11" i="11" s="1"/>
  <c r="C5" i="11"/>
  <c r="C7" i="11" s="1"/>
  <c r="D13" i="13"/>
  <c r="D11" i="13"/>
  <c r="D9" i="13"/>
  <c r="D7" i="13"/>
  <c r="C13" i="13"/>
  <c r="C11" i="13"/>
  <c r="C9" i="13"/>
  <c r="C7" i="13"/>
  <c r="C2" i="11"/>
  <c r="D2" i="11" s="1"/>
  <c r="E2" i="11" s="1"/>
  <c r="G28" i="11"/>
  <c r="F28" i="11"/>
  <c r="E28" i="11"/>
  <c r="D28" i="11"/>
  <c r="C28" i="11"/>
  <c r="J36" i="3" l="1"/>
  <c r="I36" i="3"/>
  <c r="E37" i="3"/>
  <c r="J35" i="3"/>
  <c r="F37" i="3"/>
  <c r="M37" i="3"/>
  <c r="H38" i="3"/>
  <c r="J38" i="3"/>
  <c r="I38" i="3"/>
  <c r="G38" i="3"/>
  <c r="C38" i="3"/>
  <c r="E38" i="3"/>
  <c r="L38" i="3"/>
  <c r="D38" i="3"/>
  <c r="F38" i="3"/>
  <c r="M38" i="3"/>
  <c r="D37" i="3"/>
  <c r="L37" i="3"/>
  <c r="K37" i="3"/>
  <c r="C37" i="3"/>
  <c r="I37" i="3"/>
  <c r="J37" i="3"/>
  <c r="H37" i="3"/>
  <c r="G36" i="3"/>
  <c r="H36" i="3"/>
  <c r="F36" i="3"/>
  <c r="M36" i="3"/>
  <c r="E36" i="3"/>
  <c r="C36" i="3"/>
  <c r="L36" i="3"/>
  <c r="D36" i="3"/>
  <c r="G35" i="3"/>
  <c r="F35" i="3"/>
  <c r="M35" i="3"/>
  <c r="E35" i="3"/>
  <c r="L35" i="3"/>
  <c r="D35" i="3"/>
  <c r="I35" i="3"/>
  <c r="H35" i="3"/>
  <c r="C35" i="3"/>
  <c r="L34" i="3"/>
  <c r="I34" i="3"/>
  <c r="H34" i="3"/>
  <c r="G34" i="3"/>
  <c r="F34" i="3"/>
  <c r="K34" i="3"/>
  <c r="J34" i="3"/>
  <c r="C34" i="3"/>
  <c r="M34" i="3"/>
  <c r="E34" i="3"/>
  <c r="C29" i="11"/>
  <c r="C26" i="11"/>
  <c r="D25" i="11" s="1"/>
  <c r="D19" i="11"/>
  <c r="E18" i="11" s="1"/>
  <c r="D12" i="11"/>
  <c r="E11" i="11" s="1"/>
  <c r="C30" i="11" l="1"/>
  <c r="D26" i="11"/>
  <c r="E25" i="11" s="1"/>
  <c r="D29" i="11"/>
  <c r="D7" i="11"/>
  <c r="E6" i="11" s="1"/>
  <c r="E19" i="11"/>
  <c r="F18" i="11" s="1"/>
  <c r="E12" i="11"/>
  <c r="F11" i="11" s="1"/>
  <c r="E26" i="11" l="1"/>
  <c r="F25" i="11" s="1"/>
  <c r="E29" i="11"/>
  <c r="D30" i="11"/>
  <c r="F19" i="11"/>
  <c r="G18" i="11" s="1"/>
  <c r="F12" i="11"/>
  <c r="G11" i="11" l="1"/>
  <c r="G12" i="11" s="1"/>
  <c r="F26" i="11"/>
  <c r="G19" i="11"/>
  <c r="G25" i="11" l="1"/>
  <c r="G26" i="11" s="1"/>
  <c r="F23" i="13" l="1"/>
  <c r="G22" i="13" s="1"/>
  <c r="F2" i="1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G21" i="13" l="1"/>
  <c r="D7" i="12"/>
  <c r="E22" i="2" l="1"/>
  <c r="F22" i="2"/>
  <c r="G22" i="2"/>
  <c r="H22" i="2"/>
  <c r="I22" i="2"/>
  <c r="D22" i="2"/>
  <c r="C22" i="2" s="1"/>
  <c r="E7" i="11" l="1"/>
  <c r="F6" i="11" s="1"/>
  <c r="C8" i="2"/>
  <c r="E30" i="11" l="1"/>
  <c r="F29" i="11"/>
  <c r="B26" i="3"/>
  <c r="B45" i="3" s="1"/>
  <c r="B53" i="3" s="1"/>
  <c r="H23" i="11" s="1"/>
  <c r="C26" i="3"/>
  <c r="C45" i="3" s="1"/>
  <c r="C53" i="3" s="1"/>
  <c r="I23" i="11" s="1"/>
  <c r="D26" i="3"/>
  <c r="D45" i="3" s="1"/>
  <c r="D53" i="3" s="1"/>
  <c r="J23" i="11" s="1"/>
  <c r="E26" i="3"/>
  <c r="E45" i="3" s="1"/>
  <c r="E53" i="3" s="1"/>
  <c r="K23" i="11" s="1"/>
  <c r="F26" i="3"/>
  <c r="F45" i="3" s="1"/>
  <c r="F53" i="3" s="1"/>
  <c r="L23" i="11" s="1"/>
  <c r="G26" i="3"/>
  <c r="G45" i="3" s="1"/>
  <c r="G53" i="3" s="1"/>
  <c r="M23" i="11" s="1"/>
  <c r="H26" i="3"/>
  <c r="H45" i="3" s="1"/>
  <c r="H53" i="3" s="1"/>
  <c r="N23" i="11" s="1"/>
  <c r="I26" i="3"/>
  <c r="I45" i="3" s="1"/>
  <c r="I53" i="3" s="1"/>
  <c r="O23" i="11" s="1"/>
  <c r="J26" i="3"/>
  <c r="J45" i="3" s="1"/>
  <c r="J53" i="3" s="1"/>
  <c r="P23" i="11" s="1"/>
  <c r="K26" i="3"/>
  <c r="K45" i="3" s="1"/>
  <c r="K53" i="3" s="1"/>
  <c r="Q23" i="11" s="1"/>
  <c r="L26" i="3"/>
  <c r="L45" i="3" s="1"/>
  <c r="L53" i="3" s="1"/>
  <c r="R23" i="11" s="1"/>
  <c r="M26" i="3"/>
  <c r="M45" i="3" s="1"/>
  <c r="M53" i="3" s="1"/>
  <c r="S23" i="11" s="1"/>
  <c r="B79" i="3"/>
  <c r="C79" i="3"/>
  <c r="D79" i="3"/>
  <c r="E79" i="3"/>
  <c r="F79" i="3"/>
  <c r="G79" i="3"/>
  <c r="H79" i="3"/>
  <c r="I79" i="3"/>
  <c r="J79" i="3"/>
  <c r="K79" i="3"/>
  <c r="L79" i="3"/>
  <c r="M79" i="3"/>
  <c r="G9" i="2" l="1"/>
  <c r="H25" i="11"/>
  <c r="H26" i="11" s="1"/>
  <c r="I25" i="11" s="1"/>
  <c r="I26" i="11" s="1"/>
  <c r="F7" i="11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J25" i="11" l="1"/>
  <c r="J26" i="11" s="1"/>
  <c r="F30" i="11"/>
  <c r="G29" i="11"/>
  <c r="C42" i="2"/>
  <c r="K25" i="11" l="1"/>
  <c r="K26" i="11"/>
  <c r="G7" i="11"/>
  <c r="B76" i="3"/>
  <c r="C76" i="3"/>
  <c r="D76" i="3"/>
  <c r="E76" i="3"/>
  <c r="F76" i="3"/>
  <c r="G76" i="3"/>
  <c r="H76" i="3"/>
  <c r="I76" i="3"/>
  <c r="J76" i="3"/>
  <c r="K76" i="3"/>
  <c r="L76" i="3"/>
  <c r="M76" i="3"/>
  <c r="B77" i="3"/>
  <c r="C77" i="3"/>
  <c r="D77" i="3"/>
  <c r="E77" i="3"/>
  <c r="F77" i="3"/>
  <c r="G77" i="3"/>
  <c r="H77" i="3"/>
  <c r="I77" i="3"/>
  <c r="J77" i="3"/>
  <c r="K77" i="3"/>
  <c r="L77" i="3"/>
  <c r="M77" i="3"/>
  <c r="B78" i="3"/>
  <c r="C78" i="3"/>
  <c r="D78" i="3"/>
  <c r="E78" i="3"/>
  <c r="F78" i="3"/>
  <c r="G78" i="3"/>
  <c r="H78" i="3"/>
  <c r="I78" i="3"/>
  <c r="J78" i="3"/>
  <c r="K78" i="3"/>
  <c r="L78" i="3"/>
  <c r="M78" i="3"/>
  <c r="B80" i="3"/>
  <c r="C80" i="3"/>
  <c r="D80" i="3"/>
  <c r="E80" i="3"/>
  <c r="F80" i="3"/>
  <c r="G80" i="3"/>
  <c r="H80" i="3"/>
  <c r="I80" i="3"/>
  <c r="J80" i="3"/>
  <c r="K80" i="3"/>
  <c r="L80" i="3"/>
  <c r="M80" i="3"/>
  <c r="B81" i="3"/>
  <c r="C81" i="3"/>
  <c r="D81" i="3"/>
  <c r="E81" i="3"/>
  <c r="F81" i="3"/>
  <c r="G81" i="3"/>
  <c r="H81" i="3"/>
  <c r="I81" i="3"/>
  <c r="J81" i="3"/>
  <c r="K81" i="3"/>
  <c r="L81" i="3"/>
  <c r="M81" i="3"/>
  <c r="B74" i="3"/>
  <c r="C74" i="3"/>
  <c r="D74" i="3"/>
  <c r="E74" i="3"/>
  <c r="F74" i="3"/>
  <c r="G74" i="3"/>
  <c r="H74" i="3"/>
  <c r="I74" i="3"/>
  <c r="J74" i="3"/>
  <c r="K74" i="3"/>
  <c r="L74" i="3"/>
  <c r="M74" i="3"/>
  <c r="N62" i="3"/>
  <c r="N63" i="3"/>
  <c r="N64" i="3"/>
  <c r="N65" i="3"/>
  <c r="N66" i="3"/>
  <c r="N67" i="3"/>
  <c r="N68" i="3"/>
  <c r="N69" i="3"/>
  <c r="N70" i="3"/>
  <c r="N71" i="3"/>
  <c r="N72" i="3"/>
  <c r="N73" i="3"/>
  <c r="B23" i="3"/>
  <c r="B42" i="3" s="1"/>
  <c r="B50" i="3" s="1"/>
  <c r="H4" i="11" s="1"/>
  <c r="C23" i="3"/>
  <c r="C42" i="3" s="1"/>
  <c r="C50" i="3" s="1"/>
  <c r="I4" i="11" s="1"/>
  <c r="D23" i="3"/>
  <c r="D42" i="3" s="1"/>
  <c r="D50" i="3" s="1"/>
  <c r="J4" i="11" s="1"/>
  <c r="E23" i="3"/>
  <c r="E42" i="3" s="1"/>
  <c r="E50" i="3" s="1"/>
  <c r="K4" i="11" s="1"/>
  <c r="F23" i="3"/>
  <c r="F42" i="3" s="1"/>
  <c r="F50" i="3" s="1"/>
  <c r="L4" i="11" s="1"/>
  <c r="G23" i="3"/>
  <c r="G42" i="3" s="1"/>
  <c r="G50" i="3" s="1"/>
  <c r="M4" i="11" s="1"/>
  <c r="H23" i="3"/>
  <c r="H42" i="3" s="1"/>
  <c r="H50" i="3" s="1"/>
  <c r="N4" i="11" s="1"/>
  <c r="I23" i="3"/>
  <c r="I42" i="3" s="1"/>
  <c r="I50" i="3" s="1"/>
  <c r="O4" i="11" s="1"/>
  <c r="J23" i="3"/>
  <c r="J42" i="3" s="1"/>
  <c r="J50" i="3" s="1"/>
  <c r="P4" i="11" s="1"/>
  <c r="K23" i="3"/>
  <c r="K42" i="3" s="1"/>
  <c r="K50" i="3" s="1"/>
  <c r="Q4" i="11" s="1"/>
  <c r="L23" i="3"/>
  <c r="L42" i="3" s="1"/>
  <c r="L50" i="3" s="1"/>
  <c r="R4" i="11" s="1"/>
  <c r="M23" i="3"/>
  <c r="M42" i="3" s="1"/>
  <c r="M50" i="3" s="1"/>
  <c r="S4" i="11" s="1"/>
  <c r="B24" i="3"/>
  <c r="B43" i="3" s="1"/>
  <c r="B51" i="3" s="1"/>
  <c r="H9" i="11" s="1"/>
  <c r="C24" i="3"/>
  <c r="C43" i="3" s="1"/>
  <c r="C51" i="3" s="1"/>
  <c r="I9" i="11" s="1"/>
  <c r="D24" i="3"/>
  <c r="D43" i="3" s="1"/>
  <c r="D51" i="3" s="1"/>
  <c r="J9" i="11" s="1"/>
  <c r="E24" i="3"/>
  <c r="E43" i="3" s="1"/>
  <c r="E51" i="3" s="1"/>
  <c r="K9" i="11" s="1"/>
  <c r="F24" i="3"/>
  <c r="F43" i="3" s="1"/>
  <c r="F51" i="3" s="1"/>
  <c r="L9" i="11" s="1"/>
  <c r="G24" i="3"/>
  <c r="G43" i="3" s="1"/>
  <c r="G51" i="3" s="1"/>
  <c r="M9" i="11" s="1"/>
  <c r="H24" i="3"/>
  <c r="H43" i="3" s="1"/>
  <c r="H51" i="3" s="1"/>
  <c r="N9" i="11" s="1"/>
  <c r="I24" i="3"/>
  <c r="I43" i="3" s="1"/>
  <c r="I51" i="3" s="1"/>
  <c r="O9" i="11" s="1"/>
  <c r="J24" i="3"/>
  <c r="J43" i="3" s="1"/>
  <c r="J51" i="3" s="1"/>
  <c r="P9" i="11" s="1"/>
  <c r="K24" i="3"/>
  <c r="K43" i="3" s="1"/>
  <c r="K51" i="3" s="1"/>
  <c r="Q9" i="11" s="1"/>
  <c r="L24" i="3"/>
  <c r="L43" i="3" s="1"/>
  <c r="L51" i="3" s="1"/>
  <c r="R9" i="11" s="1"/>
  <c r="M24" i="3"/>
  <c r="M43" i="3" s="1"/>
  <c r="M51" i="3" s="1"/>
  <c r="S9" i="11" s="1"/>
  <c r="B25" i="3"/>
  <c r="B44" i="3" s="1"/>
  <c r="B52" i="3" s="1"/>
  <c r="H16" i="11" s="1"/>
  <c r="C25" i="3"/>
  <c r="C44" i="3" s="1"/>
  <c r="C52" i="3" s="1"/>
  <c r="I16" i="11" s="1"/>
  <c r="D25" i="3"/>
  <c r="D44" i="3" s="1"/>
  <c r="D52" i="3" s="1"/>
  <c r="J16" i="11" s="1"/>
  <c r="E25" i="3"/>
  <c r="E44" i="3" s="1"/>
  <c r="E52" i="3" s="1"/>
  <c r="K16" i="11" s="1"/>
  <c r="F25" i="3"/>
  <c r="F44" i="3" s="1"/>
  <c r="F52" i="3" s="1"/>
  <c r="L16" i="11" s="1"/>
  <c r="G25" i="3"/>
  <c r="G44" i="3" s="1"/>
  <c r="G52" i="3" s="1"/>
  <c r="M16" i="11" s="1"/>
  <c r="H25" i="3"/>
  <c r="H44" i="3" s="1"/>
  <c r="H52" i="3" s="1"/>
  <c r="N16" i="11" s="1"/>
  <c r="I25" i="3"/>
  <c r="I44" i="3" s="1"/>
  <c r="I52" i="3" s="1"/>
  <c r="O16" i="11" s="1"/>
  <c r="J25" i="3"/>
  <c r="J44" i="3" s="1"/>
  <c r="J52" i="3" s="1"/>
  <c r="P16" i="11" s="1"/>
  <c r="K25" i="3"/>
  <c r="K44" i="3" s="1"/>
  <c r="K52" i="3" s="1"/>
  <c r="Q16" i="11" s="1"/>
  <c r="L25" i="3"/>
  <c r="L44" i="3" s="1"/>
  <c r="L52" i="3" s="1"/>
  <c r="R16" i="11" s="1"/>
  <c r="M25" i="3"/>
  <c r="M44" i="3" s="1"/>
  <c r="M52" i="3" s="1"/>
  <c r="S16" i="11" s="1"/>
  <c r="B27" i="3"/>
  <c r="B46" i="3" s="1"/>
  <c r="B54" i="3" s="1"/>
  <c r="C27" i="3"/>
  <c r="C46" i="3" s="1"/>
  <c r="C54" i="3" s="1"/>
  <c r="D27" i="3"/>
  <c r="D46" i="3" s="1"/>
  <c r="D54" i="3" s="1"/>
  <c r="E27" i="3"/>
  <c r="E46" i="3" s="1"/>
  <c r="E54" i="3" s="1"/>
  <c r="F27" i="3"/>
  <c r="F46" i="3" s="1"/>
  <c r="F54" i="3" s="1"/>
  <c r="G27" i="3"/>
  <c r="G46" i="3" s="1"/>
  <c r="G54" i="3" s="1"/>
  <c r="H27" i="3"/>
  <c r="H46" i="3" s="1"/>
  <c r="H54" i="3" s="1"/>
  <c r="I27" i="3"/>
  <c r="I46" i="3" s="1"/>
  <c r="I54" i="3" s="1"/>
  <c r="J27" i="3"/>
  <c r="J46" i="3" s="1"/>
  <c r="J54" i="3" s="1"/>
  <c r="K27" i="3"/>
  <c r="K46" i="3" s="1"/>
  <c r="K54" i="3" s="1"/>
  <c r="L27" i="3"/>
  <c r="L46" i="3" s="1"/>
  <c r="L54" i="3" s="1"/>
  <c r="M27" i="3"/>
  <c r="M46" i="3" s="1"/>
  <c r="M54" i="3" s="1"/>
  <c r="B28" i="3"/>
  <c r="B47" i="3" s="1"/>
  <c r="B55" i="3" s="1"/>
  <c r="C28" i="3"/>
  <c r="C47" i="3" s="1"/>
  <c r="C55" i="3" s="1"/>
  <c r="D28" i="3"/>
  <c r="D47" i="3" s="1"/>
  <c r="D55" i="3" s="1"/>
  <c r="E28" i="3"/>
  <c r="E47" i="3" s="1"/>
  <c r="E55" i="3" s="1"/>
  <c r="F28" i="3"/>
  <c r="F47" i="3" s="1"/>
  <c r="F55" i="3" s="1"/>
  <c r="G28" i="3"/>
  <c r="G47" i="3" s="1"/>
  <c r="G55" i="3" s="1"/>
  <c r="H28" i="3"/>
  <c r="H47" i="3" s="1"/>
  <c r="H55" i="3" s="1"/>
  <c r="I28" i="3"/>
  <c r="I47" i="3" s="1"/>
  <c r="I55" i="3" s="1"/>
  <c r="J28" i="3"/>
  <c r="J47" i="3" s="1"/>
  <c r="J55" i="3" s="1"/>
  <c r="K28" i="3"/>
  <c r="K47" i="3" s="1"/>
  <c r="K55" i="3" s="1"/>
  <c r="L28" i="3"/>
  <c r="L47" i="3" s="1"/>
  <c r="L55" i="3" s="1"/>
  <c r="M28" i="3"/>
  <c r="M47" i="3" s="1"/>
  <c r="M55" i="3" s="1"/>
  <c r="B20" i="3"/>
  <c r="C20" i="3"/>
  <c r="D20" i="3"/>
  <c r="E20" i="3"/>
  <c r="F20" i="3"/>
  <c r="G20" i="3"/>
  <c r="H20" i="3"/>
  <c r="I20" i="3"/>
  <c r="J20" i="3"/>
  <c r="K20" i="3"/>
  <c r="L20" i="3"/>
  <c r="M20" i="3"/>
  <c r="N14" i="3"/>
  <c r="N19" i="3"/>
  <c r="N18" i="3"/>
  <c r="N15" i="3"/>
  <c r="N13" i="3"/>
  <c r="N12" i="3"/>
  <c r="N11" i="3"/>
  <c r="N10" i="3"/>
  <c r="N9" i="3"/>
  <c r="N8" i="3"/>
  <c r="L25" i="11" l="1"/>
  <c r="L26" i="11"/>
  <c r="F9" i="2"/>
  <c r="H18" i="11"/>
  <c r="H19" i="11"/>
  <c r="E9" i="2"/>
  <c r="G30" i="11"/>
  <c r="G84" i="3"/>
  <c r="I31" i="3"/>
  <c r="H31" i="3"/>
  <c r="M31" i="3"/>
  <c r="E31" i="3"/>
  <c r="G31" i="3"/>
  <c r="L31" i="3"/>
  <c r="D31" i="3"/>
  <c r="K31" i="3"/>
  <c r="C31" i="3"/>
  <c r="J31" i="3"/>
  <c r="B31" i="3"/>
  <c r="J84" i="3"/>
  <c r="B84" i="3"/>
  <c r="F84" i="3"/>
  <c r="M84" i="3"/>
  <c r="E84" i="3"/>
  <c r="L84" i="3"/>
  <c r="D84" i="3"/>
  <c r="K84" i="3"/>
  <c r="C84" i="3"/>
  <c r="I84" i="3"/>
  <c r="H84" i="3"/>
  <c r="F31" i="3"/>
  <c r="M25" i="11" l="1"/>
  <c r="M26" i="11" s="1"/>
  <c r="I18" i="11"/>
  <c r="I19" i="11"/>
  <c r="N61" i="3"/>
  <c r="N74" i="3" s="1"/>
  <c r="N7" i="3"/>
  <c r="N25" i="11" l="1"/>
  <c r="N26" i="11"/>
  <c r="J18" i="11"/>
  <c r="J19" i="11" s="1"/>
  <c r="E19" i="9"/>
  <c r="E21" i="9" s="1"/>
  <c r="K18" i="11" l="1"/>
  <c r="K19" i="11"/>
  <c r="O25" i="11"/>
  <c r="O26" i="11" s="1"/>
  <c r="E25" i="9"/>
  <c r="P25" i="11" l="1"/>
  <c r="P26" i="11" s="1"/>
  <c r="L18" i="11"/>
  <c r="L19" i="11" s="1"/>
  <c r="A1" i="9"/>
  <c r="M18" i="11" l="1"/>
  <c r="M19" i="11"/>
  <c r="Q25" i="11"/>
  <c r="Q26" i="11" s="1"/>
  <c r="N83" i="3"/>
  <c r="M60" i="3"/>
  <c r="L60" i="3"/>
  <c r="K60" i="3"/>
  <c r="J60" i="3"/>
  <c r="I60" i="3"/>
  <c r="H60" i="3"/>
  <c r="G60" i="3"/>
  <c r="F60" i="3"/>
  <c r="E60" i="3"/>
  <c r="D60" i="3"/>
  <c r="C60" i="3"/>
  <c r="B60" i="3"/>
  <c r="N30" i="3"/>
  <c r="N17" i="3"/>
  <c r="N16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R25" i="11" l="1"/>
  <c r="R26" i="11" s="1"/>
  <c r="N18" i="11"/>
  <c r="N19" i="11" s="1"/>
  <c r="N20" i="3"/>
  <c r="E82" i="3"/>
  <c r="I82" i="3"/>
  <c r="D82" i="3"/>
  <c r="H82" i="3"/>
  <c r="L82" i="3"/>
  <c r="N24" i="3"/>
  <c r="E10" i="2" s="1"/>
  <c r="F29" i="3"/>
  <c r="N77" i="3"/>
  <c r="E12" i="2" s="1"/>
  <c r="M82" i="3"/>
  <c r="N78" i="3"/>
  <c r="F12" i="2" s="1"/>
  <c r="N79" i="3"/>
  <c r="G12" i="2" s="1"/>
  <c r="N80" i="3"/>
  <c r="H12" i="2" s="1"/>
  <c r="N81" i="3"/>
  <c r="I12" i="2" s="1"/>
  <c r="B82" i="3"/>
  <c r="F82" i="3"/>
  <c r="J82" i="3"/>
  <c r="C82" i="3"/>
  <c r="G82" i="3"/>
  <c r="K82" i="3"/>
  <c r="N76" i="3"/>
  <c r="D12" i="2" s="1"/>
  <c r="N25" i="3"/>
  <c r="F10" i="2" s="1"/>
  <c r="F19" i="2" s="1"/>
  <c r="C29" i="3"/>
  <c r="G29" i="3"/>
  <c r="K29" i="3"/>
  <c r="N26" i="3"/>
  <c r="G10" i="2" s="1"/>
  <c r="G19" i="2" s="1"/>
  <c r="N27" i="3"/>
  <c r="H10" i="2" s="1"/>
  <c r="N28" i="3"/>
  <c r="I10" i="2" s="1"/>
  <c r="B29" i="3"/>
  <c r="D29" i="3"/>
  <c r="H29" i="3"/>
  <c r="L29" i="3"/>
  <c r="J29" i="3"/>
  <c r="E29" i="3"/>
  <c r="I29" i="3"/>
  <c r="M29" i="3"/>
  <c r="N23" i="3"/>
  <c r="S25" i="11" l="1"/>
  <c r="S26" i="11" s="1"/>
  <c r="O18" i="11"/>
  <c r="O19" i="11"/>
  <c r="H11" i="11"/>
  <c r="H12" i="11" s="1"/>
  <c r="I11" i="11" s="1"/>
  <c r="I12" i="11" s="1"/>
  <c r="J11" i="11" s="1"/>
  <c r="J12" i="11" s="1"/>
  <c r="K11" i="11" s="1"/>
  <c r="K12" i="11" s="1"/>
  <c r="L11" i="11" s="1"/>
  <c r="L12" i="11" s="1"/>
  <c r="M11" i="11" s="1"/>
  <c r="M12" i="11" s="1"/>
  <c r="N11" i="11" s="1"/>
  <c r="N12" i="11" s="1"/>
  <c r="O11" i="11" s="1"/>
  <c r="O12" i="11" s="1"/>
  <c r="P11" i="11" s="1"/>
  <c r="P12" i="11" s="1"/>
  <c r="Q11" i="11" s="1"/>
  <c r="Q12" i="11" s="1"/>
  <c r="R11" i="11" s="1"/>
  <c r="R12" i="11" s="1"/>
  <c r="S11" i="11" s="1"/>
  <c r="S12" i="11" s="1"/>
  <c r="N31" i="3"/>
  <c r="C12" i="2"/>
  <c r="N84" i="3"/>
  <c r="N82" i="3"/>
  <c r="N29" i="3"/>
  <c r="D10" i="2"/>
  <c r="P18" i="11" l="1"/>
  <c r="P19" i="11"/>
  <c r="C10" i="2"/>
  <c r="Q18" i="11" l="1"/>
  <c r="Q19" i="11" s="1"/>
  <c r="H23" i="2"/>
  <c r="I16" i="12" s="1"/>
  <c r="I23" i="2"/>
  <c r="I17" i="12" s="1"/>
  <c r="R18" i="11" l="1"/>
  <c r="R19" i="11"/>
  <c r="G13" i="2"/>
  <c r="S28" i="11"/>
  <c r="K28" i="11"/>
  <c r="R28" i="11"/>
  <c r="J28" i="11"/>
  <c r="Q28" i="11"/>
  <c r="I28" i="11"/>
  <c r="M28" i="11"/>
  <c r="P28" i="11"/>
  <c r="O28" i="11"/>
  <c r="N28" i="11"/>
  <c r="L28" i="11"/>
  <c r="G16" i="2"/>
  <c r="G18" i="2" s="1"/>
  <c r="G23" i="2" s="1"/>
  <c r="I15" i="12" s="1"/>
  <c r="G14" i="2"/>
  <c r="F13" i="2"/>
  <c r="S18" i="11" l="1"/>
  <c r="S19" i="11"/>
  <c r="H28" i="11"/>
  <c r="H29" i="11"/>
  <c r="F16" i="2"/>
  <c r="F14" i="2"/>
  <c r="E16" i="2"/>
  <c r="H7" i="11" l="1"/>
  <c r="F18" i="2"/>
  <c r="F23" i="2" s="1"/>
  <c r="I14" i="12" s="1"/>
  <c r="E18" i="2"/>
  <c r="E14" i="2"/>
  <c r="E13" i="2"/>
  <c r="C9" i="2"/>
  <c r="D14" i="2"/>
  <c r="E19" i="2" l="1"/>
  <c r="E23" i="2" s="1"/>
  <c r="I13" i="12" s="1"/>
  <c r="I6" i="11"/>
  <c r="H30" i="11"/>
  <c r="D16" i="2"/>
  <c r="D18" i="2" s="1"/>
  <c r="D13" i="2"/>
  <c r="I7" i="11" l="1"/>
  <c r="I29" i="11"/>
  <c r="D25" i="2"/>
  <c r="D26" i="2" s="1"/>
  <c r="J6" i="11" l="1"/>
  <c r="J29" i="11" s="1"/>
  <c r="I30" i="11"/>
  <c r="C44" i="2"/>
  <c r="D44" i="2" s="1"/>
  <c r="D23" i="2"/>
  <c r="I12" i="12" s="1"/>
  <c r="C19" i="2"/>
  <c r="C23" i="2" s="1"/>
  <c r="I18" i="12" s="1"/>
  <c r="J7" i="11" l="1"/>
  <c r="C46" i="2"/>
  <c r="K29" i="11" l="1"/>
  <c r="J30" i="11"/>
  <c r="K7" i="11" l="1"/>
  <c r="L6" i="11" l="1"/>
  <c r="L29" i="11" s="1"/>
  <c r="K30" i="11"/>
  <c r="L7" i="11" l="1"/>
  <c r="M6" i="11" s="1"/>
  <c r="M29" i="11" s="1"/>
  <c r="M7" i="11" l="1"/>
  <c r="M30" i="11" s="1"/>
  <c r="L30" i="11"/>
  <c r="N6" i="11" l="1"/>
  <c r="N29" i="11" s="1"/>
  <c r="N7" i="11" l="1"/>
  <c r="O6" i="11" s="1"/>
  <c r="O29" i="11" s="1"/>
  <c r="N30" i="11" l="1"/>
  <c r="O7" i="11"/>
  <c r="P6" i="11" l="1"/>
  <c r="P29" i="11" s="1"/>
  <c r="O30" i="11"/>
  <c r="P7" i="11" l="1"/>
  <c r="Q6" i="11" l="1"/>
  <c r="Q29" i="11" s="1"/>
  <c r="P30" i="11"/>
  <c r="Q7" i="11" l="1"/>
  <c r="R6" i="11" l="1"/>
  <c r="R29" i="11" s="1"/>
  <c r="Q30" i="11"/>
  <c r="R7" i="11" l="1"/>
  <c r="R30" i="11" l="1"/>
  <c r="S6" i="11"/>
  <c r="S29" i="11" s="1"/>
  <c r="S7" i="11" l="1"/>
  <c r="S30" i="11" s="1"/>
</calcChain>
</file>

<file path=xl/sharedStrings.xml><?xml version="1.0" encoding="utf-8"?>
<sst xmlns="http://schemas.openxmlformats.org/spreadsheetml/2006/main" count="226" uniqueCount="163">
  <si>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</si>
  <si>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</si>
  <si>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</si>
  <si>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</si>
  <si>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</si>
  <si>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</si>
  <si>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</si>
  <si>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</si>
  <si>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</si>
  <si>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</si>
  <si>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</si>
  <si>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</si>
  <si>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</si>
  <si>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</si>
  <si>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</si>
  <si>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</si>
  <si>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</si>
  <si>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</si>
  <si>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</si>
  <si>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</si>
  <si>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</si>
  <si>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Annual Load (Rate Year)</t>
  </si>
  <si>
    <t>Cents Per kWh Rate</t>
  </si>
  <si>
    <t>Total Bills</t>
  </si>
  <si>
    <t>Proposed Cents per kWh Rate</t>
  </si>
  <si>
    <t>Present Cents per kWh Rate</t>
  </si>
  <si>
    <t>Difference in Rate</t>
  </si>
  <si>
    <t>Change in Revenue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</si>
  <si>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</si>
  <si>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</si>
  <si>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</si>
  <si>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</si>
  <si>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</si>
  <si>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</si>
  <si>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</si>
  <si>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</si>
  <si>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</si>
  <si>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</si>
  <si>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</si>
  <si>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</si>
  <si>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</si>
  <si>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</si>
  <si>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</si>
  <si>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</si>
  <si>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</si>
  <si>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</si>
  <si>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</si>
  <si>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</si>
  <si>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</si>
  <si>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</si>
  <si>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</si>
  <si>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</si>
  <si>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</si>
  <si>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</si>
  <si>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</si>
  <si>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</si>
  <si>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</si>
  <si>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</si>
  <si>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</si>
  <si>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</si>
  <si>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</si>
  <si>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SCHEDULE 1, 2</t>
  </si>
  <si>
    <t>WA001/WA002</t>
  </si>
  <si>
    <t>Approved In</t>
  </si>
  <si>
    <t>Plus Bill Impact</t>
  </si>
  <si>
    <t>SCH. 21,22,23</t>
  </si>
  <si>
    <t>SCH. 11,12,13</t>
  </si>
  <si>
    <t>WA002</t>
  </si>
  <si>
    <t>WA025I</t>
  </si>
  <si>
    <t>WA023</t>
  </si>
  <si>
    <t>WA013</t>
  </si>
  <si>
    <t>WA011/012/013</t>
  </si>
  <si>
    <t>WA021/022/023</t>
  </si>
  <si>
    <t>Residential Bill Impact (932 kWh's)</t>
  </si>
  <si>
    <t>Bill at 932 kWhs</t>
  </si>
  <si>
    <t>UE-220053</t>
  </si>
  <si>
    <t>TWELVE MONTHS ENDED SEPTEMBER 30, 2021 (Effective 12/21/22)</t>
  </si>
  <si>
    <t>EREV Mar Mid-month 03.16.23 Spring Load Update</t>
  </si>
  <si>
    <t>WA025/025I</t>
  </si>
  <si>
    <t>SCHEDULE 25/25I</t>
  </si>
  <si>
    <t>Allocated on Billed Revenue</t>
  </si>
  <si>
    <t>Total Normalized Billed Revenue</t>
  </si>
  <si>
    <t>Total Deferral Amount (Grossed Up)</t>
  </si>
  <si>
    <t>Avg Monthly Cost Per Customer</t>
  </si>
  <si>
    <t>Avg Annual Cost Per Customer</t>
  </si>
  <si>
    <t>Applicable Schedules</t>
  </si>
  <si>
    <t>AWEC</t>
  </si>
  <si>
    <t>Industrial (Sch 25/25I)</t>
  </si>
  <si>
    <t>NW Energy Coalition</t>
  </si>
  <si>
    <t>All Schedules</t>
  </si>
  <si>
    <t>Residential (01/02)</t>
  </si>
  <si>
    <t>Effective 8/1/2023</t>
  </si>
  <si>
    <t>(a)</t>
  </si>
  <si>
    <t>Amount Allocated to Electric Customers</t>
  </si>
  <si>
    <t>Alliance of Western Energy Consumers</t>
  </si>
  <si>
    <t>The Energy Project</t>
  </si>
  <si>
    <t>Small Business Utility Advocates</t>
  </si>
  <si>
    <t>Customer Class Represented</t>
  </si>
  <si>
    <t>Industrial</t>
  </si>
  <si>
    <t>Residential</t>
  </si>
  <si>
    <t>Commercial</t>
  </si>
  <si>
    <t>All</t>
  </si>
  <si>
    <t>Table 2 - Impact by Rate Schedule</t>
  </si>
  <si>
    <t>Schedule No.</t>
  </si>
  <si>
    <t>1/2</t>
  </si>
  <si>
    <t>11/12/13</t>
  </si>
  <si>
    <t>25/25I</t>
  </si>
  <si>
    <t>31/32</t>
  </si>
  <si>
    <t>41-48</t>
  </si>
  <si>
    <t>Rate Schedule</t>
  </si>
  <si>
    <t>Extra Large General Service</t>
  </si>
  <si>
    <t>Pumping Service</t>
  </si>
  <si>
    <t>Street and Area Lights</t>
  </si>
  <si>
    <t>Change in Billed Revenue</t>
  </si>
  <si>
    <t>General Service</t>
  </si>
  <si>
    <t>Large General Service</t>
  </si>
  <si>
    <t>Overall</t>
  </si>
  <si>
    <t>Order 12/06 - March 2, 2023</t>
  </si>
  <si>
    <t>Dockets UE-220053, UG-220054, UE-210854 (Consolidated)</t>
  </si>
  <si>
    <t>Amount</t>
  </si>
  <si>
    <t>Electric</t>
  </si>
  <si>
    <t>Gas</t>
  </si>
  <si>
    <t>Submission Date</t>
  </si>
  <si>
    <t>Fund</t>
  </si>
  <si>
    <t>Allocation</t>
  </si>
  <si>
    <t>Customer Representation Sub-Fund</t>
  </si>
  <si>
    <t>assigned proportionally between electric and natural gas customers based on total billed revenue, and only allocated to and recovered from the industrial customer class.</t>
  </si>
  <si>
    <t>TEP</t>
  </si>
  <si>
    <t>assigned proportionally between electric and natural gas customers based on total billed revenue, and only allocated to and recovered from the residential customer class.</t>
  </si>
  <si>
    <t>SBUA</t>
  </si>
  <si>
    <t>assigned proportionally between electric and natural gas customers based on total billed revenue, and only allocated to and recovered from the commercial customer class.</t>
  </si>
  <si>
    <t>NWEC</t>
  </si>
  <si>
    <t>assigned proportionally between electric and natural gas customers based on total billed revenue, and allocated to and recovered from all customer classes on an equal percentage basis.</t>
  </si>
  <si>
    <t>Electric Billed Revenue</t>
  </si>
  <si>
    <t>Natural Gas Billed Revenue</t>
  </si>
  <si>
    <t>* From GRC Present Billed Revenue</t>
  </si>
  <si>
    <t>21/22/23</t>
  </si>
  <si>
    <t>Interest Rate (amortizing)</t>
  </si>
  <si>
    <t>Interest</t>
  </si>
  <si>
    <t>Balance</t>
  </si>
  <si>
    <t>Expected Tariff Revenue</t>
  </si>
  <si>
    <t>Beg Amt</t>
  </si>
  <si>
    <t>Schedule 01/02</t>
  </si>
  <si>
    <t>Schedule 11/12/13</t>
  </si>
  <si>
    <t>Schedule 21/22/23</t>
  </si>
  <si>
    <t>Schedule 25/25I</t>
  </si>
  <si>
    <t>Gross Revenue</t>
  </si>
  <si>
    <t>Net Revenue</t>
  </si>
  <si>
    <t>Summary by Rate Group</t>
  </si>
  <si>
    <t>Rates by Rate Group</t>
  </si>
  <si>
    <t>1st Payment</t>
  </si>
  <si>
    <t>Interest Rate (deferral)</t>
  </si>
  <si>
    <t>Additions/Payments</t>
  </si>
  <si>
    <t>Party</t>
  </si>
  <si>
    <t>Commercial
(11 through 23)</t>
  </si>
  <si>
    <t>Deferral Balance Forecast</t>
  </si>
  <si>
    <t>Participatory Party</t>
  </si>
  <si>
    <t>Table 1 - Amounts Paid</t>
  </si>
  <si>
    <t>WA Participatory Payments Rate Design</t>
  </si>
  <si>
    <r>
      <rPr>
        <sz val="11"/>
        <color rgb="FF0000FF"/>
        <rFont val="Calibri"/>
        <family val="2"/>
        <scheme val="minor"/>
      </rPr>
      <t>(a)</t>
    </r>
    <r>
      <rPr>
        <sz val="11"/>
        <rFont val="Calibri"/>
        <family val="2"/>
        <scheme val="minor"/>
      </rPr>
      <t xml:space="preserve"> - These Schedules are not allocated costs as their volumes are too low to create a billable rate.</t>
    </r>
  </si>
  <si>
    <t>Total Amount Paid (a)</t>
  </si>
  <si>
    <t>Add: Interests and Revenue Related Expenses:</t>
  </si>
  <si>
    <t>Total Requested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</si>
</sst>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mmm\ yy"/>
    <numFmt numFmtId="170" formatCode="0.000000"/>
    <numFmt numFmtId="171" formatCode="0.0%"/>
    <numFmt numFmtId="172" formatCode="0.0000000"/>
    <numFmt numFmtId="173" formatCode="0.000%"/>
    <numFmt numFmtId="174" formatCode="_(&quot;$&quot;* #,##0.000_);_(&quot;$&quot;* \(#,##0.000\);_(&quot;$&quot;* &quot;-&quot;??_);_(@_)"/>
    <numFmt numFmtId="175" formatCode="_(* #,##0.00000_);_(* \(#,##0.00000\);_(* &quot;-&quot;??_);_(@_)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m/yy"/>
    <numFmt numFmtId="200" formatCode="_(&quot;$&quot;* #,##0.0000_);_(&quot;$&quot;* \(#,##0.0000\);_(&quot;$&quot;* &quot;-&quot;????_);_(@_)"/>
    <numFmt numFmtId="201" formatCode="_(* #,##0.0_);_(* \(#,##0.0\);_(* &quot;-&quot;_);_(@_)"/>
    <numFmt numFmtId="202" formatCode="_(&quot;$&quot;* #,##0.0000_);_(&quot;$&quot;* \(#,##0.0000\);_(&quot;$&quot;* &quot;-&quot;??_);_(@_)"/>
  </numFmts>
  <fonts count="14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FF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49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7" fillId="0" borderId="0">
      <alignment readingOrder="1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7" fillId="0" borderId="0">
      <alignment readingOrder="1"/>
    </xf>
    <xf numFmtId="0" fontId="9" fillId="0" borderId="0"/>
    <xf numFmtId="3" fontId="13" fillId="0" borderId="0"/>
    <xf numFmtId="3" fontId="13" fillId="0" borderId="0"/>
    <xf numFmtId="0" fontId="14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5" fillId="0" borderId="0"/>
    <xf numFmtId="4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2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46" fillId="0" borderId="0"/>
    <xf numFmtId="0" fontId="46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6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6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46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4" fillId="0" borderId="0"/>
    <xf numFmtId="0" fontId="14" fillId="0" borderId="0"/>
    <xf numFmtId="0" fontId="46" fillId="0" borderId="0"/>
    <xf numFmtId="0" fontId="46" fillId="0" borderId="0"/>
    <xf numFmtId="0" fontId="46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2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5" fontId="14" fillId="0" borderId="0">
      <alignment horizontal="left" wrapText="1"/>
    </xf>
    <xf numFmtId="175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46" fillId="0" borderId="0"/>
    <xf numFmtId="0" fontId="46" fillId="0" borderId="0"/>
    <xf numFmtId="176" fontId="48" fillId="0" borderId="0">
      <alignment horizontal="left"/>
    </xf>
    <xf numFmtId="177" fontId="49" fillId="0" borderId="0">
      <alignment horizontal="left"/>
    </xf>
    <xf numFmtId="0" fontId="50" fillId="0" borderId="25"/>
    <xf numFmtId="0" fontId="51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170" fontId="47" fillId="0" borderId="0">
      <alignment horizontal="left" wrapText="1"/>
    </xf>
    <xf numFmtId="0" fontId="52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70" fontId="47" fillId="0" borderId="0">
      <alignment horizontal="left" wrapText="1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2" fillId="35" borderId="0" applyNumberFormat="0" applyBorder="0" applyAlignment="0" applyProtection="0"/>
    <xf numFmtId="170" fontId="47" fillId="0" borderId="0">
      <alignment horizontal="left" wrapText="1"/>
    </xf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70" fontId="47" fillId="0" borderId="0">
      <alignment horizontal="left" wrapText="1"/>
    </xf>
    <xf numFmtId="0" fontId="52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70" fontId="47" fillId="0" borderId="0">
      <alignment horizontal="left" wrapText="1"/>
    </xf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2" fillId="37" borderId="0" applyNumberFormat="0" applyBorder="0" applyAlignment="0" applyProtection="0"/>
    <xf numFmtId="170" fontId="47" fillId="0" borderId="0">
      <alignment horizontal="left" wrapText="1"/>
    </xf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70" fontId="47" fillId="0" borderId="0">
      <alignment horizontal="left" wrapText="1"/>
    </xf>
    <xf numFmtId="0" fontId="52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0" fontId="47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2" fillId="39" borderId="0" applyNumberFormat="0" applyBorder="0" applyAlignment="0" applyProtection="0"/>
    <xf numFmtId="170" fontId="47" fillId="0" borderId="0">
      <alignment horizontal="left" wrapText="1"/>
    </xf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70" fontId="47" fillId="0" borderId="0">
      <alignment horizontal="left" wrapText="1"/>
    </xf>
    <xf numFmtId="0" fontId="52" fillId="4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170" fontId="47" fillId="0" borderId="0">
      <alignment horizontal="left" wrapText="1"/>
    </xf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52" fillId="41" borderId="0" applyNumberFormat="0" applyBorder="0" applyAlignment="0" applyProtection="0"/>
    <xf numFmtId="170" fontId="47" fillId="0" borderId="0">
      <alignment horizontal="left" wrapText="1"/>
    </xf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70" fontId="47" fillId="0" borderId="0">
      <alignment horizontal="left" wrapText="1"/>
    </xf>
    <xf numFmtId="0" fontId="52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2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70" fontId="47" fillId="0" borderId="0">
      <alignment horizontal="left" wrapText="1"/>
    </xf>
    <xf numFmtId="0" fontId="52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0" fontId="47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2" fillId="42" borderId="0" applyNumberFormat="0" applyBorder="0" applyAlignment="0" applyProtection="0"/>
    <xf numFmtId="170" fontId="47" fillId="0" borderId="0">
      <alignment horizontal="left" wrapText="1"/>
    </xf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170" fontId="47" fillId="0" borderId="0">
      <alignment horizontal="left" wrapText="1"/>
    </xf>
    <xf numFmtId="0" fontId="52" fillId="3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0" fontId="47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2" fillId="36" borderId="0" applyNumberFormat="0" applyBorder="0" applyAlignment="0" applyProtection="0"/>
    <xf numFmtId="170" fontId="47" fillId="0" borderId="0">
      <alignment horizontal="left" wrapText="1"/>
    </xf>
    <xf numFmtId="0" fontId="52" fillId="36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70" fontId="47" fillId="0" borderId="0">
      <alignment horizontal="left" wrapText="1"/>
    </xf>
    <xf numFmtId="0" fontId="52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2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170" fontId="47" fillId="0" borderId="0">
      <alignment horizontal="left" wrapText="1"/>
    </xf>
    <xf numFmtId="0" fontId="52" fillId="4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170" fontId="47" fillId="0" borderId="0">
      <alignment horizontal="left" wrapText="1"/>
    </xf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2" fillId="44" borderId="0" applyNumberFormat="0" applyBorder="0" applyAlignment="0" applyProtection="0"/>
    <xf numFmtId="170" fontId="47" fillId="0" borderId="0">
      <alignment horizontal="left" wrapText="1"/>
    </xf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70" fontId="47" fillId="0" borderId="0">
      <alignment horizontal="left" wrapText="1"/>
    </xf>
    <xf numFmtId="0" fontId="52" fillId="4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170" fontId="47" fillId="0" borderId="0">
      <alignment horizontal="left" wrapText="1"/>
    </xf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2" fillId="41" borderId="0" applyNumberFormat="0" applyBorder="0" applyAlignment="0" applyProtection="0"/>
    <xf numFmtId="170" fontId="47" fillId="0" borderId="0">
      <alignment horizontal="left" wrapText="1"/>
    </xf>
    <xf numFmtId="0" fontId="52" fillId="41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170" fontId="47" fillId="0" borderId="0">
      <alignment horizontal="left" wrapText="1"/>
    </xf>
    <xf numFmtId="0" fontId="52" fillId="3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0" fontId="47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2" fillId="36" borderId="0" applyNumberFormat="0" applyBorder="0" applyAlignment="0" applyProtection="0"/>
    <xf numFmtId="170" fontId="47" fillId="0" borderId="0">
      <alignment horizontal="left" wrapText="1"/>
    </xf>
    <xf numFmtId="0" fontId="52" fillId="36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170" fontId="47" fillId="0" borderId="0">
      <alignment horizontal="left" wrapText="1"/>
    </xf>
    <xf numFmtId="0" fontId="52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0" fontId="47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2" fillId="46" borderId="0" applyNumberFormat="0" applyBorder="0" applyAlignment="0" applyProtection="0"/>
    <xf numFmtId="170" fontId="47" fillId="0" borderId="0">
      <alignment horizontal="left" wrapText="1"/>
    </xf>
    <xf numFmtId="0" fontId="52" fillId="4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3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24" fillId="17" borderId="0" applyNumberFormat="0" applyBorder="0" applyAlignment="0" applyProtection="0"/>
    <xf numFmtId="0" fontId="24" fillId="48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46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37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43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3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4" fillId="33" borderId="0" applyNumberFormat="0" applyBorder="0" applyAlignment="0" applyProtection="0"/>
    <xf numFmtId="0" fontId="24" fillId="38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56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24" fillId="10" borderId="0" applyNumberFormat="0" applyBorder="0" applyAlignment="0" applyProtection="0"/>
    <xf numFmtId="0" fontId="24" fillId="56" borderId="0" applyNumberFormat="0" applyBorder="0" applyAlignment="0" applyProtection="0"/>
    <xf numFmtId="170" fontId="47" fillId="0" borderId="0">
      <alignment horizontal="left" wrapText="1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48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24" fillId="14" borderId="0" applyNumberFormat="0" applyBorder="0" applyAlignment="0" applyProtection="0"/>
    <xf numFmtId="0" fontId="24" fillId="48" borderId="0" applyNumberFormat="0" applyBorder="0" applyAlignment="0" applyProtection="0"/>
    <xf numFmtId="170" fontId="47" fillId="0" borderId="0">
      <alignment horizontal="left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24" fillId="18" borderId="0" applyNumberFormat="0" applyBorder="0" applyAlignment="0" applyProtection="0"/>
    <xf numFmtId="0" fontId="24" fillId="46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24" fillId="18" borderId="0" applyNumberFormat="0" applyBorder="0" applyAlignment="0" applyProtection="0"/>
    <xf numFmtId="0" fontId="24" fillId="46" borderId="0" applyNumberFormat="0" applyBorder="0" applyAlignment="0" applyProtection="0"/>
    <xf numFmtId="170" fontId="47" fillId="0" borderId="0">
      <alignment horizontal="left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4" fillId="22" borderId="0" applyNumberFormat="0" applyBorder="0" applyAlignment="0" applyProtection="0"/>
    <xf numFmtId="0" fontId="24" fillId="65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24" fillId="22" borderId="0" applyNumberFormat="0" applyBorder="0" applyAlignment="0" applyProtection="0"/>
    <xf numFmtId="0" fontId="24" fillId="65" borderId="0" applyNumberFormat="0" applyBorder="0" applyAlignment="0" applyProtection="0"/>
    <xf numFmtId="170" fontId="47" fillId="0" borderId="0">
      <alignment horizontal="left" wrapText="1"/>
    </xf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3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170" fontId="47" fillId="0" borderId="0">
      <alignment horizontal="left" wrapText="1"/>
    </xf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4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3" fillId="67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4" fillId="30" borderId="0" applyNumberFormat="0" applyBorder="0" applyAlignment="0" applyProtection="0"/>
    <xf numFmtId="0" fontId="24" fillId="60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24" fillId="30" borderId="0" applyNumberFormat="0" applyBorder="0" applyAlignment="0" applyProtection="0"/>
    <xf numFmtId="0" fontId="24" fillId="60" borderId="0" applyNumberFormat="0" applyBorder="0" applyAlignment="0" applyProtection="0"/>
    <xf numFmtId="170" fontId="47" fillId="0" borderId="0">
      <alignment horizontal="left" wrapText="1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31" fillId="4" borderId="0" applyNumberFormat="0" applyBorder="0" applyAlignment="0" applyProtection="0"/>
    <xf numFmtId="0" fontId="31" fillId="41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54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51" fillId="0" borderId="25"/>
    <xf numFmtId="178" fontId="55" fillId="0" borderId="0" applyFill="0" applyBorder="0" applyAlignment="0"/>
    <xf numFmtId="178" fontId="55" fillId="0" borderId="0" applyFill="0" applyBorder="0" applyAlignment="0"/>
    <xf numFmtId="170" fontId="47" fillId="0" borderId="0">
      <alignment horizontal="left" wrapText="1"/>
    </xf>
    <xf numFmtId="170" fontId="47" fillId="0" borderId="0">
      <alignment horizontal="left" wrapText="1"/>
    </xf>
    <xf numFmtId="178" fontId="55" fillId="0" borderId="0" applyFill="0" applyBorder="0" applyAlignment="0"/>
    <xf numFmtId="41" fontId="14" fillId="68" borderId="0"/>
    <xf numFmtId="0" fontId="56" fillId="69" borderId="26" applyNumberFormat="0" applyAlignment="0" applyProtection="0"/>
    <xf numFmtId="170" fontId="47" fillId="0" borderId="0">
      <alignment horizontal="left" wrapText="1"/>
    </xf>
    <xf numFmtId="0" fontId="56" fillId="69" borderId="26" applyNumberFormat="0" applyAlignment="0" applyProtection="0"/>
    <xf numFmtId="0" fontId="34" fillId="7" borderId="19" applyNumberFormat="0" applyAlignment="0" applyProtection="0"/>
    <xf numFmtId="0" fontId="57" fillId="70" borderId="19" applyNumberFormat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1" fontId="14" fillId="68" borderId="0"/>
    <xf numFmtId="170" fontId="47" fillId="0" borderId="0">
      <alignment horizontal="left" wrapText="1"/>
    </xf>
    <xf numFmtId="41" fontId="14" fillId="68" borderId="0"/>
    <xf numFmtId="0" fontId="34" fillId="7" borderId="19" applyNumberFormat="0" applyAlignment="0" applyProtection="0"/>
    <xf numFmtId="0" fontId="57" fillId="70" borderId="19" applyNumberFormat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1" fontId="14" fillId="68" borderId="0"/>
    <xf numFmtId="41" fontId="14" fillId="68" borderId="0"/>
    <xf numFmtId="170" fontId="47" fillId="0" borderId="0">
      <alignment horizontal="left" wrapText="1"/>
    </xf>
    <xf numFmtId="41" fontId="14" fillId="68" borderId="0"/>
    <xf numFmtId="170" fontId="47" fillId="0" borderId="0">
      <alignment horizontal="left" wrapText="1"/>
    </xf>
    <xf numFmtId="41" fontId="14" fillId="68" borderId="0"/>
    <xf numFmtId="170" fontId="47" fillId="0" borderId="0">
      <alignment horizontal="left" wrapText="1"/>
    </xf>
    <xf numFmtId="41" fontId="14" fillId="68" borderId="0"/>
    <xf numFmtId="170" fontId="47" fillId="0" borderId="0">
      <alignment horizontal="left" wrapText="1"/>
    </xf>
    <xf numFmtId="41" fontId="14" fillId="68" borderId="0"/>
    <xf numFmtId="41" fontId="14" fillId="68" borderId="0"/>
    <xf numFmtId="41" fontId="14" fillId="68" borderId="0"/>
    <xf numFmtId="0" fontId="57" fillId="70" borderId="19" applyNumberFormat="0" applyAlignment="0" applyProtection="0"/>
    <xf numFmtId="0" fontId="34" fillId="7" borderId="19" applyNumberFormat="0" applyAlignment="0" applyProtection="0"/>
    <xf numFmtId="0" fontId="58" fillId="71" borderId="27" applyNumberFormat="0" applyAlignment="0" applyProtection="0"/>
    <xf numFmtId="0" fontId="58" fillId="71" borderId="27" applyNumberFormat="0" applyAlignment="0" applyProtection="0"/>
    <xf numFmtId="170" fontId="47" fillId="0" borderId="0">
      <alignment horizontal="left" wrapText="1"/>
    </xf>
    <xf numFmtId="0" fontId="58" fillId="71" borderId="27" applyNumberFormat="0" applyAlignment="0" applyProtection="0"/>
    <xf numFmtId="170" fontId="47" fillId="0" borderId="0">
      <alignment horizontal="left" wrapText="1"/>
    </xf>
    <xf numFmtId="0" fontId="25" fillId="8" borderId="22" applyNumberFormat="0" applyAlignment="0" applyProtection="0"/>
    <xf numFmtId="0" fontId="58" fillId="71" borderId="27" applyNumberFormat="0" applyAlignment="0" applyProtection="0"/>
    <xf numFmtId="41" fontId="14" fillId="34" borderId="0"/>
    <xf numFmtId="41" fontId="14" fillId="34" borderId="0"/>
    <xf numFmtId="170" fontId="47" fillId="0" borderId="0">
      <alignment horizontal="left" wrapText="1"/>
    </xf>
    <xf numFmtId="41" fontId="14" fillId="34" borderId="0"/>
    <xf numFmtId="41" fontId="14" fillId="34" borderId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59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8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3" fontId="52" fillId="0" borderId="0" applyFont="0" applyFill="0" applyBorder="0" applyAlignment="0" applyProtection="0"/>
    <xf numFmtId="170" fontId="47" fillId="0" borderId="0">
      <alignment horizontal="left" wrapText="1"/>
    </xf>
    <xf numFmtId="43" fontId="52" fillId="0" borderId="0" applyFont="0" applyFill="0" applyBorder="0" applyAlignment="0" applyProtection="0"/>
    <xf numFmtId="170" fontId="47" fillId="0" borderId="0">
      <alignment horizontal="left" wrapText="1"/>
    </xf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7" fillId="0" borderId="0">
      <alignment horizontal="left" wrapText="1"/>
    </xf>
    <xf numFmtId="43" fontId="14" fillId="0" borderId="0" applyFont="0" applyFill="0" applyBorder="0" applyAlignment="0" applyProtection="0"/>
    <xf numFmtId="3" fontId="62" fillId="0" borderId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70" fontId="47" fillId="0" borderId="0">
      <alignment horizontal="left" wrapText="1"/>
    </xf>
    <xf numFmtId="3" fontId="62" fillId="0" borderId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1" fontId="69" fillId="0" borderId="0">
      <protection locked="0"/>
    </xf>
    <xf numFmtId="0" fontId="65" fillId="0" borderId="0"/>
    <xf numFmtId="0" fontId="66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70" fillId="0" borderId="0" applyNumberFormat="0" applyAlignment="0">
      <alignment horizontal="left"/>
    </xf>
    <xf numFmtId="0" fontId="70" fillId="0" borderId="0" applyNumberFormat="0" applyAlignment="0">
      <alignment horizontal="left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70" fillId="0" borderId="0" applyNumberFormat="0" applyAlignment="0">
      <alignment horizontal="left"/>
    </xf>
    <xf numFmtId="0" fontId="71" fillId="0" borderId="0" applyNumberFormat="0" applyAlignment="0"/>
    <xf numFmtId="0" fontId="71" fillId="0" borderId="0" applyNumberFormat="0" applyAlignment="0"/>
    <xf numFmtId="170" fontId="47" fillId="0" borderId="0">
      <alignment horizontal="left" wrapText="1"/>
    </xf>
    <xf numFmtId="170" fontId="47" fillId="0" borderId="0">
      <alignment horizontal="left" wrapText="1"/>
    </xf>
    <xf numFmtId="0" fontId="71" fillId="0" borderId="0" applyNumberFormat="0" applyAlignment="0"/>
    <xf numFmtId="0" fontId="63" fillId="0" borderId="0"/>
    <xf numFmtId="0" fontId="63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3" fillId="0" borderId="0"/>
    <xf numFmtId="0" fontId="63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72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8" fontId="6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47" fillId="0" borderId="0">
      <alignment horizontal="left" wrapText="1"/>
    </xf>
    <xf numFmtId="44" fontId="60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8" fontId="59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70" fontId="47" fillId="0" borderId="0">
      <alignment horizontal="left" wrapText="1"/>
    </xf>
    <xf numFmtId="182" fontId="14" fillId="0" borderId="0" applyFont="0" applyFill="0" applyBorder="0" applyAlignment="0" applyProtection="0"/>
    <xf numFmtId="170" fontId="47" fillId="0" borderId="0">
      <alignment horizontal="left" wrapText="1"/>
    </xf>
    <xf numFmtId="182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44" fontId="52" fillId="0" borderId="0" applyFont="0" applyFill="0" applyBorder="0" applyAlignment="0" applyProtection="0"/>
    <xf numFmtId="170" fontId="47" fillId="0" borderId="0">
      <alignment horizontal="left" wrapText="1"/>
    </xf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47" fillId="0" borderId="0">
      <alignment horizontal="left" wrapText="1"/>
    </xf>
    <xf numFmtId="44" fontId="14" fillId="0" borderId="0" applyFont="0" applyFill="0" applyBorder="0" applyAlignment="0" applyProtection="0"/>
    <xf numFmtId="5" fontId="62" fillId="0" borderId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83" fontId="14" fillId="0" borderId="0" applyFont="0" applyFill="0" applyBorder="0" applyAlignment="0" applyProtection="0"/>
    <xf numFmtId="184" fontId="7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70" fontId="47" fillId="0" borderId="0">
      <alignment horizontal="left" wrapText="1"/>
    </xf>
    <xf numFmtId="5" fontId="62" fillId="0" borderId="0" applyFill="0" applyBorder="0" applyAlignment="0" applyProtection="0"/>
    <xf numFmtId="183" fontId="14" fillId="0" borderId="0" applyFont="0" applyFill="0" applyBorder="0" applyAlignment="0" applyProtection="0"/>
    <xf numFmtId="184" fontId="62" fillId="0" borderId="0" applyFont="0" applyFill="0" applyBorder="0" applyAlignment="0" applyProtection="0"/>
    <xf numFmtId="5" fontId="62" fillId="0" borderId="0" applyFill="0" applyBorder="0" applyAlignment="0" applyProtection="0"/>
    <xf numFmtId="183" fontId="14" fillId="0" borderId="0" applyFont="0" applyFill="0" applyBorder="0" applyAlignment="0" applyProtection="0"/>
    <xf numFmtId="185" fontId="62" fillId="0" borderId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170" fontId="47" fillId="0" borderId="0">
      <alignment horizontal="left" wrapText="1"/>
    </xf>
    <xf numFmtId="185" fontId="62" fillId="0" borderId="0" applyFill="0" applyBorder="0" applyAlignment="0" applyProtection="0"/>
    <xf numFmtId="0" fontId="67" fillId="0" borderId="0" applyFont="0" applyFill="0" applyBorder="0" applyAlignment="0" applyProtection="0"/>
    <xf numFmtId="0" fontId="14" fillId="0" borderId="0" applyFont="0" applyFill="0" applyBorder="0" applyAlignment="0" applyProtection="0"/>
    <xf numFmtId="185" fontId="62" fillId="0" borderId="0" applyFill="0" applyBorder="0" applyAlignment="0" applyProtection="0"/>
    <xf numFmtId="0" fontId="74" fillId="0" borderId="0" applyFont="0" applyFill="0" applyBorder="0" applyAlignment="0" applyProtection="0"/>
    <xf numFmtId="0" fontId="51" fillId="0" borderId="0"/>
    <xf numFmtId="0" fontId="75" fillId="72" borderId="0" applyNumberFormat="0" applyBorder="0" applyAlignment="0" applyProtection="0"/>
    <xf numFmtId="0" fontId="75" fillId="72" borderId="0" applyNumberFormat="0" applyBorder="0" applyAlignment="0" applyProtection="0"/>
    <xf numFmtId="0" fontId="75" fillId="73" borderId="0" applyNumberFormat="0" applyBorder="0" applyAlignment="0" applyProtection="0"/>
    <xf numFmtId="0" fontId="75" fillId="73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170" fontId="14" fillId="0" borderId="0"/>
    <xf numFmtId="170" fontId="14" fillId="0" borderId="0"/>
    <xf numFmtId="17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/>
    <xf numFmtId="170" fontId="14" fillId="0" borderId="0"/>
    <xf numFmtId="170" fontId="47" fillId="0" borderId="0">
      <alignment horizontal="left" wrapText="1"/>
    </xf>
    <xf numFmtId="170" fontId="14" fillId="0" borderId="0"/>
    <xf numFmtId="170" fontId="47" fillId="0" borderId="0">
      <alignment horizontal="left" wrapText="1"/>
    </xf>
    <xf numFmtId="170" fontId="14" fillId="0" borderId="0"/>
    <xf numFmtId="170" fontId="47" fillId="0" borderId="0">
      <alignment horizontal="left" wrapText="1"/>
    </xf>
    <xf numFmtId="186" fontId="76" fillId="0" borderId="0"/>
    <xf numFmtId="170" fontId="47" fillId="0" borderId="0">
      <alignment horizontal="left" wrapText="1"/>
    </xf>
    <xf numFmtId="17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/>
    <xf numFmtId="170" fontId="14" fillId="0" borderId="0"/>
    <xf numFmtId="170" fontId="14" fillId="0" borderId="0"/>
    <xf numFmtId="187" fontId="14" fillId="0" borderId="0" applyFont="0" applyFill="0" applyBorder="0" applyAlignment="0" applyProtection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0" fontId="47" fillId="0" borderId="0">
      <alignment horizontal="left" wrapText="1"/>
    </xf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62" fillId="0" borderId="0" applyFill="0" applyBorder="0" applyAlignment="0" applyProtection="0"/>
    <xf numFmtId="2" fontId="67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2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2" fontId="62" fillId="0" borderId="0" applyFill="0" applyBorder="0" applyAlignment="0" applyProtection="0"/>
    <xf numFmtId="2" fontId="67" fillId="0" borderId="0" applyFont="0" applyFill="0" applyBorder="0" applyAlignment="0" applyProtection="0"/>
    <xf numFmtId="0" fontId="63" fillId="0" borderId="0"/>
    <xf numFmtId="0" fontId="63" fillId="0" borderId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30" fillId="3" borderId="0" applyNumberFormat="0" applyBorder="0" applyAlignment="0" applyProtection="0"/>
    <xf numFmtId="0" fontId="30" fillId="43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78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170" fontId="47" fillId="0" borderId="0">
      <alignment horizontal="left" wrapText="1"/>
    </xf>
    <xf numFmtId="38" fontId="42" fillId="34" borderId="0" applyNumberFormat="0" applyBorder="0" applyAlignment="0" applyProtection="0"/>
    <xf numFmtId="0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38" fontId="42" fillId="34" borderId="0" applyNumberFormat="0" applyBorder="0" applyAlignment="0" applyProtection="0"/>
    <xf numFmtId="0" fontId="79" fillId="0" borderId="25"/>
    <xf numFmtId="188" fontId="40" fillId="0" borderId="0" applyNumberFormat="0" applyFill="0" applyBorder="0" applyProtection="0">
      <alignment horizontal="right"/>
    </xf>
    <xf numFmtId="0" fontId="80" fillId="0" borderId="1" applyNumberFormat="0" applyAlignment="0" applyProtection="0">
      <alignment horizontal="left"/>
    </xf>
    <xf numFmtId="0" fontId="80" fillId="0" borderId="1" applyNumberFormat="0" applyAlignment="0" applyProtection="0">
      <alignment horizontal="left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80" fillId="0" borderId="1" applyNumberFormat="0" applyAlignment="0" applyProtection="0">
      <alignment horizontal="left"/>
    </xf>
    <xf numFmtId="170" fontId="47" fillId="0" borderId="0">
      <alignment horizontal="left" wrapText="1"/>
    </xf>
    <xf numFmtId="0" fontId="80" fillId="0" borderId="12">
      <alignment horizontal="left"/>
    </xf>
    <xf numFmtId="0" fontId="80" fillId="0" borderId="12">
      <alignment horizontal="left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80" fillId="0" borderId="12">
      <alignment horizontal="left"/>
    </xf>
    <xf numFmtId="0" fontId="80" fillId="0" borderId="12">
      <alignment horizontal="left"/>
    </xf>
    <xf numFmtId="170" fontId="47" fillId="0" borderId="0">
      <alignment horizontal="left" wrapText="1"/>
    </xf>
    <xf numFmtId="14" fontId="39" fillId="75" borderId="28">
      <alignment horizontal="center" vertical="center" wrapText="1"/>
    </xf>
    <xf numFmtId="0" fontId="67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27" fillId="0" borderId="16" applyNumberFormat="0" applyFill="0" applyAlignment="0" applyProtection="0"/>
    <xf numFmtId="0" fontId="82" fillId="0" borderId="30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82" fillId="0" borderId="30" applyNumberFormat="0" applyFill="0" applyAlignment="0" applyProtection="0"/>
    <xf numFmtId="0" fontId="27" fillId="0" borderId="16" applyNumberFormat="0" applyFill="0" applyAlignment="0" applyProtection="0"/>
    <xf numFmtId="0" fontId="82" fillId="0" borderId="30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83" fillId="0" borderId="0" applyNumberFormat="0" applyFill="0" applyBorder="0" applyAlignment="0" applyProtection="0"/>
    <xf numFmtId="170" fontId="47" fillId="0" borderId="0">
      <alignment horizontal="left" wrapText="1"/>
    </xf>
    <xf numFmtId="0" fontId="82" fillId="0" borderId="30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30" applyNumberFormat="0" applyFill="0" applyAlignment="0" applyProtection="0"/>
    <xf numFmtId="0" fontId="2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28" fillId="0" borderId="17" applyNumberFormat="0" applyFill="0" applyAlignment="0" applyProtection="0"/>
    <xf numFmtId="0" fontId="85" fillId="0" borderId="32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85" fillId="0" borderId="32" applyNumberFormat="0" applyFill="0" applyAlignment="0" applyProtection="0"/>
    <xf numFmtId="0" fontId="28" fillId="0" borderId="17" applyNumberFormat="0" applyFill="0" applyAlignment="0" applyProtection="0"/>
    <xf numFmtId="0" fontId="85" fillId="0" borderId="32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42" fillId="0" borderId="0" applyNumberFormat="0" applyFill="0" applyBorder="0" applyAlignment="0" applyProtection="0"/>
    <xf numFmtId="170" fontId="47" fillId="0" borderId="0">
      <alignment horizontal="left" wrapText="1"/>
    </xf>
    <xf numFmtId="0" fontId="85" fillId="0" borderId="32" applyNumberFormat="0" applyFill="0" applyAlignment="0" applyProtection="0"/>
    <xf numFmtId="0" fontId="42" fillId="0" borderId="0" applyNumberFormat="0" applyFill="0" applyBorder="0" applyAlignment="0" applyProtection="0"/>
    <xf numFmtId="0" fontId="85" fillId="0" borderId="32" applyNumberFormat="0" applyFill="0" applyAlignment="0" applyProtection="0"/>
    <xf numFmtId="0" fontId="28" fillId="0" borderId="17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29" fillId="0" borderId="18" applyNumberFormat="0" applyFill="0" applyAlignment="0" applyProtection="0"/>
    <xf numFmtId="0" fontId="87" fillId="0" borderId="34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8" fontId="88" fillId="0" borderId="0"/>
    <xf numFmtId="38" fontId="88" fillId="0" borderId="0"/>
    <xf numFmtId="38" fontId="88" fillId="0" borderId="0"/>
    <xf numFmtId="38" fontId="88" fillId="0" borderId="0"/>
    <xf numFmtId="170" fontId="47" fillId="0" borderId="0">
      <alignment horizontal="left" wrapText="1"/>
    </xf>
    <xf numFmtId="0" fontId="88" fillId="0" borderId="0"/>
    <xf numFmtId="0" fontId="88" fillId="0" borderId="0"/>
    <xf numFmtId="0" fontId="88" fillId="0" borderId="0"/>
    <xf numFmtId="38" fontId="88" fillId="0" borderId="0"/>
    <xf numFmtId="38" fontId="88" fillId="0" borderId="0"/>
    <xf numFmtId="38" fontId="88" fillId="0" borderId="0"/>
    <xf numFmtId="40" fontId="88" fillId="0" borderId="0"/>
    <xf numFmtId="40" fontId="88" fillId="0" borderId="0"/>
    <xf numFmtId="40" fontId="88" fillId="0" borderId="0"/>
    <xf numFmtId="40" fontId="88" fillId="0" borderId="0"/>
    <xf numFmtId="170" fontId="47" fillId="0" borderId="0">
      <alignment horizontal="left" wrapText="1"/>
    </xf>
    <xf numFmtId="0" fontId="88" fillId="0" borderId="0"/>
    <xf numFmtId="0" fontId="88" fillId="0" borderId="0"/>
    <xf numFmtId="0" fontId="88" fillId="0" borderId="0"/>
    <xf numFmtId="40" fontId="88" fillId="0" borderId="0"/>
    <xf numFmtId="40" fontId="88" fillId="0" borderId="0"/>
    <xf numFmtId="40" fontId="88" fillId="0" borderId="0"/>
    <xf numFmtId="0" fontId="41" fillId="0" borderId="0" applyNumberFormat="0" applyFill="0" applyBorder="0" applyAlignment="0" applyProtection="0">
      <alignment vertical="top"/>
      <protection locked="0"/>
    </xf>
    <xf numFmtId="170" fontId="47" fillId="0" borderId="0">
      <alignment horizontal="left" wrapText="1"/>
    </xf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70" fontId="47" fillId="0" borderId="0">
      <alignment horizontal="left" wrapText="1"/>
    </xf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170" fontId="47" fillId="0" borderId="0">
      <alignment horizontal="left" wrapText="1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32" fillId="6" borderId="19" applyNumberFormat="0" applyAlignment="0" applyProtection="0"/>
    <xf numFmtId="0" fontId="32" fillId="45" borderId="19" applyNumberFormat="0" applyAlignment="0" applyProtection="0"/>
    <xf numFmtId="0" fontId="89" fillId="42" borderId="26" applyNumberFormat="0" applyAlignment="0" applyProtection="0"/>
    <xf numFmtId="170" fontId="47" fillId="0" borderId="0">
      <alignment horizontal="left" wrapText="1"/>
    </xf>
    <xf numFmtId="0" fontId="89" fillId="42" borderId="26" applyNumberFormat="0" applyAlignment="0" applyProtection="0"/>
    <xf numFmtId="0" fontId="32" fillId="6" borderId="19" applyNumberFormat="0" applyAlignment="0" applyProtection="0"/>
    <xf numFmtId="0" fontId="32" fillId="45" borderId="19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41" fontId="38" fillId="76" borderId="35">
      <alignment horizontal="left"/>
      <protection locked="0"/>
    </xf>
    <xf numFmtId="170" fontId="47" fillId="0" borderId="0">
      <alignment horizontal="left" wrapText="1"/>
    </xf>
    <xf numFmtId="41" fontId="38" fillId="76" borderId="35">
      <alignment horizontal="left"/>
      <protection locked="0"/>
    </xf>
    <xf numFmtId="10" fontId="38" fillId="76" borderId="35">
      <alignment horizontal="right"/>
      <protection locked="0"/>
    </xf>
    <xf numFmtId="170" fontId="47" fillId="0" borderId="0">
      <alignment horizontal="left" wrapText="1"/>
    </xf>
    <xf numFmtId="10" fontId="38" fillId="76" borderId="35">
      <alignment horizontal="right"/>
      <protection locked="0"/>
    </xf>
    <xf numFmtId="170" fontId="47" fillId="0" borderId="0">
      <alignment horizontal="left" wrapText="1"/>
    </xf>
    <xf numFmtId="41" fontId="38" fillId="76" borderId="35">
      <alignment horizontal="left"/>
      <protection locked="0"/>
    </xf>
    <xf numFmtId="0" fontId="79" fillId="0" borderId="36"/>
    <xf numFmtId="0" fontId="42" fillId="34" borderId="0"/>
    <xf numFmtId="0" fontId="42" fillId="34" borderId="0"/>
    <xf numFmtId="0" fontId="42" fillId="34" borderId="0"/>
    <xf numFmtId="0" fontId="42" fillId="34" borderId="0"/>
    <xf numFmtId="170" fontId="47" fillId="0" borderId="0">
      <alignment horizontal="left" wrapText="1"/>
    </xf>
    <xf numFmtId="3" fontId="90" fillId="0" borderId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35" fillId="0" borderId="21" applyNumberFormat="0" applyFill="0" applyAlignment="0" applyProtection="0"/>
    <xf numFmtId="0" fontId="92" fillId="0" borderId="38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18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170" fontId="47" fillId="0" borderId="0">
      <alignment horizontal="left" wrapText="1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39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170" fontId="47" fillId="0" borderId="0">
      <alignment horizontal="left" wrapText="1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44" fontId="39" fillId="0" borderId="40" applyNumberFormat="0" applyFont="0" applyAlignment="0">
      <alignment horizont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44" fillId="5" borderId="0" applyNumberFormat="0" applyBorder="0" applyAlignment="0" applyProtection="0"/>
    <xf numFmtId="0" fontId="94" fillId="5" borderId="0" applyNumberForma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95" fillId="4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37" fontId="96" fillId="0" borderId="0"/>
    <xf numFmtId="37" fontId="96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37" fontId="96" fillId="0" borderId="0"/>
    <xf numFmtId="190" fontId="97" fillId="0" borderId="0"/>
    <xf numFmtId="191" fontId="14" fillId="0" borderId="0"/>
    <xf numFmtId="191" fontId="14" fillId="0" borderId="0"/>
    <xf numFmtId="170" fontId="47" fillId="0" borderId="0">
      <alignment horizontal="left" wrapText="1"/>
    </xf>
    <xf numFmtId="191" fontId="14" fillId="0" borderId="0"/>
    <xf numFmtId="191" fontId="14" fillId="0" borderId="0"/>
    <xf numFmtId="191" fontId="14" fillId="0" borderId="0"/>
    <xf numFmtId="191" fontId="14" fillId="0" borderId="0"/>
    <xf numFmtId="170" fontId="47" fillId="0" borderId="0">
      <alignment horizontal="left" wrapText="1"/>
    </xf>
    <xf numFmtId="191" fontId="14" fillId="0" borderId="0"/>
    <xf numFmtId="191" fontId="14" fillId="0" borderId="0"/>
    <xf numFmtId="191" fontId="14" fillId="0" borderId="0"/>
    <xf numFmtId="191" fontId="14" fillId="0" borderId="0"/>
    <xf numFmtId="170" fontId="47" fillId="0" borderId="0">
      <alignment horizontal="left" wrapText="1"/>
    </xf>
    <xf numFmtId="191" fontId="14" fillId="0" borderId="0"/>
    <xf numFmtId="191" fontId="14" fillId="0" borderId="0"/>
    <xf numFmtId="192" fontId="47" fillId="0" borderId="0"/>
    <xf numFmtId="192" fontId="47" fillId="0" borderId="0"/>
    <xf numFmtId="190" fontId="97" fillId="0" borderId="0"/>
    <xf numFmtId="0" fontId="14" fillId="0" borderId="0"/>
    <xf numFmtId="190" fontId="97" fillId="0" borderId="0"/>
    <xf numFmtId="193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92" fontId="47" fillId="0" borderId="0"/>
    <xf numFmtId="194" fontId="14" fillId="0" borderId="0"/>
    <xf numFmtId="195" fontId="61" fillId="0" borderId="0"/>
    <xf numFmtId="175" fontId="14" fillId="0" borderId="0">
      <alignment horizontal="left" wrapText="1"/>
    </xf>
    <xf numFmtId="175" fontId="14" fillId="0" borderId="0">
      <alignment horizontal="left" wrapText="1"/>
    </xf>
    <xf numFmtId="0" fontId="9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4" fillId="0" borderId="0" applyFill="0" applyBorder="0" applyAlignment="0" applyProtection="0"/>
    <xf numFmtId="0" fontId="9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170" fontId="14" fillId="0" borderId="0">
      <alignment horizontal="left" wrapText="1"/>
    </xf>
    <xf numFmtId="0" fontId="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9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9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191" fontId="47" fillId="0" borderId="0">
      <alignment horizontal="left" wrapText="1"/>
    </xf>
    <xf numFmtId="0" fontId="52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9" fillId="0" borderId="0"/>
    <xf numFmtId="191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14" fillId="0" borderId="0"/>
    <xf numFmtId="0" fontId="9" fillId="0" borderId="0"/>
    <xf numFmtId="191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14" fillId="0" borderId="0"/>
    <xf numFmtId="191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0" fontId="14" fillId="0" borderId="0"/>
    <xf numFmtId="191" fontId="47" fillId="0" borderId="0">
      <alignment horizontal="left" wrapText="1"/>
    </xf>
    <xf numFmtId="170" fontId="14" fillId="0" borderId="0">
      <alignment horizontal="left" wrapText="1"/>
    </xf>
    <xf numFmtId="191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91" fontId="47" fillId="0" borderId="0">
      <alignment horizontal="left" wrapText="1"/>
    </xf>
    <xf numFmtId="191" fontId="47" fillId="0" borderId="0">
      <alignment horizontal="left" wrapText="1"/>
    </xf>
    <xf numFmtId="191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91" fontId="47" fillId="0" borderId="0">
      <alignment horizontal="left" wrapText="1"/>
    </xf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8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60" fillId="0" borderId="0"/>
    <xf numFmtId="170" fontId="47" fillId="0" borderId="0">
      <alignment horizontal="left" wrapText="1"/>
    </xf>
    <xf numFmtId="0" fontId="52" fillId="0" borderId="0"/>
    <xf numFmtId="0" fontId="52" fillId="0" borderId="0"/>
    <xf numFmtId="0" fontId="60" fillId="0" borderId="0"/>
    <xf numFmtId="0" fontId="52" fillId="0" borderId="0"/>
    <xf numFmtId="0" fontId="52" fillId="0" borderId="0"/>
    <xf numFmtId="0" fontId="60" fillId="0" borderId="0"/>
    <xf numFmtId="0" fontId="52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96" fontId="14" fillId="0" borderId="0">
      <alignment horizontal="left" wrapText="1"/>
    </xf>
    <xf numFmtId="196" fontId="14" fillId="0" borderId="0">
      <alignment horizontal="left" wrapText="1"/>
    </xf>
    <xf numFmtId="170" fontId="47" fillId="0" borderId="0">
      <alignment horizontal="left" wrapText="1"/>
    </xf>
    <xf numFmtId="196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96" fontId="14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7" fontId="47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52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47" fillId="0" borderId="0"/>
    <xf numFmtId="198" fontId="47" fillId="0" borderId="0">
      <alignment horizontal="left" wrapText="1"/>
    </xf>
    <xf numFmtId="0" fontId="14" fillId="0" borderId="0"/>
    <xf numFmtId="0" fontId="14" fillId="0" borderId="0"/>
    <xf numFmtId="170" fontId="47" fillId="0" borderId="0">
      <alignment horizontal="left" wrapText="1"/>
    </xf>
    <xf numFmtId="172" fontId="47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174" fontId="14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>
      <alignment horizontal="left" wrapText="1"/>
    </xf>
    <xf numFmtId="166" fontId="14" fillId="0" borderId="0">
      <alignment horizontal="left" wrapText="1"/>
    </xf>
    <xf numFmtId="0" fontId="52" fillId="0" borderId="0"/>
    <xf numFmtId="166" fontId="14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170" fontId="14" fillId="0" borderId="0">
      <alignment horizontal="left" wrapText="1"/>
    </xf>
    <xf numFmtId="0" fontId="72" fillId="0" borderId="0"/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39" fontId="99" fillId="0" borderId="0" applyNumberForma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39" fontId="99" fillId="0" borderId="0" applyNumberFormat="0" applyFill="0" applyBorder="0" applyAlignment="0" applyProtection="0"/>
    <xf numFmtId="170" fontId="47" fillId="0" borderId="0">
      <alignment horizontal="left" wrapText="1"/>
    </xf>
    <xf numFmtId="0" fontId="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70" fontId="47" fillId="0" borderId="0">
      <alignment horizontal="left" wrapText="1"/>
    </xf>
    <xf numFmtId="0" fontId="14" fillId="0" borderId="0"/>
    <xf numFmtId="170" fontId="14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7" fillId="0" borderId="0">
      <alignment horizontal="left" wrapText="1"/>
    </xf>
    <xf numFmtId="0" fontId="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14" fillId="0" borderId="0"/>
    <xf numFmtId="170" fontId="47" fillId="0" borderId="0">
      <alignment horizontal="left" wrapText="1"/>
    </xf>
    <xf numFmtId="172" fontId="47" fillId="0" borderId="0">
      <alignment horizontal="left" wrapText="1"/>
    </xf>
    <xf numFmtId="0" fontId="14" fillId="0" borderId="0"/>
    <xf numFmtId="0" fontId="14" fillId="0" borderId="0"/>
    <xf numFmtId="199" fontId="14" fillId="0" borderId="0">
      <alignment horizontal="left" wrapText="1"/>
    </xf>
    <xf numFmtId="0" fontId="14" fillId="0" borderId="0"/>
    <xf numFmtId="0" fontId="9" fillId="0" borderId="0"/>
    <xf numFmtId="0" fontId="14" fillId="0" borderId="0"/>
    <xf numFmtId="0" fontId="14" fillId="0" borderId="0"/>
    <xf numFmtId="0" fontId="52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170" fontId="14" fillId="0" borderId="0">
      <alignment horizontal="left" wrapText="1"/>
    </xf>
    <xf numFmtId="0" fontId="60" fillId="0" borderId="0"/>
    <xf numFmtId="170" fontId="14" fillId="0" borderId="0">
      <alignment horizontal="left" wrapText="1"/>
    </xf>
    <xf numFmtId="170" fontId="47" fillId="0" borderId="0">
      <alignment horizontal="left" wrapText="1"/>
    </xf>
    <xf numFmtId="0" fontId="60" fillId="0" borderId="0"/>
    <xf numFmtId="170" fontId="14" fillId="0" borderId="0">
      <alignment horizontal="left" wrapText="1"/>
    </xf>
    <xf numFmtId="0" fontId="60" fillId="0" borderId="0"/>
    <xf numFmtId="170" fontId="14" fillId="0" borderId="0">
      <alignment horizontal="left" wrapText="1"/>
    </xf>
    <xf numFmtId="170" fontId="47" fillId="0" borderId="0">
      <alignment horizontal="left" wrapText="1"/>
    </xf>
    <xf numFmtId="0" fontId="6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52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2" fontId="47" fillId="0" borderId="0">
      <alignment horizontal="left" wrapText="1"/>
    </xf>
    <xf numFmtId="172" fontId="47" fillId="0" borderId="0">
      <alignment horizontal="left" wrapText="1"/>
    </xf>
    <xf numFmtId="0" fontId="14" fillId="0" borderId="0"/>
    <xf numFmtId="0" fontId="14" fillId="0" borderId="0"/>
    <xf numFmtId="0" fontId="9" fillId="0" borderId="0"/>
    <xf numFmtId="0" fontId="9" fillId="0" borderId="0"/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52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0" fontId="9" fillId="0" borderId="0"/>
    <xf numFmtId="0" fontId="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0" fontId="14" fillId="0" borderId="0"/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2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0" fontId="14" fillId="0" borderId="0"/>
    <xf numFmtId="0" fontId="9" fillId="0" borderId="0"/>
    <xf numFmtId="0" fontId="9" fillId="0" borderId="0"/>
    <xf numFmtId="0" fontId="98" fillId="0" borderId="0"/>
    <xf numFmtId="20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2" fillId="0" borderId="0"/>
    <xf numFmtId="0" fontId="14" fillId="0" borderId="0"/>
    <xf numFmtId="0" fontId="14" fillId="0" borderId="0"/>
    <xf numFmtId="170" fontId="47" fillId="0" borderId="0">
      <alignment horizontal="left" wrapText="1"/>
    </xf>
    <xf numFmtId="170" fontId="47" fillId="0" borderId="0">
      <alignment horizontal="left" wrapText="1"/>
    </xf>
    <xf numFmtId="0" fontId="9" fillId="0" borderId="0"/>
    <xf numFmtId="0" fontId="9" fillId="0" borderId="0"/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14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14" fillId="40" borderId="41" applyNumberFormat="0" applyFont="0" applyAlignment="0" applyProtection="0"/>
    <xf numFmtId="170" fontId="47" fillId="0" borderId="0">
      <alignment horizontal="left" wrapText="1"/>
    </xf>
    <xf numFmtId="0" fontId="14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47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170" fontId="47" fillId="0" borderId="0">
      <alignment horizontal="left" wrapTex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170" fontId="47" fillId="0" borderId="0">
      <alignment horizontal="left" wrapTex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9" borderId="23" applyNumberFormat="0" applyFont="0" applyAlignment="0" applyProtection="0"/>
    <xf numFmtId="0" fontId="52" fillId="9" borderId="23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170" fontId="47" fillId="0" borderId="0">
      <alignment horizontal="left" wrapText="1"/>
    </xf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33" fillId="7" borderId="20" applyNumberFormat="0" applyAlignment="0" applyProtection="0"/>
    <xf numFmtId="0" fontId="33" fillId="70" borderId="20" applyNumberFormat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100" fillId="70" borderId="42" applyNumberFormat="0" applyAlignment="0" applyProtection="0"/>
    <xf numFmtId="0" fontId="33" fillId="70" borderId="20" applyNumberFormat="0" applyAlignment="0" applyProtection="0"/>
    <xf numFmtId="0" fontId="33" fillId="70" borderId="20" applyNumberFormat="0" applyAlignment="0" applyProtection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171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0" fontId="14" fillId="0" borderId="35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73" fillId="0" borderId="0" applyFont="0" applyFill="0" applyBorder="0" applyAlignment="0" applyProtection="0"/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0" fontId="14" fillId="0" borderId="35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9" fontId="60" fillId="0" borderId="0" applyFont="0" applyFill="0" applyBorder="0" applyAlignment="0" applyProtection="0"/>
    <xf numFmtId="10" fontId="14" fillId="0" borderId="35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0" fontId="14" fillId="0" borderId="35"/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9" fillId="0" borderId="0" applyFont="0" applyFill="0" applyBorder="0" applyAlignment="0" applyProtection="0"/>
    <xf numFmtId="10" fontId="14" fillId="0" borderId="35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4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35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0" borderId="35"/>
    <xf numFmtId="9" fontId="59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9" fontId="60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9" fontId="60" fillId="0" borderId="0" applyFont="0" applyFill="0" applyBorder="0" applyAlignment="0" applyProtection="0"/>
    <xf numFmtId="10" fontId="14" fillId="0" borderId="35"/>
    <xf numFmtId="9" fontId="60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9" fontId="60" fillId="0" borderId="0" applyFont="0" applyFill="0" applyBorder="0" applyAlignment="0" applyProtection="0"/>
    <xf numFmtId="10" fontId="14" fillId="0" borderId="35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0" borderId="35"/>
    <xf numFmtId="10" fontId="14" fillId="0" borderId="35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35"/>
    <xf numFmtId="170" fontId="47" fillId="0" borderId="0">
      <alignment horizontal="left" wrapText="1"/>
    </xf>
    <xf numFmtId="10" fontId="14" fillId="0" borderId="35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0" fontId="14" fillId="0" borderId="35"/>
    <xf numFmtId="10" fontId="14" fillId="0" borderId="35"/>
    <xf numFmtId="10" fontId="14" fillId="0" borderId="35"/>
    <xf numFmtId="10" fontId="14" fillId="0" borderId="35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170" fontId="47" fillId="0" borderId="0">
      <alignment horizontal="left" wrapText="1"/>
    </xf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47" fillId="0" borderId="0">
      <alignment horizontal="left" wrapText="1"/>
    </xf>
    <xf numFmtId="9" fontId="59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4" fillId="0" borderId="35"/>
    <xf numFmtId="10" fontId="14" fillId="0" borderId="35"/>
    <xf numFmtId="10" fontId="14" fillId="0" borderId="35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47" fillId="0" borderId="0">
      <alignment horizontal="left" wrapText="1"/>
    </xf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10" fontId="14" fillId="0" borderId="35"/>
    <xf numFmtId="41" fontId="14" fillId="77" borderId="35"/>
    <xf numFmtId="41" fontId="14" fillId="77" borderId="35"/>
    <xf numFmtId="170" fontId="47" fillId="0" borderId="0">
      <alignment horizontal="left" wrapText="1"/>
    </xf>
    <xf numFmtId="41" fontId="14" fillId="77" borderId="35"/>
    <xf numFmtId="41" fontId="14" fillId="77" borderId="35"/>
    <xf numFmtId="170" fontId="47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" fontId="60" fillId="0" borderId="0" applyFont="0" applyFill="0" applyBorder="0" applyAlignment="0" applyProtection="0"/>
    <xf numFmtId="0" fontId="101" fillId="0" borderId="28">
      <alignment horizontal="center"/>
    </xf>
    <xf numFmtId="0" fontId="101" fillId="0" borderId="28">
      <alignment horizontal="center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01" fillId="0" borderId="28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3" fontId="60" fillId="0" borderId="0" applyFont="0" applyFill="0" applyBorder="0" applyAlignment="0" applyProtection="0"/>
    <xf numFmtId="0" fontId="60" fillId="78" borderId="0" applyNumberFormat="0" applyFont="0" applyBorder="0" applyAlignment="0" applyProtection="0"/>
    <xf numFmtId="0" fontId="60" fillId="78" borderId="0" applyNumberFormat="0" applyFont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60" fillId="78" borderId="0" applyNumberFormat="0" applyFont="0" applyBorder="0" applyAlignment="0" applyProtection="0"/>
    <xf numFmtId="0" fontId="65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3" fontId="102" fillId="0" borderId="0" applyFill="0" applyBorder="0" applyAlignment="0" applyProtection="0"/>
    <xf numFmtId="0" fontId="103" fillId="0" borderId="0"/>
    <xf numFmtId="0" fontId="104" fillId="0" borderId="0"/>
    <xf numFmtId="0" fontId="104" fillId="0" borderId="0"/>
    <xf numFmtId="0" fontId="103" fillId="0" borderId="0"/>
    <xf numFmtId="0" fontId="104" fillId="0" borderId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3" fontId="102" fillId="0" borderId="0" applyFill="0" applyBorder="0" applyAlignment="0" applyProtection="0"/>
    <xf numFmtId="42" fontId="14" fillId="68" borderId="0"/>
    <xf numFmtId="0" fontId="64" fillId="79" borderId="0"/>
    <xf numFmtId="0" fontId="105" fillId="79" borderId="36"/>
    <xf numFmtId="0" fontId="106" fillId="80" borderId="43"/>
    <xf numFmtId="0" fontId="107" fillId="79" borderId="44"/>
    <xf numFmtId="42" fontId="14" fillId="68" borderId="0"/>
    <xf numFmtId="170" fontId="47" fillId="0" borderId="0">
      <alignment horizontal="left" wrapText="1"/>
    </xf>
    <xf numFmtId="42" fontId="14" fillId="68" borderId="0"/>
    <xf numFmtId="170" fontId="47" fillId="0" borderId="0">
      <alignment horizontal="left" wrapText="1"/>
    </xf>
    <xf numFmtId="42" fontId="14" fillId="68" borderId="0"/>
    <xf numFmtId="42" fontId="14" fillId="68" borderId="0"/>
    <xf numFmtId="42" fontId="14" fillId="68" borderId="45">
      <alignment vertical="center"/>
    </xf>
    <xf numFmtId="42" fontId="14" fillId="68" borderId="45">
      <alignment vertical="center"/>
    </xf>
    <xf numFmtId="170" fontId="47" fillId="0" borderId="0">
      <alignment horizontal="left" wrapText="1"/>
    </xf>
    <xf numFmtId="42" fontId="14" fillId="68" borderId="45">
      <alignment vertical="center"/>
    </xf>
    <xf numFmtId="170" fontId="47" fillId="0" borderId="0">
      <alignment horizontal="left" wrapText="1"/>
    </xf>
    <xf numFmtId="42" fontId="14" fillId="68" borderId="45">
      <alignment vertical="center"/>
    </xf>
    <xf numFmtId="170" fontId="47" fillId="0" borderId="0">
      <alignment horizontal="left" wrapText="1"/>
    </xf>
    <xf numFmtId="0" fontId="39" fillId="68" borderId="7" applyNumberFormat="0">
      <alignment horizontal="center" vertical="center" wrapText="1"/>
    </xf>
    <xf numFmtId="0" fontId="39" fillId="68" borderId="7" applyNumberFormat="0">
      <alignment horizontal="center" vertical="center" wrapText="1"/>
    </xf>
    <xf numFmtId="0" fontId="39" fillId="68" borderId="7" applyNumberFormat="0">
      <alignment horizontal="center" vertical="center" wrapText="1"/>
    </xf>
    <xf numFmtId="170" fontId="47" fillId="0" borderId="0">
      <alignment horizontal="left" wrapText="1"/>
    </xf>
    <xf numFmtId="10" fontId="14" fillId="68" borderId="0"/>
    <xf numFmtId="10" fontId="14" fillId="68" borderId="0"/>
    <xf numFmtId="10" fontId="14" fillId="68" borderId="0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68" borderId="0"/>
    <xf numFmtId="10" fontId="14" fillId="68" borderId="0"/>
    <xf numFmtId="170" fontId="47" fillId="0" borderId="0">
      <alignment horizontal="left" wrapText="1"/>
    </xf>
    <xf numFmtId="10" fontId="14" fillId="68" borderId="0"/>
    <xf numFmtId="170" fontId="47" fillId="0" borderId="0">
      <alignment horizontal="left" wrapText="1"/>
    </xf>
    <xf numFmtId="10" fontId="14" fillId="68" borderId="0"/>
    <xf numFmtId="170" fontId="47" fillId="0" borderId="0">
      <alignment horizontal="left" wrapText="1"/>
    </xf>
    <xf numFmtId="10" fontId="14" fillId="68" borderId="0"/>
    <xf numFmtId="170" fontId="47" fillId="0" borderId="0">
      <alignment horizontal="left" wrapText="1"/>
    </xf>
    <xf numFmtId="170" fontId="47" fillId="0" borderId="0">
      <alignment horizontal="left" wrapText="1"/>
    </xf>
    <xf numFmtId="10" fontId="14" fillId="68" borderId="0"/>
    <xf numFmtId="10" fontId="14" fillId="68" borderId="0"/>
    <xf numFmtId="10" fontId="14" fillId="68" borderId="0"/>
    <xf numFmtId="200" fontId="14" fillId="68" borderId="0"/>
    <xf numFmtId="200" fontId="14" fillId="68" borderId="0"/>
    <xf numFmtId="200" fontId="14" fillId="68" borderId="0"/>
    <xf numFmtId="170" fontId="47" fillId="0" borderId="0">
      <alignment horizontal="left" wrapText="1"/>
    </xf>
    <xf numFmtId="170" fontId="47" fillId="0" borderId="0">
      <alignment horizontal="left" wrapText="1"/>
    </xf>
    <xf numFmtId="200" fontId="14" fillId="68" borderId="0"/>
    <xf numFmtId="200" fontId="14" fillId="68" borderId="0"/>
    <xf numFmtId="170" fontId="47" fillId="0" borderId="0">
      <alignment horizontal="left" wrapText="1"/>
    </xf>
    <xf numFmtId="200" fontId="14" fillId="68" borderId="0"/>
    <xf numFmtId="170" fontId="47" fillId="0" borderId="0">
      <alignment horizontal="left" wrapText="1"/>
    </xf>
    <xf numFmtId="200" fontId="14" fillId="68" borderId="0"/>
    <xf numFmtId="170" fontId="47" fillId="0" borderId="0">
      <alignment horizontal="left" wrapText="1"/>
    </xf>
    <xf numFmtId="200" fontId="14" fillId="68" borderId="0"/>
    <xf numFmtId="170" fontId="47" fillId="0" borderId="0">
      <alignment horizontal="left" wrapText="1"/>
    </xf>
    <xf numFmtId="170" fontId="47" fillId="0" borderId="0">
      <alignment horizontal="left" wrapText="1"/>
    </xf>
    <xf numFmtId="200" fontId="14" fillId="68" borderId="0"/>
    <xf numFmtId="200" fontId="14" fillId="68" borderId="0"/>
    <xf numFmtId="200" fontId="14" fillId="68" borderId="0"/>
    <xf numFmtId="42" fontId="14" fillId="68" borderId="0"/>
    <xf numFmtId="168" fontId="88" fillId="0" borderId="0" applyBorder="0" applyAlignment="0"/>
    <xf numFmtId="168" fontId="88" fillId="0" borderId="0" applyBorder="0" applyAlignment="0"/>
    <xf numFmtId="168" fontId="88" fillId="0" borderId="0" applyBorder="0" applyAlignment="0"/>
    <xf numFmtId="42" fontId="14" fillId="68" borderId="3">
      <alignment horizontal="left"/>
    </xf>
    <xf numFmtId="42" fontId="14" fillId="68" borderId="3">
      <alignment horizontal="left"/>
    </xf>
    <xf numFmtId="170" fontId="47" fillId="0" borderId="0">
      <alignment horizontal="left" wrapText="1"/>
    </xf>
    <xf numFmtId="42" fontId="14" fillId="68" borderId="3">
      <alignment horizontal="left"/>
    </xf>
    <xf numFmtId="170" fontId="47" fillId="0" borderId="0">
      <alignment horizontal="left" wrapText="1"/>
    </xf>
    <xf numFmtId="42" fontId="14" fillId="68" borderId="3">
      <alignment horizontal="left"/>
    </xf>
    <xf numFmtId="170" fontId="47" fillId="0" borderId="0">
      <alignment horizontal="left" wrapText="1"/>
    </xf>
    <xf numFmtId="200" fontId="108" fillId="68" borderId="3">
      <alignment horizontal="left"/>
    </xf>
    <xf numFmtId="170" fontId="47" fillId="0" borderId="0">
      <alignment horizontal="left" wrapText="1"/>
    </xf>
    <xf numFmtId="200" fontId="108" fillId="68" borderId="3">
      <alignment horizontal="left"/>
    </xf>
    <xf numFmtId="168" fontId="88" fillId="0" borderId="0" applyBorder="0" applyAlignment="0"/>
    <xf numFmtId="14" fontId="47" fillId="0" borderId="0" applyNumberFormat="0" applyFill="0" applyBorder="0" applyAlignment="0" applyProtection="0">
      <alignment horizontal="left"/>
    </xf>
    <xf numFmtId="14" fontId="47" fillId="0" borderId="0" applyNumberFormat="0" applyFill="0" applyBorder="0" applyAlignment="0" applyProtection="0">
      <alignment horizontal="left"/>
    </xf>
    <xf numFmtId="201" fontId="14" fillId="0" borderId="0" applyFont="0" applyFill="0" applyAlignment="0">
      <alignment horizontal="right"/>
    </xf>
    <xf numFmtId="201" fontId="14" fillId="0" borderId="0" applyFont="0" applyFill="0" applyAlignment="0">
      <alignment horizontal="right"/>
    </xf>
    <xf numFmtId="201" fontId="14" fillId="0" borderId="0" applyFont="0" applyFill="0" applyAlignment="0">
      <alignment horizontal="right"/>
    </xf>
    <xf numFmtId="170" fontId="47" fillId="0" borderId="0">
      <alignment horizontal="left" wrapText="1"/>
    </xf>
    <xf numFmtId="170" fontId="47" fillId="0" borderId="0">
      <alignment horizontal="left" wrapText="1"/>
    </xf>
    <xf numFmtId="201" fontId="14" fillId="0" borderId="0" applyFont="0" applyFill="0" applyAlignment="0">
      <alignment horizontal="right"/>
    </xf>
    <xf numFmtId="201" fontId="14" fillId="0" borderId="0" applyFont="0" applyFill="0" applyAlignment="0">
      <alignment horizontal="right"/>
    </xf>
    <xf numFmtId="170" fontId="47" fillId="0" borderId="0">
      <alignment horizontal="left" wrapText="1"/>
    </xf>
    <xf numFmtId="201" fontId="14" fillId="0" borderId="0" applyFont="0" applyFill="0" applyAlignment="0">
      <alignment horizontal="right"/>
    </xf>
    <xf numFmtId="170" fontId="47" fillId="0" borderId="0">
      <alignment horizontal="left" wrapText="1"/>
    </xf>
    <xf numFmtId="201" fontId="14" fillId="0" borderId="0" applyFont="0" applyFill="0" applyAlignment="0">
      <alignment horizontal="right"/>
    </xf>
    <xf numFmtId="170" fontId="47" fillId="0" borderId="0">
      <alignment horizontal="left" wrapText="1"/>
    </xf>
    <xf numFmtId="201" fontId="14" fillId="0" borderId="0" applyFont="0" applyFill="0" applyAlignment="0">
      <alignment horizontal="right"/>
    </xf>
    <xf numFmtId="170" fontId="47" fillId="0" borderId="0">
      <alignment horizontal="left" wrapText="1"/>
    </xf>
    <xf numFmtId="170" fontId="47" fillId="0" borderId="0">
      <alignment horizontal="left" wrapText="1"/>
    </xf>
    <xf numFmtId="201" fontId="14" fillId="0" borderId="0" applyFont="0" applyFill="0" applyAlignment="0">
      <alignment horizontal="right"/>
    </xf>
    <xf numFmtId="201" fontId="14" fillId="0" borderId="0" applyFont="0" applyFill="0" applyAlignment="0">
      <alignment horizontal="right"/>
    </xf>
    <xf numFmtId="4" fontId="109" fillId="76" borderId="42" applyNumberFormat="0" applyProtection="0">
      <alignment vertical="center"/>
    </xf>
    <xf numFmtId="170" fontId="47" fillId="0" borderId="0">
      <alignment horizontal="left" wrapText="1"/>
    </xf>
    <xf numFmtId="4" fontId="109" fillId="76" borderId="42" applyNumberFormat="0" applyProtection="0">
      <alignment vertical="center"/>
    </xf>
    <xf numFmtId="4" fontId="110" fillId="76" borderId="42" applyNumberFormat="0" applyProtection="0">
      <alignment vertical="center"/>
    </xf>
    <xf numFmtId="170" fontId="47" fillId="0" borderId="0">
      <alignment horizontal="left" wrapText="1"/>
    </xf>
    <xf numFmtId="4" fontId="110" fillId="76" borderId="42" applyNumberFormat="0" applyProtection="0">
      <alignment vertical="center"/>
    </xf>
    <xf numFmtId="4" fontId="109" fillId="76" borderId="42" applyNumberFormat="0" applyProtection="0">
      <alignment horizontal="left" vertical="center" indent="1"/>
    </xf>
    <xf numFmtId="170" fontId="47" fillId="0" borderId="0">
      <alignment horizontal="left" wrapTex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170" fontId="47" fillId="0" borderId="0">
      <alignment horizontal="left" wrapText="1"/>
    </xf>
    <xf numFmtId="4" fontId="109" fillId="7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82" borderId="0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83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3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4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5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6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7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8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89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90" borderId="42" applyNumberFormat="0" applyProtection="0">
      <alignment horizontal="right" vertical="center"/>
    </xf>
    <xf numFmtId="4" fontId="109" fillId="91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91" borderId="42" applyNumberFormat="0" applyProtection="0">
      <alignment horizontal="right" vertical="center"/>
    </xf>
    <xf numFmtId="4" fontId="111" fillId="92" borderId="42" applyNumberFormat="0" applyProtection="0">
      <alignment horizontal="left" vertical="center" indent="1"/>
    </xf>
    <xf numFmtId="4" fontId="111" fillId="93" borderId="0" applyNumberFormat="0" applyProtection="0">
      <alignment horizontal="left" vertical="center" indent="1"/>
    </xf>
    <xf numFmtId="4" fontId="111" fillId="93" borderId="0" applyNumberFormat="0" applyProtection="0">
      <alignment horizontal="left" vertical="center" indent="1"/>
    </xf>
    <xf numFmtId="4" fontId="111" fillId="92" borderId="42" applyNumberFormat="0" applyProtection="0">
      <alignment horizontal="left" vertical="center" indent="1"/>
    </xf>
    <xf numFmtId="4" fontId="109" fillId="94" borderId="46" applyNumberFormat="0" applyProtection="0">
      <alignment horizontal="left" vertical="center" indent="1"/>
    </xf>
    <xf numFmtId="4" fontId="109" fillId="94" borderId="0" applyNumberFormat="0" applyProtection="0">
      <alignment horizontal="left" vertical="center" indent="1"/>
    </xf>
    <xf numFmtId="4" fontId="109" fillId="94" borderId="0" applyNumberFormat="0" applyProtection="0">
      <alignment horizontal="left" vertical="center" indent="1"/>
    </xf>
    <xf numFmtId="4" fontId="112" fillId="95" borderId="0" applyNumberFormat="0" applyProtection="0">
      <alignment horizontal="left" vertical="center" indent="1"/>
    </xf>
    <xf numFmtId="4" fontId="112" fillId="95" borderId="0" applyNumberFormat="0" applyProtection="0">
      <alignment horizontal="left" vertical="center" indent="1"/>
    </xf>
    <xf numFmtId="4" fontId="112" fillId="95" borderId="0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96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96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96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70" borderId="13" applyNumberFormat="0">
      <protection locked="0"/>
    </xf>
    <xf numFmtId="0" fontId="14" fillId="70" borderId="13" applyNumberFormat="0">
      <protection locked="0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88" fillId="65" borderId="47" applyBorder="0"/>
    <xf numFmtId="4" fontId="109" fillId="98" borderId="42" applyNumberFormat="0" applyProtection="0">
      <alignment vertical="center"/>
    </xf>
    <xf numFmtId="170" fontId="47" fillId="0" borderId="0">
      <alignment horizontal="left" wrapText="1"/>
    </xf>
    <xf numFmtId="4" fontId="109" fillId="98" borderId="42" applyNumberFormat="0" applyProtection="0">
      <alignment vertical="center"/>
    </xf>
    <xf numFmtId="4" fontId="110" fillId="98" borderId="42" applyNumberFormat="0" applyProtection="0">
      <alignment vertical="center"/>
    </xf>
    <xf numFmtId="170" fontId="47" fillId="0" borderId="0">
      <alignment horizontal="left" wrapText="1"/>
    </xf>
    <xf numFmtId="4" fontId="110" fillId="98" borderId="42" applyNumberFormat="0" applyProtection="0">
      <alignment vertical="center"/>
    </xf>
    <xf numFmtId="4" fontId="109" fillId="98" borderId="42" applyNumberFormat="0" applyProtection="0">
      <alignment horizontal="left" vertical="center" indent="1"/>
    </xf>
    <xf numFmtId="170" fontId="47" fillId="0" borderId="0">
      <alignment horizontal="left" wrapTex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170" fontId="47" fillId="0" borderId="0">
      <alignment horizontal="left" wrapText="1"/>
    </xf>
    <xf numFmtId="4" fontId="109" fillId="98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170" fontId="47" fillId="0" borderId="0">
      <alignment horizontal="left" wrapText="1"/>
    </xf>
    <xf numFmtId="4" fontId="109" fillId="94" borderId="42" applyNumberFormat="0" applyProtection="0">
      <alignment horizontal="right" vertical="center"/>
    </xf>
    <xf numFmtId="4" fontId="110" fillId="94" borderId="42" applyNumberFormat="0" applyProtection="0">
      <alignment horizontal="right" vertical="center"/>
    </xf>
    <xf numFmtId="170" fontId="47" fillId="0" borderId="0">
      <alignment horizontal="left" wrapText="1"/>
    </xf>
    <xf numFmtId="4" fontId="110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170" fontId="47" fillId="0" borderId="0">
      <alignment horizontal="left" wrapText="1"/>
    </xf>
    <xf numFmtId="170" fontId="47" fillId="0" borderId="0">
      <alignment horizontal="left" wrapTex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14" fillId="0" borderId="0"/>
    <xf numFmtId="0" fontId="114" fillId="0" borderId="0"/>
    <xf numFmtId="0" fontId="115" fillId="0" borderId="0" applyNumberFormat="0" applyProtection="0">
      <alignment horizontal="left" indent="5"/>
    </xf>
    <xf numFmtId="0" fontId="42" fillId="99" borderId="13"/>
    <xf numFmtId="4" fontId="116" fillId="94" borderId="42" applyNumberFormat="0" applyProtection="0">
      <alignment horizontal="right" vertical="center"/>
    </xf>
    <xf numFmtId="170" fontId="47" fillId="0" borderId="0">
      <alignment horizontal="left" wrapText="1"/>
    </xf>
    <xf numFmtId="4" fontId="116" fillId="94" borderId="42" applyNumberFormat="0" applyProtection="0">
      <alignment horizontal="right" vertical="center"/>
    </xf>
    <xf numFmtId="39" fontId="14" fillId="100" borderId="0"/>
    <xf numFmtId="39" fontId="14" fillId="100" borderId="0"/>
    <xf numFmtId="39" fontId="14" fillId="100" borderId="0"/>
    <xf numFmtId="170" fontId="47" fillId="0" borderId="0">
      <alignment horizontal="left" wrapText="1"/>
    </xf>
    <xf numFmtId="170" fontId="47" fillId="0" borderId="0">
      <alignment horizontal="left" wrapText="1"/>
    </xf>
    <xf numFmtId="39" fontId="14" fillId="100" borderId="0"/>
    <xf numFmtId="39" fontId="14" fillId="100" borderId="0"/>
    <xf numFmtId="170" fontId="47" fillId="0" borderId="0">
      <alignment horizontal="left" wrapText="1"/>
    </xf>
    <xf numFmtId="39" fontId="14" fillId="100" borderId="0"/>
    <xf numFmtId="170" fontId="47" fillId="0" borderId="0">
      <alignment horizontal="left" wrapText="1"/>
    </xf>
    <xf numFmtId="39" fontId="14" fillId="100" borderId="0"/>
    <xf numFmtId="170" fontId="47" fillId="0" borderId="0">
      <alignment horizontal="left" wrapText="1"/>
    </xf>
    <xf numFmtId="39" fontId="14" fillId="100" borderId="0"/>
    <xf numFmtId="170" fontId="47" fillId="0" borderId="0">
      <alignment horizontal="left" wrapText="1"/>
    </xf>
    <xf numFmtId="170" fontId="47" fillId="0" borderId="0">
      <alignment horizontal="left" wrapText="1"/>
    </xf>
    <xf numFmtId="39" fontId="14" fillId="100" borderId="0"/>
    <xf numFmtId="39" fontId="14" fillId="100" borderId="0"/>
    <xf numFmtId="39" fontId="14" fillId="100" borderId="0"/>
    <xf numFmtId="0" fontId="117" fillId="0" borderId="0" applyNumberFormat="0" applyFill="0" applyBorder="0" applyAlignment="0" applyProtection="0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38" fontId="42" fillId="0" borderId="48"/>
    <xf numFmtId="170" fontId="47" fillId="0" borderId="0">
      <alignment horizontal="left" wrapText="1"/>
    </xf>
    <xf numFmtId="38" fontId="42" fillId="0" borderId="48"/>
    <xf numFmtId="0" fontId="42" fillId="0" borderId="48"/>
    <xf numFmtId="38" fontId="42" fillId="0" borderId="48"/>
    <xf numFmtId="38" fontId="42" fillId="0" borderId="48"/>
    <xf numFmtId="38" fontId="42" fillId="0" borderId="48"/>
    <xf numFmtId="38" fontId="88" fillId="0" borderId="3"/>
    <xf numFmtId="38" fontId="88" fillId="0" borderId="3"/>
    <xf numFmtId="38" fontId="88" fillId="0" borderId="3"/>
    <xf numFmtId="38" fontId="88" fillId="0" borderId="3"/>
    <xf numFmtId="170" fontId="47" fillId="0" borderId="0">
      <alignment horizontal="left" wrapText="1"/>
    </xf>
    <xf numFmtId="0" fontId="88" fillId="0" borderId="3"/>
    <xf numFmtId="0" fontId="88" fillId="0" borderId="3"/>
    <xf numFmtId="0" fontId="88" fillId="0" borderId="3"/>
    <xf numFmtId="38" fontId="88" fillId="0" borderId="3"/>
    <xf numFmtId="38" fontId="88" fillId="0" borderId="3"/>
    <xf numFmtId="38" fontId="88" fillId="0" borderId="3"/>
    <xf numFmtId="38" fontId="88" fillId="0" borderId="3"/>
    <xf numFmtId="39" fontId="47" fillId="101" borderId="0"/>
    <xf numFmtId="39" fontId="47" fillId="101" borderId="0"/>
    <xf numFmtId="170" fontId="14" fillId="0" borderId="0">
      <alignment horizontal="left" wrapText="1"/>
    </xf>
    <xf numFmtId="173" fontId="14" fillId="0" borderId="0">
      <alignment horizontal="left" wrapText="1"/>
    </xf>
    <xf numFmtId="196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200" fontId="14" fillId="0" borderId="0">
      <alignment horizontal="left" wrapText="1"/>
    </xf>
    <xf numFmtId="200" fontId="14" fillId="0" borderId="0">
      <alignment horizontal="left" wrapText="1"/>
    </xf>
    <xf numFmtId="200" fontId="14" fillId="0" borderId="0">
      <alignment horizontal="left" wrapText="1"/>
    </xf>
    <xf numFmtId="171" fontId="14" fillId="0" borderId="0">
      <alignment horizontal="left" wrapText="1"/>
    </xf>
    <xf numFmtId="200" fontId="14" fillId="0" borderId="0">
      <alignment horizontal="left" wrapText="1"/>
    </xf>
    <xf numFmtId="20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47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4" fontId="14" fillId="0" borderId="0">
      <alignment horizontal="left" wrapText="1"/>
    </xf>
    <xf numFmtId="174" fontId="14" fillId="0" borderId="0">
      <alignment horizontal="left" wrapText="1"/>
    </xf>
    <xf numFmtId="170" fontId="47" fillId="0" borderId="0">
      <alignment horizontal="left" wrapText="1"/>
    </xf>
    <xf numFmtId="170" fontId="47" fillId="0" borderId="0">
      <alignment horizontal="left" wrapText="1"/>
    </xf>
    <xf numFmtId="174" fontId="14" fillId="0" borderId="0">
      <alignment horizontal="left" wrapText="1"/>
    </xf>
    <xf numFmtId="173" fontId="14" fillId="0" borderId="0">
      <alignment horizontal="left" wrapText="1"/>
    </xf>
    <xf numFmtId="173" fontId="14" fillId="0" borderId="0">
      <alignment horizontal="left" wrapText="1"/>
    </xf>
    <xf numFmtId="170" fontId="47" fillId="0" borderId="0">
      <alignment horizontal="left" wrapText="1"/>
    </xf>
    <xf numFmtId="197" fontId="14" fillId="0" borderId="0">
      <alignment horizontal="left" wrapText="1"/>
    </xf>
    <xf numFmtId="197" fontId="14" fillId="0" borderId="0">
      <alignment horizontal="left" wrapText="1"/>
    </xf>
    <xf numFmtId="197" fontId="14" fillId="0" borderId="0">
      <alignment horizontal="left" wrapText="1"/>
    </xf>
    <xf numFmtId="197" fontId="14" fillId="0" borderId="0">
      <alignment horizontal="left" wrapText="1"/>
    </xf>
    <xf numFmtId="197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97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0" fontId="14" fillId="0" borderId="0">
      <alignment horizontal="left" wrapText="1"/>
    </xf>
    <xf numFmtId="0" fontId="109" fillId="0" borderId="0" applyNumberFormat="0" applyBorder="0" applyAlignment="0"/>
    <xf numFmtId="0" fontId="118" fillId="0" borderId="0" applyNumberFormat="0" applyBorder="0" applyAlignment="0"/>
    <xf numFmtId="0" fontId="111" fillId="0" borderId="0" applyNumberFormat="0" applyBorder="0" applyAlignment="0"/>
    <xf numFmtId="0" fontId="119" fillId="0" borderId="0"/>
    <xf numFmtId="0" fontId="79" fillId="0" borderId="44"/>
    <xf numFmtId="40" fontId="120" fillId="0" borderId="0" applyBorder="0">
      <alignment horizontal="right"/>
    </xf>
    <xf numFmtId="41" fontId="121" fillId="68" borderId="0">
      <alignment horizontal="left"/>
    </xf>
    <xf numFmtId="40" fontId="120" fillId="0" borderId="0" applyBorder="0">
      <alignment horizontal="right"/>
    </xf>
    <xf numFmtId="41" fontId="121" fillId="68" borderId="0">
      <alignment horizontal="left"/>
    </xf>
    <xf numFmtId="40" fontId="120" fillId="0" borderId="0" applyBorder="0">
      <alignment horizontal="right"/>
    </xf>
    <xf numFmtId="41" fontId="121" fillId="68" borderId="0">
      <alignment horizontal="left"/>
    </xf>
    <xf numFmtId="0" fontId="122" fillId="0" borderId="0"/>
    <xf numFmtId="0" fontId="14" fillId="0" borderId="0" applyNumberFormat="0" applyBorder="0" applyAlignment="0"/>
    <xf numFmtId="0" fontId="123" fillId="0" borderId="0" applyFill="0" applyBorder="0" applyProtection="0">
      <alignment horizontal="left" vertical="top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4" fillId="0" borderId="0"/>
    <xf numFmtId="0" fontId="105" fillId="79" borderId="0"/>
    <xf numFmtId="165" fontId="125" fillId="68" borderId="0">
      <alignment horizontal="left" vertical="center"/>
    </xf>
    <xf numFmtId="165" fontId="126" fillId="0" borderId="0">
      <alignment horizontal="left" vertical="center"/>
    </xf>
    <xf numFmtId="165" fontId="126" fillId="0" borderId="0">
      <alignment horizontal="left" vertical="center"/>
    </xf>
    <xf numFmtId="0" fontId="39" fillId="68" borderId="0">
      <alignment horizontal="left" wrapText="1"/>
    </xf>
    <xf numFmtId="0" fontId="39" fillId="68" borderId="0">
      <alignment horizontal="left" wrapText="1"/>
    </xf>
    <xf numFmtId="0" fontId="39" fillId="68" borderId="0">
      <alignment horizontal="left" wrapText="1"/>
    </xf>
    <xf numFmtId="170" fontId="47" fillId="0" borderId="0">
      <alignment horizontal="left" wrapText="1"/>
    </xf>
    <xf numFmtId="0" fontId="127" fillId="0" borderId="0">
      <alignment horizontal="left" vertical="center"/>
    </xf>
    <xf numFmtId="0" fontId="127" fillId="0" borderId="0">
      <alignment horizontal="left" vertical="center"/>
    </xf>
    <xf numFmtId="0" fontId="67" fillId="0" borderId="49" applyNumberFormat="0" applyFon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15" fillId="0" borderId="24" applyNumberFormat="0" applyFill="0" applyAlignment="0" applyProtection="0"/>
    <xf numFmtId="0" fontId="15" fillId="0" borderId="51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0" fontId="15" fillId="0" borderId="51" applyNumberFormat="0" applyFill="0" applyAlignment="0" applyProtection="0"/>
    <xf numFmtId="0" fontId="15" fillId="0" borderId="24" applyNumberFormat="0" applyFill="0" applyAlignment="0" applyProtection="0"/>
    <xf numFmtId="0" fontId="15" fillId="0" borderId="51" applyNumberFormat="0" applyFill="0" applyAlignment="0" applyProtection="0"/>
    <xf numFmtId="170" fontId="47" fillId="0" borderId="0">
      <alignment horizontal="left" wrapText="1"/>
    </xf>
    <xf numFmtId="170" fontId="47" fillId="0" borderId="0">
      <alignment horizontal="left" wrapText="1"/>
    </xf>
    <xf numFmtId="41" fontId="39" fillId="68" borderId="0">
      <alignment horizontal="left"/>
    </xf>
    <xf numFmtId="170" fontId="47" fillId="0" borderId="0">
      <alignment horizontal="left" wrapText="1"/>
    </xf>
    <xf numFmtId="170" fontId="47" fillId="0" borderId="0">
      <alignment horizontal="left" wrapText="1"/>
    </xf>
    <xf numFmtId="41" fontId="39" fillId="68" borderId="0">
      <alignment horizontal="left"/>
    </xf>
    <xf numFmtId="0" fontId="15" fillId="0" borderId="51" applyNumberFormat="0" applyFill="0" applyAlignment="0" applyProtection="0"/>
    <xf numFmtId="0" fontId="15" fillId="0" borderId="24" applyNumberFormat="0" applyFill="0" applyAlignment="0" applyProtection="0"/>
    <xf numFmtId="0" fontId="65" fillId="0" borderId="52"/>
    <xf numFmtId="0" fontId="66" fillId="0" borderId="52"/>
    <xf numFmtId="0" fontId="66" fillId="0" borderId="52"/>
    <xf numFmtId="0" fontId="65" fillId="0" borderId="52"/>
    <xf numFmtId="0" fontId="66" fillId="0" borderId="52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47" fillId="0" borderId="0">
      <alignment horizontal="left" wrapText="1"/>
    </xf>
    <xf numFmtId="0" fontId="2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68" borderId="7" applyNumberFormat="0">
      <alignment horizontal="center" vertical="center" wrapText="1"/>
    </xf>
    <xf numFmtId="0" fontId="14" fillId="0" borderId="0">
      <alignment readingOrder="1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readingOrder="1"/>
    </xf>
    <xf numFmtId="0" fontId="14" fillId="0" borderId="0">
      <alignment readingOrder="1"/>
    </xf>
    <xf numFmtId="43" fontId="14" fillId="0" borderId="0" applyFont="0" applyFill="0" applyBorder="0" applyAlignment="0" applyProtection="0"/>
    <xf numFmtId="3" fontId="13" fillId="0" borderId="0"/>
    <xf numFmtId="9" fontId="14" fillId="0" borderId="0" applyFont="0" applyFill="0" applyBorder="0" applyAlignment="0" applyProtection="0"/>
    <xf numFmtId="0" fontId="14" fillId="89" borderId="0" applyNumberFormat="0" applyFont="0" applyFill="0" applyBorder="0" applyAlignment="0" applyProtection="0"/>
    <xf numFmtId="168" fontId="62" fillId="76" borderId="0" applyFont="0" applyFill="0" applyBorder="0" applyAlignment="0" applyProtection="0">
      <alignment wrapText="1"/>
    </xf>
    <xf numFmtId="3" fontId="13" fillId="0" borderId="0"/>
    <xf numFmtId="0" fontId="14" fillId="0" borderId="0">
      <alignment readingOrder="1"/>
    </xf>
    <xf numFmtId="38" fontId="130" fillId="0" borderId="0" applyNumberFormat="0" applyFont="0" applyFill="0" applyBorder="0">
      <alignment horizontal="left" indent="4"/>
      <protection locked="0"/>
    </xf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9" fillId="0" borderId="0"/>
    <xf numFmtId="0" fontId="62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4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28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46" fillId="0" borderId="0"/>
    <xf numFmtId="0" fontId="132" fillId="77" borderId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70" borderId="13" applyNumberFormat="0">
      <protection locked="0"/>
    </xf>
    <xf numFmtId="0" fontId="14" fillId="70" borderId="13" applyNumberFormat="0">
      <protection locked="0"/>
    </xf>
    <xf numFmtId="0" fontId="42" fillId="99" borderId="13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0" fontId="42" fillId="68" borderId="53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11" fillId="92" borderId="42" applyNumberFormat="0" applyProtection="0">
      <alignment horizontal="left" vertical="center" indent="1"/>
    </xf>
    <xf numFmtId="38" fontId="88" fillId="0" borderId="3"/>
    <xf numFmtId="38" fontId="88" fillId="0" borderId="3"/>
    <xf numFmtId="4" fontId="111" fillId="92" borderId="42" applyNumberFormat="0" applyProtection="0">
      <alignment horizontal="left" vertical="center" indent="1"/>
    </xf>
    <xf numFmtId="4" fontId="109" fillId="91" borderId="42" applyNumberFormat="0" applyProtection="0">
      <alignment horizontal="right" vertical="center"/>
    </xf>
    <xf numFmtId="38" fontId="88" fillId="0" borderId="3"/>
    <xf numFmtId="4" fontId="109" fillId="91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38" fontId="88" fillId="0" borderId="3"/>
    <xf numFmtId="4" fontId="109" fillId="90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4" fontId="109" fillId="87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4" fontId="109" fillId="86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4" fontId="109" fillId="85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10" fillId="76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10" fillId="76" borderId="42" applyNumberFormat="0" applyProtection="0">
      <alignment vertical="center"/>
    </xf>
    <xf numFmtId="4" fontId="109" fillId="76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09" fillId="76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10" fillId="94" borderId="42" applyNumberFormat="0" applyProtection="0">
      <alignment horizontal="right" vertical="center"/>
    </xf>
    <xf numFmtId="200" fontId="108" fillId="68" borderId="3">
      <alignment horizontal="left"/>
    </xf>
    <xf numFmtId="4" fontId="116" fillId="94" borderId="42" applyNumberFormat="0" applyProtection="0">
      <alignment horizontal="right" vertical="center"/>
    </xf>
    <xf numFmtId="200" fontId="108" fillId="68" borderId="3">
      <alignment horizontal="left"/>
    </xf>
    <xf numFmtId="42" fontId="14" fillId="68" borderId="3">
      <alignment horizontal="left"/>
    </xf>
    <xf numFmtId="4" fontId="116" fillId="94" borderId="42" applyNumberFormat="0" applyProtection="0">
      <alignment horizontal="right" vertical="center"/>
    </xf>
    <xf numFmtId="42" fontId="14" fillId="68" borderId="3">
      <alignment horizontal="left"/>
    </xf>
    <xf numFmtId="0" fontId="42" fillId="99" borderId="13"/>
    <xf numFmtId="42" fontId="14" fillId="68" borderId="3">
      <alignment horizontal="left"/>
    </xf>
    <xf numFmtId="42" fontId="14" fillId="68" borderId="3">
      <alignment horizontal="left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09" fillId="98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10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10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10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09" fillId="98" borderId="42" applyNumberFormat="0" applyProtection="0">
      <alignment horizontal="left" vertical="center" indent="1"/>
    </xf>
    <xf numFmtId="0" fontId="14" fillId="70" borderId="13" applyNumberFormat="0">
      <protection locked="0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0" fontId="14" fillId="70" borderId="13" applyNumberFormat="0">
      <protection locked="0"/>
    </xf>
    <xf numFmtId="4" fontId="110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10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vertical="center"/>
    </xf>
    <xf numFmtId="0" fontId="107" fillId="79" borderId="44"/>
    <xf numFmtId="0" fontId="106" fillId="80" borderId="43"/>
    <xf numFmtId="0" fontId="88" fillId="65" borderId="47" applyBorder="0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70" borderId="13" applyNumberFormat="0">
      <protection locked="0"/>
    </xf>
    <xf numFmtId="0" fontId="14" fillId="70" borderId="13" applyNumberFormat="0">
      <protection locked="0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70" borderId="13" applyNumberFormat="0">
      <protection locked="0"/>
    </xf>
    <xf numFmtId="0" fontId="14" fillId="34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70" borderId="13" applyNumberFormat="0">
      <protection locked="0"/>
    </xf>
    <xf numFmtId="0" fontId="14" fillId="81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4" fontId="111" fillId="92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11" fillId="92" borderId="42" applyNumberFormat="0" applyProtection="0">
      <alignment horizontal="left" vertical="center" indent="1"/>
    </xf>
    <xf numFmtId="4" fontId="109" fillId="91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4" fontId="109" fillId="91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4" fontId="109" fillId="90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4" fontId="109" fillId="87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4" fontId="109" fillId="85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4" fontId="109" fillId="83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10" fillId="76" borderId="42" applyNumberFormat="0" applyProtection="0">
      <alignment vertical="center"/>
    </xf>
    <xf numFmtId="38" fontId="88" fillId="0" borderId="3"/>
    <xf numFmtId="4" fontId="110" fillId="76" borderId="42" applyNumberFormat="0" applyProtection="0">
      <alignment vertical="center"/>
    </xf>
    <xf numFmtId="4" fontId="109" fillId="76" borderId="42" applyNumberFormat="0" applyProtection="0">
      <alignment vertical="center"/>
    </xf>
    <xf numFmtId="0" fontId="14" fillId="96" borderId="42" applyNumberFormat="0" applyProtection="0">
      <alignment horizontal="left" vertical="center" indent="1"/>
    </xf>
    <xf numFmtId="4" fontId="109" fillId="76" borderId="42" applyNumberFormat="0" applyProtection="0">
      <alignment vertical="center"/>
    </xf>
    <xf numFmtId="4" fontId="109" fillId="96" borderId="42" applyNumberFormat="0" applyProtection="0">
      <alignment horizontal="left" vertical="center" indent="1"/>
    </xf>
    <xf numFmtId="38" fontId="88" fillId="0" borderId="3"/>
    <xf numFmtId="4" fontId="109" fillId="96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38" fontId="88" fillId="0" borderId="3"/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88" fillId="0" borderId="3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88" fillId="0" borderId="3"/>
    <xf numFmtId="0" fontId="88" fillId="0" borderId="3"/>
    <xf numFmtId="38" fontId="88" fillId="0" borderId="3"/>
    <xf numFmtId="38" fontId="88" fillId="0" borderId="3"/>
    <xf numFmtId="38" fontId="88" fillId="0" borderId="3"/>
    <xf numFmtId="200" fontId="108" fillId="68" borderId="3">
      <alignment horizontal="left"/>
    </xf>
    <xf numFmtId="4" fontId="111" fillId="92" borderId="42" applyNumberFormat="0" applyProtection="0">
      <alignment horizontal="left" vertical="center" indent="1"/>
    </xf>
    <xf numFmtId="38" fontId="88" fillId="0" borderId="3"/>
    <xf numFmtId="42" fontId="14" fillId="68" borderId="3">
      <alignment horizontal="left"/>
    </xf>
    <xf numFmtId="42" fontId="14" fillId="68" borderId="3">
      <alignment horizontal="left"/>
    </xf>
    <xf numFmtId="4" fontId="111" fillId="92" borderId="42" applyNumberFormat="0" applyProtection="0">
      <alignment horizontal="left" vertical="center" indent="1"/>
    </xf>
    <xf numFmtId="42" fontId="14" fillId="68" borderId="3">
      <alignment horizontal="left"/>
    </xf>
    <xf numFmtId="42" fontId="14" fillId="68" borderId="3">
      <alignment horizontal="left"/>
    </xf>
    <xf numFmtId="4" fontId="109" fillId="91" borderId="42" applyNumberFormat="0" applyProtection="0">
      <alignment horizontal="right" vertical="center"/>
    </xf>
    <xf numFmtId="4" fontId="109" fillId="91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10" fillId="76" borderId="42" applyNumberFormat="0" applyProtection="0">
      <alignment vertical="center"/>
    </xf>
    <xf numFmtId="4" fontId="109" fillId="76" borderId="42" applyNumberFormat="0" applyProtection="0">
      <alignment vertical="center"/>
    </xf>
    <xf numFmtId="4" fontId="109" fillId="76" borderId="42" applyNumberFormat="0" applyProtection="0">
      <alignment vertical="center"/>
    </xf>
    <xf numFmtId="0" fontId="107" fillId="79" borderId="44"/>
    <xf numFmtId="0" fontId="106" fillId="80" borderId="43"/>
    <xf numFmtId="4" fontId="116" fillId="94" borderId="42" applyNumberFormat="0" applyProtection="0">
      <alignment horizontal="right" vertical="center"/>
    </xf>
    <xf numFmtId="4" fontId="116" fillId="94" borderId="42" applyNumberFormat="0" applyProtection="0">
      <alignment horizontal="right" vertical="center"/>
    </xf>
    <xf numFmtId="200" fontId="108" fillId="68" borderId="3">
      <alignment horizontal="left"/>
    </xf>
    <xf numFmtId="0" fontId="42" fillId="99" borderId="13"/>
    <xf numFmtId="200" fontId="108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10" fillId="94" borderId="42" applyNumberFormat="0" applyProtection="0">
      <alignment horizontal="right" vertical="center"/>
    </xf>
    <xf numFmtId="4" fontId="110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10" fillId="98" borderId="42" applyNumberFormat="0" applyProtection="0">
      <alignment vertical="center"/>
    </xf>
    <xf numFmtId="4" fontId="110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0" fontId="14" fillId="70" borderId="13" applyNumberFormat="0">
      <protection locked="0"/>
    </xf>
    <xf numFmtId="0" fontId="14" fillId="70" borderId="13" applyNumberFormat="0">
      <protection locked="0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11" fillId="92" borderId="42" applyNumberFormat="0" applyProtection="0">
      <alignment horizontal="left" vertical="center" indent="1"/>
    </xf>
    <xf numFmtId="4" fontId="109" fillId="91" borderId="42" applyNumberFormat="0" applyProtection="0">
      <alignment horizontal="right" vertical="center"/>
    </xf>
    <xf numFmtId="4" fontId="109" fillId="91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00" fillId="70" borderId="42" applyNumberFormat="0" applyAlignment="0" applyProtection="0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4" fillId="81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4" fontId="109" fillId="76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4" fontId="109" fillId="76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4" fontId="109" fillId="76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4" fontId="110" fillId="76" borderId="42" applyNumberFormat="0" applyProtection="0">
      <alignment vertical="center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4" fontId="110" fillId="76" borderId="42" applyNumberFormat="0" applyProtection="0">
      <alignment vertical="center"/>
    </xf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47" fillId="40" borderId="41" applyNumberFormat="0" applyFont="0" applyAlignment="0" applyProtection="0"/>
    <xf numFmtId="4" fontId="109" fillId="76" borderId="42" applyNumberFormat="0" applyProtection="0">
      <alignment vertical="center"/>
    </xf>
    <xf numFmtId="0" fontId="14" fillId="40" borderId="41" applyNumberFormat="0" applyFont="0" applyAlignment="0" applyProtection="0"/>
    <xf numFmtId="0" fontId="14" fillId="40" borderId="41" applyNumberFormat="0" applyFont="0" applyAlignment="0" applyProtection="0"/>
    <xf numFmtId="0" fontId="14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200" fontId="108" fillId="68" borderId="3">
      <alignment horizontal="left"/>
    </xf>
    <xf numFmtId="200" fontId="108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0" fontId="100" fillId="70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47" fillId="40" borderId="41" applyNumberFormat="0" applyFont="0" applyAlignment="0" applyProtection="0"/>
    <xf numFmtId="0" fontId="14" fillId="40" borderId="41" applyNumberFormat="0" applyFont="0" applyAlignment="0" applyProtection="0"/>
    <xf numFmtId="0" fontId="14" fillId="40" borderId="41" applyNumberFormat="0" applyFont="0" applyAlignment="0" applyProtection="0"/>
    <xf numFmtId="0" fontId="14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00" fillId="70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5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0" fontId="89" fillId="42" borderId="26" applyNumberFormat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0" fontId="89" fillId="42" borderId="26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70" borderId="42" applyNumberFormat="0" applyAlignment="0" applyProtection="0"/>
    <xf numFmtId="0" fontId="52" fillId="40" borderId="41" applyNumberFormat="0" applyFont="0" applyAlignment="0" applyProtection="0"/>
    <xf numFmtId="0" fontId="14" fillId="40" borderId="41" applyNumberFormat="0" applyFont="0" applyAlignment="0" applyProtection="0"/>
    <xf numFmtId="0" fontId="47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9" fontId="9" fillId="0" borderId="0" applyFont="0" applyFill="0" applyBorder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9" fontId="9" fillId="0" borderId="0" applyFont="0" applyFill="0" applyBorder="0" applyAlignment="0" applyProtection="0"/>
    <xf numFmtId="0" fontId="100" fillId="69" borderId="42" applyNumberFormat="0" applyAlignment="0" applyProtection="0"/>
    <xf numFmtId="0" fontId="100" fillId="69" borderId="42" applyNumberFormat="0" applyAlignment="0" applyProtection="0"/>
    <xf numFmtId="0" fontId="100" fillId="70" borderId="4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6" fillId="80" borderId="43"/>
    <xf numFmtId="0" fontId="107" fillId="79" borderId="44"/>
    <xf numFmtId="4" fontId="109" fillId="94" borderId="46" applyNumberFormat="0" applyProtection="0">
      <alignment horizontal="left" vertical="center" indent="1"/>
    </xf>
    <xf numFmtId="4" fontId="109" fillId="94" borderId="46" applyNumberFormat="0" applyProtection="0">
      <alignment horizontal="left" vertical="center" indent="1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200" fontId="108" fillId="68" borderId="3">
      <alignment horizontal="left"/>
    </xf>
    <xf numFmtId="200" fontId="108" fillId="68" borderId="3">
      <alignment horizontal="left"/>
    </xf>
    <xf numFmtId="4" fontId="109" fillId="76" borderId="42" applyNumberFormat="0" applyProtection="0">
      <alignment vertical="center"/>
    </xf>
    <xf numFmtId="4" fontId="109" fillId="76" borderId="42" applyNumberFormat="0" applyProtection="0">
      <alignment vertical="center"/>
    </xf>
    <xf numFmtId="4" fontId="110" fillId="76" borderId="42" applyNumberFormat="0" applyProtection="0">
      <alignment vertical="center"/>
    </xf>
    <xf numFmtId="4" fontId="110" fillId="76" borderId="42" applyNumberFormat="0" applyProtection="0">
      <alignment vertical="center"/>
    </xf>
    <xf numFmtId="4" fontId="109" fillId="76" borderId="42" applyNumberFormat="0" applyProtection="0">
      <alignment horizontal="left" vertical="center" indent="1"/>
    </xf>
    <xf numFmtId="4" fontId="109" fillId="94" borderId="46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88" fillId="65" borderId="47" applyBorder="0"/>
    <xf numFmtId="0" fontId="88" fillId="65" borderId="47" applyBorder="0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83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0" fontId="106" fillId="80" borderId="43"/>
    <xf numFmtId="0" fontId="107" fillId="79" borderId="44"/>
    <xf numFmtId="4" fontId="109" fillId="85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94" borderId="46" applyNumberFormat="0" applyProtection="0">
      <alignment horizontal="left" vertical="center" indent="1"/>
    </xf>
    <xf numFmtId="4" fontId="109" fillId="89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4" fontId="109" fillId="91" borderId="42" applyNumberFormat="0" applyProtection="0">
      <alignment horizontal="right" vertical="center"/>
    </xf>
    <xf numFmtId="4" fontId="111" fillId="92" borderId="42" applyNumberFormat="0" applyProtection="0">
      <alignment horizontal="left" vertical="center" indent="1"/>
    </xf>
    <xf numFmtId="4" fontId="111" fillId="92" borderId="42" applyNumberFormat="0" applyProtection="0">
      <alignment horizontal="left" vertical="center" indent="1"/>
    </xf>
    <xf numFmtId="4" fontId="109" fillId="94" borderId="46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88" fillId="65" borderId="47" applyBorder="0"/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42" fontId="14" fillId="68" borderId="3">
      <alignment horizontal="left"/>
    </xf>
    <xf numFmtId="0" fontId="14" fillId="96" borderId="42" applyNumberFormat="0" applyProtection="0">
      <alignment horizontal="left" vertical="center" indent="1"/>
    </xf>
    <xf numFmtId="200" fontId="108" fillId="68" borderId="3">
      <alignment horizontal="left"/>
    </xf>
    <xf numFmtId="0" fontId="14" fillId="96" borderId="42" applyNumberFormat="0" applyProtection="0">
      <alignment horizontal="left" vertical="center" indent="1"/>
    </xf>
    <xf numFmtId="200" fontId="108" fillId="68" borderId="3">
      <alignment horizontal="left"/>
    </xf>
    <xf numFmtId="0" fontId="14" fillId="96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88" fillId="65" borderId="47" applyBorder="0"/>
    <xf numFmtId="4" fontId="109" fillId="76" borderId="42" applyNumberFormat="0" applyProtection="0">
      <alignment vertical="center"/>
    </xf>
    <xf numFmtId="0" fontId="14" fillId="34" borderId="42" applyNumberFormat="0" applyProtection="0">
      <alignment horizontal="left" vertical="center" indent="1"/>
    </xf>
    <xf numFmtId="4" fontId="109" fillId="76" borderId="42" applyNumberFormat="0" applyProtection="0">
      <alignment vertical="center"/>
    </xf>
    <xf numFmtId="4" fontId="110" fillId="76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10" fillId="76" borderId="42" applyNumberFormat="0" applyProtection="0">
      <alignment vertical="center"/>
    </xf>
    <xf numFmtId="4" fontId="109" fillId="7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70" borderId="13" applyNumberFormat="0">
      <protection locked="0"/>
    </xf>
    <xf numFmtId="0" fontId="14" fillId="70" borderId="13" applyNumberFormat="0">
      <protection locked="0"/>
    </xf>
    <xf numFmtId="4" fontId="109" fillId="7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83" borderId="42" applyNumberFormat="0" applyProtection="0">
      <alignment horizontal="right" vertical="center"/>
    </xf>
    <xf numFmtId="4" fontId="109" fillId="83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4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4" fontId="109" fillId="85" borderId="42" applyNumberFormat="0" applyProtection="0">
      <alignment horizontal="right" vertical="center"/>
    </xf>
    <xf numFmtId="4" fontId="109" fillId="86" borderId="42" applyNumberFormat="0" applyProtection="0">
      <alignment horizontal="right" vertical="center"/>
    </xf>
    <xf numFmtId="0" fontId="88" fillId="65" borderId="47" applyBorder="0"/>
    <xf numFmtId="4" fontId="109" fillId="86" borderId="42" applyNumberFormat="0" applyProtection="0">
      <alignment horizontal="right" vertical="center"/>
    </xf>
    <xf numFmtId="4" fontId="109" fillId="87" borderId="42" applyNumberFormat="0" applyProtection="0">
      <alignment horizontal="right" vertical="center"/>
    </xf>
    <xf numFmtId="4" fontId="109" fillId="98" borderId="42" applyNumberFormat="0" applyProtection="0">
      <alignment vertical="center"/>
    </xf>
    <xf numFmtId="4" fontId="109" fillId="87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8" borderId="42" applyNumberFormat="0" applyProtection="0">
      <alignment horizontal="right" vertical="center"/>
    </xf>
    <xf numFmtId="4" fontId="109" fillId="89" borderId="42" applyNumberFormat="0" applyProtection="0">
      <alignment horizontal="right" vertical="center"/>
    </xf>
    <xf numFmtId="4" fontId="109" fillId="98" borderId="42" applyNumberFormat="0" applyProtection="0">
      <alignment vertical="center"/>
    </xf>
    <xf numFmtId="4" fontId="109" fillId="89" borderId="42" applyNumberFormat="0" applyProtection="0">
      <alignment horizontal="right" vertical="center"/>
    </xf>
    <xf numFmtId="4" fontId="109" fillId="90" borderId="42" applyNumberFormat="0" applyProtection="0">
      <alignment horizontal="right" vertical="center"/>
    </xf>
    <xf numFmtId="4" fontId="110" fillId="98" borderId="42" applyNumberFormat="0" applyProtection="0">
      <alignment vertical="center"/>
    </xf>
    <xf numFmtId="4" fontId="109" fillId="90" borderId="42" applyNumberFormat="0" applyProtection="0">
      <alignment horizontal="right" vertical="center"/>
    </xf>
    <xf numFmtId="4" fontId="109" fillId="91" borderId="42" applyNumberFormat="0" applyProtection="0">
      <alignment horizontal="right" vertical="center"/>
    </xf>
    <xf numFmtId="4" fontId="110" fillId="98" borderId="42" applyNumberFormat="0" applyProtection="0">
      <alignment vertical="center"/>
    </xf>
    <xf numFmtId="4" fontId="109" fillId="91" borderId="42" applyNumberFormat="0" applyProtection="0">
      <alignment horizontal="right" vertical="center"/>
    </xf>
    <xf numFmtId="4" fontId="111" fillId="92" borderId="42" applyNumberFormat="0" applyProtection="0">
      <alignment horizontal="left" vertical="center" indent="1"/>
    </xf>
    <xf numFmtId="4" fontId="111" fillId="92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42" fillId="99" borderId="13"/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10" fillId="94" borderId="42" applyNumberFormat="0" applyProtection="0">
      <alignment horizontal="right" vertical="center"/>
    </xf>
    <xf numFmtId="4" fontId="109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10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15" fillId="0" borderId="51" applyNumberFormat="0" applyFill="0" applyAlignment="0" applyProtection="0"/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5" fillId="0" borderId="51" applyNumberFormat="0" applyFill="0" applyAlignment="0" applyProtection="0"/>
    <xf numFmtId="0" fontId="14" fillId="96" borderId="42" applyNumberFormat="0" applyProtection="0">
      <alignment horizontal="left" vertical="center" indent="1"/>
    </xf>
    <xf numFmtId="0" fontId="15" fillId="0" borderId="51" applyNumberFormat="0" applyFill="0" applyAlignment="0" applyProtection="0"/>
    <xf numFmtId="0" fontId="14" fillId="96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5" fillId="0" borderId="51" applyNumberFormat="0" applyFill="0" applyAlignment="0" applyProtection="0"/>
    <xf numFmtId="0" fontId="14" fillId="97" borderId="42" applyNumberFormat="0" applyProtection="0">
      <alignment horizontal="left" vertical="center" indent="1"/>
    </xf>
    <xf numFmtId="10" fontId="42" fillId="68" borderId="13" applyNumberFormat="0" applyBorder="0" applyAlignment="0" applyProtection="0"/>
    <xf numFmtId="4" fontId="109" fillId="83" borderId="42" applyNumberFormat="0" applyProtection="0">
      <alignment horizontal="right" vertical="center"/>
    </xf>
    <xf numFmtId="0" fontId="52" fillId="40" borderId="41" applyNumberFormat="0" applyFon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81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10" fontId="42" fillId="68" borderId="53" applyNumberFormat="0" applyBorder="0" applyAlignment="0" applyProtection="0"/>
    <xf numFmtId="0" fontId="52" fillId="40" borderId="41" applyNumberFormat="0" applyFont="0" applyAlignment="0" applyProtection="0"/>
    <xf numFmtId="0" fontId="52" fillId="40" borderId="41" applyNumberFormat="0" applyFont="0" applyAlignment="0" applyProtection="0"/>
    <xf numFmtId="0" fontId="14" fillId="81" borderId="42" applyNumberFormat="0" applyProtection="0">
      <alignment horizontal="left" vertical="center" indent="1"/>
    </xf>
    <xf numFmtId="0" fontId="14" fillId="40" borderId="41" applyNumberFormat="0" applyFont="0" applyAlignment="0" applyProtection="0"/>
    <xf numFmtId="0" fontId="56" fillId="69" borderId="26" applyNumberForma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4" fontId="109" fillId="76" borderId="42" applyNumberFormat="0" applyProtection="0">
      <alignment horizontal="left" vertical="center" indent="1"/>
    </xf>
    <xf numFmtId="4" fontId="109" fillId="7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8" fillId="0" borderId="3"/>
    <xf numFmtId="0" fontId="88" fillId="0" borderId="3"/>
    <xf numFmtId="0" fontId="88" fillId="0" borderId="3"/>
    <xf numFmtId="38" fontId="88" fillId="0" borderId="3"/>
    <xf numFmtId="38" fontId="88" fillId="0" borderId="3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38" fontId="88" fillId="0" borderId="3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4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0" fontId="42" fillId="99" borderId="13"/>
    <xf numFmtId="4" fontId="109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16" fillId="94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4" fontId="116" fillId="94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70" borderId="13" applyNumberFormat="0">
      <protection locked="0"/>
    </xf>
    <xf numFmtId="0" fontId="14" fillId="70" borderId="13" applyNumberFormat="0">
      <protection locked="0"/>
    </xf>
    <xf numFmtId="0" fontId="14" fillId="70" borderId="53" applyNumberFormat="0">
      <protection locked="0"/>
    </xf>
    <xf numFmtId="4" fontId="109" fillId="98" borderId="42" applyNumberFormat="0" applyProtection="0">
      <alignment vertical="center"/>
    </xf>
    <xf numFmtId="0" fontId="14" fillId="70" borderId="53" applyNumberFormat="0">
      <protection locked="0"/>
    </xf>
    <xf numFmtId="4" fontId="109" fillId="98" borderId="42" applyNumberFormat="0" applyProtection="0">
      <alignment vertical="center"/>
    </xf>
    <xf numFmtId="4" fontId="110" fillId="98" borderId="42" applyNumberFormat="0" applyProtection="0">
      <alignment vertical="center"/>
    </xf>
    <xf numFmtId="4" fontId="110" fillId="98" borderId="42" applyNumberFormat="0" applyProtection="0">
      <alignment vertical="center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4" fontId="110" fillId="94" borderId="42" applyNumberFormat="0" applyProtection="0">
      <alignment horizontal="right" vertical="center"/>
    </xf>
    <xf numFmtId="4" fontId="110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42" fillId="99" borderId="13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42" fillId="99" borderId="13"/>
    <xf numFmtId="4" fontId="116" fillId="94" borderId="42" applyNumberFormat="0" applyProtection="0">
      <alignment horizontal="right" vertical="center"/>
    </xf>
    <xf numFmtId="38" fontId="88" fillId="0" borderId="3"/>
    <xf numFmtId="4" fontId="116" fillId="94" borderId="42" applyNumberFormat="0" applyProtection="0">
      <alignment horizontal="right" vertical="center"/>
    </xf>
    <xf numFmtId="38" fontId="88" fillId="0" borderId="3"/>
    <xf numFmtId="38" fontId="88" fillId="0" borderId="3"/>
    <xf numFmtId="0" fontId="88" fillId="0" borderId="3"/>
    <xf numFmtId="0" fontId="88" fillId="0" borderId="3"/>
    <xf numFmtId="0" fontId="79" fillId="0" borderId="44"/>
    <xf numFmtId="0" fontId="88" fillId="0" borderId="3"/>
    <xf numFmtId="38" fontId="88" fillId="0" borderId="3"/>
    <xf numFmtId="38" fontId="88" fillId="0" borderId="3"/>
    <xf numFmtId="38" fontId="88" fillId="0" borderId="3"/>
    <xf numFmtId="0" fontId="75" fillId="0" borderId="50" applyNumberFormat="0" applyFill="0" applyAlignment="0" applyProtection="0"/>
    <xf numFmtId="38" fontId="88" fillId="0" borderId="3"/>
    <xf numFmtId="38" fontId="88" fillId="0" borderId="3"/>
    <xf numFmtId="38" fontId="88" fillId="0" borderId="3"/>
    <xf numFmtId="38" fontId="88" fillId="0" borderId="3"/>
    <xf numFmtId="0" fontId="75" fillId="0" borderId="50" applyNumberFormat="0" applyFill="0" applyAlignment="0" applyProtection="0"/>
    <xf numFmtId="0" fontId="88" fillId="0" borderId="3"/>
    <xf numFmtId="0" fontId="88" fillId="0" borderId="3"/>
    <xf numFmtId="0" fontId="88" fillId="0" borderId="3"/>
    <xf numFmtId="38" fontId="88" fillId="0" borderId="3"/>
    <xf numFmtId="38" fontId="88" fillId="0" borderId="3"/>
    <xf numFmtId="38" fontId="88" fillId="0" borderId="3"/>
    <xf numFmtId="0" fontId="75" fillId="0" borderId="50" applyNumberFormat="0" applyFill="0" applyAlignment="0" applyProtection="0"/>
    <xf numFmtId="0" fontId="42" fillId="99" borderId="53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52" fillId="40" borderId="41" applyNumberFormat="0" applyFont="0" applyAlignment="0" applyProtection="0"/>
    <xf numFmtId="4" fontId="111" fillId="92" borderId="42" applyNumberFormat="0" applyProtection="0">
      <alignment horizontal="left" vertical="center" indent="1"/>
    </xf>
    <xf numFmtId="4" fontId="109" fillId="76" borderId="42" applyNumberFormat="0" applyProtection="0">
      <alignment vertical="center"/>
    </xf>
    <xf numFmtId="0" fontId="79" fillId="0" borderId="44"/>
    <xf numFmtId="0" fontId="56" fillId="69" borderId="26" applyNumberFormat="0" applyAlignment="0" applyProtection="0"/>
    <xf numFmtId="0" fontId="56" fillId="69" borderId="26" applyNumberFormat="0" applyAlignment="0" applyProtection="0"/>
    <xf numFmtId="0" fontId="52" fillId="40" borderId="41" applyNumberFormat="0" applyFont="0" applyAlignment="0" applyProtection="0"/>
    <xf numFmtId="0" fontId="100" fillId="69" borderId="42" applyNumberFormat="0" applyAlignment="0" applyProtection="0"/>
    <xf numFmtId="4" fontId="110" fillId="94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200" fontId="108" fillId="68" borderId="3">
      <alignment horizontal="left"/>
    </xf>
    <xf numFmtId="4" fontId="109" fillId="76" borderId="42" applyNumberFormat="0" applyProtection="0">
      <alignment horizontal="left" vertical="center" indent="1"/>
    </xf>
    <xf numFmtId="4" fontId="110" fillId="76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100" fillId="70" borderId="42" applyNumberFormat="0" applyAlignment="0" applyProtection="0"/>
    <xf numFmtId="0" fontId="14" fillId="97" borderId="42" applyNumberFormat="0" applyProtection="0">
      <alignment horizontal="left" vertical="center" indent="1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0" borderId="42" applyNumberFormat="0" applyProtection="0">
      <alignment horizontal="right" vertical="center"/>
    </xf>
    <xf numFmtId="0" fontId="14" fillId="96" borderId="42" applyNumberFormat="0" applyProtection="0">
      <alignment horizontal="left" vertical="center" indent="1"/>
    </xf>
    <xf numFmtId="4" fontId="109" fillId="96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10" fontId="42" fillId="68" borderId="13" applyNumberFormat="0" applyBorder="0" applyAlignment="0" applyProtection="0"/>
    <xf numFmtId="0" fontId="14" fillId="81" borderId="42" applyNumberFormat="0" applyProtection="0">
      <alignment horizontal="left" vertical="center" indent="1"/>
    </xf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42" fontId="14" fillId="68" borderId="3">
      <alignment horizontal="left"/>
    </xf>
    <xf numFmtId="0" fontId="100" fillId="69" borderId="42" applyNumberFormat="0" applyAlignment="0" applyProtection="0"/>
    <xf numFmtId="0" fontId="14" fillId="81" borderId="42" applyNumberFormat="0" applyProtection="0">
      <alignment horizontal="left" vertical="center" indent="1"/>
    </xf>
    <xf numFmtId="0" fontId="100" fillId="69" borderId="42" applyNumberFormat="0" applyAlignment="0" applyProtection="0"/>
    <xf numFmtId="10" fontId="42" fillId="68" borderId="53" applyNumberFormat="0" applyBorder="0" applyAlignment="0" applyProtection="0"/>
    <xf numFmtId="38" fontId="88" fillId="0" borderId="3"/>
    <xf numFmtId="0" fontId="14" fillId="34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97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70" borderId="53" applyNumberFormat="0">
      <protection locked="0"/>
    </xf>
    <xf numFmtId="0" fontId="14" fillId="70" borderId="53" applyNumberFormat="0">
      <protection locked="0"/>
    </xf>
    <xf numFmtId="0" fontId="14" fillId="81" borderId="42" applyNumberFormat="0" applyProtection="0">
      <alignment horizontal="left" vertical="center" indent="1"/>
    </xf>
    <xf numFmtId="0" fontId="88" fillId="65" borderId="47" applyBorder="0"/>
    <xf numFmtId="4" fontId="109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vertical="center"/>
    </xf>
    <xf numFmtId="4" fontId="110" fillId="98" borderId="42" applyNumberFormat="0" applyProtection="0">
      <alignment vertical="center"/>
    </xf>
    <xf numFmtId="0" fontId="14" fillId="81" borderId="42" applyNumberFormat="0" applyProtection="0">
      <alignment horizontal="left" vertical="center" indent="1"/>
    </xf>
    <xf numFmtId="4" fontId="110" fillId="98" borderId="42" applyNumberFormat="0" applyProtection="0">
      <alignment vertical="center"/>
    </xf>
    <xf numFmtId="4" fontId="109" fillId="98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09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4" fontId="110" fillId="94" borderId="42" applyNumberFormat="0" applyProtection="0">
      <alignment horizontal="right" vertical="center"/>
    </xf>
    <xf numFmtId="4" fontId="110" fillId="94" borderId="42" applyNumberFormat="0" applyProtection="0">
      <alignment horizontal="right" vertical="center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14" fillId="81" borderId="42" applyNumberFormat="0" applyProtection="0">
      <alignment horizontal="left" vertical="center" indent="1"/>
    </xf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42" fillId="99" borderId="53"/>
    <xf numFmtId="0" fontId="15" fillId="0" borderId="51" applyNumberFormat="0" applyFill="0" applyAlignment="0" applyProtection="0"/>
    <xf numFmtId="4" fontId="116" fillId="94" borderId="42" applyNumberFormat="0" applyProtection="0">
      <alignment horizontal="right" vertical="center"/>
    </xf>
    <xf numFmtId="4" fontId="116" fillId="94" borderId="42" applyNumberFormat="0" applyProtection="0">
      <alignment horizontal="right" vertical="center"/>
    </xf>
    <xf numFmtId="0" fontId="15" fillId="0" borderId="51" applyNumberFormat="0" applyFill="0" applyAlignment="0" applyProtection="0"/>
    <xf numFmtId="4" fontId="116" fillId="94" borderId="42" applyNumberFormat="0" applyProtection="0">
      <alignment horizontal="right" vertical="center"/>
    </xf>
    <xf numFmtId="0" fontId="15" fillId="0" borderId="51" applyNumberFormat="0" applyFill="0" applyAlignment="0" applyProtection="0"/>
    <xf numFmtId="4" fontId="116" fillId="94" borderId="42" applyNumberFormat="0" applyProtection="0">
      <alignment horizontal="right" vertical="center"/>
    </xf>
    <xf numFmtId="0" fontId="15" fillId="0" borderId="51" applyNumberFormat="0" applyFill="0" applyAlignment="0" applyProtection="0"/>
    <xf numFmtId="0" fontId="100" fillId="69" borderId="42" applyNumberFormat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34" borderId="42" applyNumberFormat="0" applyProtection="0">
      <alignment horizontal="left" vertical="center" indent="1"/>
    </xf>
    <xf numFmtId="0" fontId="14" fillId="34" borderId="42" applyNumberFormat="0" applyProtection="0">
      <alignment horizontal="left" vertical="center" indent="1"/>
    </xf>
    <xf numFmtId="4" fontId="109" fillId="98" borderId="42" applyNumberFormat="0" applyProtection="0">
      <alignment horizontal="left" vertical="center" indent="1"/>
    </xf>
    <xf numFmtId="0" fontId="14" fillId="40" borderId="41" applyNumberFormat="0" applyFon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81" borderId="42" applyNumberFormat="0" applyProtection="0">
      <alignment horizontal="left" vertical="center" indent="1"/>
    </xf>
    <xf numFmtId="4" fontId="110" fillId="94" borderId="42" applyNumberFormat="0" applyProtection="0">
      <alignment horizontal="right" vertical="center"/>
    </xf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38" fontId="88" fillId="0" borderId="3"/>
    <xf numFmtId="38" fontId="88" fillId="0" borderId="3"/>
    <xf numFmtId="38" fontId="88" fillId="0" borderId="3"/>
    <xf numFmtId="38" fontId="88" fillId="0" borderId="3"/>
    <xf numFmtId="0" fontId="88" fillId="0" borderId="3"/>
    <xf numFmtId="0" fontId="88" fillId="0" borderId="3"/>
    <xf numFmtId="0" fontId="88" fillId="0" borderId="3"/>
    <xf numFmtId="38" fontId="88" fillId="0" borderId="3"/>
    <xf numFmtId="38" fontId="88" fillId="0" borderId="3"/>
    <xf numFmtId="38" fontId="88" fillId="0" borderId="3"/>
    <xf numFmtId="0" fontId="15" fillId="0" borderId="51" applyNumberFormat="0" applyFill="0" applyAlignment="0" applyProtection="0"/>
    <xf numFmtId="0" fontId="14" fillId="40" borderId="41" applyNumberFormat="0" applyFont="0" applyAlignment="0" applyProtection="0"/>
    <xf numFmtId="0" fontId="79" fillId="0" borderId="44"/>
    <xf numFmtId="0" fontId="14" fillId="40" borderId="41" applyNumberFormat="0" applyFont="0" applyAlignment="0" applyProtection="0"/>
    <xf numFmtId="0" fontId="14" fillId="40" borderId="41" applyNumberFormat="0" applyFont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5" fillId="0" borderId="51" applyNumberFormat="0" applyFill="0" applyAlignment="0" applyProtection="0"/>
    <xf numFmtId="10" fontId="42" fillId="68" borderId="13" applyNumberFormat="0" applyBorder="0" applyAlignment="0" applyProtection="0"/>
    <xf numFmtId="4" fontId="109" fillId="91" borderId="42" applyNumberFormat="0" applyProtection="0">
      <alignment horizontal="right" vertical="center"/>
    </xf>
    <xf numFmtId="0" fontId="56" fillId="69" borderId="26" applyNumberFormat="0" applyAlignment="0" applyProtection="0"/>
    <xf numFmtId="0" fontId="56" fillId="69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81" borderId="42" applyNumberFormat="0" applyProtection="0">
      <alignment horizontal="left" vertical="center" indent="1"/>
    </xf>
    <xf numFmtId="4" fontId="109" fillId="94" borderId="42" applyNumberFormat="0" applyProtection="0">
      <alignment horizontal="right" vertical="center"/>
    </xf>
    <xf numFmtId="0" fontId="100" fillId="69" borderId="42" applyNumberFormat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4" fontId="109" fillId="98" borderId="42" applyNumberFormat="0" applyProtection="0">
      <alignment horizontal="left" vertical="center" indent="1"/>
    </xf>
    <xf numFmtId="4" fontId="109" fillId="90" borderId="42" applyNumberFormat="0" applyProtection="0">
      <alignment horizontal="right" vertical="center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96" borderId="42" applyNumberFormat="0" applyProtection="0">
      <alignment horizontal="left" vertical="center" indent="1"/>
    </xf>
    <xf numFmtId="0" fontId="52" fillId="40" borderId="41" applyNumberFormat="0" applyFont="0" applyAlignment="0" applyProtection="0"/>
    <xf numFmtId="0" fontId="47" fillId="40" borderId="41" applyNumberFormat="0" applyFont="0" applyAlignment="0" applyProtection="0"/>
    <xf numFmtId="38" fontId="88" fillId="0" borderId="3"/>
    <xf numFmtId="38" fontId="88" fillId="0" borderId="3"/>
    <xf numFmtId="38" fontId="88" fillId="0" borderId="3"/>
    <xf numFmtId="38" fontId="88" fillId="0" borderId="3"/>
    <xf numFmtId="0" fontId="88" fillId="0" borderId="3"/>
    <xf numFmtId="0" fontId="88" fillId="0" borderId="3"/>
    <xf numFmtId="0" fontId="88" fillId="0" borderId="3"/>
    <xf numFmtId="38" fontId="88" fillId="0" borderId="3"/>
    <xf numFmtId="38" fontId="88" fillId="0" borderId="3"/>
    <xf numFmtId="38" fontId="88" fillId="0" borderId="3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14" fillId="96" borderId="42" applyNumberFormat="0" applyProtection="0">
      <alignment horizontal="left" vertical="center" indent="1"/>
    </xf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10" fontId="42" fillId="68" borderId="13" applyNumberFormat="0" applyBorder="0" applyAlignment="0" applyProtection="0"/>
    <xf numFmtId="0" fontId="79" fillId="0" borderId="44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75" fillId="0" borderId="50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15" fillId="0" borderId="51" applyNumberFormat="0" applyFill="0" applyAlignment="0" applyProtection="0"/>
    <xf numFmtId="0" fontId="56" fillId="69" borderId="26" applyNumberFormat="0" applyAlignment="0" applyProtection="0"/>
    <xf numFmtId="0" fontId="56" fillId="69" borderId="26" applyNumberFormat="0" applyAlignment="0" applyProtection="0"/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0" fillId="0" borderId="12">
      <alignment horizontal="left"/>
    </xf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0" fontId="89" fillId="42" borderId="26" applyNumberFormat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7" fillId="0" borderId="0">
      <alignment readingOrder="1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7" fillId="0" borderId="0">
      <alignment readingOrder="1"/>
    </xf>
    <xf numFmtId="0" fontId="37" fillId="0" borderId="0">
      <alignment readingOrder="1"/>
    </xf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3" fillId="0" borderId="0">
      <alignment readingOrder="1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0" fillId="0" borderId="54">
      <alignment horizontal="left"/>
    </xf>
    <xf numFmtId="0" fontId="80" fillId="0" borderId="54">
      <alignment horizontal="left"/>
    </xf>
    <xf numFmtId="0" fontId="80" fillId="0" borderId="54">
      <alignment horizontal="left"/>
    </xf>
    <xf numFmtId="0" fontId="80" fillId="0" borderId="54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12490" applyFill="1"/>
    <xf numFmtId="166" fontId="0" fillId="2" borderId="0" xfId="12491" applyNumberFormat="1" applyFont="1" applyFill="1"/>
    <xf numFmtId="0" fontId="15" fillId="2" borderId="7" xfId="12490" applyFont="1" applyFill="1" applyBorder="1"/>
    <xf numFmtId="0" fontId="15" fillId="2" borderId="0" xfId="12490" applyFont="1" applyFill="1" applyBorder="1"/>
    <xf numFmtId="166" fontId="134" fillId="2" borderId="0" xfId="12491" applyNumberFormat="1" applyFont="1" applyFill="1" applyBorder="1" applyAlignment="1">
      <alignment horizontal="center" wrapText="1"/>
    </xf>
    <xf numFmtId="0" fontId="15" fillId="2" borderId="0" xfId="12490" applyFont="1" applyFill="1" applyBorder="1" applyAlignment="1">
      <alignment horizontal="center" wrapText="1"/>
    </xf>
    <xf numFmtId="170" fontId="4" fillId="2" borderId="0" xfId="12490" applyNumberFormat="1" applyFill="1"/>
    <xf numFmtId="0" fontId="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6" fillId="2" borderId="2" xfId="0" applyFont="1" applyFill="1" applyBorder="1"/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2" borderId="0" xfId="0" applyFont="1" applyFill="1" applyBorder="1"/>
    <xf numFmtId="0" fontId="16" fillId="2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/>
    </xf>
    <xf numFmtId="0" fontId="16" fillId="2" borderId="11" xfId="4" applyFont="1" applyFill="1" applyBorder="1" applyAlignment="1">
      <alignment horizontal="center" wrapText="1"/>
    </xf>
    <xf numFmtId="0" fontId="16" fillId="2" borderId="12" xfId="4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2" borderId="0" xfId="0" applyFont="1" applyFill="1" applyBorder="1"/>
    <xf numFmtId="166" fontId="16" fillId="2" borderId="6" xfId="2" applyNumberFormat="1" applyFont="1" applyFill="1" applyBorder="1"/>
    <xf numFmtId="166" fontId="19" fillId="2" borderId="6" xfId="2" applyNumberFormat="1" applyFont="1" applyFill="1" applyBorder="1"/>
    <xf numFmtId="166" fontId="18" fillId="2" borderId="14" xfId="2" applyNumberFormat="1" applyFont="1" applyFill="1" applyBorder="1"/>
    <xf numFmtId="37" fontId="16" fillId="2" borderId="6" xfId="5" applyNumberFormat="1" applyFont="1" applyFill="1" applyBorder="1"/>
    <xf numFmtId="0" fontId="16" fillId="2" borderId="6" xfId="0" applyFont="1" applyFill="1" applyBorder="1"/>
    <xf numFmtId="167" fontId="18" fillId="2" borderId="13" xfId="2" applyNumberFormat="1" applyFont="1" applyFill="1" applyBorder="1"/>
    <xf numFmtId="37" fontId="16" fillId="2" borderId="6" xfId="6" applyNumberFormat="1" applyFont="1" applyFill="1" applyBorder="1"/>
    <xf numFmtId="44" fontId="16" fillId="2" borderId="6" xfId="2" applyFont="1" applyFill="1" applyBorder="1"/>
    <xf numFmtId="0" fontId="16" fillId="2" borderId="0" xfId="0" applyFont="1" applyFill="1"/>
    <xf numFmtId="167" fontId="16" fillId="2" borderId="6" xfId="0" applyNumberFormat="1" applyFont="1" applyFill="1" applyBorder="1"/>
    <xf numFmtId="167" fontId="19" fillId="2" borderId="6" xfId="0" applyNumberFormat="1" applyFont="1" applyFill="1" applyBorder="1"/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/>
    <xf numFmtId="166" fontId="16" fillId="2" borderId="9" xfId="0" applyNumberFormat="1" applyFont="1" applyFill="1" applyBorder="1"/>
    <xf numFmtId="166" fontId="16" fillId="2" borderId="8" xfId="0" applyNumberFormat="1" applyFont="1" applyFill="1" applyBorder="1"/>
    <xf numFmtId="166" fontId="12" fillId="2" borderId="0" xfId="0" applyNumberFormat="1" applyFont="1" applyFill="1"/>
    <xf numFmtId="0" fontId="16" fillId="2" borderId="0" xfId="0" applyFont="1" applyFill="1" applyBorder="1" applyAlignment="1">
      <alignment horizontal="center"/>
    </xf>
    <xf numFmtId="166" fontId="16" fillId="2" borderId="0" xfId="2" applyNumberFormat="1" applyFont="1" applyFill="1"/>
    <xf numFmtId="171" fontId="12" fillId="2" borderId="0" xfId="3" applyNumberFormat="1" applyFont="1" applyFill="1"/>
    <xf numFmtId="10" fontId="12" fillId="2" borderId="0" xfId="3" applyNumberFormat="1" applyFont="1" applyFill="1"/>
    <xf numFmtId="0" fontId="7" fillId="2" borderId="0" xfId="0" applyFont="1" applyFill="1"/>
    <xf numFmtId="44" fontId="12" fillId="2" borderId="0" xfId="2" applyNumberFormat="1" applyFont="1" applyFill="1"/>
    <xf numFmtId="171" fontId="10" fillId="2" borderId="0" xfId="3" applyNumberFormat="1" applyFont="1" applyFill="1"/>
    <xf numFmtId="174" fontId="12" fillId="2" borderId="0" xfId="0" applyNumberFormat="1" applyFont="1" applyFill="1"/>
    <xf numFmtId="44" fontId="12" fillId="2" borderId="0" xfId="0" applyNumberFormat="1" applyFont="1" applyFill="1"/>
    <xf numFmtId="49" fontId="15" fillId="2" borderId="0" xfId="0" applyNumberFormat="1" applyFont="1" applyFill="1" applyBorder="1" applyAlignment="1">
      <alignment horizontal="center"/>
    </xf>
    <xf numFmtId="0" fontId="23" fillId="2" borderId="0" xfId="0" applyFont="1" applyFill="1"/>
    <xf numFmtId="37" fontId="12" fillId="2" borderId="0" xfId="0" applyNumberFormat="1" applyFont="1" applyFill="1"/>
    <xf numFmtId="0" fontId="6" fillId="2" borderId="0" xfId="0" applyFont="1" applyFill="1"/>
    <xf numFmtId="0" fontId="20" fillId="2" borderId="0" xfId="0" applyFont="1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44" fontId="12" fillId="2" borderId="0" xfId="2" applyFont="1" applyFill="1"/>
    <xf numFmtId="0" fontId="24" fillId="2" borderId="0" xfId="0" applyFont="1" applyFill="1"/>
    <xf numFmtId="44" fontId="24" fillId="2" borderId="0" xfId="2" applyFont="1" applyFill="1"/>
    <xf numFmtId="167" fontId="12" fillId="2" borderId="0" xfId="2" applyNumberFormat="1" applyFont="1" applyFill="1"/>
    <xf numFmtId="167" fontId="16" fillId="2" borderId="0" xfId="2" applyNumberFormat="1" applyFont="1" applyFill="1"/>
    <xf numFmtId="0" fontId="8" fillId="2" borderId="0" xfId="0" applyFont="1" applyFill="1"/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171" fontId="16" fillId="2" borderId="0" xfId="0" applyNumberFormat="1" applyFont="1" applyFill="1"/>
    <xf numFmtId="0" fontId="16" fillId="2" borderId="0" xfId="0" quotePrefix="1" applyFont="1" applyFill="1" applyAlignment="1">
      <alignment horizontal="center"/>
    </xf>
    <xf numFmtId="0" fontId="18" fillId="2" borderId="0" xfId="0" applyFont="1" applyFill="1"/>
    <xf numFmtId="171" fontId="18" fillId="2" borderId="0" xfId="0" applyNumberFormat="1" applyFont="1" applyFill="1"/>
    <xf numFmtId="0" fontId="5" fillId="2" borderId="0" xfId="0" applyFont="1" applyFill="1"/>
    <xf numFmtId="0" fontId="11" fillId="2" borderId="0" xfId="0" applyFont="1" applyFill="1"/>
    <xf numFmtId="169" fontId="18" fillId="2" borderId="0" xfId="0" applyNumberFormat="1" applyFont="1" applyFill="1" applyAlignment="1">
      <alignment readingOrder="1"/>
    </xf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left" indent="1" readingOrder="1"/>
    </xf>
    <xf numFmtId="3" fontId="19" fillId="2" borderId="0" xfId="4" applyNumberFormat="1" applyFont="1" applyFill="1"/>
    <xf numFmtId="168" fontId="19" fillId="2" borderId="0" xfId="0" applyNumberFormat="1" applyFont="1" applyFill="1"/>
    <xf numFmtId="168" fontId="11" fillId="2" borderId="0" xfId="1" applyNumberFormat="1" applyFont="1" applyFill="1"/>
    <xf numFmtId="168" fontId="19" fillId="2" borderId="0" xfId="1" applyNumberFormat="1" applyFont="1" applyFill="1"/>
    <xf numFmtId="0" fontId="16" fillId="2" borderId="0" xfId="0" applyFont="1" applyFill="1" applyBorder="1" applyAlignment="1">
      <alignment horizontal="left" indent="1" readingOrder="1"/>
    </xf>
    <xf numFmtId="168" fontId="16" fillId="2" borderId="0" xfId="0" applyNumberFormat="1" applyFont="1" applyFill="1"/>
    <xf numFmtId="168" fontId="11" fillId="2" borderId="0" xfId="0" applyNumberFormat="1" applyFont="1" applyFill="1"/>
    <xf numFmtId="9" fontId="11" fillId="2" borderId="0" xfId="3" applyFont="1" applyFill="1"/>
    <xf numFmtId="2" fontId="11" fillId="2" borderId="0" xfId="0" applyNumberFormat="1" applyFont="1" applyFill="1"/>
    <xf numFmtId="3" fontId="11" fillId="2" borderId="0" xfId="0" applyNumberFormat="1" applyFont="1" applyFill="1"/>
    <xf numFmtId="170" fontId="18" fillId="2" borderId="0" xfId="5" applyNumberFormat="1" applyFont="1" applyFill="1"/>
    <xf numFmtId="0" fontId="18" fillId="2" borderId="0" xfId="5" applyFont="1" applyFill="1"/>
    <xf numFmtId="14" fontId="18" fillId="2" borderId="0" xfId="5" applyNumberFormat="1" applyFont="1" applyFill="1"/>
    <xf numFmtId="170" fontId="16" fillId="2" borderId="0" xfId="5" applyNumberFormat="1" applyFont="1" applyFill="1"/>
    <xf numFmtId="0" fontId="16" fillId="2" borderId="0" xfId="5" applyFont="1" applyFill="1"/>
    <xf numFmtId="170" fontId="16" fillId="2" borderId="12" xfId="5" applyNumberFormat="1" applyFont="1" applyFill="1" applyBorder="1"/>
    <xf numFmtId="0" fontId="21" fillId="2" borderId="0" xfId="5" applyFont="1" applyFill="1"/>
    <xf numFmtId="170" fontId="22" fillId="2" borderId="15" xfId="5" applyNumberFormat="1" applyFont="1" applyFill="1" applyBorder="1"/>
    <xf numFmtId="10" fontId="16" fillId="2" borderId="0" xfId="5" applyNumberFormat="1" applyFont="1" applyFill="1"/>
    <xf numFmtId="4" fontId="22" fillId="2" borderId="0" xfId="5" applyNumberFormat="1" applyFont="1" applyFill="1" applyAlignment="1">
      <alignment horizontal="left"/>
    </xf>
    <xf numFmtId="0" fontId="23" fillId="2" borderId="0" xfId="5" applyFont="1" applyFill="1"/>
    <xf numFmtId="0" fontId="20" fillId="2" borderId="0" xfId="5" applyFont="1" applyFill="1"/>
    <xf numFmtId="44" fontId="16" fillId="2" borderId="0" xfId="2" applyFont="1" applyFill="1"/>
    <xf numFmtId="166" fontId="19" fillId="2" borderId="6" xfId="2" quotePrefix="1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38" fillId="0" borderId="0" xfId="0" applyFont="1"/>
    <xf numFmtId="0" fontId="137" fillId="2" borderId="9" xfId="0" applyFont="1" applyFill="1" applyBorder="1" applyAlignment="1">
      <alignment horizontal="center" wrapText="1"/>
    </xf>
    <xf numFmtId="0" fontId="137" fillId="2" borderId="7" xfId="0" applyFont="1" applyFill="1" applyBorder="1" applyAlignment="1">
      <alignment horizontal="center" wrapText="1"/>
    </xf>
    <xf numFmtId="0" fontId="137" fillId="2" borderId="10" xfId="0" applyFont="1" applyFill="1" applyBorder="1" applyAlignment="1">
      <alignment horizontal="center" wrapText="1"/>
    </xf>
    <xf numFmtId="0" fontId="137" fillId="0" borderId="0" xfId="0" applyFont="1" applyAlignment="1">
      <alignment wrapText="1"/>
    </xf>
    <xf numFmtId="0" fontId="138" fillId="2" borderId="5" xfId="0" applyFont="1" applyFill="1" applyBorder="1"/>
    <xf numFmtId="0" fontId="138" fillId="2" borderId="0" xfId="0" applyFont="1" applyFill="1" applyBorder="1"/>
    <xf numFmtId="166" fontId="138" fillId="2" borderId="0" xfId="2" applyNumberFormat="1" applyFont="1" applyFill="1" applyBorder="1"/>
    <xf numFmtId="166" fontId="137" fillId="2" borderId="57" xfId="2" applyNumberFormat="1" applyFont="1" applyFill="1" applyBorder="1"/>
    <xf numFmtId="0" fontId="138" fillId="2" borderId="9" xfId="0" applyFont="1" applyFill="1" applyBorder="1"/>
    <xf numFmtId="0" fontId="138" fillId="2" borderId="7" xfId="0" applyFont="1" applyFill="1" applyBorder="1"/>
    <xf numFmtId="166" fontId="138" fillId="2" borderId="7" xfId="2" applyNumberFormat="1" applyFont="1" applyFill="1" applyBorder="1"/>
    <xf numFmtId="166" fontId="137" fillId="2" borderId="10" xfId="2" applyNumberFormat="1" applyFont="1" applyFill="1" applyBorder="1"/>
    <xf numFmtId="0" fontId="138" fillId="0" borderId="0" xfId="0" applyFont="1" applyAlignment="1">
      <alignment wrapText="1"/>
    </xf>
    <xf numFmtId="0" fontId="137" fillId="2" borderId="55" xfId="0" applyFont="1" applyFill="1" applyBorder="1" applyAlignment="1">
      <alignment horizontal="center" wrapText="1"/>
    </xf>
    <xf numFmtId="0" fontId="137" fillId="2" borderId="54" xfId="0" applyFont="1" applyFill="1" applyBorder="1" applyAlignment="1">
      <alignment wrapText="1"/>
    </xf>
    <xf numFmtId="0" fontId="137" fillId="2" borderId="56" xfId="0" applyFont="1" applyFill="1" applyBorder="1" applyAlignment="1">
      <alignment horizontal="center" wrapText="1"/>
    </xf>
    <xf numFmtId="0" fontId="138" fillId="2" borderId="5" xfId="0" quotePrefix="1" applyFont="1" applyFill="1" applyBorder="1"/>
    <xf numFmtId="10" fontId="138" fillId="2" borderId="57" xfId="3" applyNumberFormat="1" applyFont="1" applyFill="1" applyBorder="1"/>
    <xf numFmtId="0" fontId="138" fillId="2" borderId="9" xfId="0" quotePrefix="1" applyFont="1" applyFill="1" applyBorder="1"/>
    <xf numFmtId="10" fontId="138" fillId="2" borderId="10" xfId="3" applyNumberFormat="1" applyFont="1" applyFill="1" applyBorder="1"/>
    <xf numFmtId="0" fontId="138" fillId="0" borderId="9" xfId="0" applyFont="1" applyBorder="1"/>
    <xf numFmtId="14" fontId="15" fillId="2" borderId="7" xfId="12490" applyNumberFormat="1" applyFont="1" applyFill="1" applyBorder="1" applyAlignment="1">
      <alignment horizontal="center" wrapText="1"/>
    </xf>
    <xf numFmtId="0" fontId="3" fillId="2" borderId="0" xfId="12490" applyFont="1" applyFill="1"/>
    <xf numFmtId="10" fontId="4" fillId="2" borderId="0" xfId="3" applyNumberFormat="1" applyFont="1" applyFill="1"/>
    <xf numFmtId="166" fontId="0" fillId="2" borderId="0" xfId="12491" applyNumberFormat="1" applyFont="1" applyFill="1" applyBorder="1"/>
    <xf numFmtId="0" fontId="3" fillId="2" borderId="0" xfId="12490" applyFont="1" applyFill="1" applyAlignment="1">
      <alignment horizontal="right"/>
    </xf>
    <xf numFmtId="166" fontId="139" fillId="2" borderId="0" xfId="12491" applyNumberFormat="1" applyFont="1" applyFill="1"/>
    <xf numFmtId="202" fontId="139" fillId="2" borderId="0" xfId="12491" applyNumberFormat="1" applyFont="1" applyFill="1"/>
    <xf numFmtId="10" fontId="19" fillId="2" borderId="0" xfId="3" applyNumberFormat="1" applyFont="1" applyFill="1"/>
    <xf numFmtId="0" fontId="0" fillId="2" borderId="0" xfId="0" applyFill="1"/>
    <xf numFmtId="0" fontId="135" fillId="2" borderId="0" xfId="0" applyFont="1" applyFill="1" applyAlignment="1">
      <alignment horizontal="center"/>
    </xf>
    <xf numFmtId="166" fontId="0" fillId="2" borderId="0" xfId="2" applyNumberFormat="1" applyFont="1" applyFill="1"/>
    <xf numFmtId="14" fontId="0" fillId="2" borderId="0" xfId="2" applyNumberFormat="1" applyFont="1" applyFill="1"/>
    <xf numFmtId="3" fontId="0" fillId="2" borderId="0" xfId="0" applyNumberFormat="1" applyFill="1"/>
    <xf numFmtId="171" fontId="0" fillId="2" borderId="0" xfId="3" applyNumberFormat="1" applyFont="1" applyFill="1"/>
    <xf numFmtId="166" fontId="136" fillId="2" borderId="0" xfId="2" applyNumberFormat="1" applyFont="1" applyFill="1"/>
    <xf numFmtId="0" fontId="4" fillId="2" borderId="0" xfId="12490" applyFill="1" applyAlignment="1">
      <alignment vertical="top"/>
    </xf>
    <xf numFmtId="0" fontId="0" fillId="2" borderId="0" xfId="0" applyFill="1" applyAlignment="1">
      <alignment vertical="top"/>
    </xf>
    <xf numFmtId="166" fontId="0" fillId="2" borderId="0" xfId="2" applyNumberFormat="1" applyFont="1" applyFill="1" applyAlignment="1">
      <alignment vertical="top"/>
    </xf>
    <xf numFmtId="14" fontId="0" fillId="2" borderId="0" xfId="2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0" fontId="0" fillId="2" borderId="0" xfId="0" applyFill="1" applyAlignment="1">
      <alignment vertical="top" wrapText="1"/>
    </xf>
    <xf numFmtId="0" fontId="15" fillId="2" borderId="0" xfId="12490" applyFont="1" applyFill="1" applyBorder="1" applyAlignment="1">
      <alignment vertical="top"/>
    </xf>
    <xf numFmtId="10" fontId="0" fillId="2" borderId="0" xfId="3" applyNumberFormat="1" applyFont="1" applyFill="1" applyAlignment="1">
      <alignment horizontal="left"/>
    </xf>
    <xf numFmtId="0" fontId="2" fillId="2" borderId="0" xfId="12490" applyFont="1" applyFill="1"/>
    <xf numFmtId="0" fontId="140" fillId="0" borderId="0" xfId="0" applyFont="1"/>
    <xf numFmtId="0" fontId="141" fillId="0" borderId="0" xfId="0" applyFont="1" applyAlignment="1">
      <alignment wrapText="1"/>
    </xf>
    <xf numFmtId="0" fontId="140" fillId="0" borderId="0" xfId="0" applyFont="1" applyAlignment="1">
      <alignment wrapText="1"/>
    </xf>
    <xf numFmtId="0" fontId="1" fillId="2" borderId="0" xfId="0" applyFont="1" applyFill="1"/>
    <xf numFmtId="167" fontId="11" fillId="2" borderId="0" xfId="2" applyNumberFormat="1" applyFont="1" applyFill="1"/>
    <xf numFmtId="0" fontId="137" fillId="2" borderId="55" xfId="0" applyFont="1" applyFill="1" applyBorder="1" applyAlignment="1">
      <alignment horizontal="center"/>
    </xf>
    <xf numFmtId="0" fontId="137" fillId="2" borderId="54" xfId="0" applyFont="1" applyFill="1" applyBorder="1" applyAlignment="1">
      <alignment horizontal="center"/>
    </xf>
    <xf numFmtId="0" fontId="137" fillId="2" borderId="56" xfId="0" applyFont="1" applyFill="1" applyBorder="1" applyAlignment="1">
      <alignment horizontal="center"/>
    </xf>
  </cellXfs>
  <cellStyles count="12492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29" xfId="12491" xr:uid="{F00901BB-F30A-4824-BB53-A4D95F693F04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71" xfId="12490" xr:uid="{E6662E71-6E35-4730-9895-65EE062FECA7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7"/>
  <sheetViews>
    <sheetView view="pageBreakPreview" topLeftCell="C1" zoomScaleNormal="100" zoomScaleSheetLayoutView="100" zoomScalePageLayoutView="40" workbookViewId="0">
      <selection activeCell="F32" sqref="F32"/>
    </sheetView>
  </sheetViews>
  <sheetFormatPr defaultColWidth="9.140625" defaultRowHeight="15"/>
  <cols>
    <col min="1" max="1" width="9.140625" style="9"/>
    <col min="2" max="2" width="36.42578125" style="9" customWidth="1"/>
    <col min="3" max="3" width="17.85546875" style="9" customWidth="1"/>
    <col min="4" max="9" width="17" style="9" customWidth="1"/>
    <col min="10" max="11" width="9.140625" style="9"/>
    <col min="12" max="12" width="10.5703125" style="9" customWidth="1"/>
    <col min="13" max="13" width="30" style="9" customWidth="1"/>
    <col min="14" max="14" width="15.5703125" style="9" customWidth="1"/>
    <col min="15" max="15" width="13.140625" style="9" customWidth="1"/>
    <col min="16" max="16384" width="9.140625" style="9"/>
  </cols>
  <sheetData>
    <row r="1" spans="1:9">
      <c r="A1" s="148" t="s">
        <v>158</v>
      </c>
      <c r="C1" s="10"/>
      <c r="D1" s="10"/>
    </row>
    <row r="2" spans="1:9">
      <c r="A2" s="8" t="s">
        <v>91</v>
      </c>
    </row>
    <row r="3" spans="1:9">
      <c r="A3" s="11"/>
      <c r="B3" s="12"/>
      <c r="C3" s="13"/>
      <c r="D3" s="13"/>
      <c r="E3" s="13"/>
      <c r="F3" s="13"/>
      <c r="G3" s="13"/>
      <c r="H3" s="13"/>
      <c r="I3" s="13"/>
    </row>
    <row r="4" spans="1:9">
      <c r="A4" s="14"/>
      <c r="B4" s="15"/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</row>
    <row r="5" spans="1:9">
      <c r="A5" s="14"/>
      <c r="B5" s="17" t="s">
        <v>8</v>
      </c>
      <c r="C5" s="18" t="s">
        <v>9</v>
      </c>
      <c r="D5" s="18" t="s">
        <v>61</v>
      </c>
      <c r="E5" s="18" t="s">
        <v>66</v>
      </c>
      <c r="F5" s="18" t="s">
        <v>65</v>
      </c>
      <c r="G5" s="18" t="s">
        <v>79</v>
      </c>
      <c r="H5" s="18" t="s">
        <v>10</v>
      </c>
      <c r="I5" s="18" t="s">
        <v>11</v>
      </c>
    </row>
    <row r="6" spans="1:9">
      <c r="A6" s="19" t="s">
        <v>12</v>
      </c>
      <c r="B6" s="20" t="s">
        <v>13</v>
      </c>
      <c r="C6" s="21" t="s">
        <v>14</v>
      </c>
      <c r="D6" s="21" t="s">
        <v>15</v>
      </c>
      <c r="E6" s="21" t="s">
        <v>16</v>
      </c>
      <c r="F6" s="21" t="s">
        <v>17</v>
      </c>
      <c r="G6" s="21" t="s">
        <v>18</v>
      </c>
      <c r="H6" s="21" t="s">
        <v>19</v>
      </c>
      <c r="I6" s="21" t="s">
        <v>20</v>
      </c>
    </row>
    <row r="7" spans="1:9">
      <c r="A7" s="22">
        <v>1</v>
      </c>
      <c r="B7" s="23" t="s">
        <v>80</v>
      </c>
      <c r="C7" s="16"/>
      <c r="D7" s="16"/>
      <c r="E7" s="16"/>
      <c r="F7" s="16"/>
      <c r="G7" s="16"/>
      <c r="H7" s="16"/>
      <c r="I7" s="16"/>
    </row>
    <row r="8" spans="1:9" ht="15.75" thickBot="1">
      <c r="A8" s="22">
        <f>A7+1</f>
        <v>2</v>
      </c>
      <c r="B8" s="15" t="s">
        <v>81</v>
      </c>
      <c r="C8" s="24">
        <f>SUM(D8:I8)</f>
        <v>574128000</v>
      </c>
      <c r="D8" s="25">
        <v>268876000</v>
      </c>
      <c r="E8" s="25">
        <v>86893000</v>
      </c>
      <c r="F8" s="25">
        <v>130352000</v>
      </c>
      <c r="G8" s="25">
        <v>68027000</v>
      </c>
      <c r="H8" s="25">
        <v>13148000</v>
      </c>
      <c r="I8" s="25">
        <v>6832000</v>
      </c>
    </row>
    <row r="9" spans="1:9" ht="15.75" thickBot="1">
      <c r="A9" s="22">
        <f>A8+1</f>
        <v>3</v>
      </c>
      <c r="B9" s="15" t="s">
        <v>82</v>
      </c>
      <c r="C9" s="26">
        <f>SUM(D9:I9)</f>
        <v>118952.5742266539</v>
      </c>
      <c r="D9" s="25">
        <f>-SUM('Balance Forecast'!H4:S4)</f>
        <v>51143.140628737034</v>
      </c>
      <c r="E9" s="25">
        <f>-SUM('Balance Forecast'!H9:S9)</f>
        <v>10037.69243986979</v>
      </c>
      <c r="F9" s="25">
        <f>-SUM('Balance Forecast'!H16:S16)</f>
        <v>15063.140543578644</v>
      </c>
      <c r="G9" s="25">
        <f>-SUM('Balance Forecast'!H23:S23)</f>
        <v>42708.600614468443</v>
      </c>
      <c r="H9" s="97" t="s">
        <v>92</v>
      </c>
      <c r="I9" s="97" t="s">
        <v>92</v>
      </c>
    </row>
    <row r="10" spans="1:9">
      <c r="A10" s="22">
        <f t="shared" ref="A10:A19" si="0">A9+1</f>
        <v>4</v>
      </c>
      <c r="B10" s="15" t="s">
        <v>21</v>
      </c>
      <c r="C10" s="27">
        <f>SUM(D10:I10)</f>
        <v>5769559428.8537073</v>
      </c>
      <c r="D10" s="27">
        <f>'kWh Forecast'!N23</f>
        <v>2571839024.8467379</v>
      </c>
      <c r="E10" s="27">
        <f>'kWh Forecast'!N24</f>
        <v>680574751.6732415</v>
      </c>
      <c r="F10" s="27">
        <f>'kWh Forecast'!N25</f>
        <v>1317920329.8591602</v>
      </c>
      <c r="G10" s="27">
        <f>'kWh Forecast'!N26</f>
        <v>1035484092</v>
      </c>
      <c r="H10" s="27">
        <f>'kWh Forecast'!N27</f>
        <v>147885233.96393716</v>
      </c>
      <c r="I10" s="27">
        <f>'kWh Forecast'!N28</f>
        <v>15855996.510630269</v>
      </c>
    </row>
    <row r="11" spans="1:9">
      <c r="A11" s="22">
        <f t="shared" si="0"/>
        <v>5</v>
      </c>
      <c r="B11" s="15" t="s">
        <v>22</v>
      </c>
      <c r="C11" s="28"/>
      <c r="D11" s="29">
        <v>2.0799580640406665E-5</v>
      </c>
      <c r="E11" s="29">
        <v>1.5426557350577119E-5</v>
      </c>
      <c r="F11" s="29">
        <v>1.1954662995264616E-5</v>
      </c>
      <c r="G11" s="29">
        <v>4.3140271823272235E-5</v>
      </c>
      <c r="H11" s="29">
        <v>0</v>
      </c>
      <c r="I11" s="29">
        <v>0</v>
      </c>
    </row>
    <row r="12" spans="1:9">
      <c r="A12" s="22">
        <f t="shared" si="0"/>
        <v>6</v>
      </c>
      <c r="B12" s="15" t="s">
        <v>23</v>
      </c>
      <c r="C12" s="30">
        <f>SUM(D12:I12)</f>
        <v>3239423.405898626</v>
      </c>
      <c r="D12" s="30">
        <f>'kWh Forecast'!N76</f>
        <v>2757141.0465116282</v>
      </c>
      <c r="E12" s="30">
        <f>'kWh Forecast'!N77</f>
        <v>425250.94856512552</v>
      </c>
      <c r="F12" s="30">
        <f>'kWh Forecast'!N78</f>
        <v>20374.023715823154</v>
      </c>
      <c r="G12" s="30">
        <f>'kWh Forecast'!N79</f>
        <v>264</v>
      </c>
      <c r="H12" s="30">
        <f>'kWh Forecast'!N80</f>
        <v>30288.387106049569</v>
      </c>
      <c r="I12" s="30">
        <f>'kWh Forecast'!N81</f>
        <v>6105.0000000000027</v>
      </c>
    </row>
    <row r="13" spans="1:9">
      <c r="A13" s="22">
        <f t="shared" si="0"/>
        <v>7</v>
      </c>
      <c r="B13" s="15" t="s">
        <v>83</v>
      </c>
      <c r="C13" s="28"/>
      <c r="D13" s="31">
        <f t="shared" ref="D13:G13" si="1">(D10/D12)*D11</f>
        <v>1.9401681774360018E-2</v>
      </c>
      <c r="E13" s="31">
        <f t="shared" si="1"/>
        <v>2.4688776059094836E-2</v>
      </c>
      <c r="F13" s="31">
        <f t="shared" si="1"/>
        <v>0.77330298706966494</v>
      </c>
      <c r="G13" s="31">
        <f t="shared" si="1"/>
        <v>169.20858029376603</v>
      </c>
      <c r="H13" s="31"/>
      <c r="I13" s="31"/>
    </row>
    <row r="14" spans="1:9">
      <c r="A14" s="22">
        <f t="shared" si="0"/>
        <v>8</v>
      </c>
      <c r="B14" s="15" t="s">
        <v>84</v>
      </c>
      <c r="C14" s="28"/>
      <c r="D14" s="31">
        <f t="shared" ref="D14:G14" si="2">(D10/(D12/12))*D11</f>
        <v>0.23282018129232024</v>
      </c>
      <c r="E14" s="31">
        <f t="shared" si="2"/>
        <v>0.29626531270913808</v>
      </c>
      <c r="F14" s="31">
        <f t="shared" si="2"/>
        <v>9.2796358448359797</v>
      </c>
      <c r="G14" s="31">
        <f t="shared" si="2"/>
        <v>2030.5029635251924</v>
      </c>
      <c r="H14" s="31"/>
      <c r="I14" s="31"/>
    </row>
    <row r="15" spans="1:9">
      <c r="A15" s="22">
        <f t="shared" si="0"/>
        <v>9</v>
      </c>
      <c r="B15" s="32"/>
      <c r="C15" s="14"/>
      <c r="D15" s="28"/>
      <c r="E15" s="28"/>
      <c r="F15" s="28"/>
      <c r="G15" s="28"/>
      <c r="H15" s="28"/>
      <c r="I15" s="28"/>
    </row>
    <row r="16" spans="1:9">
      <c r="A16" s="22">
        <f t="shared" si="0"/>
        <v>10</v>
      </c>
      <c r="B16" s="32" t="s">
        <v>24</v>
      </c>
      <c r="C16" s="14"/>
      <c r="D16" s="33">
        <f>D11</f>
        <v>2.0799580640406665E-5</v>
      </c>
      <c r="E16" s="33">
        <f t="shared" ref="E16:G16" si="3">E11</f>
        <v>1.5426557350577119E-5</v>
      </c>
      <c r="F16" s="33">
        <f t="shared" si="3"/>
        <v>1.1954662995264616E-5</v>
      </c>
      <c r="G16" s="33">
        <f t="shared" si="3"/>
        <v>4.3140271823272235E-5</v>
      </c>
      <c r="H16" s="33"/>
      <c r="I16" s="33"/>
    </row>
    <row r="17" spans="1:13">
      <c r="A17" s="22">
        <f t="shared" si="0"/>
        <v>11</v>
      </c>
      <c r="B17" s="32" t="s">
        <v>25</v>
      </c>
      <c r="C17" s="14"/>
      <c r="D17" s="34">
        <v>0</v>
      </c>
      <c r="E17" s="34">
        <v>0</v>
      </c>
      <c r="F17" s="34">
        <v>0</v>
      </c>
      <c r="G17" s="34">
        <v>0</v>
      </c>
      <c r="H17" s="34"/>
      <c r="I17" s="34"/>
    </row>
    <row r="18" spans="1:13">
      <c r="A18" s="22">
        <f t="shared" si="0"/>
        <v>12</v>
      </c>
      <c r="B18" s="32" t="s">
        <v>26</v>
      </c>
      <c r="C18" s="14"/>
      <c r="D18" s="33">
        <f t="shared" ref="D18:G18" si="4">D16-D17</f>
        <v>2.0799580640406665E-5</v>
      </c>
      <c r="E18" s="33">
        <f t="shared" si="4"/>
        <v>1.5426557350577119E-5</v>
      </c>
      <c r="F18" s="33">
        <f t="shared" si="4"/>
        <v>1.1954662995264616E-5</v>
      </c>
      <c r="G18" s="33">
        <f t="shared" si="4"/>
        <v>4.3140271823272235E-5</v>
      </c>
      <c r="H18" s="33"/>
      <c r="I18" s="33"/>
    </row>
    <row r="19" spans="1:13">
      <c r="A19" s="35">
        <f t="shared" si="0"/>
        <v>13</v>
      </c>
      <c r="B19" s="36" t="s">
        <v>27</v>
      </c>
      <c r="C19" s="37">
        <f>SUM(D19:I19)</f>
        <v>124418.45722511507</v>
      </c>
      <c r="D19" s="38">
        <f>D18*D10</f>
        <v>53493.173191444563</v>
      </c>
      <c r="E19" s="38">
        <f>E18*E10</f>
        <v>10498.925438042041</v>
      </c>
      <c r="F19" s="38">
        <f>F18*F10</f>
        <v>15755.293398074238</v>
      </c>
      <c r="G19" s="38">
        <f>G18*G10</f>
        <v>44671.065197554235</v>
      </c>
      <c r="H19" s="38"/>
      <c r="I19" s="38"/>
    </row>
    <row r="20" spans="1:13">
      <c r="A20" s="98" t="s">
        <v>159</v>
      </c>
      <c r="B20" s="32"/>
      <c r="C20" s="32"/>
      <c r="D20" s="32"/>
      <c r="E20" s="32"/>
      <c r="F20" s="32"/>
      <c r="G20" s="32"/>
      <c r="H20" s="32"/>
      <c r="I20" s="32"/>
      <c r="M20" s="39"/>
    </row>
    <row r="21" spans="1:13">
      <c r="A21" s="40"/>
      <c r="B21" s="32"/>
      <c r="C21" s="32"/>
      <c r="D21" s="32"/>
      <c r="E21" s="32"/>
      <c r="F21" s="32"/>
      <c r="G21" s="32"/>
      <c r="H21" s="32"/>
      <c r="I21" s="32"/>
    </row>
    <row r="22" spans="1:13">
      <c r="B22" s="15" t="s">
        <v>44</v>
      </c>
      <c r="C22" s="41">
        <f>SUM(D22:I22)</f>
        <v>574128000</v>
      </c>
      <c r="D22" s="41">
        <f t="shared" ref="D22:I22" si="5">D8</f>
        <v>268876000</v>
      </c>
      <c r="E22" s="41">
        <f t="shared" si="5"/>
        <v>86893000</v>
      </c>
      <c r="F22" s="41">
        <f t="shared" si="5"/>
        <v>130352000</v>
      </c>
      <c r="G22" s="41">
        <f t="shared" si="5"/>
        <v>68027000</v>
      </c>
      <c r="H22" s="41">
        <f t="shared" si="5"/>
        <v>13148000</v>
      </c>
      <c r="I22" s="41">
        <f t="shared" si="5"/>
        <v>6832000</v>
      </c>
    </row>
    <row r="23" spans="1:13">
      <c r="B23" s="15" t="s">
        <v>45</v>
      </c>
      <c r="C23" s="43">
        <f>C19/C22</f>
        <v>2.1670856886463484E-4</v>
      </c>
      <c r="D23" s="42">
        <f>D19/D22</f>
        <v>1.989510896898368E-4</v>
      </c>
      <c r="E23" s="42">
        <f t="shared" ref="E23:I23" si="6">E19/E22</f>
        <v>1.2082590586171546E-4</v>
      </c>
      <c r="F23" s="42">
        <f t="shared" si="6"/>
        <v>1.2086729316062844E-4</v>
      </c>
      <c r="G23" s="42">
        <f t="shared" si="6"/>
        <v>6.5666669407079886E-4</v>
      </c>
      <c r="H23" s="42">
        <f t="shared" si="6"/>
        <v>0</v>
      </c>
      <c r="I23" s="43">
        <f t="shared" si="6"/>
        <v>0</v>
      </c>
    </row>
    <row r="25" spans="1:13">
      <c r="B25" s="44" t="s">
        <v>73</v>
      </c>
      <c r="D25" s="45">
        <f>ROUND((ROUND(D16,5)-ROUND(D17,5))*932,2)</f>
        <v>0.02</v>
      </c>
    </row>
    <row r="26" spans="1:13">
      <c r="B26" s="9" t="s">
        <v>46</v>
      </c>
      <c r="D26" s="46">
        <f>D25/C42</f>
        <v>2.2517451024544022E-4</v>
      </c>
      <c r="F26" s="39"/>
    </row>
    <row r="27" spans="1:13">
      <c r="H27" s="39"/>
    </row>
    <row r="28" spans="1:13">
      <c r="D28" s="47"/>
      <c r="F28" s="48"/>
    </row>
    <row r="29" spans="1:13">
      <c r="A29" s="49"/>
      <c r="B29" s="15"/>
    </row>
    <row r="30" spans="1:13">
      <c r="A30" s="49"/>
      <c r="B30" s="15"/>
      <c r="G30" s="50"/>
    </row>
    <row r="31" spans="1:13">
      <c r="A31" s="49"/>
      <c r="B31" s="15"/>
      <c r="G31" s="51"/>
    </row>
    <row r="32" spans="1:13">
      <c r="A32" s="49"/>
    </row>
    <row r="35" spans="2:21">
      <c r="F35" s="52"/>
    </row>
    <row r="36" spans="2:21">
      <c r="F36" s="52"/>
    </row>
    <row r="37" spans="2:21">
      <c r="F37" s="52"/>
    </row>
    <row r="38" spans="2:21">
      <c r="B38" s="53" t="s">
        <v>47</v>
      </c>
      <c r="L38" s="54"/>
      <c r="M38" s="55"/>
      <c r="N38" s="55"/>
      <c r="O38" s="54"/>
    </row>
    <row r="39" spans="2:21">
      <c r="B39" s="9" t="s">
        <v>48</v>
      </c>
      <c r="C39" s="56">
        <v>9</v>
      </c>
      <c r="L39" s="57"/>
      <c r="M39" s="58"/>
      <c r="N39" s="58"/>
      <c r="O39" s="58"/>
    </row>
    <row r="40" spans="2:21">
      <c r="B40" s="9" t="s">
        <v>49</v>
      </c>
      <c r="C40" s="59">
        <v>8.3549999999999999E-2</v>
      </c>
      <c r="G40" s="32"/>
      <c r="H40" s="32"/>
      <c r="I40" s="32"/>
      <c r="J40" s="32"/>
      <c r="K40" s="32"/>
      <c r="L40" s="32"/>
      <c r="M40" s="60"/>
      <c r="N40" s="60"/>
      <c r="O40" s="60"/>
      <c r="P40" s="32"/>
      <c r="Q40" s="32"/>
      <c r="R40" s="32"/>
      <c r="S40" s="32"/>
      <c r="T40" s="32"/>
      <c r="U40" s="32"/>
    </row>
    <row r="41" spans="2:21">
      <c r="B41" s="9" t="s">
        <v>50</v>
      </c>
      <c r="C41" s="59">
        <v>9.8360000000000003E-2</v>
      </c>
      <c r="G41" s="32"/>
      <c r="H41" s="32"/>
      <c r="I41" s="32"/>
      <c r="J41" s="32"/>
      <c r="K41" s="32"/>
      <c r="L41" s="32"/>
      <c r="M41" s="60"/>
      <c r="N41" s="60"/>
      <c r="O41" s="60"/>
      <c r="P41" s="32"/>
      <c r="Q41" s="32"/>
      <c r="R41" s="32"/>
      <c r="S41" s="32"/>
      <c r="T41" s="32"/>
      <c r="U41" s="32"/>
    </row>
    <row r="42" spans="2:21">
      <c r="B42" s="44" t="s">
        <v>74</v>
      </c>
      <c r="C42" s="56">
        <f>C39+ROUND((800*C40),2)+ROUND(((932-800)*C41),2)</f>
        <v>88.820000000000007</v>
      </c>
      <c r="G42" s="32"/>
      <c r="H42" s="32"/>
      <c r="I42" s="32"/>
      <c r="J42" s="32"/>
      <c r="K42" s="32"/>
      <c r="L42" s="32"/>
      <c r="M42" s="60"/>
      <c r="N42" s="60"/>
      <c r="O42" s="60"/>
      <c r="P42" s="32"/>
      <c r="Q42" s="32"/>
      <c r="R42" s="32"/>
      <c r="S42" s="32"/>
      <c r="T42" s="32"/>
      <c r="U42" s="32"/>
    </row>
    <row r="43" spans="2:21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2:21">
      <c r="B44" s="61" t="s">
        <v>64</v>
      </c>
      <c r="C44" s="48">
        <f>D25</f>
        <v>0.02</v>
      </c>
      <c r="D44" s="42">
        <f>C44/C42</f>
        <v>2.2517451024544022E-4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2:21">
      <c r="G45" s="32"/>
      <c r="H45" s="32"/>
      <c r="I45" s="32"/>
      <c r="J45" s="32"/>
      <c r="K45" s="32"/>
      <c r="L45" s="62"/>
      <c r="M45" s="63"/>
      <c r="N45" s="62"/>
      <c r="O45" s="32"/>
      <c r="P45" s="32"/>
      <c r="Q45" s="32"/>
      <c r="R45" s="32"/>
      <c r="S45" s="32"/>
      <c r="T45" s="32"/>
      <c r="U45" s="32"/>
    </row>
    <row r="46" spans="2:21">
      <c r="B46" s="9" t="s">
        <v>60</v>
      </c>
      <c r="C46" s="48">
        <f>SUM(C42:C45)</f>
        <v>88.84</v>
      </c>
      <c r="G46" s="32"/>
      <c r="H46" s="32"/>
      <c r="I46" s="32"/>
      <c r="J46" s="32"/>
      <c r="K46" s="32"/>
      <c r="L46" s="64"/>
      <c r="M46" s="32"/>
      <c r="N46" s="65"/>
      <c r="O46" s="32"/>
      <c r="P46" s="32"/>
      <c r="Q46" s="32"/>
      <c r="R46" s="32"/>
      <c r="S46" s="32"/>
      <c r="T46" s="32"/>
      <c r="U46" s="32"/>
    </row>
    <row r="47" spans="2:21">
      <c r="G47" s="32"/>
      <c r="H47" s="32"/>
      <c r="I47" s="32"/>
      <c r="J47" s="32"/>
      <c r="K47" s="32"/>
      <c r="L47" s="66"/>
      <c r="M47" s="32"/>
      <c r="N47" s="65"/>
      <c r="O47" s="32"/>
      <c r="P47" s="32"/>
      <c r="Q47" s="32"/>
      <c r="R47" s="32"/>
      <c r="S47" s="32"/>
      <c r="T47" s="32"/>
      <c r="U47" s="32"/>
    </row>
    <row r="48" spans="2:21">
      <c r="G48" s="32"/>
      <c r="H48" s="32"/>
      <c r="I48" s="32"/>
      <c r="J48" s="32"/>
      <c r="K48" s="32"/>
      <c r="L48" s="66"/>
      <c r="M48" s="32"/>
      <c r="N48" s="65"/>
      <c r="O48" s="32"/>
      <c r="P48" s="32"/>
      <c r="Q48" s="32"/>
      <c r="R48" s="32"/>
      <c r="S48" s="32"/>
      <c r="T48" s="32"/>
      <c r="U48" s="32"/>
    </row>
    <row r="49" spans="7:21">
      <c r="G49" s="32"/>
      <c r="H49" s="32"/>
      <c r="I49" s="32"/>
      <c r="J49" s="32"/>
      <c r="K49" s="32"/>
      <c r="L49" s="66"/>
      <c r="M49" s="32"/>
      <c r="N49" s="65"/>
      <c r="O49" s="32"/>
      <c r="P49" s="32"/>
      <c r="Q49" s="32"/>
      <c r="R49" s="32"/>
      <c r="S49" s="32"/>
      <c r="T49" s="32"/>
      <c r="U49" s="32"/>
    </row>
    <row r="50" spans="7:21">
      <c r="G50" s="32"/>
      <c r="H50" s="32"/>
      <c r="I50" s="32"/>
      <c r="J50" s="32"/>
      <c r="K50" s="32"/>
      <c r="L50" s="66"/>
      <c r="M50" s="32"/>
      <c r="N50" s="65"/>
      <c r="O50" s="32"/>
      <c r="P50" s="32"/>
      <c r="Q50" s="32"/>
      <c r="R50" s="32"/>
      <c r="S50" s="32"/>
      <c r="T50" s="32"/>
      <c r="U50" s="32"/>
    </row>
    <row r="51" spans="7:21">
      <c r="G51" s="32"/>
      <c r="H51" s="32"/>
      <c r="I51" s="32"/>
      <c r="J51" s="32"/>
      <c r="K51" s="32"/>
      <c r="L51" s="66"/>
      <c r="M51" s="32"/>
      <c r="N51" s="65"/>
      <c r="O51" s="32"/>
      <c r="P51" s="32"/>
      <c r="Q51" s="32"/>
      <c r="R51" s="32"/>
      <c r="S51" s="32"/>
      <c r="T51" s="32"/>
      <c r="U51" s="32"/>
    </row>
    <row r="52" spans="7:21">
      <c r="G52" s="32"/>
      <c r="H52" s="32"/>
      <c r="I52" s="32"/>
      <c r="J52" s="32"/>
      <c r="K52" s="32"/>
      <c r="L52" s="32"/>
      <c r="M52" s="67"/>
      <c r="N52" s="68"/>
      <c r="O52" s="32"/>
      <c r="P52" s="32"/>
      <c r="Q52" s="32"/>
      <c r="R52" s="32"/>
      <c r="S52" s="32"/>
      <c r="T52" s="32"/>
      <c r="U52" s="32"/>
    </row>
    <row r="53" spans="7:21"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7:21"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7:21"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7:21"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7:21"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</sheetData>
  <pageMargins left="0.7" right="0.7" top="0.75" bottom="0.75" header="0.3" footer="0.3"/>
  <pageSetup scale="75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4A14-E501-4210-AE1B-A4A105051001}">
  <sheetPr>
    <pageSetUpPr fitToPage="1"/>
  </sheetPr>
  <dimension ref="A1:XEZ61"/>
  <sheetViews>
    <sheetView view="pageBreakPreview" zoomScale="130" zoomScaleNormal="100" zoomScaleSheetLayoutView="130" zoomScalePageLayoutView="40" workbookViewId="0">
      <selection activeCell="I22" sqref="I22"/>
    </sheetView>
  </sheetViews>
  <sheetFormatPr defaultRowHeight="15"/>
  <cols>
    <col min="1" max="1" width="23.5703125" style="1" customWidth="1"/>
    <col min="2" max="2" width="10.42578125" style="2" customWidth="1"/>
    <col min="3" max="19" width="10.42578125" style="1" customWidth="1"/>
    <col min="20" max="16384" width="9.140625" style="1"/>
  </cols>
  <sheetData>
    <row r="1" spans="1:19 16380:16380">
      <c r="A1" s="144" t="s">
        <v>155</v>
      </c>
      <c r="C1" s="122" t="s">
        <v>150</v>
      </c>
      <c r="H1" s="122" t="s">
        <v>141</v>
      </c>
    </row>
    <row r="2" spans="1:19 16380:16380">
      <c r="A2" s="3"/>
      <c r="B2" s="121">
        <v>44985</v>
      </c>
      <c r="C2" s="121">
        <f>EOMONTH(B2,1)</f>
        <v>45016</v>
      </c>
      <c r="D2" s="121">
        <f>EOMONTH(C2,1)</f>
        <v>45046</v>
      </c>
      <c r="E2" s="121">
        <f>EOMONTH(D2,1)</f>
        <v>45077</v>
      </c>
      <c r="F2" s="121">
        <f>EOMONTH(E2,1)</f>
        <v>45107</v>
      </c>
      <c r="G2" s="121">
        <f t="shared" ref="G2:S2" si="0">EOMONTH(F2,1)</f>
        <v>45138</v>
      </c>
      <c r="H2" s="121">
        <f t="shared" si="0"/>
        <v>45169</v>
      </c>
      <c r="I2" s="121">
        <f t="shared" si="0"/>
        <v>45199</v>
      </c>
      <c r="J2" s="121">
        <f t="shared" si="0"/>
        <v>45230</v>
      </c>
      <c r="K2" s="121">
        <f t="shared" si="0"/>
        <v>45260</v>
      </c>
      <c r="L2" s="121">
        <f t="shared" si="0"/>
        <v>45291</v>
      </c>
      <c r="M2" s="121">
        <f t="shared" si="0"/>
        <v>45322</v>
      </c>
      <c r="N2" s="121">
        <f t="shared" si="0"/>
        <v>45351</v>
      </c>
      <c r="O2" s="121">
        <f t="shared" si="0"/>
        <v>45382</v>
      </c>
      <c r="P2" s="121">
        <f t="shared" si="0"/>
        <v>45412</v>
      </c>
      <c r="Q2" s="121">
        <f t="shared" si="0"/>
        <v>45443</v>
      </c>
      <c r="R2" s="121">
        <f t="shared" si="0"/>
        <v>45473</v>
      </c>
      <c r="S2" s="121">
        <f t="shared" si="0"/>
        <v>45504</v>
      </c>
    </row>
    <row r="3" spans="1:19 16380:16380">
      <c r="A3" s="4" t="s">
        <v>142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 16380:16380">
      <c r="A4" s="125" t="s">
        <v>140</v>
      </c>
      <c r="C4" s="126">
        <v>0</v>
      </c>
      <c r="D4" s="126">
        <v>0</v>
      </c>
      <c r="E4" s="126">
        <v>0</v>
      </c>
      <c r="F4" s="126">
        <v>0</v>
      </c>
      <c r="G4" s="126">
        <v>0</v>
      </c>
      <c r="H4" s="2">
        <f>-'kWh Forecast'!B50</f>
        <v>-4309.8936417593695</v>
      </c>
      <c r="I4" s="2">
        <f>-'kWh Forecast'!C50</f>
        <v>-3261.6221153313572</v>
      </c>
      <c r="J4" s="2">
        <f>-'kWh Forecast'!D50</f>
        <v>-3461.1925302054296</v>
      </c>
      <c r="K4" s="2">
        <f>-'kWh Forecast'!E50</f>
        <v>-4708.4339309359138</v>
      </c>
      <c r="L4" s="2">
        <f>-'kWh Forecast'!F50</f>
        <v>-5931.2809508310247</v>
      </c>
      <c r="M4" s="2">
        <f>-'kWh Forecast'!G50</f>
        <v>-6008.9325669779037</v>
      </c>
      <c r="N4" s="2">
        <f>-'kWh Forecast'!H50</f>
        <v>-5085.4066597343881</v>
      </c>
      <c r="O4" s="2">
        <f>-'kWh Forecast'!I50</f>
        <v>-4482.1784658043316</v>
      </c>
      <c r="P4" s="2">
        <f>-'kWh Forecast'!J50</f>
        <v>-3617.3633394167032</v>
      </c>
      <c r="Q4" s="2">
        <f>-'kWh Forecast'!K50</f>
        <v>-3243.5591788174779</v>
      </c>
      <c r="R4" s="2">
        <f>-'kWh Forecast'!L50</f>
        <v>-3198.3622256626086</v>
      </c>
      <c r="S4" s="2">
        <f>-'kWh Forecast'!M50</f>
        <v>-3834.9150232605211</v>
      </c>
      <c r="XEZ4" s="2"/>
    </row>
    <row r="5" spans="1:19 16380:16380">
      <c r="A5" s="125" t="s">
        <v>152</v>
      </c>
      <c r="B5" s="126"/>
      <c r="C5" s="126">
        <f>'Payments - Allocation'!C9+('Payments - Allocation'!C13*('Rate Design'!D8/('Rate Design'!D8+'Rate Design'!E8+'Rate Design'!F8+'Rate Design'!G8)))</f>
        <v>48050.976581710653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</row>
    <row r="6" spans="1:19 16380:16380">
      <c r="A6" s="125" t="s">
        <v>138</v>
      </c>
      <c r="C6" s="2">
        <f>(B7*($B$31/12))+((C5/2)*($B$31/12))+((C4/2)*($B$31/12))</f>
        <v>140.74931890392745</v>
      </c>
      <c r="D6" s="2">
        <f>(C7*($B$31/12))+((D5/2)*($B$31/12))+((D4/2)*($B$31/12))</f>
        <v>282.3231942344338</v>
      </c>
      <c r="E6" s="2">
        <f>(D7*($B$31/12))+((E5/2)*($B$31/12))+((E4/2)*($B$31/12))</f>
        <v>283.97713761399052</v>
      </c>
      <c r="F6" s="2">
        <f>(E7*($B$31/12))+((F5/2)*($B$31/12))+((F4/2)*($B$31/12))</f>
        <v>285.64077034517913</v>
      </c>
      <c r="G6" s="2">
        <f>(F7*($B$31/12))+((G5/2)*($B$31/12))+((G4/2)*($B$31/12))</f>
        <v>287.31414919145129</v>
      </c>
      <c r="H6" s="2">
        <f>(G7*($B$32/12))+((H5/2)*($B$32/12))+((H4/2)*($B$32/12))</f>
        <v>294.85021456949966</v>
      </c>
      <c r="I6" s="2">
        <f>(H7*($B$32/12))+((I5/2)*($B$32/12))+((I4/2)*($B$32/12))</f>
        <v>273.03204166965054</v>
      </c>
      <c r="J6" s="2">
        <f>(I7*($B$32/12))+((J5/2)*($B$32/12))+((J4/2)*($B$32/12))</f>
        <v>253.7296961627834</v>
      </c>
      <c r="K6" s="2">
        <f>(J7*($B$32/12))+((K5/2)*($B$32/12))+((K4/2)*($B$32/12))</f>
        <v>229.78542407273406</v>
      </c>
      <c r="L6" s="2">
        <f>(K7*($B$32/12))+((L5/2)*($B$32/12))+((L4/2)*($B$32/12))</f>
        <v>197.97247396766699</v>
      </c>
      <c r="M6" s="2">
        <f>(L7*($B$32/12))+((M5/2)*($B$32/12))+((M4/2)*($B$32/12))</f>
        <v>161.89663468681201</v>
      </c>
      <c r="N6" s="2">
        <f>(M7*($B$32/12))+((N5/2)*($B$32/12))+((N4/2)*($B$32/12))</f>
        <v>128.23867857012866</v>
      </c>
      <c r="O6" s="2">
        <f>(N7*($B$32/12))+((O5/2)*($B$32/12))+((O4/2)*($B$32/12))</f>
        <v>99.141466793883467</v>
      </c>
      <c r="P6" s="2">
        <f>(O7*($B$32/12))+((P5/2)*($B$32/12))+((P4/2)*($B$32/12))</f>
        <v>74.45003282002952</v>
      </c>
      <c r="Q6" s="2">
        <f>(P7*($B$32/12))+((Q5/2)*($B$32/12))+((Q4/2)*($B$32/12))</f>
        <v>53.474962655672883</v>
      </c>
      <c r="R6" s="2">
        <f>(Q7*($B$32/12))+((R5/2)*($B$32/12))+((R4/2)*($B$32/12))</f>
        <v>33.678176783270558</v>
      </c>
      <c r="S6" s="2">
        <f>(R7*($B$32/12))+((S5/2)*($B$32/12))+((S4/2)*($B$32/12))</f>
        <v>11.909673985281222</v>
      </c>
    </row>
    <row r="7" spans="1:19 16380:16380">
      <c r="A7" s="125" t="s">
        <v>139</v>
      </c>
      <c r="B7" s="126">
        <v>0</v>
      </c>
      <c r="C7" s="2">
        <f>B7+SUM(C4:C6)</f>
        <v>48191.725900614583</v>
      </c>
      <c r="D7" s="2">
        <f t="shared" ref="D7:S7" si="1">C7+SUM(D4:D6)</f>
        <v>48474.049094849019</v>
      </c>
      <c r="E7" s="2">
        <f t="shared" si="1"/>
        <v>48758.026232463009</v>
      </c>
      <c r="F7" s="2">
        <f t="shared" si="1"/>
        <v>49043.667002808186</v>
      </c>
      <c r="G7" s="2">
        <f t="shared" si="1"/>
        <v>49330.981151999636</v>
      </c>
      <c r="H7" s="2">
        <f t="shared" si="1"/>
        <v>45315.937724809766</v>
      </c>
      <c r="I7" s="2">
        <f t="shared" si="1"/>
        <v>42327.347651148062</v>
      </c>
      <c r="J7" s="2">
        <f t="shared" si="1"/>
        <v>39119.884817105412</v>
      </c>
      <c r="K7" s="2">
        <f t="shared" si="1"/>
        <v>34641.236310242231</v>
      </c>
      <c r="L7" s="2">
        <f t="shared" si="1"/>
        <v>28907.927833378875</v>
      </c>
      <c r="M7" s="2">
        <f t="shared" si="1"/>
        <v>23060.891901087783</v>
      </c>
      <c r="N7" s="2">
        <f t="shared" si="1"/>
        <v>18103.723919923523</v>
      </c>
      <c r="O7" s="2">
        <f t="shared" si="1"/>
        <v>13720.686920913075</v>
      </c>
      <c r="P7" s="2">
        <f t="shared" si="1"/>
        <v>10177.7736143164</v>
      </c>
      <c r="Q7" s="2">
        <f t="shared" si="1"/>
        <v>6987.6893981545945</v>
      </c>
      <c r="R7" s="2">
        <f t="shared" si="1"/>
        <v>3823.0053492752563</v>
      </c>
      <c r="S7" s="2">
        <f t="shared" si="1"/>
        <v>1.6370904631912708E-11</v>
      </c>
    </row>
    <row r="8" spans="1:19 16380:16380">
      <c r="A8" s="4" t="s">
        <v>143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 16380:16380">
      <c r="A9" s="125" t="s">
        <v>140</v>
      </c>
      <c r="B9" s="127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2">
        <f>-'kWh Forecast'!B51</f>
        <v>-845.68882217182545</v>
      </c>
      <c r="I9" s="2">
        <f>-'kWh Forecast'!C51</f>
        <v>-756.21741027795906</v>
      </c>
      <c r="J9" s="2">
        <f>-'kWh Forecast'!D51</f>
        <v>-775.91106277964229</v>
      </c>
      <c r="K9" s="2">
        <f>-'kWh Forecast'!E51</f>
        <v>-883.14161963519859</v>
      </c>
      <c r="L9" s="2">
        <f>-'kWh Forecast'!F51</f>
        <v>-994.5931917816514</v>
      </c>
      <c r="M9" s="2">
        <f>-'kWh Forecast'!G51</f>
        <v>-975.39888679085038</v>
      </c>
      <c r="N9" s="2">
        <f>-'kWh Forecast'!H51</f>
        <v>-897.99694138999484</v>
      </c>
      <c r="O9" s="2">
        <f>-'kWh Forecast'!I51</f>
        <v>-850.84316100037131</v>
      </c>
      <c r="P9" s="2">
        <f>-'kWh Forecast'!J51</f>
        <v>-742.56843980769122</v>
      </c>
      <c r="Q9" s="2">
        <f>-'kWh Forecast'!K51</f>
        <v>-720.10805818603637</v>
      </c>
      <c r="R9" s="2">
        <f>-'kWh Forecast'!L51</f>
        <v>-740.80042502549827</v>
      </c>
      <c r="S9" s="2">
        <f>-'kWh Forecast'!M51</f>
        <v>-854.42442102307143</v>
      </c>
    </row>
    <row r="10" spans="1:19 16380:16380">
      <c r="A10" s="125" t="s">
        <v>152</v>
      </c>
      <c r="B10" s="126"/>
      <c r="C10" s="126">
        <f>('Payments - Allocation'!C11*('Rate Design'!E8/('Rate Design'!E8+'Rate Design'!F8))+('Payments - Allocation'!C13*('Rate Design'!E8/('Rate Design'!D8+'Rate Design'!E8+'Rate Design'!F8+'Rate Design'!G8))))</f>
        <v>9425.4293832512649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</row>
    <row r="11" spans="1:19 16380:16380">
      <c r="A11" s="125" t="s">
        <v>138</v>
      </c>
      <c r="C11" s="2">
        <f>(B12*($B$31/12))+((C10/2)*($B$31/12))+((C9/2)*($B$31/12))</f>
        <v>27.608653568440165</v>
      </c>
      <c r="D11" s="2">
        <f>(C12*($B$31/12))+((D10/2)*($B$31/12))+((D9/2)*($B$31/12))</f>
        <v>55.379047832368776</v>
      </c>
      <c r="E11" s="2">
        <f>(D12*($B$31/12))+((E10/2)*($B$31/12))+((E9/2)*($B$31/12))</f>
        <v>55.703476754253401</v>
      </c>
      <c r="F11" s="2">
        <f>(E12*($B$31/12))+((F10/2)*($B$31/12))+((F9/2)*($B$31/12))</f>
        <v>56.029806288905405</v>
      </c>
      <c r="G11" s="2">
        <f>(F12*($B$31/12))+((G10/2)*($B$31/12))+((G9/2)*($B$31/12))</f>
        <v>56.358047570747907</v>
      </c>
      <c r="H11" s="2">
        <f>(G12*($B$32/12))+((H10/2)*($B$32/12))+((H9/2)*($B$32/12))</f>
        <v>57.835400026125413</v>
      </c>
      <c r="I11" s="2">
        <f>(H12*($B$32/12))+((I10/2)*($B$32/12))+((I9/2)*($B$32/12))</f>
        <v>53.190914299883126</v>
      </c>
      <c r="J11" s="2">
        <f>(I12*($B$32/12))+((J10/2)*($B$32/12))+((J9/2)*($B$32/12))</f>
        <v>48.735456035952396</v>
      </c>
      <c r="K11" s="2">
        <f>(J12*($B$32/12))+((K10/2)*($B$32/12))+((K9/2)*($B$32/12))</f>
        <v>43.855513003630719</v>
      </c>
      <c r="L11" s="2">
        <f>(K12*($B$32/12))+((L10/2)*($B$32/12))+((L9/2)*($B$32/12))</f>
        <v>38.261688674225752</v>
      </c>
      <c r="M11" s="2">
        <f>(L12*($B$32/12))+((M10/2)*($B$32/12))+((M9/2)*($B$32/12))</f>
        <v>32.3445989829006</v>
      </c>
      <c r="N11" s="2">
        <f>(M12*($B$32/12))+((N10/2)*($B$32/12))+((N9/2)*($B$32/12))</f>
        <v>26.692390763478588</v>
      </c>
      <c r="O11" s="2">
        <f>(N12*($B$32/12))+((O10/2)*($B$32/12))+((O9/2)*($B$32/12))</f>
        <v>21.394092885780434</v>
      </c>
      <c r="P11" s="2">
        <f>(O12*($B$32/12))+((P10/2)*($B$32/12))+((P9/2)*($B$32/12))</f>
        <v>16.548394713791371</v>
      </c>
      <c r="Q11" s="2">
        <f>(P12*($B$32/12))+((Q10/2)*($B$32/12))+((Q9/2)*($B$32/12))</f>
        <v>12.080958124522166</v>
      </c>
      <c r="R11" s="2">
        <f>(Q12*($B$32/12))+((R10/2)*($B$32/12))+((R9/2)*($B$32/12))</f>
        <v>7.5911251027643818</v>
      </c>
      <c r="S11" s="2">
        <f>(R12*($B$32/12))+((S10/2)*($B$32/12))+((S9/2)*($B$32/12))</f>
        <v>2.6534919907548793</v>
      </c>
    </row>
    <row r="12" spans="1:19 16380:16380">
      <c r="A12" s="125" t="s">
        <v>139</v>
      </c>
      <c r="B12" s="126">
        <v>0</v>
      </c>
      <c r="C12" s="2">
        <f>B12+SUM(C9:C11)</f>
        <v>9453.0380368197057</v>
      </c>
      <c r="D12" s="2">
        <f t="shared" ref="D12" si="2">C12+SUM(D9:D11)</f>
        <v>9508.4170846520738</v>
      </c>
      <c r="E12" s="2">
        <f t="shared" ref="E12" si="3">D12+SUM(E9:E11)</f>
        <v>9564.1205614063274</v>
      </c>
      <c r="F12" s="2">
        <f t="shared" ref="F12" si="4">E12+SUM(F9:F11)</f>
        <v>9620.1503676952325</v>
      </c>
      <c r="G12" s="2">
        <f t="shared" ref="G12" si="5">F12+SUM(G9:G11)</f>
        <v>9676.5084152659801</v>
      </c>
      <c r="H12" s="2">
        <f t="shared" ref="H12" si="6">G12+SUM(H9:H11)</f>
        <v>8888.6549931202808</v>
      </c>
      <c r="I12" s="2">
        <f t="shared" ref="I12" si="7">H12+SUM(I9:I11)</f>
        <v>8185.6284971422047</v>
      </c>
      <c r="J12" s="2">
        <f t="shared" ref="J12" si="8">I12+SUM(J9:J11)</f>
        <v>7458.4528903985147</v>
      </c>
      <c r="K12" s="2">
        <f t="shared" ref="K12" si="9">J12+SUM(K9:K11)</f>
        <v>6619.1667837669465</v>
      </c>
      <c r="L12" s="2">
        <f t="shared" ref="L12" si="10">K12+SUM(L9:L11)</f>
        <v>5662.8352806595212</v>
      </c>
      <c r="M12" s="2">
        <f t="shared" ref="M12" si="11">L12+SUM(M9:M11)</f>
        <v>4719.7809928515717</v>
      </c>
      <c r="N12" s="2">
        <f t="shared" ref="N12" si="12">M12+SUM(N9:N11)</f>
        <v>3848.4764422250555</v>
      </c>
      <c r="O12" s="2">
        <f t="shared" ref="O12" si="13">N12+SUM(O9:O11)</f>
        <v>3019.0273741104647</v>
      </c>
      <c r="P12" s="2">
        <f t="shared" ref="P12" si="14">O12+SUM(P9:P11)</f>
        <v>2293.0073290165647</v>
      </c>
      <c r="Q12" s="2">
        <f t="shared" ref="Q12" si="15">P12+SUM(Q9:Q11)</f>
        <v>1584.9802289550503</v>
      </c>
      <c r="R12" s="2">
        <f t="shared" ref="R12" si="16">Q12+SUM(R9:R11)</f>
        <v>851.77092903231642</v>
      </c>
      <c r="S12" s="2">
        <f t="shared" ref="S12" si="17">R12+SUM(S9:S11)</f>
        <v>0</v>
      </c>
    </row>
    <row r="13" spans="1:19 16380:16380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 16380:16380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 16380:16380">
      <c r="A15" s="4" t="s">
        <v>144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 16380:16380">
      <c r="A16" s="125" t="s">
        <v>140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2">
        <f>-'kWh Forecast'!B52</f>
        <v>-1279.554160317886</v>
      </c>
      <c r="I16" s="2">
        <f>-'kWh Forecast'!C52</f>
        <v>-1201.5719440900932</v>
      </c>
      <c r="J16" s="2">
        <f>-'kWh Forecast'!D52</f>
        <v>-1329.5736203222411</v>
      </c>
      <c r="K16" s="2">
        <f>-'kWh Forecast'!E52</f>
        <v>-1331.6408133050597</v>
      </c>
      <c r="L16" s="2">
        <f>-'kWh Forecast'!F52</f>
        <v>-1284.2344668089193</v>
      </c>
      <c r="M16" s="2">
        <f>-'kWh Forecast'!G52</f>
        <v>-1243.986522634407</v>
      </c>
      <c r="N16" s="2">
        <f>-'kWh Forecast'!H52</f>
        <v>-1223.6590847036562</v>
      </c>
      <c r="O16" s="2">
        <f>-'kWh Forecast'!I52</f>
        <v>-1195.3771882470164</v>
      </c>
      <c r="P16" s="2">
        <f>-'kWh Forecast'!J52</f>
        <v>-1162.2846333272025</v>
      </c>
      <c r="Q16" s="2">
        <f>-'kWh Forecast'!K52</f>
        <v>-1212.0574371727357</v>
      </c>
      <c r="R16" s="2">
        <f>-'kWh Forecast'!L52</f>
        <v>-1248.2589583457091</v>
      </c>
      <c r="S16" s="2">
        <f>-'kWh Forecast'!M52</f>
        <v>-1350.9417143037147</v>
      </c>
    </row>
    <row r="17" spans="1:19">
      <c r="A17" s="125" t="s">
        <v>152</v>
      </c>
      <c r="B17" s="126"/>
      <c r="C17" s="126">
        <f>('Payments - Allocation'!C11*('Rate Design'!F8/('Rate Design'!E8+'Rate Design'!F8))+('Payments - Allocation'!C13*('Rate Design'!F8/('Rate Design'!D8+'Rate Design'!E8+'Rate Design'!F8+'Rate Design'!G8))))</f>
        <v>14139.499970832736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</row>
    <row r="18" spans="1:19">
      <c r="A18" s="125" t="s">
        <v>138</v>
      </c>
      <c r="C18" s="2">
        <f>(B19*($B$31/12))+((C17/2)*($B$31/12))+((C16/2)*($B$31/12))</f>
        <v>41.416951997897556</v>
      </c>
      <c r="D18" s="2">
        <f>(C19*($B$31/12))+((D17/2)*($B$31/12))+((D16/2)*($B$31/12))</f>
        <v>83.076538306249461</v>
      </c>
      <c r="E18" s="2">
        <f>(D19*($B$31/12))+((E17/2)*($B$31/12))+((E16/2)*($B$31/12))</f>
        <v>83.563228359826908</v>
      </c>
      <c r="F18" s="2">
        <f>(E19*($B$31/12))+((F17/2)*($B$31/12))+((F16/2)*($B$31/12))</f>
        <v>84.052769605968223</v>
      </c>
      <c r="G18" s="2">
        <f>(F19*($B$31/12))+((G17/2)*($B$31/12))+((G16/2)*($B$31/12))</f>
        <v>84.545178747909858</v>
      </c>
      <c r="H18" s="2">
        <f t="shared" ref="H18:S18" si="18">(G19*($B$32/12))+((H17/2)*($B$32/12))+((H16/2)*($B$32/12))</f>
        <v>86.727359735572776</v>
      </c>
      <c r="I18" s="2">
        <f t="shared" si="18"/>
        <v>79.515886657645169</v>
      </c>
      <c r="J18" s="2">
        <f t="shared" si="18"/>
        <v>72.103031060466904</v>
      </c>
      <c r="K18" s="2">
        <f t="shared" si="18"/>
        <v>64.237379899509506</v>
      </c>
      <c r="L18" s="2">
        <f t="shared" si="18"/>
        <v>56.464253273525252</v>
      </c>
      <c r="M18" s="2">
        <f t="shared" si="18"/>
        <v>48.916464264474392</v>
      </c>
      <c r="N18" s="2">
        <f t="shared" si="18"/>
        <v>41.510799643195909</v>
      </c>
      <c r="O18" s="2">
        <f t="shared" si="18"/>
        <v>34.210753787995031</v>
      </c>
      <c r="P18" s="2">
        <f t="shared" si="18"/>
        <v>27.05687780675057</v>
      </c>
      <c r="Q18" s="2">
        <f t="shared" si="18"/>
        <v>19.806164322730456</v>
      </c>
      <c r="R18" s="2">
        <f t="shared" si="18"/>
        <v>12.241464113752382</v>
      </c>
      <c r="S18" s="2">
        <f t="shared" si="18"/>
        <v>4.1954711624338854</v>
      </c>
    </row>
    <row r="19" spans="1:19">
      <c r="A19" s="125" t="s">
        <v>139</v>
      </c>
      <c r="B19" s="126">
        <v>0</v>
      </c>
      <c r="C19" s="2">
        <f>B19+SUM(C16:C18)</f>
        <v>14180.916922830633</v>
      </c>
      <c r="D19" s="2">
        <f t="shared" ref="D19" si="19">C19+SUM(D16:D18)</f>
        <v>14263.993461136883</v>
      </c>
      <c r="E19" s="2">
        <f t="shared" ref="E19" si="20">D19+SUM(E16:E18)</f>
        <v>14347.556689496709</v>
      </c>
      <c r="F19" s="2">
        <f t="shared" ref="F19" si="21">E19+SUM(F16:F18)</f>
        <v>14431.609459102678</v>
      </c>
      <c r="G19" s="2">
        <f t="shared" ref="G19" si="22">F19+SUM(G16:G18)</f>
        <v>14516.154637850588</v>
      </c>
      <c r="H19" s="2">
        <f t="shared" ref="H19" si="23">G19+SUM(H16:H18)</f>
        <v>13323.327837268274</v>
      </c>
      <c r="I19" s="2">
        <f t="shared" ref="I19" si="24">H19+SUM(I16:I18)</f>
        <v>12201.271779835826</v>
      </c>
      <c r="J19" s="2">
        <f t="shared" ref="J19" si="25">I19+SUM(J16:J18)</f>
        <v>10943.801190574051</v>
      </c>
      <c r="K19" s="2">
        <f t="shared" ref="K19" si="26">J19+SUM(K16:K18)</f>
        <v>9676.3977571685009</v>
      </c>
      <c r="L19" s="2">
        <f t="shared" ref="L19" si="27">K19+SUM(L16:L18)</f>
        <v>8448.6275436331071</v>
      </c>
      <c r="M19" s="2">
        <f t="shared" ref="M19" si="28">L19+SUM(M16:M18)</f>
        <v>7253.5574852631744</v>
      </c>
      <c r="N19" s="2">
        <f t="shared" ref="N19" si="29">M19+SUM(N16:N18)</f>
        <v>6071.4092002027137</v>
      </c>
      <c r="O19" s="2">
        <f t="shared" ref="O19" si="30">N19+SUM(O16:O18)</f>
        <v>4910.2427657436929</v>
      </c>
      <c r="P19" s="2">
        <f t="shared" ref="P19" si="31">O19+SUM(P16:P18)</f>
        <v>3775.015010223241</v>
      </c>
      <c r="Q19" s="2">
        <f t="shared" ref="Q19" si="32">P19+SUM(Q16:Q18)</f>
        <v>2582.7637373732359</v>
      </c>
      <c r="R19" s="2">
        <f t="shared" ref="R19" si="33">Q19+SUM(R16:R18)</f>
        <v>1346.7462431412791</v>
      </c>
      <c r="S19" s="2">
        <f t="shared" ref="S19" si="34">R19+SUM(S16:S18)</f>
        <v>0</v>
      </c>
    </row>
    <row r="20" spans="1:19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4" t="s">
        <v>145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125" t="s">
        <v>140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2">
        <f>-'kWh Forecast'!B53</f>
        <v>-3936.554511231785</v>
      </c>
      <c r="I23" s="2">
        <f>-'kWh Forecast'!C53</f>
        <v>-3453.8391896306034</v>
      </c>
      <c r="J23" s="2">
        <f>-'kWh Forecast'!D53</f>
        <v>-3605.1637987038175</v>
      </c>
      <c r="K23" s="2">
        <f>-'kWh Forecast'!E53</f>
        <v>-3505.6655425325162</v>
      </c>
      <c r="L23" s="2">
        <f>-'kWh Forecast'!F53</f>
        <v>-3490.0658369945922</v>
      </c>
      <c r="M23" s="2">
        <f>-'kWh Forecast'!G53</f>
        <v>-3754.0182000556747</v>
      </c>
      <c r="N23" s="2">
        <f>-'kWh Forecast'!H53</f>
        <v>-3292.2942203610073</v>
      </c>
      <c r="O23" s="2">
        <f>-'kWh Forecast'!I53</f>
        <v>-3538.3092730217386</v>
      </c>
      <c r="P23" s="2">
        <f>-'kWh Forecast'!J53</f>
        <v>-3548.948765489487</v>
      </c>
      <c r="Q23" s="2">
        <f>-'kWh Forecast'!K53</f>
        <v>-3465.9029564139232</v>
      </c>
      <c r="R23" s="2">
        <f>-'kWh Forecast'!L53</f>
        <v>-3573.9657074698011</v>
      </c>
      <c r="S23" s="2">
        <f>-'kWh Forecast'!M53</f>
        <v>-3543.8726125634948</v>
      </c>
    </row>
    <row r="24" spans="1:19">
      <c r="A24" s="125" t="s">
        <v>152</v>
      </c>
      <c r="B24" s="126"/>
      <c r="C24" s="126">
        <f>'Payments - Allocation'!C7+('Payments - Allocation'!C13*('Rate Design'!G8/('Rate Design'!D8+'Rate Design'!E8+'Rate Design'!F8+'Rate Design'!G8)))</f>
        <v>40096.19797224021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</row>
    <row r="25" spans="1:19">
      <c r="A25" s="125" t="s">
        <v>138</v>
      </c>
      <c r="C25" s="2">
        <f>(B26*($B$31/12))+((C24/2)*($B$31/12))+((C23/2)*($B$31/12))</f>
        <v>117.44844656035362</v>
      </c>
      <c r="D25" s="2">
        <f>(C26*($B$31/12))+((D24/2)*($B$31/12))+((D23/2)*($B$31/12))</f>
        <v>235.58494527013997</v>
      </c>
      <c r="E25" s="2">
        <f>(D26*($B$31/12))+((E24/2)*($B$31/12))+((E23/2)*($B$31/12))</f>
        <v>236.96508040784752</v>
      </c>
      <c r="F25" s="2">
        <f>(E26*($B$31/12))+((F24/2)*($B$31/12))+((F23/2)*($B$31/12))</f>
        <v>238.35330083723684</v>
      </c>
      <c r="G25" s="2">
        <f>(F26*($B$31/12))+((G24/2)*($B$31/12))+((G23/2)*($B$31/12))</f>
        <v>239.74965392464165</v>
      </c>
      <c r="H25" s="2">
        <f t="shared" ref="H25:S25" si="35">(G26*($B$32/12))+((H24/2)*($B$32/12))+((H23/2)*($B$32/12))</f>
        <v>244.97513839765332</v>
      </c>
      <c r="I25" s="2">
        <f t="shared" si="35"/>
        <v>223.41125269744373</v>
      </c>
      <c r="J25" s="2">
        <f t="shared" si="35"/>
        <v>202.74818868825767</v>
      </c>
      <c r="K25" s="2">
        <f t="shared" si="35"/>
        <v>181.79402317619574</v>
      </c>
      <c r="L25" s="2">
        <f t="shared" si="35"/>
        <v>161.06857526002474</v>
      </c>
      <c r="M25" s="2">
        <f t="shared" si="35"/>
        <v>139.43749123961783</v>
      </c>
      <c r="N25" s="2">
        <f t="shared" si="35"/>
        <v>118.28924924606329</v>
      </c>
      <c r="O25" s="2">
        <f t="shared" si="35"/>
        <v>97.682921137030121</v>
      </c>
      <c r="P25" s="2">
        <f t="shared" si="35"/>
        <v>76.145758023788986</v>
      </c>
      <c r="Q25" s="2">
        <f t="shared" si="35"/>
        <v>54.700257380489511</v>
      </c>
      <c r="R25" s="2">
        <f t="shared" si="35"/>
        <v>33.042544414480922</v>
      </c>
      <c r="S25" s="2">
        <f t="shared" si="35"/>
        <v>11.005815566967378</v>
      </c>
    </row>
    <row r="26" spans="1:19">
      <c r="A26" s="125" t="s">
        <v>139</v>
      </c>
      <c r="B26" s="126">
        <v>0</v>
      </c>
      <c r="C26" s="2">
        <f>B26+SUM(C23:C25)</f>
        <v>40213.646418800563</v>
      </c>
      <c r="D26" s="2">
        <f t="shared" ref="D26" si="36">C26+SUM(D23:D25)</f>
        <v>40449.2313640707</v>
      </c>
      <c r="E26" s="2">
        <f t="shared" ref="E26" si="37">D26+SUM(E23:E25)</f>
        <v>40686.196444478548</v>
      </c>
      <c r="F26" s="2">
        <f t="shared" ref="F26" si="38">E26+SUM(F23:F25)</f>
        <v>40924.549745315788</v>
      </c>
      <c r="G26" s="2">
        <f t="shared" ref="G26" si="39">F26+SUM(G23:G25)</f>
        <v>41164.29939924043</v>
      </c>
      <c r="H26" s="2">
        <f t="shared" ref="H26" si="40">G26+SUM(H23:H25)</f>
        <v>37472.720026406299</v>
      </c>
      <c r="I26" s="2">
        <f t="shared" ref="I26" si="41">H26+SUM(I23:I25)</f>
        <v>34242.292089473136</v>
      </c>
      <c r="J26" s="2">
        <f t="shared" ref="J26" si="42">I26+SUM(J23:J25)</f>
        <v>30839.876479457576</v>
      </c>
      <c r="K26" s="2">
        <f t="shared" ref="K26" si="43">J26+SUM(K23:K25)</f>
        <v>27516.004960101258</v>
      </c>
      <c r="L26" s="2">
        <f t="shared" ref="L26" si="44">K26+SUM(L23:L25)</f>
        <v>24187.007698366691</v>
      </c>
      <c r="M26" s="2">
        <f t="shared" ref="M26" si="45">L26+SUM(M23:M25)</f>
        <v>20572.426989550633</v>
      </c>
      <c r="N26" s="2">
        <f t="shared" ref="N26" si="46">M26+SUM(N23:N25)</f>
        <v>17398.422018435689</v>
      </c>
      <c r="O26" s="2">
        <f t="shared" ref="O26" si="47">N26+SUM(O23:O25)</f>
        <v>13957.795666550981</v>
      </c>
      <c r="P26" s="2">
        <f t="shared" ref="P26" si="48">O26+SUM(P23:P25)</f>
        <v>10484.992659085283</v>
      </c>
      <c r="Q26" s="2">
        <f t="shared" ref="Q26" si="49">P26+SUM(Q23:Q25)</f>
        <v>7073.7899600518485</v>
      </c>
      <c r="R26" s="2">
        <f t="shared" ref="R26" si="50">Q26+SUM(R23:R25)</f>
        <v>3532.8667969965281</v>
      </c>
      <c r="S26" s="2">
        <f t="shared" ref="S26" si="51">R26+SUM(S23:S25)</f>
        <v>0</v>
      </c>
    </row>
    <row r="27" spans="1:19">
      <c r="B27" s="124"/>
      <c r="C27" s="124"/>
      <c r="D27" s="124"/>
      <c r="E27" s="2"/>
      <c r="F27" s="2"/>
      <c r="G27" s="2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</row>
    <row r="28" spans="1:19">
      <c r="B28" s="124"/>
      <c r="C28" s="124">
        <f t="shared" ref="C28:S28" si="52">C4+C9+C16+C23</f>
        <v>0</v>
      </c>
      <c r="D28" s="124">
        <f t="shared" si="52"/>
        <v>0</v>
      </c>
      <c r="E28" s="124">
        <f t="shared" si="52"/>
        <v>0</v>
      </c>
      <c r="F28" s="124">
        <f t="shared" si="52"/>
        <v>0</v>
      </c>
      <c r="G28" s="124">
        <f t="shared" si="52"/>
        <v>0</v>
      </c>
      <c r="H28" s="124">
        <f t="shared" si="52"/>
        <v>-10371.691135480865</v>
      </c>
      <c r="I28" s="124">
        <f t="shared" si="52"/>
        <v>-8673.2506593300131</v>
      </c>
      <c r="J28" s="124">
        <f t="shared" si="52"/>
        <v>-9171.8410120111312</v>
      </c>
      <c r="K28" s="124">
        <f t="shared" si="52"/>
        <v>-10428.881906408689</v>
      </c>
      <c r="L28" s="124">
        <f t="shared" si="52"/>
        <v>-11700.174446416187</v>
      </c>
      <c r="M28" s="124">
        <f t="shared" si="52"/>
        <v>-11982.336176458835</v>
      </c>
      <c r="N28" s="124">
        <f t="shared" si="52"/>
        <v>-10499.356906189045</v>
      </c>
      <c r="O28" s="124">
        <f t="shared" si="52"/>
        <v>-10066.708088073457</v>
      </c>
      <c r="P28" s="124">
        <f t="shared" si="52"/>
        <v>-9071.1651780410848</v>
      </c>
      <c r="Q28" s="124">
        <f t="shared" si="52"/>
        <v>-8641.6276305901738</v>
      </c>
      <c r="R28" s="124">
        <f t="shared" si="52"/>
        <v>-8761.3873165036166</v>
      </c>
      <c r="S28" s="124">
        <f t="shared" si="52"/>
        <v>-9584.1537711508026</v>
      </c>
    </row>
    <row r="29" spans="1:19">
      <c r="B29" s="124"/>
      <c r="C29" s="124">
        <f t="shared" ref="C29:S29" si="53">C6+C11+C18+C25</f>
        <v>327.22337103061875</v>
      </c>
      <c r="D29" s="124">
        <f t="shared" si="53"/>
        <v>656.36372564319197</v>
      </c>
      <c r="E29" s="124">
        <f t="shared" si="53"/>
        <v>660.20892313591833</v>
      </c>
      <c r="F29" s="124">
        <f t="shared" si="53"/>
        <v>664.07664707728964</v>
      </c>
      <c r="G29" s="124">
        <f t="shared" si="53"/>
        <v>667.96702943475066</v>
      </c>
      <c r="H29" s="124">
        <f t="shared" si="53"/>
        <v>684.38811272885118</v>
      </c>
      <c r="I29" s="124">
        <f t="shared" si="53"/>
        <v>629.1500953246225</v>
      </c>
      <c r="J29" s="124">
        <f t="shared" si="53"/>
        <v>577.31637194746031</v>
      </c>
      <c r="K29" s="124">
        <f t="shared" si="53"/>
        <v>519.67234015206998</v>
      </c>
      <c r="L29" s="124">
        <f t="shared" si="53"/>
        <v>453.76699117544274</v>
      </c>
      <c r="M29" s="124">
        <f t="shared" si="53"/>
        <v>382.59518917380484</v>
      </c>
      <c r="N29" s="124">
        <f t="shared" si="53"/>
        <v>314.73111822286648</v>
      </c>
      <c r="O29" s="124">
        <f t="shared" si="53"/>
        <v>252.42923460468904</v>
      </c>
      <c r="P29" s="124">
        <f t="shared" si="53"/>
        <v>194.20106336436044</v>
      </c>
      <c r="Q29" s="124">
        <f t="shared" si="53"/>
        <v>140.06234248341502</v>
      </c>
      <c r="R29" s="124">
        <f t="shared" si="53"/>
        <v>86.553310414268253</v>
      </c>
      <c r="S29" s="124">
        <f t="shared" si="53"/>
        <v>29.764452705437364</v>
      </c>
    </row>
    <row r="30" spans="1:19">
      <c r="C30" s="124">
        <f t="shared" ref="C30:S30" si="54">C7+C12+C19+C26</f>
        <v>112039.32727906549</v>
      </c>
      <c r="D30" s="124">
        <f t="shared" si="54"/>
        <v>112695.69100470867</v>
      </c>
      <c r="E30" s="124">
        <f t="shared" si="54"/>
        <v>113355.89992784458</v>
      </c>
      <c r="F30" s="124">
        <f t="shared" si="54"/>
        <v>114019.97657492188</v>
      </c>
      <c r="G30" s="124">
        <f t="shared" si="54"/>
        <v>114687.94360435664</v>
      </c>
      <c r="H30" s="124">
        <f t="shared" si="54"/>
        <v>105000.64058160462</v>
      </c>
      <c r="I30" s="124">
        <f t="shared" si="54"/>
        <v>96956.54001759924</v>
      </c>
      <c r="J30" s="124">
        <f t="shared" si="54"/>
        <v>88362.015377535543</v>
      </c>
      <c r="K30" s="124">
        <f t="shared" si="54"/>
        <v>78452.805811278929</v>
      </c>
      <c r="L30" s="124">
        <f t="shared" si="54"/>
        <v>67206.398356038189</v>
      </c>
      <c r="M30" s="124">
        <f t="shared" si="54"/>
        <v>55606.657368753164</v>
      </c>
      <c r="N30" s="124">
        <f t="shared" si="54"/>
        <v>45422.031580786977</v>
      </c>
      <c r="O30" s="124">
        <f t="shared" si="54"/>
        <v>35607.752727318213</v>
      </c>
      <c r="P30" s="124">
        <f t="shared" si="54"/>
        <v>26730.788612641489</v>
      </c>
      <c r="Q30" s="124">
        <f t="shared" si="54"/>
        <v>18229.223324534731</v>
      </c>
      <c r="R30" s="124">
        <f t="shared" si="54"/>
        <v>9554.3893184453791</v>
      </c>
      <c r="S30" s="124">
        <f t="shared" si="54"/>
        <v>1.6370904631912708E-11</v>
      </c>
    </row>
    <row r="31" spans="1:19">
      <c r="A31" s="122" t="s">
        <v>151</v>
      </c>
      <c r="B31" s="128">
        <v>7.0300000000000001E-2</v>
      </c>
      <c r="E31" s="7"/>
    </row>
    <row r="32" spans="1:19">
      <c r="A32" s="122" t="s">
        <v>137</v>
      </c>
      <c r="B32" s="128">
        <v>7.4999999999999997E-2</v>
      </c>
    </row>
    <row r="33" spans="1:8">
      <c r="A33" s="123"/>
    </row>
    <row r="38" spans="1:8">
      <c r="A38" s="129"/>
      <c r="B38" s="129"/>
      <c r="C38" s="129"/>
      <c r="D38" s="129"/>
      <c r="E38" s="129"/>
      <c r="F38" s="129"/>
      <c r="G38" s="129"/>
      <c r="H38" s="129"/>
    </row>
    <row r="39" spans="1:8">
      <c r="A39" s="129"/>
      <c r="B39" s="129"/>
      <c r="C39" s="129"/>
      <c r="D39" s="129"/>
      <c r="E39" s="129"/>
      <c r="F39" s="129"/>
      <c r="G39" s="129"/>
      <c r="H39" s="129"/>
    </row>
    <row r="40" spans="1:8">
      <c r="A40" s="129"/>
      <c r="B40" s="129"/>
      <c r="C40" s="129"/>
      <c r="D40" s="129"/>
      <c r="E40" s="129"/>
      <c r="F40" s="129"/>
      <c r="G40" s="129"/>
      <c r="H40" s="129"/>
    </row>
    <row r="41" spans="1:8">
      <c r="A41" s="129"/>
      <c r="B41" s="129"/>
      <c r="C41" s="129"/>
      <c r="D41" s="129"/>
      <c r="E41" s="129"/>
      <c r="F41" s="129"/>
      <c r="G41" s="129"/>
      <c r="H41" s="129"/>
    </row>
    <row r="42" spans="1:8">
      <c r="A42" s="130"/>
      <c r="B42" s="130"/>
      <c r="C42" s="130"/>
      <c r="D42" s="130"/>
      <c r="E42" s="130"/>
      <c r="F42" s="130"/>
      <c r="G42" s="130"/>
      <c r="H42" s="129"/>
    </row>
    <row r="43" spans="1:8">
      <c r="A43" s="131"/>
      <c r="B43" s="131"/>
      <c r="C43" s="131"/>
      <c r="D43" s="131"/>
      <c r="E43" s="132"/>
      <c r="F43" s="133"/>
      <c r="G43" s="129"/>
      <c r="H43" s="129"/>
    </row>
    <row r="44" spans="1:8">
      <c r="A44" s="131"/>
      <c r="B44" s="131"/>
      <c r="C44" s="131"/>
      <c r="D44" s="131"/>
      <c r="E44" s="131"/>
      <c r="F44" s="129"/>
      <c r="G44" s="129"/>
      <c r="H44" s="129"/>
    </row>
    <row r="45" spans="1:8">
      <c r="A45" s="131"/>
      <c r="B45" s="131"/>
      <c r="C45" s="131"/>
      <c r="D45" s="131"/>
      <c r="E45" s="132"/>
      <c r="F45" s="133"/>
      <c r="G45" s="129"/>
      <c r="H45" s="129"/>
    </row>
    <row r="46" spans="1:8">
      <c r="A46" s="131"/>
      <c r="B46" s="131"/>
      <c r="C46" s="131"/>
      <c r="D46" s="131"/>
      <c r="E46" s="131"/>
      <c r="F46" s="129"/>
      <c r="G46" s="129"/>
      <c r="H46" s="129"/>
    </row>
    <row r="47" spans="1:8">
      <c r="A47" s="131"/>
      <c r="B47" s="131"/>
      <c r="C47" s="131"/>
      <c r="D47" s="131"/>
      <c r="E47" s="132"/>
      <c r="F47" s="133"/>
      <c r="G47" s="129"/>
      <c r="H47" s="129"/>
    </row>
    <row r="48" spans="1:8">
      <c r="A48" s="131"/>
      <c r="B48" s="131"/>
      <c r="C48" s="131"/>
      <c r="D48" s="131"/>
      <c r="E48" s="131"/>
      <c r="F48" s="129"/>
      <c r="G48" s="129"/>
      <c r="H48" s="129"/>
    </row>
    <row r="49" spans="1:8">
      <c r="A49" s="131"/>
      <c r="B49" s="131"/>
      <c r="C49" s="131"/>
      <c r="D49" s="131"/>
      <c r="E49" s="132"/>
      <c r="F49" s="133"/>
      <c r="G49" s="129"/>
      <c r="H49" s="129"/>
    </row>
    <row r="50" spans="1:8">
      <c r="A50" s="131"/>
      <c r="B50" s="131"/>
      <c r="C50" s="131"/>
      <c r="D50" s="131"/>
      <c r="E50" s="131"/>
      <c r="F50" s="129"/>
      <c r="G50" s="129"/>
      <c r="H50" s="129"/>
    </row>
    <row r="51" spans="1:8">
      <c r="A51" s="131"/>
      <c r="B51" s="131"/>
      <c r="C51" s="131"/>
      <c r="D51" s="131"/>
      <c r="E51" s="131"/>
      <c r="F51" s="129"/>
      <c r="G51" s="129"/>
      <c r="H51" s="129"/>
    </row>
    <row r="52" spans="1:8">
      <c r="A52" s="131"/>
      <c r="B52" s="131"/>
      <c r="C52" s="131"/>
      <c r="D52" s="131"/>
      <c r="E52" s="131"/>
      <c r="F52" s="129"/>
      <c r="G52" s="129"/>
      <c r="H52" s="129"/>
    </row>
    <row r="53" spans="1:8">
      <c r="A53" s="131"/>
      <c r="B53" s="131"/>
      <c r="C53" s="131"/>
      <c r="D53" s="131"/>
      <c r="E53" s="131"/>
      <c r="F53" s="129"/>
      <c r="G53" s="129"/>
      <c r="H53" s="129"/>
    </row>
    <row r="54" spans="1:8">
      <c r="A54" s="131"/>
      <c r="B54" s="131"/>
      <c r="C54" s="131"/>
      <c r="D54" s="131"/>
      <c r="E54" s="131"/>
      <c r="F54" s="129"/>
      <c r="G54" s="129"/>
      <c r="H54" s="129"/>
    </row>
    <row r="55" spans="1:8">
      <c r="A55" s="131"/>
      <c r="B55" s="131"/>
      <c r="C55" s="131"/>
      <c r="D55" s="131"/>
      <c r="E55" s="131"/>
      <c r="F55" s="129"/>
      <c r="G55" s="129"/>
      <c r="H55" s="129"/>
    </row>
    <row r="56" spans="1:8">
      <c r="A56" s="131"/>
      <c r="B56" s="131"/>
      <c r="C56" s="131"/>
      <c r="D56" s="131"/>
      <c r="E56" s="131"/>
      <c r="F56" s="130"/>
      <c r="G56" s="129"/>
      <c r="H56" s="129"/>
    </row>
    <row r="57" spans="1:8">
      <c r="A57" s="131"/>
      <c r="B57" s="131"/>
      <c r="C57" s="131"/>
      <c r="D57" s="131"/>
      <c r="E57" s="131"/>
      <c r="F57" s="129"/>
      <c r="G57" s="131"/>
      <c r="H57" s="134"/>
    </row>
    <row r="58" spans="1:8" ht="17.25">
      <c r="A58" s="131"/>
      <c r="B58" s="131"/>
      <c r="C58" s="131"/>
      <c r="D58" s="131"/>
      <c r="E58" s="131"/>
      <c r="F58" s="129"/>
      <c r="G58" s="135"/>
      <c r="H58" s="134"/>
    </row>
    <row r="59" spans="1:8">
      <c r="A59" s="131"/>
      <c r="B59" s="131"/>
      <c r="C59" s="131"/>
      <c r="D59" s="131"/>
      <c r="E59" s="131"/>
      <c r="F59" s="129"/>
      <c r="G59" s="131"/>
      <c r="H59" s="129"/>
    </row>
    <row r="60" spans="1:8">
      <c r="A60" s="131"/>
      <c r="B60" s="131"/>
      <c r="C60" s="131"/>
      <c r="D60" s="131"/>
      <c r="E60" s="131"/>
      <c r="F60" s="129"/>
      <c r="G60" s="129"/>
      <c r="H60" s="129"/>
    </row>
    <row r="61" spans="1:8">
      <c r="A61" s="131"/>
      <c r="B61" s="131"/>
      <c r="C61" s="131"/>
      <c r="D61" s="131"/>
      <c r="E61" s="131"/>
      <c r="F61" s="129"/>
      <c r="G61" s="129"/>
      <c r="H61" s="129"/>
    </row>
  </sheetData>
  <pageMargins left="0.7" right="0.7" top="0.75" bottom="0.75" header="0.3" footer="0.3"/>
  <pageSetup scale="58" fitToHeight="0" orientation="landscape" horizontalDpi="1200" verticalDpi="1200" r:id="rId1"/>
  <headerFooter>
    <oddFooter>&amp;L&amp;F\&amp;A&amp;RPage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D940-3AA9-423F-93B3-FCA2A5C34256}">
  <sheetPr>
    <pageSetUpPr fitToPage="1"/>
  </sheetPr>
  <dimension ref="A1:H25"/>
  <sheetViews>
    <sheetView view="pageBreakPreview" topLeftCell="A4" zoomScaleNormal="100" zoomScaleSheetLayoutView="100" zoomScalePageLayoutView="40" workbookViewId="0">
      <selection activeCell="C7" sqref="C7:C13"/>
    </sheetView>
  </sheetViews>
  <sheetFormatPr defaultRowHeight="12.75"/>
  <cols>
    <col min="1" max="1" width="6.7109375" style="129" bestFit="1" customWidth="1"/>
    <col min="2" max="2" width="8.7109375" style="129" bestFit="1" customWidth="1"/>
    <col min="3" max="4" width="11.5703125" style="129" customWidth="1"/>
    <col min="5" max="5" width="15.85546875" style="129" bestFit="1" customWidth="1"/>
    <col min="6" max="6" width="31.5703125" style="129" bestFit="1" customWidth="1"/>
    <col min="7" max="7" width="59.28515625" style="129" customWidth="1"/>
    <col min="8" max="8" width="20.7109375" style="129" bestFit="1" customWidth="1"/>
    <col min="9" max="16384" width="9.140625" style="129"/>
  </cols>
  <sheetData>
    <row r="1" spans="1:8" ht="15">
      <c r="A1" s="10" t="s">
        <v>117</v>
      </c>
    </row>
    <row r="2" spans="1:8">
      <c r="A2" s="129" t="s">
        <v>118</v>
      </c>
    </row>
    <row r="6" spans="1:8" s="1" customFormat="1" ht="15">
      <c r="A6" s="130" t="s">
        <v>153</v>
      </c>
      <c r="B6" s="130" t="s">
        <v>119</v>
      </c>
      <c r="C6" s="130" t="s">
        <v>120</v>
      </c>
      <c r="D6" s="130" t="s">
        <v>121</v>
      </c>
      <c r="E6" s="130" t="s">
        <v>122</v>
      </c>
      <c r="F6" s="130" t="s">
        <v>123</v>
      </c>
      <c r="G6" s="130" t="s">
        <v>124</v>
      </c>
      <c r="H6" s="130" t="s">
        <v>85</v>
      </c>
    </row>
    <row r="7" spans="1:8" s="136" customFormat="1" ht="40.5" customHeight="1">
      <c r="A7" s="137" t="s">
        <v>86</v>
      </c>
      <c r="B7" s="138">
        <v>50000</v>
      </c>
      <c r="C7" s="138">
        <f>B7*$G$21</f>
        <v>37401.936489900516</v>
      </c>
      <c r="D7" s="138">
        <f>B7*$G$22</f>
        <v>12598.063510099482</v>
      </c>
      <c r="E7" s="139">
        <v>44988</v>
      </c>
      <c r="F7" s="140" t="s">
        <v>125</v>
      </c>
      <c r="G7" s="141" t="s">
        <v>126</v>
      </c>
      <c r="H7" s="137" t="s">
        <v>87</v>
      </c>
    </row>
    <row r="8" spans="1:8" s="136" customFormat="1" ht="15">
      <c r="A8" s="137"/>
      <c r="B8" s="138"/>
      <c r="C8" s="138"/>
      <c r="D8" s="138"/>
      <c r="E8" s="138"/>
      <c r="F8" s="137"/>
      <c r="G8" s="141"/>
      <c r="H8" s="142"/>
    </row>
    <row r="9" spans="1:8" s="136" customFormat="1" ht="40.5" customHeight="1">
      <c r="A9" s="137" t="s">
        <v>127</v>
      </c>
      <c r="B9" s="138">
        <v>50000</v>
      </c>
      <c r="C9" s="138">
        <f>B9*$G$21</f>
        <v>37401.936489900516</v>
      </c>
      <c r="D9" s="138">
        <f>B9*$G$22</f>
        <v>12598.063510099482</v>
      </c>
      <c r="E9" s="139">
        <v>44988</v>
      </c>
      <c r="F9" s="140" t="s">
        <v>125</v>
      </c>
      <c r="G9" s="141" t="s">
        <v>128</v>
      </c>
      <c r="H9" s="137" t="s">
        <v>89</v>
      </c>
    </row>
    <row r="10" spans="1:8" s="136" customFormat="1" ht="15">
      <c r="A10" s="137"/>
      <c r="B10" s="138"/>
      <c r="C10" s="138"/>
      <c r="D10" s="138"/>
      <c r="E10" s="138"/>
      <c r="F10" s="137"/>
      <c r="G10" s="141"/>
      <c r="H10" s="142"/>
    </row>
    <row r="11" spans="1:8" s="136" customFormat="1" ht="40.5" customHeight="1">
      <c r="A11" s="137" t="s">
        <v>129</v>
      </c>
      <c r="B11" s="138">
        <v>20000</v>
      </c>
      <c r="C11" s="138">
        <f>B11*$G$21</f>
        <v>14960.774595960207</v>
      </c>
      <c r="D11" s="138">
        <f>B11*$G$22</f>
        <v>5039.2254040397929</v>
      </c>
      <c r="E11" s="139">
        <v>44988</v>
      </c>
      <c r="F11" s="140" t="s">
        <v>125</v>
      </c>
      <c r="G11" s="141" t="s">
        <v>130</v>
      </c>
      <c r="H11" s="137" t="s">
        <v>90</v>
      </c>
    </row>
    <row r="12" spans="1:8" s="136" customFormat="1" ht="15">
      <c r="A12" s="137"/>
      <c r="B12" s="138"/>
      <c r="C12" s="138"/>
      <c r="D12" s="138"/>
      <c r="E12" s="138"/>
      <c r="F12" s="137"/>
      <c r="G12" s="141"/>
      <c r="H12" s="142"/>
    </row>
    <row r="13" spans="1:8" s="136" customFormat="1" ht="40.5" customHeight="1">
      <c r="A13" s="137" t="s">
        <v>131</v>
      </c>
      <c r="B13" s="138">
        <v>29340</v>
      </c>
      <c r="C13" s="138">
        <f>B13*$G$21</f>
        <v>21947.456332273625</v>
      </c>
      <c r="D13" s="138">
        <f>B13*$G$22</f>
        <v>7392.543667726377</v>
      </c>
      <c r="E13" s="139">
        <v>44988</v>
      </c>
      <c r="F13" s="140" t="s">
        <v>125</v>
      </c>
      <c r="G13" s="141" t="s">
        <v>132</v>
      </c>
      <c r="H13" s="141" t="s">
        <v>154</v>
      </c>
    </row>
    <row r="14" spans="1:8" s="1" customFormat="1" ht="15">
      <c r="A14" s="129"/>
      <c r="B14" s="131"/>
      <c r="C14" s="131"/>
      <c r="D14" s="131"/>
      <c r="E14" s="131"/>
      <c r="F14" s="129"/>
      <c r="G14" s="129"/>
      <c r="H14" s="129"/>
    </row>
    <row r="15" spans="1:8" s="1" customFormat="1" ht="15">
      <c r="A15" s="129"/>
      <c r="B15" s="131"/>
      <c r="C15" s="131"/>
      <c r="D15" s="131"/>
      <c r="E15" s="131"/>
      <c r="F15" s="129"/>
      <c r="G15" s="129"/>
      <c r="H15" s="129"/>
    </row>
    <row r="16" spans="1:8" s="1" customFormat="1" ht="15">
      <c r="A16" s="129"/>
      <c r="B16" s="131"/>
      <c r="C16" s="131"/>
      <c r="D16" s="131"/>
      <c r="E16" s="131"/>
      <c r="F16" s="129"/>
      <c r="G16" s="129"/>
      <c r="H16" s="129"/>
    </row>
    <row r="17" spans="1:8" s="1" customFormat="1" ht="15">
      <c r="A17" s="129"/>
      <c r="B17" s="131"/>
      <c r="C17" s="131"/>
      <c r="D17" s="131"/>
      <c r="E17" s="131"/>
      <c r="F17" s="129"/>
      <c r="G17" s="129"/>
      <c r="H17" s="129"/>
    </row>
    <row r="18" spans="1:8" s="1" customFormat="1" ht="15">
      <c r="A18" s="129"/>
      <c r="B18" s="131"/>
      <c r="C18" s="131"/>
      <c r="D18" s="131"/>
      <c r="E18" s="129"/>
      <c r="F18" s="129"/>
      <c r="G18" s="129"/>
    </row>
    <row r="19" spans="1:8" s="1" customFormat="1" ht="15">
      <c r="A19" s="129"/>
      <c r="B19" s="131"/>
      <c r="C19" s="131"/>
      <c r="D19" s="131"/>
      <c r="E19" s="129"/>
      <c r="F19" s="129"/>
      <c r="G19" s="129"/>
    </row>
    <row r="20" spans="1:8" s="1" customFormat="1" ht="15">
      <c r="A20" s="129"/>
      <c r="B20" s="131"/>
      <c r="C20" s="131"/>
      <c r="D20" s="131"/>
      <c r="E20" s="130" t="s">
        <v>124</v>
      </c>
      <c r="F20" s="129"/>
      <c r="G20" s="129"/>
    </row>
    <row r="21" spans="1:8" s="1" customFormat="1" ht="15">
      <c r="A21" s="129"/>
      <c r="B21" s="131"/>
      <c r="C21" s="131"/>
      <c r="D21" s="131"/>
      <c r="E21" s="129" t="s">
        <v>133</v>
      </c>
      <c r="F21" s="131">
        <v>556947</v>
      </c>
      <c r="G21" s="143">
        <f>F21/$F$23</f>
        <v>0.74803872979801034</v>
      </c>
    </row>
    <row r="22" spans="1:8" s="1" customFormat="1" ht="17.25">
      <c r="A22" s="129"/>
      <c r="B22" s="131"/>
      <c r="C22" s="131"/>
      <c r="D22" s="131"/>
      <c r="E22" s="129" t="s">
        <v>134</v>
      </c>
      <c r="F22" s="135">
        <v>187596</v>
      </c>
      <c r="G22" s="143">
        <f>F22/$F$23</f>
        <v>0.25196127020198966</v>
      </c>
    </row>
    <row r="23" spans="1:8" s="1" customFormat="1" ht="15">
      <c r="A23" s="129"/>
      <c r="B23" s="131"/>
      <c r="C23" s="131"/>
      <c r="D23" s="131"/>
      <c r="E23" s="129"/>
      <c r="F23" s="131">
        <f>SUM(F21:F22)</f>
        <v>744543</v>
      </c>
      <c r="G23" s="129"/>
    </row>
    <row r="24" spans="1:8" s="1" customFormat="1" ht="15">
      <c r="A24" s="129"/>
      <c r="B24" s="131"/>
      <c r="C24" s="131"/>
      <c r="D24" s="131"/>
      <c r="E24" s="129"/>
      <c r="F24" s="129"/>
      <c r="G24" s="129"/>
    </row>
    <row r="25" spans="1:8" s="1" customFormat="1" ht="15">
      <c r="A25" s="129"/>
      <c r="B25" s="131"/>
      <c r="C25" s="131"/>
      <c r="D25" s="131"/>
      <c r="E25" s="129" t="s">
        <v>135</v>
      </c>
      <c r="F25" s="129"/>
      <c r="G25" s="129"/>
    </row>
  </sheetData>
  <pageMargins left="0.7" right="0.7" top="0.75" bottom="0.75" header="0.3" footer="0.3"/>
  <pageSetup scale="7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30"/>
  <sheetViews>
    <sheetView view="pageBreakPreview" topLeftCell="A7" zoomScaleNormal="100" zoomScaleSheetLayoutView="100" zoomScalePageLayoutView="40" workbookViewId="0">
      <selection activeCell="K46" sqref="K46"/>
    </sheetView>
  </sheetViews>
  <sheetFormatPr defaultColWidth="9.140625" defaultRowHeight="15"/>
  <cols>
    <col min="1" max="1" width="16.5703125" style="70" customWidth="1"/>
    <col min="2" max="5" width="12.5703125" style="70" bestFit="1" customWidth="1"/>
    <col min="6" max="8" width="14.28515625" style="70" customWidth="1"/>
    <col min="9" max="13" width="12.5703125" style="70" bestFit="1" customWidth="1"/>
    <col min="14" max="14" width="15.5703125" style="70" customWidth="1"/>
    <col min="15" max="15" width="9.28515625" style="70" bestFit="1" customWidth="1"/>
    <col min="16" max="16" width="14.5703125" style="70" customWidth="1"/>
    <col min="17" max="16384" width="9.140625" style="70"/>
  </cols>
  <sheetData>
    <row r="1" spans="1:16">
      <c r="A1" s="69" t="s">
        <v>77</v>
      </c>
    </row>
    <row r="3" spans="1:16">
      <c r="A3" s="10" t="s">
        <v>38</v>
      </c>
    </row>
    <row r="4" spans="1:16">
      <c r="A4" s="70" t="s">
        <v>51</v>
      </c>
    </row>
    <row r="6" spans="1:16">
      <c r="B6" s="71">
        <v>45169</v>
      </c>
      <c r="C6" s="71">
        <f t="shared" ref="C6:M6" si="0">EOMONTH(B6,1)</f>
        <v>45199</v>
      </c>
      <c r="D6" s="71">
        <f t="shared" si="0"/>
        <v>45230</v>
      </c>
      <c r="E6" s="71">
        <f t="shared" si="0"/>
        <v>45260</v>
      </c>
      <c r="F6" s="71">
        <f t="shared" si="0"/>
        <v>45291</v>
      </c>
      <c r="G6" s="71">
        <f t="shared" si="0"/>
        <v>45322</v>
      </c>
      <c r="H6" s="71">
        <f t="shared" si="0"/>
        <v>45351</v>
      </c>
      <c r="I6" s="71">
        <f t="shared" si="0"/>
        <v>45382</v>
      </c>
      <c r="J6" s="71">
        <f t="shared" si="0"/>
        <v>45412</v>
      </c>
      <c r="K6" s="71">
        <f t="shared" si="0"/>
        <v>45443</v>
      </c>
      <c r="L6" s="71">
        <f t="shared" si="0"/>
        <v>45473</v>
      </c>
      <c r="M6" s="71">
        <f t="shared" si="0"/>
        <v>45504</v>
      </c>
      <c r="N6" s="72" t="s">
        <v>0</v>
      </c>
    </row>
    <row r="7" spans="1:16">
      <c r="A7" s="73" t="s">
        <v>28</v>
      </c>
      <c r="B7" s="74">
        <v>215964347.43382889</v>
      </c>
      <c r="C7" s="74">
        <v>163391526.49107701</v>
      </c>
      <c r="D7" s="74">
        <v>173248744.32296532</v>
      </c>
      <c r="E7" s="74">
        <v>235502311.9539113</v>
      </c>
      <c r="F7" s="74">
        <v>296641772.79846901</v>
      </c>
      <c r="G7" s="74">
        <v>300497880.48562527</v>
      </c>
      <c r="H7" s="74">
        <v>254319298.08319306</v>
      </c>
      <c r="I7" s="74">
        <v>224138226.68638775</v>
      </c>
      <c r="J7" s="74">
        <v>180941546.84277141</v>
      </c>
      <c r="K7" s="74">
        <v>162327132.18002027</v>
      </c>
      <c r="L7" s="74">
        <v>160154659.35601419</v>
      </c>
      <c r="M7" s="74">
        <v>192076001.7725718</v>
      </c>
      <c r="N7" s="75">
        <f t="shared" ref="N7:N15" si="1">SUM(B7:M7)</f>
        <v>2559203448.4068356</v>
      </c>
      <c r="P7" s="76"/>
    </row>
    <row r="8" spans="1:16">
      <c r="A8" s="73" t="s">
        <v>67</v>
      </c>
      <c r="B8" s="74">
        <v>767603.80241069314</v>
      </c>
      <c r="C8" s="74">
        <v>625914.31112080265</v>
      </c>
      <c r="D8" s="74">
        <v>804509.19757766975</v>
      </c>
      <c r="E8" s="74">
        <v>1271065.2893578052</v>
      </c>
      <c r="F8" s="74">
        <v>1625006.0724788732</v>
      </c>
      <c r="G8" s="74">
        <v>1673771.1462407915</v>
      </c>
      <c r="H8" s="74">
        <v>1410935.6086242364</v>
      </c>
      <c r="I8" s="74">
        <v>1257424.6750396215</v>
      </c>
      <c r="J8" s="74">
        <v>965080.10642182571</v>
      </c>
      <c r="K8" s="74">
        <v>781976.35203102161</v>
      </c>
      <c r="L8" s="74">
        <v>681626.53552548971</v>
      </c>
      <c r="M8" s="74">
        <v>770663.34307433187</v>
      </c>
      <c r="N8" s="75">
        <f t="shared" si="1"/>
        <v>12635576.439903162</v>
      </c>
      <c r="P8" s="76"/>
    </row>
    <row r="9" spans="1:16">
      <c r="A9" s="73" t="s">
        <v>29</v>
      </c>
      <c r="B9" s="74">
        <v>52690979.026777737</v>
      </c>
      <c r="C9" s="74">
        <v>47040434.802319512</v>
      </c>
      <c r="D9" s="74">
        <v>47650785.261439428</v>
      </c>
      <c r="E9" s="74">
        <v>53241542.30516015</v>
      </c>
      <c r="F9" s="74">
        <v>58775783.453839511</v>
      </c>
      <c r="G9" s="74">
        <v>57488164.673747778</v>
      </c>
      <c r="H9" s="74">
        <v>53470920.199419357</v>
      </c>
      <c r="I9" s="74">
        <v>50995486.676600583</v>
      </c>
      <c r="J9" s="74">
        <v>45299434.44646962</v>
      </c>
      <c r="K9" s="74">
        <v>44417998.907250829</v>
      </c>
      <c r="L9" s="74">
        <v>45959655.885884635</v>
      </c>
      <c r="M9" s="74">
        <v>53264593.980985068</v>
      </c>
      <c r="N9" s="75">
        <f t="shared" si="1"/>
        <v>610295779.61989415</v>
      </c>
      <c r="P9" s="76"/>
    </row>
    <row r="10" spans="1:16">
      <c r="A10" s="73" t="s">
        <v>30</v>
      </c>
      <c r="B10" s="74">
        <v>4633169.9473407511</v>
      </c>
      <c r="C10" s="74">
        <v>4217380.8432672685</v>
      </c>
      <c r="D10" s="74">
        <v>4942219.585167747</v>
      </c>
      <c r="E10" s="74">
        <v>6622348.8039218001</v>
      </c>
      <c r="F10" s="74">
        <v>8644665.0554123595</v>
      </c>
      <c r="G10" s="74">
        <v>8630798.789235767</v>
      </c>
      <c r="H10" s="74">
        <v>7399988.7550973222</v>
      </c>
      <c r="I10" s="74">
        <v>6678278.2387968879</v>
      </c>
      <c r="J10" s="74">
        <v>5033094.9987900192</v>
      </c>
      <c r="K10" s="74">
        <v>4391677.7782937083</v>
      </c>
      <c r="L10" s="74">
        <v>4253014.1265764944</v>
      </c>
      <c r="M10" s="74">
        <v>4652019.0315518631</v>
      </c>
      <c r="N10" s="75">
        <f t="shared" si="1"/>
        <v>70098655.953451991</v>
      </c>
      <c r="P10" s="76"/>
    </row>
    <row r="11" spans="1:16">
      <c r="A11" s="73" t="s">
        <v>70</v>
      </c>
      <c r="B11" s="74">
        <v>15171.152519330233</v>
      </c>
      <c r="C11" s="74">
        <v>15171.576721452222</v>
      </c>
      <c r="D11" s="74">
        <v>15249.693479725467</v>
      </c>
      <c r="E11" s="74">
        <v>14800.340775449076</v>
      </c>
      <c r="F11" s="74">
        <v>14872.76280284112</v>
      </c>
      <c r="G11" s="74">
        <v>14947.207888777773</v>
      </c>
      <c r="H11" s="74">
        <v>15001.731720092279</v>
      </c>
      <c r="I11" s="74">
        <v>15029.245167094754</v>
      </c>
      <c r="J11" s="74">
        <v>15031.465767987291</v>
      </c>
      <c r="K11" s="74">
        <v>15027.380026457709</v>
      </c>
      <c r="L11" s="74">
        <v>15016.113743829746</v>
      </c>
      <c r="M11" s="74">
        <v>14997.429282225816</v>
      </c>
      <c r="N11" s="75">
        <f t="shared" si="1"/>
        <v>180316.0998952635</v>
      </c>
      <c r="P11" s="76"/>
    </row>
    <row r="12" spans="1:16">
      <c r="A12" s="73" t="s">
        <v>31</v>
      </c>
      <c r="B12" s="74">
        <v>109520059.87731317</v>
      </c>
      <c r="C12" s="74">
        <v>102966272.41617309</v>
      </c>
      <c r="D12" s="74">
        <v>113962274.07070746</v>
      </c>
      <c r="E12" s="74">
        <v>113806679.99331298</v>
      </c>
      <c r="F12" s="74">
        <v>108773700.17452888</v>
      </c>
      <c r="G12" s="74">
        <v>105340641.69095209</v>
      </c>
      <c r="H12" s="74">
        <v>104161136.78194897</v>
      </c>
      <c r="I12" s="74">
        <v>101878153.70752978</v>
      </c>
      <c r="J12" s="74">
        <v>99491399.95267044</v>
      </c>
      <c r="K12" s="74">
        <v>104009059.30394998</v>
      </c>
      <c r="L12" s="74">
        <v>107197902.98717341</v>
      </c>
      <c r="M12" s="74">
        <v>115763892.11629774</v>
      </c>
      <c r="N12" s="75">
        <f t="shared" si="1"/>
        <v>1286871173.0725577</v>
      </c>
      <c r="P12" s="76"/>
    </row>
    <row r="13" spans="1:16">
      <c r="A13" s="73" t="s">
        <v>32</v>
      </c>
      <c r="B13" s="74">
        <v>2400047.260242857</v>
      </c>
      <c r="C13" s="74">
        <v>2130880.7665769961</v>
      </c>
      <c r="D13" s="74">
        <v>2334350.9443000741</v>
      </c>
      <c r="E13" s="74">
        <v>2669540.0301297675</v>
      </c>
      <c r="F13" s="74">
        <v>3555637.569247325</v>
      </c>
      <c r="G13" s="74">
        <v>3467317.4700519154</v>
      </c>
      <c r="H13" s="74">
        <v>2868366.5394542208</v>
      </c>
      <c r="I13" s="74">
        <v>2676781.7231439715</v>
      </c>
      <c r="J13" s="74">
        <v>2168200.2358674454</v>
      </c>
      <c r="K13" s="74">
        <v>2005371.4001196711</v>
      </c>
      <c r="L13" s="74">
        <v>1983874.9958394058</v>
      </c>
      <c r="M13" s="74">
        <v>2401874.3594639832</v>
      </c>
      <c r="N13" s="75">
        <f t="shared" si="1"/>
        <v>30662243.294437632</v>
      </c>
      <c r="P13" s="76"/>
    </row>
    <row r="14" spans="1:16">
      <c r="A14" s="73" t="s">
        <v>69</v>
      </c>
      <c r="B14" s="74">
        <v>32007.772351903888</v>
      </c>
      <c r="C14" s="74">
        <v>32058.638871043197</v>
      </c>
      <c r="D14" s="74">
        <v>31845.744306512996</v>
      </c>
      <c r="E14" s="74">
        <v>33115.785222522187</v>
      </c>
      <c r="F14" s="74">
        <v>32271.524672647713</v>
      </c>
      <c r="G14" s="74">
        <v>32234.124558181371</v>
      </c>
      <c r="H14" s="74">
        <v>32180.122510648922</v>
      </c>
      <c r="I14" s="74">
        <v>32278.217293927126</v>
      </c>
      <c r="J14" s="74">
        <v>32244.411413059857</v>
      </c>
      <c r="K14" s="74">
        <v>32189.04202992783</v>
      </c>
      <c r="L14" s="74">
        <v>32223.796578307669</v>
      </c>
      <c r="M14" s="74">
        <v>32264.312355892445</v>
      </c>
      <c r="N14" s="75">
        <f t="shared" si="1"/>
        <v>386913.4921645752</v>
      </c>
      <c r="P14" s="76"/>
    </row>
    <row r="15" spans="1:16">
      <c r="A15" s="73" t="s">
        <v>33</v>
      </c>
      <c r="B15" s="74">
        <v>58885543</v>
      </c>
      <c r="C15" s="74">
        <v>49947496</v>
      </c>
      <c r="D15" s="74">
        <v>50764195</v>
      </c>
      <c r="E15" s="74">
        <v>49541955</v>
      </c>
      <c r="F15" s="74">
        <v>49979591</v>
      </c>
      <c r="G15" s="74">
        <v>55440542</v>
      </c>
      <c r="H15" s="74">
        <v>48854215</v>
      </c>
      <c r="I15" s="74">
        <v>52560911</v>
      </c>
      <c r="J15" s="74">
        <v>49147173</v>
      </c>
      <c r="K15" s="74">
        <v>49713670</v>
      </c>
      <c r="L15" s="74">
        <v>52029033</v>
      </c>
      <c r="M15" s="74">
        <v>51512338</v>
      </c>
      <c r="N15" s="75">
        <f t="shared" si="1"/>
        <v>618376662</v>
      </c>
      <c r="P15" s="76"/>
    </row>
    <row r="16" spans="1:16">
      <c r="A16" s="73" t="s">
        <v>34</v>
      </c>
      <c r="B16" s="77">
        <v>26681374.849876352</v>
      </c>
      <c r="C16" s="77">
        <v>21732769.521663133</v>
      </c>
      <c r="D16" s="77">
        <v>10999451.058034116</v>
      </c>
      <c r="E16" s="77">
        <v>1476234.9872278925</v>
      </c>
      <c r="F16" s="77">
        <v>3064442.5273882858</v>
      </c>
      <c r="G16" s="77">
        <v>3662899.8908313029</v>
      </c>
      <c r="H16" s="77">
        <v>4056846.0333502125</v>
      </c>
      <c r="I16" s="77">
        <v>3908471.7938298704</v>
      </c>
      <c r="J16" s="77">
        <v>5916364.9560479326</v>
      </c>
      <c r="K16" s="77">
        <v>13081620.328505801</v>
      </c>
      <c r="L16" s="77">
        <v>21216531.300471239</v>
      </c>
      <c r="M16" s="77">
        <v>23397790.192905441</v>
      </c>
      <c r="N16" s="75">
        <f t="shared" ref="N16:N30" si="2">SUM(B16:M16)</f>
        <v>139194797.4401316</v>
      </c>
      <c r="P16" s="76"/>
    </row>
    <row r="17" spans="1:16">
      <c r="A17" s="73" t="s">
        <v>35</v>
      </c>
      <c r="B17" s="77">
        <v>1732964.9063617077</v>
      </c>
      <c r="C17" s="77">
        <v>1161803.6830888728</v>
      </c>
      <c r="D17" s="77">
        <v>407701.16595299018</v>
      </c>
      <c r="E17" s="77">
        <v>183512.45898257082</v>
      </c>
      <c r="F17" s="77">
        <v>260222.70059058437</v>
      </c>
      <c r="G17" s="77">
        <v>333129.03539631527</v>
      </c>
      <c r="H17" s="77">
        <v>342055.67903210729</v>
      </c>
      <c r="I17" s="77">
        <v>332411.10636197421</v>
      </c>
      <c r="J17" s="77">
        <v>411303.00417017506</v>
      </c>
      <c r="K17" s="77">
        <v>726527.51160481083</v>
      </c>
      <c r="L17" s="77">
        <v>1048770.3844225882</v>
      </c>
      <c r="M17" s="77">
        <v>1750034.8878409066</v>
      </c>
      <c r="N17" s="75">
        <f t="shared" si="2"/>
        <v>8690436.5238056034</v>
      </c>
      <c r="P17" s="76"/>
    </row>
    <row r="18" spans="1:16">
      <c r="A18" s="78" t="s">
        <v>36</v>
      </c>
      <c r="B18" s="77">
        <v>1343017.048684244</v>
      </c>
      <c r="C18" s="77">
        <v>1345900.7959291809</v>
      </c>
      <c r="D18" s="77">
        <v>1314322.6735311958</v>
      </c>
      <c r="E18" s="77">
        <v>1330329.7010500454</v>
      </c>
      <c r="F18" s="77">
        <v>1338864.1154058825</v>
      </c>
      <c r="G18" s="77">
        <v>1340188.064714706</v>
      </c>
      <c r="H18" s="77">
        <v>1272098.5856400984</v>
      </c>
      <c r="I18" s="77">
        <v>1353925.3824872593</v>
      </c>
      <c r="J18" s="77">
        <v>1292839.6562630786</v>
      </c>
      <c r="K18" s="77">
        <v>1297017.5794819526</v>
      </c>
      <c r="L18" s="77">
        <v>1313152.508189003</v>
      </c>
      <c r="M18" s="77">
        <v>1314340.3992536208</v>
      </c>
      <c r="N18" s="75">
        <f>SUM(B18:M18)</f>
        <v>15855996.510630269</v>
      </c>
      <c r="P18" s="76"/>
    </row>
    <row r="19" spans="1:16">
      <c r="A19" s="78" t="s">
        <v>68</v>
      </c>
      <c r="B19" s="77">
        <v>36557518</v>
      </c>
      <c r="C19" s="77">
        <v>33791973</v>
      </c>
      <c r="D19" s="77">
        <v>36644189</v>
      </c>
      <c r="E19" s="77">
        <v>35454061</v>
      </c>
      <c r="F19" s="77">
        <v>34638205</v>
      </c>
      <c r="G19" s="77">
        <v>35576866</v>
      </c>
      <c r="H19" s="77">
        <v>30968543</v>
      </c>
      <c r="I19" s="77">
        <v>33226563</v>
      </c>
      <c r="J19" s="77">
        <v>36898259</v>
      </c>
      <c r="K19" s="77">
        <v>34318289</v>
      </c>
      <c r="L19" s="77">
        <v>34622943</v>
      </c>
      <c r="M19" s="77">
        <v>34410021</v>
      </c>
      <c r="N19" s="75">
        <f>SUM(B19:M19)</f>
        <v>417107430</v>
      </c>
      <c r="P19" s="76"/>
    </row>
    <row r="20" spans="1:16">
      <c r="A20" s="78" t="s">
        <v>0</v>
      </c>
      <c r="B20" s="79">
        <f t="shared" ref="B20:M20" si="3">SUM(B7:B19)</f>
        <v>511223804.07770759</v>
      </c>
      <c r="C20" s="79">
        <f t="shared" si="3"/>
        <v>428399582.84680837</v>
      </c>
      <c r="D20" s="79">
        <f t="shared" si="3"/>
        <v>443119837.71746218</v>
      </c>
      <c r="E20" s="79">
        <f t="shared" si="3"/>
        <v>501147497.64905238</v>
      </c>
      <c r="F20" s="79">
        <f t="shared" si="3"/>
        <v>567345034.75483608</v>
      </c>
      <c r="G20" s="79">
        <f t="shared" si="3"/>
        <v>573499380.57924294</v>
      </c>
      <c r="H20" s="79">
        <f t="shared" si="3"/>
        <v>509171586.11999035</v>
      </c>
      <c r="I20" s="79">
        <f t="shared" si="3"/>
        <v>479053941.45263869</v>
      </c>
      <c r="J20" s="79">
        <f t="shared" si="3"/>
        <v>427611972.076653</v>
      </c>
      <c r="K20" s="79">
        <f t="shared" si="3"/>
        <v>417117556.76331437</v>
      </c>
      <c r="L20" s="79">
        <f t="shared" si="3"/>
        <v>430508403.99041867</v>
      </c>
      <c r="M20" s="79">
        <f t="shared" si="3"/>
        <v>481360830.82558286</v>
      </c>
      <c r="N20" s="79">
        <f>SUM(N7:N19)</f>
        <v>5769559428.8537073</v>
      </c>
    </row>
    <row r="21" spans="1:16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6">
      <c r="A22" s="32" t="s">
        <v>148</v>
      </c>
      <c r="B22" s="32"/>
      <c r="N22" s="80"/>
    </row>
    <row r="23" spans="1:16">
      <c r="A23" s="78" t="s">
        <v>62</v>
      </c>
      <c r="B23" s="79">
        <f t="shared" ref="B23:M23" si="4">B7+B8</f>
        <v>216731951.23623958</v>
      </c>
      <c r="C23" s="79">
        <f t="shared" si="4"/>
        <v>164017440.80219781</v>
      </c>
      <c r="D23" s="79">
        <f t="shared" si="4"/>
        <v>174053253.52054298</v>
      </c>
      <c r="E23" s="79">
        <f t="shared" si="4"/>
        <v>236773377.24326912</v>
      </c>
      <c r="F23" s="79">
        <f t="shared" si="4"/>
        <v>298266778.8709479</v>
      </c>
      <c r="G23" s="79">
        <f t="shared" si="4"/>
        <v>302171651.63186604</v>
      </c>
      <c r="H23" s="79">
        <f t="shared" si="4"/>
        <v>255730233.69181731</v>
      </c>
      <c r="I23" s="79">
        <f t="shared" si="4"/>
        <v>225395651.36142737</v>
      </c>
      <c r="J23" s="79">
        <f t="shared" si="4"/>
        <v>181906626.94919324</v>
      </c>
      <c r="K23" s="79">
        <f t="shared" si="4"/>
        <v>163109108.5320513</v>
      </c>
      <c r="L23" s="79">
        <f t="shared" si="4"/>
        <v>160836285.89153969</v>
      </c>
      <c r="M23" s="79">
        <f t="shared" si="4"/>
        <v>192846665.11564612</v>
      </c>
      <c r="N23" s="80">
        <f t="shared" si="2"/>
        <v>2571839024.8467379</v>
      </c>
      <c r="O23" s="81"/>
    </row>
    <row r="24" spans="1:16">
      <c r="A24" s="78" t="s">
        <v>71</v>
      </c>
      <c r="B24" s="79">
        <f t="shared" ref="B24:M24" si="5">B9+B10+B11</f>
        <v>57339320.126637816</v>
      </c>
      <c r="C24" s="79">
        <f t="shared" si="5"/>
        <v>51272987.222308233</v>
      </c>
      <c r="D24" s="79">
        <f t="shared" si="5"/>
        <v>52608254.540086903</v>
      </c>
      <c r="E24" s="79">
        <f t="shared" si="5"/>
        <v>59878691.449857406</v>
      </c>
      <c r="F24" s="79">
        <f t="shared" si="5"/>
        <v>67435321.272054702</v>
      </c>
      <c r="G24" s="79">
        <f t="shared" si="5"/>
        <v>66133910.670872323</v>
      </c>
      <c r="H24" s="79">
        <f t="shared" si="5"/>
        <v>60885910.686236769</v>
      </c>
      <c r="I24" s="79">
        <f t="shared" si="5"/>
        <v>57688794.160564564</v>
      </c>
      <c r="J24" s="79">
        <f t="shared" si="5"/>
        <v>50347560.911027625</v>
      </c>
      <c r="K24" s="79">
        <f t="shared" si="5"/>
        <v>48824704.065570995</v>
      </c>
      <c r="L24" s="79">
        <f t="shared" si="5"/>
        <v>50227686.126204953</v>
      </c>
      <c r="M24" s="79">
        <f t="shared" si="5"/>
        <v>57931610.441819154</v>
      </c>
      <c r="N24" s="80">
        <f t="shared" si="2"/>
        <v>680574751.6732415</v>
      </c>
    </row>
    <row r="25" spans="1:16">
      <c r="A25" s="78" t="s">
        <v>72</v>
      </c>
      <c r="B25" s="79">
        <f t="shared" ref="B25:M25" si="6">B12+B13+B14</f>
        <v>111952114.90990792</v>
      </c>
      <c r="C25" s="79">
        <f t="shared" si="6"/>
        <v>105129211.82162112</v>
      </c>
      <c r="D25" s="79">
        <f t="shared" si="6"/>
        <v>116328470.75931405</v>
      </c>
      <c r="E25" s="79">
        <f t="shared" si="6"/>
        <v>116509335.80866526</v>
      </c>
      <c r="F25" s="79">
        <f t="shared" si="6"/>
        <v>112361609.26844884</v>
      </c>
      <c r="G25" s="79">
        <f t="shared" si="6"/>
        <v>108840193.28556219</v>
      </c>
      <c r="H25" s="79">
        <f t="shared" si="6"/>
        <v>107061683.44391383</v>
      </c>
      <c r="I25" s="79">
        <f t="shared" si="6"/>
        <v>104587213.64796768</v>
      </c>
      <c r="J25" s="79">
        <f t="shared" si="6"/>
        <v>101691844.59995094</v>
      </c>
      <c r="K25" s="79">
        <f t="shared" si="6"/>
        <v>106046619.74609959</v>
      </c>
      <c r="L25" s="79">
        <f t="shared" si="6"/>
        <v>109214001.77959111</v>
      </c>
      <c r="M25" s="79">
        <f t="shared" si="6"/>
        <v>118198030.78811762</v>
      </c>
      <c r="N25" s="80">
        <f t="shared" si="2"/>
        <v>1317920329.8591602</v>
      </c>
    </row>
    <row r="26" spans="1:16">
      <c r="A26" s="78" t="s">
        <v>78</v>
      </c>
      <c r="B26" s="79">
        <f t="shared" ref="B26:M26" si="7">B15+B19</f>
        <v>95443061</v>
      </c>
      <c r="C26" s="79">
        <f t="shared" si="7"/>
        <v>83739469</v>
      </c>
      <c r="D26" s="79">
        <f t="shared" si="7"/>
        <v>87408384</v>
      </c>
      <c r="E26" s="79">
        <f t="shared" si="7"/>
        <v>84996016</v>
      </c>
      <c r="F26" s="79">
        <f t="shared" si="7"/>
        <v>84617796</v>
      </c>
      <c r="G26" s="79">
        <f t="shared" si="7"/>
        <v>91017408</v>
      </c>
      <c r="H26" s="79">
        <f t="shared" si="7"/>
        <v>79822758</v>
      </c>
      <c r="I26" s="79">
        <f t="shared" si="7"/>
        <v>85787474</v>
      </c>
      <c r="J26" s="79">
        <f t="shared" si="7"/>
        <v>86045432</v>
      </c>
      <c r="K26" s="79">
        <f t="shared" si="7"/>
        <v>84031959</v>
      </c>
      <c r="L26" s="79">
        <f t="shared" si="7"/>
        <v>86651976</v>
      </c>
      <c r="M26" s="79">
        <f t="shared" si="7"/>
        <v>85922359</v>
      </c>
      <c r="N26" s="80">
        <f t="shared" si="2"/>
        <v>1035484092</v>
      </c>
    </row>
    <row r="27" spans="1:16">
      <c r="A27" s="78" t="s">
        <v>37</v>
      </c>
      <c r="B27" s="79">
        <f t="shared" ref="B27:M27" si="8">B16+B17</f>
        <v>28414339.756238058</v>
      </c>
      <c r="C27" s="79">
        <f t="shared" si="8"/>
        <v>22894573.204752006</v>
      </c>
      <c r="D27" s="79">
        <f t="shared" si="8"/>
        <v>11407152.223987106</v>
      </c>
      <c r="E27" s="79">
        <f t="shared" si="8"/>
        <v>1659747.4462104633</v>
      </c>
      <c r="F27" s="79">
        <f t="shared" si="8"/>
        <v>3324665.2279788703</v>
      </c>
      <c r="G27" s="79">
        <f t="shared" si="8"/>
        <v>3996028.926227618</v>
      </c>
      <c r="H27" s="79">
        <f t="shared" si="8"/>
        <v>4398901.7123823194</v>
      </c>
      <c r="I27" s="79">
        <f t="shared" si="8"/>
        <v>4240882.9001918444</v>
      </c>
      <c r="J27" s="79">
        <f t="shared" si="8"/>
        <v>6327667.9602181073</v>
      </c>
      <c r="K27" s="79">
        <f t="shared" si="8"/>
        <v>13808147.840110611</v>
      </c>
      <c r="L27" s="79">
        <f t="shared" si="8"/>
        <v>22265301.684893828</v>
      </c>
      <c r="M27" s="79">
        <f t="shared" si="8"/>
        <v>25147825.080746349</v>
      </c>
      <c r="N27" s="80">
        <f t="shared" si="2"/>
        <v>147885233.96393716</v>
      </c>
    </row>
    <row r="28" spans="1:16">
      <c r="A28" s="78" t="s">
        <v>36</v>
      </c>
      <c r="B28" s="79">
        <f t="shared" ref="B28:M28" si="9">B18</f>
        <v>1343017.048684244</v>
      </c>
      <c r="C28" s="79">
        <f t="shared" si="9"/>
        <v>1345900.7959291809</v>
      </c>
      <c r="D28" s="79">
        <f t="shared" si="9"/>
        <v>1314322.6735311958</v>
      </c>
      <c r="E28" s="79">
        <f t="shared" si="9"/>
        <v>1330329.7010500454</v>
      </c>
      <c r="F28" s="79">
        <f t="shared" si="9"/>
        <v>1338864.1154058825</v>
      </c>
      <c r="G28" s="79">
        <f t="shared" si="9"/>
        <v>1340188.064714706</v>
      </c>
      <c r="H28" s="79">
        <f t="shared" si="9"/>
        <v>1272098.5856400984</v>
      </c>
      <c r="I28" s="79">
        <f t="shared" si="9"/>
        <v>1353925.3824872593</v>
      </c>
      <c r="J28" s="79">
        <f t="shared" si="9"/>
        <v>1292839.6562630786</v>
      </c>
      <c r="K28" s="79">
        <f t="shared" si="9"/>
        <v>1297017.5794819526</v>
      </c>
      <c r="L28" s="79">
        <f t="shared" si="9"/>
        <v>1313152.508189003</v>
      </c>
      <c r="M28" s="79">
        <f t="shared" si="9"/>
        <v>1314340.3992536208</v>
      </c>
      <c r="N28" s="80">
        <f t="shared" si="2"/>
        <v>15855996.510630269</v>
      </c>
    </row>
    <row r="29" spans="1:16">
      <c r="A29" s="78" t="s">
        <v>0</v>
      </c>
      <c r="B29" s="79">
        <f t="shared" ref="B29:N29" si="10">SUM(B23:B28)</f>
        <v>511223804.07770759</v>
      </c>
      <c r="C29" s="80">
        <f t="shared" si="10"/>
        <v>428399582.84680837</v>
      </c>
      <c r="D29" s="80">
        <f t="shared" si="10"/>
        <v>443119837.71746218</v>
      </c>
      <c r="E29" s="80">
        <f t="shared" si="10"/>
        <v>501147497.64905226</v>
      </c>
      <c r="F29" s="80">
        <f t="shared" si="10"/>
        <v>567345034.7548362</v>
      </c>
      <c r="G29" s="80">
        <f t="shared" si="10"/>
        <v>573499380.57924283</v>
      </c>
      <c r="H29" s="80">
        <f t="shared" si="10"/>
        <v>509171586.11999029</v>
      </c>
      <c r="I29" s="80">
        <f t="shared" si="10"/>
        <v>479053941.45263869</v>
      </c>
      <c r="J29" s="80">
        <f t="shared" si="10"/>
        <v>427611972.076653</v>
      </c>
      <c r="K29" s="80">
        <f t="shared" si="10"/>
        <v>417117556.76331443</v>
      </c>
      <c r="L29" s="80">
        <f t="shared" si="10"/>
        <v>430508403.99041861</v>
      </c>
      <c r="M29" s="80">
        <f t="shared" si="10"/>
        <v>481360830.82558286</v>
      </c>
      <c r="N29" s="80">
        <f t="shared" si="10"/>
        <v>5769559428.8537073</v>
      </c>
    </row>
    <row r="30" spans="1:16">
      <c r="A30" s="32"/>
      <c r="B30" s="32"/>
      <c r="N30" s="80">
        <f t="shared" si="2"/>
        <v>0</v>
      </c>
    </row>
    <row r="31" spans="1:16">
      <c r="A31" s="78" t="s">
        <v>59</v>
      </c>
      <c r="B31" s="80">
        <f t="shared" ref="B31:N31" si="11">SUM(B7:B19)-SUM(B23:B28)</f>
        <v>0</v>
      </c>
      <c r="C31" s="80">
        <f t="shared" si="11"/>
        <v>0</v>
      </c>
      <c r="D31" s="80">
        <f t="shared" si="11"/>
        <v>0</v>
      </c>
      <c r="E31" s="80">
        <f t="shared" si="11"/>
        <v>0</v>
      </c>
      <c r="F31" s="80">
        <f t="shared" si="11"/>
        <v>0</v>
      </c>
      <c r="G31" s="80">
        <f t="shared" si="11"/>
        <v>0</v>
      </c>
      <c r="H31" s="80">
        <f t="shared" si="11"/>
        <v>0</v>
      </c>
      <c r="I31" s="80">
        <f t="shared" si="11"/>
        <v>0</v>
      </c>
      <c r="J31" s="80">
        <f t="shared" si="11"/>
        <v>0</v>
      </c>
      <c r="K31" s="80">
        <f t="shared" si="11"/>
        <v>0</v>
      </c>
      <c r="L31" s="80">
        <f t="shared" si="11"/>
        <v>0</v>
      </c>
      <c r="M31" s="80">
        <f t="shared" si="11"/>
        <v>0</v>
      </c>
      <c r="N31" s="80">
        <f t="shared" si="11"/>
        <v>0</v>
      </c>
    </row>
    <row r="32" spans="1:16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3">
      <c r="A33" s="32" t="s">
        <v>149</v>
      </c>
    </row>
    <row r="34" spans="1:13">
      <c r="A34" s="78" t="s">
        <v>62</v>
      </c>
      <c r="B34" s="149">
        <f>'Rate Design'!D11</f>
        <v>2.0799580640406665E-5</v>
      </c>
      <c r="C34" s="149">
        <f>$B34</f>
        <v>2.0799580640406665E-5</v>
      </c>
      <c r="D34" s="149">
        <f t="shared" ref="D34:M34" si="12">$B34</f>
        <v>2.0799580640406665E-5</v>
      </c>
      <c r="E34" s="149">
        <f t="shared" si="12"/>
        <v>2.0799580640406665E-5</v>
      </c>
      <c r="F34" s="149">
        <f t="shared" si="12"/>
        <v>2.0799580640406665E-5</v>
      </c>
      <c r="G34" s="149">
        <f t="shared" si="12"/>
        <v>2.0799580640406665E-5</v>
      </c>
      <c r="H34" s="149">
        <f t="shared" si="12"/>
        <v>2.0799580640406665E-5</v>
      </c>
      <c r="I34" s="149">
        <f t="shared" si="12"/>
        <v>2.0799580640406665E-5</v>
      </c>
      <c r="J34" s="149">
        <f t="shared" si="12"/>
        <v>2.0799580640406665E-5</v>
      </c>
      <c r="K34" s="149">
        <f t="shared" si="12"/>
        <v>2.0799580640406665E-5</v>
      </c>
      <c r="L34" s="149">
        <f t="shared" si="12"/>
        <v>2.0799580640406665E-5</v>
      </c>
      <c r="M34" s="149">
        <f t="shared" si="12"/>
        <v>2.0799580640406665E-5</v>
      </c>
    </row>
    <row r="35" spans="1:13">
      <c r="A35" s="78" t="s">
        <v>71</v>
      </c>
      <c r="B35" s="149">
        <f>'Rate Design'!E11</f>
        <v>1.5426557350577119E-5</v>
      </c>
      <c r="C35" s="149">
        <f t="shared" ref="C35:M39" si="13">$B35</f>
        <v>1.5426557350577119E-5</v>
      </c>
      <c r="D35" s="149">
        <f t="shared" si="13"/>
        <v>1.5426557350577119E-5</v>
      </c>
      <c r="E35" s="149">
        <f t="shared" si="13"/>
        <v>1.5426557350577119E-5</v>
      </c>
      <c r="F35" s="149">
        <f t="shared" si="13"/>
        <v>1.5426557350577119E-5</v>
      </c>
      <c r="G35" s="149">
        <f t="shared" si="13"/>
        <v>1.5426557350577119E-5</v>
      </c>
      <c r="H35" s="149">
        <f t="shared" si="13"/>
        <v>1.5426557350577119E-5</v>
      </c>
      <c r="I35" s="149">
        <f t="shared" si="13"/>
        <v>1.5426557350577119E-5</v>
      </c>
      <c r="J35" s="149">
        <f t="shared" si="13"/>
        <v>1.5426557350577119E-5</v>
      </c>
      <c r="K35" s="149">
        <f t="shared" si="13"/>
        <v>1.5426557350577119E-5</v>
      </c>
      <c r="L35" s="149">
        <f t="shared" si="13"/>
        <v>1.5426557350577119E-5</v>
      </c>
      <c r="M35" s="149">
        <f t="shared" si="13"/>
        <v>1.5426557350577119E-5</v>
      </c>
    </row>
    <row r="36" spans="1:13">
      <c r="A36" s="78" t="s">
        <v>72</v>
      </c>
      <c r="B36" s="149">
        <f>'Rate Design'!F11</f>
        <v>1.1954662995264616E-5</v>
      </c>
      <c r="C36" s="149">
        <f t="shared" si="13"/>
        <v>1.1954662995264616E-5</v>
      </c>
      <c r="D36" s="149">
        <f t="shared" si="13"/>
        <v>1.1954662995264616E-5</v>
      </c>
      <c r="E36" s="149">
        <f t="shared" si="13"/>
        <v>1.1954662995264616E-5</v>
      </c>
      <c r="F36" s="149">
        <f t="shared" si="13"/>
        <v>1.1954662995264616E-5</v>
      </c>
      <c r="G36" s="149">
        <f t="shared" si="13"/>
        <v>1.1954662995264616E-5</v>
      </c>
      <c r="H36" s="149">
        <f t="shared" si="13"/>
        <v>1.1954662995264616E-5</v>
      </c>
      <c r="I36" s="149">
        <f t="shared" si="13"/>
        <v>1.1954662995264616E-5</v>
      </c>
      <c r="J36" s="149">
        <f t="shared" si="13"/>
        <v>1.1954662995264616E-5</v>
      </c>
      <c r="K36" s="149">
        <f t="shared" si="13"/>
        <v>1.1954662995264616E-5</v>
      </c>
      <c r="L36" s="149">
        <f t="shared" si="13"/>
        <v>1.1954662995264616E-5</v>
      </c>
      <c r="M36" s="149">
        <f t="shared" si="13"/>
        <v>1.1954662995264616E-5</v>
      </c>
    </row>
    <row r="37" spans="1:13">
      <c r="A37" s="78" t="s">
        <v>78</v>
      </c>
      <c r="B37" s="149">
        <f>'Rate Design'!G11</f>
        <v>4.3140271823272235E-5</v>
      </c>
      <c r="C37" s="149">
        <f t="shared" si="13"/>
        <v>4.3140271823272235E-5</v>
      </c>
      <c r="D37" s="149">
        <f t="shared" si="13"/>
        <v>4.3140271823272235E-5</v>
      </c>
      <c r="E37" s="149">
        <f t="shared" si="13"/>
        <v>4.3140271823272235E-5</v>
      </c>
      <c r="F37" s="149">
        <f t="shared" si="13"/>
        <v>4.3140271823272235E-5</v>
      </c>
      <c r="G37" s="149">
        <f t="shared" si="13"/>
        <v>4.3140271823272235E-5</v>
      </c>
      <c r="H37" s="149">
        <f t="shared" si="13"/>
        <v>4.3140271823272235E-5</v>
      </c>
      <c r="I37" s="149">
        <f t="shared" si="13"/>
        <v>4.3140271823272235E-5</v>
      </c>
      <c r="J37" s="149">
        <f t="shared" si="13"/>
        <v>4.3140271823272235E-5</v>
      </c>
      <c r="K37" s="149">
        <f t="shared" si="13"/>
        <v>4.3140271823272235E-5</v>
      </c>
      <c r="L37" s="149">
        <f t="shared" si="13"/>
        <v>4.3140271823272235E-5</v>
      </c>
      <c r="M37" s="149">
        <f t="shared" si="13"/>
        <v>4.3140271823272235E-5</v>
      </c>
    </row>
    <row r="38" spans="1:13">
      <c r="A38" s="78" t="s">
        <v>37</v>
      </c>
      <c r="B38" s="149">
        <f>'Rate Design'!H11</f>
        <v>0</v>
      </c>
      <c r="C38" s="149">
        <f t="shared" si="13"/>
        <v>0</v>
      </c>
      <c r="D38" s="149">
        <f t="shared" si="13"/>
        <v>0</v>
      </c>
      <c r="E38" s="149">
        <f t="shared" si="13"/>
        <v>0</v>
      </c>
      <c r="F38" s="149">
        <f t="shared" si="13"/>
        <v>0</v>
      </c>
      <c r="G38" s="149">
        <f t="shared" si="13"/>
        <v>0</v>
      </c>
      <c r="H38" s="149">
        <f t="shared" si="13"/>
        <v>0</v>
      </c>
      <c r="I38" s="149">
        <f t="shared" si="13"/>
        <v>0</v>
      </c>
      <c r="J38" s="149">
        <f t="shared" si="13"/>
        <v>0</v>
      </c>
      <c r="K38" s="149">
        <f t="shared" si="13"/>
        <v>0</v>
      </c>
      <c r="L38" s="149">
        <f t="shared" si="13"/>
        <v>0</v>
      </c>
      <c r="M38" s="149">
        <f t="shared" si="13"/>
        <v>0</v>
      </c>
    </row>
    <row r="39" spans="1:13">
      <c r="A39" s="78" t="s">
        <v>36</v>
      </c>
      <c r="B39" s="149">
        <f>'Rate Design'!I11</f>
        <v>0</v>
      </c>
      <c r="C39" s="149">
        <f t="shared" si="13"/>
        <v>0</v>
      </c>
      <c r="D39" s="149">
        <f t="shared" si="13"/>
        <v>0</v>
      </c>
      <c r="E39" s="149">
        <f t="shared" si="13"/>
        <v>0</v>
      </c>
      <c r="F39" s="149">
        <f t="shared" si="13"/>
        <v>0</v>
      </c>
      <c r="G39" s="149">
        <f t="shared" si="13"/>
        <v>0</v>
      </c>
      <c r="H39" s="149">
        <f t="shared" si="13"/>
        <v>0</v>
      </c>
      <c r="I39" s="149">
        <f t="shared" si="13"/>
        <v>0</v>
      </c>
      <c r="J39" s="149">
        <f t="shared" si="13"/>
        <v>0</v>
      </c>
      <c r="K39" s="149">
        <f t="shared" si="13"/>
        <v>0</v>
      </c>
      <c r="L39" s="149">
        <f t="shared" si="13"/>
        <v>0</v>
      </c>
      <c r="M39" s="149">
        <f t="shared" si="13"/>
        <v>0</v>
      </c>
    </row>
    <row r="40" spans="1:13">
      <c r="A40" s="78"/>
    </row>
    <row r="41" spans="1:13">
      <c r="A41" t="s">
        <v>146</v>
      </c>
    </row>
    <row r="42" spans="1:13">
      <c r="A42" s="78" t="s">
        <v>62</v>
      </c>
      <c r="B42" s="70">
        <f>B34*B23</f>
        <v>4507.9336970908498</v>
      </c>
      <c r="C42" s="70">
        <f t="shared" ref="C42:M42" si="14">C34*C23</f>
        <v>3411.49398639844</v>
      </c>
      <c r="D42" s="70">
        <f t="shared" si="14"/>
        <v>3620.2346823256789</v>
      </c>
      <c r="E42" s="70">
        <f t="shared" si="14"/>
        <v>4924.7869534728043</v>
      </c>
      <c r="F42" s="70">
        <f t="shared" si="14"/>
        <v>6203.8239194806238</v>
      </c>
      <c r="G42" s="70">
        <f t="shared" si="14"/>
        <v>6285.0436353618679</v>
      </c>
      <c r="H42" s="70">
        <f t="shared" si="14"/>
        <v>5319.0816178629957</v>
      </c>
      <c r="I42" s="70">
        <f t="shared" si="14"/>
        <v>4688.1350264889952</v>
      </c>
      <c r="J42" s="70">
        <f t="shared" si="14"/>
        <v>3783.581556254117</v>
      </c>
      <c r="K42" s="70">
        <f t="shared" si="14"/>
        <v>3392.6010560972436</v>
      </c>
      <c r="L42" s="70">
        <f t="shared" si="14"/>
        <v>3345.3272983045804</v>
      </c>
      <c r="M42" s="70">
        <f t="shared" si="14"/>
        <v>4011.1297623063806</v>
      </c>
    </row>
    <row r="43" spans="1:13">
      <c r="A43" s="78" t="s">
        <v>71</v>
      </c>
      <c r="B43" s="70">
        <f t="shared" ref="B43:M47" si="15">B35*B24</f>
        <v>884.54831037667918</v>
      </c>
      <c r="C43" s="70">
        <f t="shared" si="15"/>
        <v>790.9656779203458</v>
      </c>
      <c r="D43" s="70">
        <f t="shared" si="15"/>
        <v>811.56425577640971</v>
      </c>
      <c r="E43" s="70">
        <f t="shared" si="15"/>
        <v>923.7220677287371</v>
      </c>
      <c r="F43" s="70">
        <f t="shared" si="15"/>
        <v>1040.2948510579452</v>
      </c>
      <c r="G43" s="70">
        <f t="shared" si="15"/>
        <v>1020.218565782156</v>
      </c>
      <c r="H43" s="70">
        <f t="shared" si="15"/>
        <v>939.25999304334778</v>
      </c>
      <c r="I43" s="70">
        <f t="shared" si="15"/>
        <v>889.93949160358773</v>
      </c>
      <c r="J43" s="70">
        <f t="shared" si="15"/>
        <v>776.68953585564248</v>
      </c>
      <c r="K43" s="70">
        <f t="shared" si="15"/>
        <v>753.19709739248685</v>
      </c>
      <c r="L43" s="70">
        <f t="shared" si="15"/>
        <v>774.84028061268737</v>
      </c>
      <c r="M43" s="70">
        <f t="shared" si="15"/>
        <v>893.68531089201542</v>
      </c>
    </row>
    <row r="44" spans="1:13">
      <c r="A44" s="78" t="s">
        <v>72</v>
      </c>
      <c r="B44" s="70">
        <f t="shared" si="15"/>
        <v>1338.3498053550884</v>
      </c>
      <c r="C44" s="70">
        <f t="shared" si="15"/>
        <v>1256.7842982852694</v>
      </c>
      <c r="D44" s="70">
        <f t="shared" si="15"/>
        <v>1390.6676646820936</v>
      </c>
      <c r="E44" s="70">
        <f t="shared" si="15"/>
        <v>1392.8298453947093</v>
      </c>
      <c r="F44" s="70">
        <f t="shared" si="15"/>
        <v>1343.2451724099071</v>
      </c>
      <c r="G44" s="70">
        <f t="shared" si="15"/>
        <v>1301.1478310683585</v>
      </c>
      <c r="H44" s="70">
        <f t="shared" si="15"/>
        <v>1279.8863452776911</v>
      </c>
      <c r="I44" s="70">
        <f t="shared" si="15"/>
        <v>1250.3048927751936</v>
      </c>
      <c r="J44" s="70">
        <f t="shared" si="15"/>
        <v>1215.6917315592334</v>
      </c>
      <c r="K44" s="70">
        <f t="shared" si="15"/>
        <v>1267.7516008515947</v>
      </c>
      <c r="L44" s="70">
        <f t="shared" si="15"/>
        <v>1305.6165856392417</v>
      </c>
      <c r="M44" s="70">
        <f t="shared" si="15"/>
        <v>1413.0176247758575</v>
      </c>
    </row>
    <row r="45" spans="1:13">
      <c r="A45" s="78" t="s">
        <v>78</v>
      </c>
      <c r="B45" s="70">
        <f t="shared" si="15"/>
        <v>4117.4395951851529</v>
      </c>
      <c r="C45" s="70">
        <f t="shared" si="15"/>
        <v>3612.5434549964789</v>
      </c>
      <c r="D45" s="70">
        <f t="shared" si="15"/>
        <v>3770.8214453929595</v>
      </c>
      <c r="E45" s="70">
        <f t="shared" si="15"/>
        <v>3666.7512341351962</v>
      </c>
      <c r="F45" s="70">
        <f t="shared" si="15"/>
        <v>3650.4347205261979</v>
      </c>
      <c r="G45" s="70">
        <f t="shared" si="15"/>
        <v>3926.5157217696728</v>
      </c>
      <c r="H45" s="70">
        <f t="shared" si="15"/>
        <v>3443.5754778032783</v>
      </c>
      <c r="I45" s="70">
        <f t="shared" si="15"/>
        <v>3700.8949473918992</v>
      </c>
      <c r="J45" s="70">
        <f t="shared" si="15"/>
        <v>3712.023325630887</v>
      </c>
      <c r="K45" s="70">
        <f t="shared" si="15"/>
        <v>3625.1615531020675</v>
      </c>
      <c r="L45" s="70">
        <f t="shared" si="15"/>
        <v>3738.1897986636618</v>
      </c>
      <c r="M45" s="70">
        <f t="shared" si="15"/>
        <v>3706.7139229567815</v>
      </c>
    </row>
    <row r="46" spans="1:13">
      <c r="A46" s="78" t="s">
        <v>37</v>
      </c>
      <c r="B46" s="70">
        <f t="shared" si="15"/>
        <v>0</v>
      </c>
      <c r="C46" s="70">
        <f t="shared" si="15"/>
        <v>0</v>
      </c>
      <c r="D46" s="70">
        <f t="shared" si="15"/>
        <v>0</v>
      </c>
      <c r="E46" s="70">
        <f t="shared" si="15"/>
        <v>0</v>
      </c>
      <c r="F46" s="70">
        <f t="shared" si="15"/>
        <v>0</v>
      </c>
      <c r="G46" s="70">
        <f t="shared" si="15"/>
        <v>0</v>
      </c>
      <c r="H46" s="70">
        <f t="shared" si="15"/>
        <v>0</v>
      </c>
      <c r="I46" s="70">
        <f t="shared" si="15"/>
        <v>0</v>
      </c>
      <c r="J46" s="70">
        <f t="shared" si="15"/>
        <v>0</v>
      </c>
      <c r="K46" s="70">
        <f t="shared" si="15"/>
        <v>0</v>
      </c>
      <c r="L46" s="70">
        <f t="shared" si="15"/>
        <v>0</v>
      </c>
      <c r="M46" s="70">
        <f t="shared" si="15"/>
        <v>0</v>
      </c>
    </row>
    <row r="47" spans="1:13">
      <c r="A47" s="78" t="s">
        <v>36</v>
      </c>
      <c r="B47" s="70">
        <f t="shared" si="15"/>
        <v>0</v>
      </c>
      <c r="C47" s="70">
        <f t="shared" si="15"/>
        <v>0</v>
      </c>
      <c r="D47" s="70">
        <f t="shared" si="15"/>
        <v>0</v>
      </c>
      <c r="E47" s="70">
        <f t="shared" si="15"/>
        <v>0</v>
      </c>
      <c r="F47" s="70">
        <f t="shared" si="15"/>
        <v>0</v>
      </c>
      <c r="G47" s="70">
        <f t="shared" si="15"/>
        <v>0</v>
      </c>
      <c r="H47" s="70">
        <f t="shared" si="15"/>
        <v>0</v>
      </c>
      <c r="I47" s="70">
        <f t="shared" si="15"/>
        <v>0</v>
      </c>
      <c r="J47" s="70">
        <f t="shared" si="15"/>
        <v>0</v>
      </c>
      <c r="K47" s="70">
        <f t="shared" si="15"/>
        <v>0</v>
      </c>
      <c r="L47" s="70">
        <f t="shared" si="15"/>
        <v>0</v>
      </c>
      <c r="M47" s="70">
        <f t="shared" si="15"/>
        <v>0</v>
      </c>
    </row>
    <row r="48" spans="1:13">
      <c r="A48"/>
    </row>
    <row r="49" spans="1:17">
      <c r="A49" t="s">
        <v>147</v>
      </c>
      <c r="B49" s="70">
        <f>'CF WA Elec'!E21</f>
        <v>0.95606855188236617</v>
      </c>
    </row>
    <row r="50" spans="1:17">
      <c r="A50" s="78" t="s">
        <v>62</v>
      </c>
      <c r="B50" s="70">
        <f>B42*$B$49</f>
        <v>4309.8936417593695</v>
      </c>
      <c r="C50" s="70">
        <f t="shared" ref="C50:M50" si="16">C42*$B$49</f>
        <v>3261.6221153313572</v>
      </c>
      <c r="D50" s="70">
        <f t="shared" si="16"/>
        <v>3461.1925302054296</v>
      </c>
      <c r="E50" s="70">
        <f t="shared" si="16"/>
        <v>4708.4339309359138</v>
      </c>
      <c r="F50" s="70">
        <f t="shared" si="16"/>
        <v>5931.2809508310247</v>
      </c>
      <c r="G50" s="70">
        <f t="shared" si="16"/>
        <v>6008.9325669779037</v>
      </c>
      <c r="H50" s="70">
        <f t="shared" si="16"/>
        <v>5085.4066597343881</v>
      </c>
      <c r="I50" s="70">
        <f t="shared" si="16"/>
        <v>4482.1784658043316</v>
      </c>
      <c r="J50" s="70">
        <f t="shared" si="16"/>
        <v>3617.3633394167032</v>
      </c>
      <c r="K50" s="70">
        <f t="shared" si="16"/>
        <v>3243.5591788174779</v>
      </c>
      <c r="L50" s="70">
        <f t="shared" si="16"/>
        <v>3198.3622256626086</v>
      </c>
      <c r="M50" s="70">
        <f t="shared" si="16"/>
        <v>3834.9150232605211</v>
      </c>
    </row>
    <row r="51" spans="1:17">
      <c r="A51" s="78" t="s">
        <v>71</v>
      </c>
      <c r="B51" s="70">
        <f t="shared" ref="B51:M55" si="17">B43*$B$49</f>
        <v>845.68882217182545</v>
      </c>
      <c r="C51" s="70">
        <f t="shared" si="17"/>
        <v>756.21741027795906</v>
      </c>
      <c r="D51" s="70">
        <f t="shared" si="17"/>
        <v>775.91106277964229</v>
      </c>
      <c r="E51" s="70">
        <f t="shared" si="17"/>
        <v>883.14161963519859</v>
      </c>
      <c r="F51" s="70">
        <f t="shared" si="17"/>
        <v>994.5931917816514</v>
      </c>
      <c r="G51" s="70">
        <f t="shared" si="17"/>
        <v>975.39888679085038</v>
      </c>
      <c r="H51" s="70">
        <f t="shared" si="17"/>
        <v>897.99694138999484</v>
      </c>
      <c r="I51" s="70">
        <f t="shared" si="17"/>
        <v>850.84316100037131</v>
      </c>
      <c r="J51" s="70">
        <f t="shared" si="17"/>
        <v>742.56843980769122</v>
      </c>
      <c r="K51" s="70">
        <f t="shared" si="17"/>
        <v>720.10805818603637</v>
      </c>
      <c r="L51" s="70">
        <f t="shared" si="17"/>
        <v>740.80042502549827</v>
      </c>
      <c r="M51" s="70">
        <f t="shared" si="17"/>
        <v>854.42442102307143</v>
      </c>
    </row>
    <row r="52" spans="1:17">
      <c r="A52" s="78" t="s">
        <v>72</v>
      </c>
      <c r="B52" s="70">
        <f t="shared" si="17"/>
        <v>1279.554160317886</v>
      </c>
      <c r="C52" s="70">
        <f t="shared" si="17"/>
        <v>1201.5719440900932</v>
      </c>
      <c r="D52" s="70">
        <f t="shared" si="17"/>
        <v>1329.5736203222411</v>
      </c>
      <c r="E52" s="70">
        <f t="shared" si="17"/>
        <v>1331.6408133050597</v>
      </c>
      <c r="F52" s="70">
        <f t="shared" si="17"/>
        <v>1284.2344668089193</v>
      </c>
      <c r="G52" s="70">
        <f t="shared" si="17"/>
        <v>1243.986522634407</v>
      </c>
      <c r="H52" s="70">
        <f t="shared" si="17"/>
        <v>1223.6590847036562</v>
      </c>
      <c r="I52" s="70">
        <f t="shared" si="17"/>
        <v>1195.3771882470164</v>
      </c>
      <c r="J52" s="70">
        <f t="shared" si="17"/>
        <v>1162.2846333272025</v>
      </c>
      <c r="K52" s="70">
        <f t="shared" si="17"/>
        <v>1212.0574371727357</v>
      </c>
      <c r="L52" s="70">
        <f t="shared" si="17"/>
        <v>1248.2589583457091</v>
      </c>
      <c r="M52" s="70">
        <f t="shared" si="17"/>
        <v>1350.9417143037147</v>
      </c>
    </row>
    <row r="53" spans="1:17">
      <c r="A53" s="78" t="s">
        <v>78</v>
      </c>
      <c r="B53" s="70">
        <f t="shared" si="17"/>
        <v>3936.554511231785</v>
      </c>
      <c r="C53" s="70">
        <f t="shared" si="17"/>
        <v>3453.8391896306034</v>
      </c>
      <c r="D53" s="70">
        <f t="shared" si="17"/>
        <v>3605.1637987038175</v>
      </c>
      <c r="E53" s="70">
        <f t="shared" si="17"/>
        <v>3505.6655425325162</v>
      </c>
      <c r="F53" s="70">
        <f t="shared" si="17"/>
        <v>3490.0658369945922</v>
      </c>
      <c r="G53" s="70">
        <f t="shared" si="17"/>
        <v>3754.0182000556747</v>
      </c>
      <c r="H53" s="70">
        <f t="shared" si="17"/>
        <v>3292.2942203610073</v>
      </c>
      <c r="I53" s="70">
        <f t="shared" si="17"/>
        <v>3538.3092730217386</v>
      </c>
      <c r="J53" s="70">
        <f t="shared" si="17"/>
        <v>3548.948765489487</v>
      </c>
      <c r="K53" s="70">
        <f t="shared" si="17"/>
        <v>3465.9029564139232</v>
      </c>
      <c r="L53" s="70">
        <f t="shared" si="17"/>
        <v>3573.9657074698011</v>
      </c>
      <c r="M53" s="70">
        <f t="shared" si="17"/>
        <v>3543.8726125634948</v>
      </c>
    </row>
    <row r="54" spans="1:17">
      <c r="A54" s="78" t="s">
        <v>37</v>
      </c>
      <c r="B54" s="70">
        <f t="shared" si="17"/>
        <v>0</v>
      </c>
      <c r="C54" s="70">
        <f t="shared" si="17"/>
        <v>0</v>
      </c>
      <c r="D54" s="70">
        <f t="shared" si="17"/>
        <v>0</v>
      </c>
      <c r="E54" s="70">
        <f t="shared" si="17"/>
        <v>0</v>
      </c>
      <c r="F54" s="70">
        <f t="shared" si="17"/>
        <v>0</v>
      </c>
      <c r="G54" s="70">
        <f t="shared" si="17"/>
        <v>0</v>
      </c>
      <c r="H54" s="70">
        <f t="shared" si="17"/>
        <v>0</v>
      </c>
      <c r="I54" s="70">
        <f t="shared" si="17"/>
        <v>0</v>
      </c>
      <c r="J54" s="70">
        <f t="shared" si="17"/>
        <v>0</v>
      </c>
      <c r="K54" s="70">
        <f t="shared" si="17"/>
        <v>0</v>
      </c>
      <c r="L54" s="70">
        <f t="shared" si="17"/>
        <v>0</v>
      </c>
      <c r="M54" s="70">
        <f t="shared" si="17"/>
        <v>0</v>
      </c>
    </row>
    <row r="55" spans="1:17">
      <c r="A55" s="78" t="s">
        <v>36</v>
      </c>
      <c r="B55" s="70">
        <f t="shared" si="17"/>
        <v>0</v>
      </c>
      <c r="C55" s="70">
        <f t="shared" si="17"/>
        <v>0</v>
      </c>
      <c r="D55" s="70">
        <f t="shared" si="17"/>
        <v>0</v>
      </c>
      <c r="E55" s="70">
        <f t="shared" si="17"/>
        <v>0</v>
      </c>
      <c r="F55" s="70">
        <f t="shared" si="17"/>
        <v>0</v>
      </c>
      <c r="G55" s="70">
        <f t="shared" si="17"/>
        <v>0</v>
      </c>
      <c r="H55" s="70">
        <f t="shared" si="17"/>
        <v>0</v>
      </c>
      <c r="I55" s="70">
        <f t="shared" si="17"/>
        <v>0</v>
      </c>
      <c r="J55" s="70">
        <f t="shared" si="17"/>
        <v>0</v>
      </c>
      <c r="K55" s="70">
        <f t="shared" si="17"/>
        <v>0</v>
      </c>
      <c r="L55" s="70">
        <f t="shared" si="17"/>
        <v>0</v>
      </c>
      <c r="M55" s="70">
        <f t="shared" si="17"/>
        <v>0</v>
      </c>
    </row>
    <row r="57" spans="1:17">
      <c r="A57" s="10" t="s">
        <v>39</v>
      </c>
    </row>
    <row r="58" spans="1:17">
      <c r="A58" s="70" t="s">
        <v>52</v>
      </c>
      <c r="B58" s="50"/>
    </row>
    <row r="60" spans="1:17">
      <c r="B60" s="71">
        <f t="shared" ref="B60:M60" si="18">B6</f>
        <v>45169</v>
      </c>
      <c r="C60" s="71">
        <f t="shared" si="18"/>
        <v>45199</v>
      </c>
      <c r="D60" s="71">
        <f t="shared" si="18"/>
        <v>45230</v>
      </c>
      <c r="E60" s="71">
        <f t="shared" si="18"/>
        <v>45260</v>
      </c>
      <c r="F60" s="71">
        <f t="shared" si="18"/>
        <v>45291</v>
      </c>
      <c r="G60" s="71">
        <f t="shared" si="18"/>
        <v>45322</v>
      </c>
      <c r="H60" s="71">
        <f t="shared" si="18"/>
        <v>45351</v>
      </c>
      <c r="I60" s="71">
        <f t="shared" si="18"/>
        <v>45382</v>
      </c>
      <c r="J60" s="71">
        <f t="shared" si="18"/>
        <v>45412</v>
      </c>
      <c r="K60" s="71">
        <f t="shared" si="18"/>
        <v>45443</v>
      </c>
      <c r="L60" s="71">
        <f t="shared" si="18"/>
        <v>45473</v>
      </c>
      <c r="M60" s="71">
        <f t="shared" si="18"/>
        <v>45504</v>
      </c>
      <c r="N60" s="72" t="s">
        <v>0</v>
      </c>
    </row>
    <row r="61" spans="1:17">
      <c r="A61" s="73" t="s">
        <v>28</v>
      </c>
      <c r="B61" s="74">
        <v>227969</v>
      </c>
      <c r="C61" s="74">
        <v>228222</v>
      </c>
      <c r="D61" s="74">
        <v>228459</v>
      </c>
      <c r="E61" s="74">
        <v>228224</v>
      </c>
      <c r="F61" s="74">
        <v>228854</v>
      </c>
      <c r="G61" s="74">
        <v>229261</v>
      </c>
      <c r="H61" s="74">
        <v>229083</v>
      </c>
      <c r="I61" s="74">
        <v>229051</v>
      </c>
      <c r="J61" s="74">
        <v>229282</v>
      </c>
      <c r="K61" s="74">
        <v>229066</v>
      </c>
      <c r="L61" s="74">
        <v>229123</v>
      </c>
      <c r="M61" s="74">
        <v>229071</v>
      </c>
      <c r="N61" s="75">
        <f>SUM(B61:M61)</f>
        <v>2745665</v>
      </c>
      <c r="P61" s="76"/>
      <c r="Q61" s="82"/>
    </row>
    <row r="62" spans="1:17">
      <c r="A62" s="73" t="s">
        <v>67</v>
      </c>
      <c r="B62" s="74">
        <v>907.34883720930247</v>
      </c>
      <c r="C62" s="74">
        <v>916.25581395348854</v>
      </c>
      <c r="D62" s="74">
        <v>925.16279069767461</v>
      </c>
      <c r="E62" s="74">
        <v>934.06976744186068</v>
      </c>
      <c r="F62" s="74">
        <v>942.97674418604674</v>
      </c>
      <c r="G62" s="74">
        <v>951.88372093023281</v>
      </c>
      <c r="H62" s="74">
        <v>960.79069767441888</v>
      </c>
      <c r="I62" s="74">
        <v>969.69767441860495</v>
      </c>
      <c r="J62" s="74">
        <v>978.60465116279101</v>
      </c>
      <c r="K62" s="74">
        <v>987.51162790697708</v>
      </c>
      <c r="L62" s="74">
        <v>996.41860465116315</v>
      </c>
      <c r="M62" s="74">
        <v>1005.3255813953492</v>
      </c>
      <c r="N62" s="75">
        <f t="shared" ref="N62:N73" si="19">SUM(B62:M62)</f>
        <v>11476.04651162791</v>
      </c>
      <c r="P62" s="76"/>
      <c r="Q62" s="82"/>
    </row>
    <row r="63" spans="1:17">
      <c r="A63" s="73" t="s">
        <v>29</v>
      </c>
      <c r="B63" s="74">
        <v>24269.386170829002</v>
      </c>
      <c r="C63" s="74">
        <v>24378.335018398084</v>
      </c>
      <c r="D63" s="74">
        <v>24483.279603264593</v>
      </c>
      <c r="E63" s="74">
        <v>24444.46957020331</v>
      </c>
      <c r="F63" s="74">
        <v>24632.550367720251</v>
      </c>
      <c r="G63" s="74">
        <v>24586.512898363606</v>
      </c>
      <c r="H63" s="74">
        <v>24567.305639893904</v>
      </c>
      <c r="I63" s="74">
        <v>24580.33805432951</v>
      </c>
      <c r="J63" s="74">
        <v>24657.359859782893</v>
      </c>
      <c r="K63" s="74">
        <v>24620.376007434556</v>
      </c>
      <c r="L63" s="74">
        <v>24745.392347335222</v>
      </c>
      <c r="M63" s="74">
        <v>24677.39491050104</v>
      </c>
      <c r="N63" s="75">
        <f t="shared" si="19"/>
        <v>294642.70044805593</v>
      </c>
      <c r="P63" s="76"/>
      <c r="Q63" s="82"/>
    </row>
    <row r="64" spans="1:17">
      <c r="A64" s="73" t="s">
        <v>30</v>
      </c>
      <c r="B64" s="74">
        <v>10764</v>
      </c>
      <c r="C64" s="74">
        <v>10769</v>
      </c>
      <c r="D64" s="74">
        <v>10843</v>
      </c>
      <c r="E64" s="74">
        <v>10813</v>
      </c>
      <c r="F64" s="74">
        <v>10880</v>
      </c>
      <c r="G64" s="74">
        <v>10873</v>
      </c>
      <c r="H64" s="74">
        <v>10891</v>
      </c>
      <c r="I64" s="74">
        <v>10917</v>
      </c>
      <c r="J64" s="74">
        <v>10903</v>
      </c>
      <c r="K64" s="74">
        <v>10928</v>
      </c>
      <c r="L64" s="74">
        <v>10962</v>
      </c>
      <c r="M64" s="74">
        <v>10991</v>
      </c>
      <c r="N64" s="75">
        <f t="shared" si="19"/>
        <v>130534</v>
      </c>
      <c r="P64" s="76"/>
      <c r="Q64" s="82"/>
    </row>
    <row r="65" spans="1:17">
      <c r="A65" s="73" t="s">
        <v>70</v>
      </c>
      <c r="B65" s="74">
        <v>6.2289582056668147</v>
      </c>
      <c r="C65" s="74">
        <v>6.2543980062964604</v>
      </c>
      <c r="D65" s="74">
        <v>6.2826644514405121</v>
      </c>
      <c r="E65" s="74">
        <v>6.0918493904894575</v>
      </c>
      <c r="F65" s="74">
        <v>6.1267462363463112</v>
      </c>
      <c r="G65" s="74">
        <v>6.1559183147332126</v>
      </c>
      <c r="H65" s="74">
        <v>6.177662629843792</v>
      </c>
      <c r="I65" s="74">
        <v>6.189968418500758</v>
      </c>
      <c r="J65" s="74">
        <v>6.1904697820463843</v>
      </c>
      <c r="K65" s="74">
        <v>6.1887372705959676</v>
      </c>
      <c r="L65" s="74">
        <v>6.1842682778103173</v>
      </c>
      <c r="M65" s="74">
        <v>6.1764760857563017</v>
      </c>
      <c r="N65" s="75">
        <f t="shared" si="19"/>
        <v>74.248117069526288</v>
      </c>
      <c r="P65" s="76"/>
      <c r="Q65" s="82"/>
    </row>
    <row r="66" spans="1:17">
      <c r="A66" s="73" t="s">
        <v>31</v>
      </c>
      <c r="B66" s="74">
        <v>1657.9827752219594</v>
      </c>
      <c r="C66" s="74">
        <v>1655.7803806399625</v>
      </c>
      <c r="D66" s="74">
        <v>1658.578592331846</v>
      </c>
      <c r="E66" s="74">
        <v>1650.3774084815138</v>
      </c>
      <c r="F66" s="74">
        <v>1654.1768272783099</v>
      </c>
      <c r="G66" s="74">
        <v>1653.9768469170021</v>
      </c>
      <c r="H66" s="74">
        <v>1652.777465597766</v>
      </c>
      <c r="I66" s="74">
        <v>1648.5786815261681</v>
      </c>
      <c r="J66" s="74">
        <v>1647.3804929131506</v>
      </c>
      <c r="K66" s="74">
        <v>1646.1828979750146</v>
      </c>
      <c r="L66" s="74">
        <v>1645.9858949334043</v>
      </c>
      <c r="M66" s="74">
        <v>1644.7894820152908</v>
      </c>
      <c r="N66" s="75">
        <f t="shared" si="19"/>
        <v>19816.567745831388</v>
      </c>
      <c r="P66" s="76"/>
      <c r="Q66" s="82"/>
    </row>
    <row r="67" spans="1:17">
      <c r="A67" s="73" t="s">
        <v>32</v>
      </c>
      <c r="B67" s="74">
        <v>43.346788766561822</v>
      </c>
      <c r="C67" s="74">
        <v>43.292354497108647</v>
      </c>
      <c r="D67" s="74">
        <v>43.233384038534361</v>
      </c>
      <c r="E67" s="74">
        <v>43.169499375078892</v>
      </c>
      <c r="F67" s="74">
        <v>43.516957656335471</v>
      </c>
      <c r="G67" s="74">
        <v>43.476704127696756</v>
      </c>
      <c r="H67" s="74">
        <v>43.433096138338158</v>
      </c>
      <c r="I67" s="74">
        <v>43.410159705421883</v>
      </c>
      <c r="J67" s="74">
        <v>43.394281810503337</v>
      </c>
      <c r="K67" s="74">
        <v>43.38332593514405</v>
      </c>
      <c r="L67" s="74">
        <v>43.37475045687416</v>
      </c>
      <c r="M67" s="74">
        <v>43.369028191009676</v>
      </c>
      <c r="N67" s="75">
        <f t="shared" si="19"/>
        <v>520.40033069860726</v>
      </c>
      <c r="P67" s="76"/>
      <c r="Q67" s="82"/>
    </row>
    <row r="68" spans="1:17">
      <c r="A68" s="73" t="s">
        <v>69</v>
      </c>
      <c r="B68" s="74">
        <v>3.0538461000000003</v>
      </c>
      <c r="C68" s="74">
        <v>3.0592307100000005</v>
      </c>
      <c r="D68" s="74">
        <v>3.0651537810000002</v>
      </c>
      <c r="E68" s="74">
        <v>3.1716691591000004</v>
      </c>
      <c r="F68" s="74">
        <v>3.0888360750100006</v>
      </c>
      <c r="G68" s="74">
        <v>3.0877196825110005</v>
      </c>
      <c r="H68" s="74">
        <v>3.0854916507621004</v>
      </c>
      <c r="I68" s="74">
        <v>3.0919408158383108</v>
      </c>
      <c r="J68" s="74">
        <v>3.0888248974221417</v>
      </c>
      <c r="K68" s="74">
        <v>3.0841663871643559</v>
      </c>
      <c r="L68" s="74">
        <v>3.087687925880791</v>
      </c>
      <c r="M68" s="74">
        <v>3.0910721084688699</v>
      </c>
      <c r="N68" s="75">
        <f t="shared" si="19"/>
        <v>37.055639293157576</v>
      </c>
      <c r="P68" s="76"/>
      <c r="Q68" s="82"/>
    </row>
    <row r="69" spans="1:17">
      <c r="A69" s="73" t="s">
        <v>33</v>
      </c>
      <c r="B69" s="74">
        <v>21</v>
      </c>
      <c r="C69" s="74">
        <v>21</v>
      </c>
      <c r="D69" s="74">
        <v>21</v>
      </c>
      <c r="E69" s="74">
        <v>21</v>
      </c>
      <c r="F69" s="74">
        <v>21</v>
      </c>
      <c r="G69" s="74">
        <v>21</v>
      </c>
      <c r="H69" s="74">
        <v>21</v>
      </c>
      <c r="I69" s="74">
        <v>21</v>
      </c>
      <c r="J69" s="74">
        <v>21</v>
      </c>
      <c r="K69" s="74">
        <v>21</v>
      </c>
      <c r="L69" s="74">
        <v>21</v>
      </c>
      <c r="M69" s="74">
        <v>21</v>
      </c>
      <c r="N69" s="75">
        <f t="shared" si="19"/>
        <v>252</v>
      </c>
      <c r="P69" s="76"/>
      <c r="Q69" s="82"/>
    </row>
    <row r="70" spans="1:17">
      <c r="A70" s="73" t="s">
        <v>34</v>
      </c>
      <c r="B70" s="77">
        <v>1259.6948459882337</v>
      </c>
      <c r="C70" s="77">
        <v>1258.0575274587238</v>
      </c>
      <c r="D70" s="77">
        <v>1266.0896698644938</v>
      </c>
      <c r="E70" s="77">
        <v>1256.9908960412954</v>
      </c>
      <c r="F70" s="77">
        <v>1257.4685391017485</v>
      </c>
      <c r="G70" s="77">
        <v>1260.3438849583722</v>
      </c>
      <c r="H70" s="77">
        <v>1251.2976933902032</v>
      </c>
      <c r="I70" s="77">
        <v>1266.7916736427433</v>
      </c>
      <c r="J70" s="77">
        <v>1260.1315866982713</v>
      </c>
      <c r="K70" s="77">
        <v>1255.9402802199177</v>
      </c>
      <c r="L70" s="77">
        <v>1268.4864053493602</v>
      </c>
      <c r="M70" s="77">
        <v>1258.7559759799647</v>
      </c>
      <c r="N70" s="75">
        <f t="shared" si="19"/>
        <v>15120.048978693329</v>
      </c>
      <c r="P70" s="76"/>
      <c r="Q70" s="82"/>
    </row>
    <row r="71" spans="1:17">
      <c r="A71" s="73" t="s">
        <v>35</v>
      </c>
      <c r="B71" s="77">
        <v>1264.0732074836974</v>
      </c>
      <c r="C71" s="77">
        <v>1264.1626414406719</v>
      </c>
      <c r="D71" s="77">
        <v>1264.5928615607277</v>
      </c>
      <c r="E71" s="77">
        <v>1264.4756000241216</v>
      </c>
      <c r="F71" s="77">
        <v>1264.2235666927986</v>
      </c>
      <c r="G71" s="77">
        <v>1263.8255305838652</v>
      </c>
      <c r="H71" s="77">
        <v>1264.0609914658537</v>
      </c>
      <c r="I71" s="77">
        <v>1263.951490754675</v>
      </c>
      <c r="J71" s="77">
        <v>1263.5316497064534</v>
      </c>
      <c r="K71" s="77">
        <v>1263.7157831310656</v>
      </c>
      <c r="L71" s="77">
        <v>1263.8296912257069</v>
      </c>
      <c r="M71" s="77">
        <v>1263.8951132866002</v>
      </c>
      <c r="N71" s="75">
        <f t="shared" si="19"/>
        <v>15168.338127356237</v>
      </c>
      <c r="P71" s="76"/>
      <c r="Q71" s="82"/>
    </row>
    <row r="72" spans="1:17">
      <c r="A72" s="78" t="s">
        <v>36</v>
      </c>
      <c r="B72" s="77">
        <v>502.70000000000016</v>
      </c>
      <c r="C72" s="77">
        <v>503.80000000000018</v>
      </c>
      <c r="D72" s="77">
        <v>504.9000000000002</v>
      </c>
      <c r="E72" s="77">
        <v>506.00000000000023</v>
      </c>
      <c r="F72" s="77">
        <v>507.10000000000025</v>
      </c>
      <c r="G72" s="77">
        <v>508.20000000000027</v>
      </c>
      <c r="H72" s="77">
        <v>509.3000000000003</v>
      </c>
      <c r="I72" s="77">
        <v>510.40000000000032</v>
      </c>
      <c r="J72" s="77">
        <v>511.50000000000034</v>
      </c>
      <c r="K72" s="77">
        <v>512.60000000000036</v>
      </c>
      <c r="L72" s="77">
        <v>513.70000000000039</v>
      </c>
      <c r="M72" s="77">
        <v>514.80000000000041</v>
      </c>
      <c r="N72" s="75">
        <f t="shared" si="19"/>
        <v>6105.0000000000027</v>
      </c>
      <c r="P72" s="76"/>
      <c r="Q72" s="82"/>
    </row>
    <row r="73" spans="1:17">
      <c r="A73" s="78" t="s">
        <v>68</v>
      </c>
      <c r="B73" s="77">
        <v>1</v>
      </c>
      <c r="C73" s="77">
        <v>1</v>
      </c>
      <c r="D73" s="77">
        <v>1</v>
      </c>
      <c r="E73" s="77">
        <v>1</v>
      </c>
      <c r="F73" s="77">
        <v>1</v>
      </c>
      <c r="G73" s="77">
        <v>1</v>
      </c>
      <c r="H73" s="77">
        <v>1</v>
      </c>
      <c r="I73" s="77">
        <v>1</v>
      </c>
      <c r="J73" s="77">
        <v>1</v>
      </c>
      <c r="K73" s="77">
        <v>1</v>
      </c>
      <c r="L73" s="77">
        <v>1</v>
      </c>
      <c r="M73" s="77">
        <v>1</v>
      </c>
      <c r="N73" s="75">
        <f t="shared" si="19"/>
        <v>12</v>
      </c>
      <c r="P73" s="76"/>
      <c r="Q73" s="82"/>
    </row>
    <row r="74" spans="1:17">
      <c r="A74" s="78" t="s">
        <v>0</v>
      </c>
      <c r="B74" s="79">
        <f t="shared" ref="B74:M74" si="20">SUM(B61:B73)</f>
        <v>268668.8154298045</v>
      </c>
      <c r="C74" s="79">
        <f t="shared" si="20"/>
        <v>269041.99736510433</v>
      </c>
      <c r="D74" s="79">
        <f t="shared" si="20"/>
        <v>269479.18471999042</v>
      </c>
      <c r="E74" s="79">
        <f t="shared" si="20"/>
        <v>269167.8162601167</v>
      </c>
      <c r="F74" s="79">
        <f t="shared" si="20"/>
        <v>270067.22858494689</v>
      </c>
      <c r="G74" s="79">
        <f t="shared" si="20"/>
        <v>270433.463223878</v>
      </c>
      <c r="H74" s="79">
        <f t="shared" si="20"/>
        <v>270254.22873844113</v>
      </c>
      <c r="I74" s="79">
        <f t="shared" si="20"/>
        <v>270282.4496436115</v>
      </c>
      <c r="J74" s="79">
        <f t="shared" si="20"/>
        <v>270578.18181675352</v>
      </c>
      <c r="K74" s="79">
        <f t="shared" si="20"/>
        <v>270354.98282626044</v>
      </c>
      <c r="L74" s="79">
        <f t="shared" si="20"/>
        <v>270593.45965015551</v>
      </c>
      <c r="M74" s="79">
        <f t="shared" si="20"/>
        <v>270501.59763956349</v>
      </c>
      <c r="N74" s="79">
        <f>SUM(N61:N73)</f>
        <v>3239423.4058986255</v>
      </c>
    </row>
    <row r="75" spans="1:17">
      <c r="A75" s="32"/>
      <c r="N75" s="80"/>
    </row>
    <row r="76" spans="1:17">
      <c r="A76" s="78" t="s">
        <v>62</v>
      </c>
      <c r="B76" s="79">
        <f t="shared" ref="B76:M76" si="21">B61+B62</f>
        <v>228876.34883720931</v>
      </c>
      <c r="C76" s="79">
        <f t="shared" si="21"/>
        <v>229138.2558139535</v>
      </c>
      <c r="D76" s="79">
        <f t="shared" si="21"/>
        <v>229384.16279069768</v>
      </c>
      <c r="E76" s="79">
        <f t="shared" si="21"/>
        <v>229158.06976744186</v>
      </c>
      <c r="F76" s="79">
        <f t="shared" si="21"/>
        <v>229796.97674418605</v>
      </c>
      <c r="G76" s="79">
        <f t="shared" si="21"/>
        <v>230212.88372093023</v>
      </c>
      <c r="H76" s="79">
        <f t="shared" si="21"/>
        <v>230043.79069767441</v>
      </c>
      <c r="I76" s="79">
        <f t="shared" si="21"/>
        <v>230020.6976744186</v>
      </c>
      <c r="J76" s="79">
        <f t="shared" si="21"/>
        <v>230260.60465116278</v>
      </c>
      <c r="K76" s="79">
        <f t="shared" si="21"/>
        <v>230053.51162790699</v>
      </c>
      <c r="L76" s="79">
        <f t="shared" si="21"/>
        <v>230119.41860465117</v>
      </c>
      <c r="M76" s="79">
        <f t="shared" si="21"/>
        <v>230076.32558139536</v>
      </c>
      <c r="N76" s="80">
        <f t="shared" ref="N76:N81" si="22">SUM(B76:M76)</f>
        <v>2757141.0465116282</v>
      </c>
    </row>
    <row r="77" spans="1:17">
      <c r="A77" s="78" t="s">
        <v>71</v>
      </c>
      <c r="B77" s="79">
        <f t="shared" ref="B77:M77" si="23">B63+B64+B65</f>
        <v>35039.615129034675</v>
      </c>
      <c r="C77" s="79">
        <f t="shared" si="23"/>
        <v>35153.589416404378</v>
      </c>
      <c r="D77" s="79">
        <f t="shared" si="23"/>
        <v>35332.562267716035</v>
      </c>
      <c r="E77" s="79">
        <f t="shared" si="23"/>
        <v>35263.561419593796</v>
      </c>
      <c r="F77" s="79">
        <f t="shared" si="23"/>
        <v>35518.677113956597</v>
      </c>
      <c r="G77" s="79">
        <f t="shared" si="23"/>
        <v>35465.668816678342</v>
      </c>
      <c r="H77" s="79">
        <f t="shared" si="23"/>
        <v>35464.483302523753</v>
      </c>
      <c r="I77" s="79">
        <f t="shared" si="23"/>
        <v>35503.528022748003</v>
      </c>
      <c r="J77" s="79">
        <f t="shared" si="23"/>
        <v>35566.55032956494</v>
      </c>
      <c r="K77" s="79">
        <f t="shared" si="23"/>
        <v>35554.564744705152</v>
      </c>
      <c r="L77" s="79">
        <f t="shared" si="23"/>
        <v>35713.576615613027</v>
      </c>
      <c r="M77" s="79">
        <f t="shared" si="23"/>
        <v>35674.571386586795</v>
      </c>
      <c r="N77" s="80">
        <f t="shared" si="22"/>
        <v>425250.94856512552</v>
      </c>
    </row>
    <row r="78" spans="1:17">
      <c r="A78" s="78" t="s">
        <v>72</v>
      </c>
      <c r="B78" s="79">
        <f t="shared" ref="B78:M78" si="24">B66+B67+B68</f>
        <v>1704.3834100885213</v>
      </c>
      <c r="C78" s="79">
        <f t="shared" si="24"/>
        <v>1702.1319658470711</v>
      </c>
      <c r="D78" s="79">
        <f t="shared" si="24"/>
        <v>1704.8771301513802</v>
      </c>
      <c r="E78" s="79">
        <f t="shared" si="24"/>
        <v>1696.7185770156927</v>
      </c>
      <c r="F78" s="79">
        <f t="shared" si="24"/>
        <v>1700.7826210096555</v>
      </c>
      <c r="G78" s="79">
        <f t="shared" si="24"/>
        <v>1700.5412707272101</v>
      </c>
      <c r="H78" s="79">
        <f t="shared" si="24"/>
        <v>1699.2960533868663</v>
      </c>
      <c r="I78" s="79">
        <f t="shared" si="24"/>
        <v>1695.0807820474283</v>
      </c>
      <c r="J78" s="79">
        <f t="shared" si="24"/>
        <v>1693.8635996210762</v>
      </c>
      <c r="K78" s="79">
        <f t="shared" si="24"/>
        <v>1692.6503902973229</v>
      </c>
      <c r="L78" s="79">
        <f t="shared" si="24"/>
        <v>1692.4483333161593</v>
      </c>
      <c r="M78" s="79">
        <f t="shared" si="24"/>
        <v>1691.2495823147692</v>
      </c>
      <c r="N78" s="80">
        <f t="shared" si="22"/>
        <v>20374.023715823154</v>
      </c>
    </row>
    <row r="79" spans="1:17">
      <c r="A79" s="78" t="s">
        <v>78</v>
      </c>
      <c r="B79" s="79">
        <f t="shared" ref="B79:M79" si="25">B69+B73</f>
        <v>22</v>
      </c>
      <c r="C79" s="79">
        <f t="shared" si="25"/>
        <v>22</v>
      </c>
      <c r="D79" s="79">
        <f t="shared" si="25"/>
        <v>22</v>
      </c>
      <c r="E79" s="79">
        <f t="shared" si="25"/>
        <v>22</v>
      </c>
      <c r="F79" s="79">
        <f t="shared" si="25"/>
        <v>22</v>
      </c>
      <c r="G79" s="79">
        <f t="shared" si="25"/>
        <v>22</v>
      </c>
      <c r="H79" s="79">
        <f t="shared" si="25"/>
        <v>22</v>
      </c>
      <c r="I79" s="79">
        <f t="shared" si="25"/>
        <v>22</v>
      </c>
      <c r="J79" s="79">
        <f t="shared" si="25"/>
        <v>22</v>
      </c>
      <c r="K79" s="79">
        <f t="shared" si="25"/>
        <v>22</v>
      </c>
      <c r="L79" s="79">
        <f t="shared" si="25"/>
        <v>22</v>
      </c>
      <c r="M79" s="79">
        <f t="shared" si="25"/>
        <v>22</v>
      </c>
      <c r="N79" s="80">
        <f t="shared" si="22"/>
        <v>264</v>
      </c>
    </row>
    <row r="80" spans="1:17">
      <c r="A80" s="78" t="s">
        <v>37</v>
      </c>
      <c r="B80" s="79">
        <f t="shared" ref="B80:M80" si="26">B70+B71</f>
        <v>2523.7680534719311</v>
      </c>
      <c r="C80" s="79">
        <f t="shared" si="26"/>
        <v>2522.2201688993955</v>
      </c>
      <c r="D80" s="79">
        <f t="shared" si="26"/>
        <v>2530.6825314252214</v>
      </c>
      <c r="E80" s="79">
        <f t="shared" si="26"/>
        <v>2521.4664960654172</v>
      </c>
      <c r="F80" s="79">
        <f t="shared" si="26"/>
        <v>2521.6921057945474</v>
      </c>
      <c r="G80" s="79">
        <f t="shared" si="26"/>
        <v>2524.1694155422374</v>
      </c>
      <c r="H80" s="79">
        <f t="shared" si="26"/>
        <v>2515.3586848560572</v>
      </c>
      <c r="I80" s="79">
        <f t="shared" si="26"/>
        <v>2530.7431643974182</v>
      </c>
      <c r="J80" s="79">
        <f t="shared" si="26"/>
        <v>2523.6632364047246</v>
      </c>
      <c r="K80" s="79">
        <f t="shared" si="26"/>
        <v>2519.6560633509835</v>
      </c>
      <c r="L80" s="79">
        <f t="shared" si="26"/>
        <v>2532.3160965750671</v>
      </c>
      <c r="M80" s="79">
        <f t="shared" si="26"/>
        <v>2522.6510892665647</v>
      </c>
      <c r="N80" s="80">
        <f t="shared" si="22"/>
        <v>30288.387106049569</v>
      </c>
    </row>
    <row r="81" spans="1:14">
      <c r="A81" s="78" t="s">
        <v>36</v>
      </c>
      <c r="B81" s="79">
        <f t="shared" ref="B81:M81" si="27">B72</f>
        <v>502.70000000000016</v>
      </c>
      <c r="C81" s="79">
        <f t="shared" si="27"/>
        <v>503.80000000000018</v>
      </c>
      <c r="D81" s="79">
        <f t="shared" si="27"/>
        <v>504.9000000000002</v>
      </c>
      <c r="E81" s="79">
        <f t="shared" si="27"/>
        <v>506.00000000000023</v>
      </c>
      <c r="F81" s="79">
        <f t="shared" si="27"/>
        <v>507.10000000000025</v>
      </c>
      <c r="G81" s="79">
        <f t="shared" si="27"/>
        <v>508.20000000000027</v>
      </c>
      <c r="H81" s="79">
        <f t="shared" si="27"/>
        <v>509.3000000000003</v>
      </c>
      <c r="I81" s="79">
        <f t="shared" si="27"/>
        <v>510.40000000000032</v>
      </c>
      <c r="J81" s="79">
        <f t="shared" si="27"/>
        <v>511.50000000000034</v>
      </c>
      <c r="K81" s="79">
        <f t="shared" si="27"/>
        <v>512.60000000000036</v>
      </c>
      <c r="L81" s="79">
        <f t="shared" si="27"/>
        <v>513.70000000000039</v>
      </c>
      <c r="M81" s="79">
        <f t="shared" si="27"/>
        <v>514.80000000000041</v>
      </c>
      <c r="N81" s="80">
        <f t="shared" si="22"/>
        <v>6105.0000000000027</v>
      </c>
    </row>
    <row r="82" spans="1:14">
      <c r="A82" s="78" t="s">
        <v>0</v>
      </c>
      <c r="B82" s="80">
        <f t="shared" ref="B82:N82" si="28">SUM(B76:B81)</f>
        <v>268668.8154298045</v>
      </c>
      <c r="C82" s="80">
        <f t="shared" si="28"/>
        <v>269041.99736510433</v>
      </c>
      <c r="D82" s="80">
        <f t="shared" si="28"/>
        <v>269479.1847199903</v>
      </c>
      <c r="E82" s="80">
        <f t="shared" si="28"/>
        <v>269167.81626011676</v>
      </c>
      <c r="F82" s="80">
        <f t="shared" si="28"/>
        <v>270067.22858494689</v>
      </c>
      <c r="G82" s="80">
        <f t="shared" si="28"/>
        <v>270433.463223878</v>
      </c>
      <c r="H82" s="80">
        <f t="shared" si="28"/>
        <v>270254.22873844107</v>
      </c>
      <c r="I82" s="80">
        <f t="shared" si="28"/>
        <v>270282.44964361144</v>
      </c>
      <c r="J82" s="80">
        <f t="shared" si="28"/>
        <v>270578.18181675347</v>
      </c>
      <c r="K82" s="80">
        <f t="shared" si="28"/>
        <v>270354.98282626044</v>
      </c>
      <c r="L82" s="80">
        <f t="shared" si="28"/>
        <v>270593.45965015539</v>
      </c>
      <c r="M82" s="80">
        <f t="shared" si="28"/>
        <v>270501.59763956349</v>
      </c>
      <c r="N82" s="80">
        <f t="shared" si="28"/>
        <v>3239423.405898626</v>
      </c>
    </row>
    <row r="83" spans="1:14">
      <c r="N83" s="80">
        <f>SUM(B83:M83)</f>
        <v>0</v>
      </c>
    </row>
    <row r="84" spans="1:14">
      <c r="A84" s="78" t="s">
        <v>59</v>
      </c>
      <c r="B84" s="80">
        <f t="shared" ref="B84:M84" si="29">SUM(B61:B73)-SUM(B76:B81)</f>
        <v>0</v>
      </c>
      <c r="C84" s="80">
        <f t="shared" si="29"/>
        <v>0</v>
      </c>
      <c r="D84" s="80">
        <f t="shared" si="29"/>
        <v>0</v>
      </c>
      <c r="E84" s="80">
        <f t="shared" si="29"/>
        <v>0</v>
      </c>
      <c r="F84" s="80">
        <f t="shared" si="29"/>
        <v>0</v>
      </c>
      <c r="G84" s="80">
        <f t="shared" si="29"/>
        <v>0</v>
      </c>
      <c r="H84" s="80">
        <f t="shared" si="29"/>
        <v>0</v>
      </c>
      <c r="I84" s="80">
        <f t="shared" si="29"/>
        <v>0</v>
      </c>
      <c r="J84" s="80">
        <f t="shared" si="29"/>
        <v>0</v>
      </c>
      <c r="K84" s="80">
        <f t="shared" si="29"/>
        <v>0</v>
      </c>
      <c r="L84" s="80">
        <f t="shared" si="29"/>
        <v>0</v>
      </c>
      <c r="M84" s="80">
        <f t="shared" si="29"/>
        <v>0</v>
      </c>
      <c r="N84" s="80">
        <f>SUM(B84:M84)</f>
        <v>0</v>
      </c>
    </row>
    <row r="86" spans="1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1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1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1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1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1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1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1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1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1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1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</row>
    <row r="112" spans="2:13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</row>
    <row r="113" spans="2:13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</row>
    <row r="114" spans="2:13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</row>
    <row r="115" spans="2:13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</row>
    <row r="116" spans="2:13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</row>
    <row r="117" spans="2:13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</row>
    <row r="118" spans="2:13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2:13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2:13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2" spans="2:13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2:13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2:13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2:13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2:13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2:13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2:13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2:13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2:13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</sheetData>
  <pageMargins left="0.7" right="0.7" top="0.75" bottom="0.75" header="0.3" footer="0.3"/>
  <pageSetup scale="40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4"/>
  <sheetViews>
    <sheetView view="pageBreakPreview" zoomScale="115" zoomScaleNormal="100" zoomScaleSheetLayoutView="115" zoomScalePageLayoutView="40" workbookViewId="0"/>
  </sheetViews>
  <sheetFormatPr defaultRowHeight="15"/>
  <cols>
    <col min="1" max="1" width="30.85546875" style="88" customWidth="1"/>
    <col min="2" max="2" width="9.140625" style="88" customWidth="1"/>
    <col min="3" max="3" width="9.7109375" style="88" customWidth="1"/>
    <col min="4" max="4" width="15.140625" style="88" customWidth="1"/>
    <col min="5" max="5" width="11.85546875" style="88" bestFit="1" customWidth="1"/>
    <col min="6" max="8" width="9.140625" style="88"/>
    <col min="9" max="9" width="9.42578125" style="88" customWidth="1"/>
    <col min="10" max="255" width="9.140625" style="88"/>
    <col min="256" max="256" width="30.85546875" style="88" customWidth="1"/>
    <col min="257" max="257" width="9.140625" style="88" customWidth="1"/>
    <col min="258" max="258" width="9.7109375" style="88" customWidth="1"/>
    <col min="259" max="259" width="15.140625" style="88" customWidth="1"/>
    <col min="260" max="260" width="12" style="88" customWidth="1"/>
    <col min="261" max="264" width="9.140625" style="88"/>
    <col min="265" max="265" width="9.42578125" style="88" customWidth="1"/>
    <col min="266" max="511" width="9.140625" style="88"/>
    <col min="512" max="512" width="30.85546875" style="88" customWidth="1"/>
    <col min="513" max="513" width="9.140625" style="88" customWidth="1"/>
    <col min="514" max="514" width="9.7109375" style="88" customWidth="1"/>
    <col min="515" max="515" width="15.140625" style="88" customWidth="1"/>
    <col min="516" max="516" width="12" style="88" customWidth="1"/>
    <col min="517" max="520" width="9.140625" style="88"/>
    <col min="521" max="521" width="9.42578125" style="88" customWidth="1"/>
    <col min="522" max="767" width="9.140625" style="88"/>
    <col min="768" max="768" width="30.85546875" style="88" customWidth="1"/>
    <col min="769" max="769" width="9.140625" style="88" customWidth="1"/>
    <col min="770" max="770" width="9.7109375" style="88" customWidth="1"/>
    <col min="771" max="771" width="15.140625" style="88" customWidth="1"/>
    <col min="772" max="772" width="12" style="88" customWidth="1"/>
    <col min="773" max="776" width="9.140625" style="88"/>
    <col min="777" max="777" width="9.42578125" style="88" customWidth="1"/>
    <col min="778" max="1023" width="9.140625" style="88"/>
    <col min="1024" max="1024" width="30.85546875" style="88" customWidth="1"/>
    <col min="1025" max="1025" width="9.140625" style="88" customWidth="1"/>
    <col min="1026" max="1026" width="9.7109375" style="88" customWidth="1"/>
    <col min="1027" max="1027" width="15.140625" style="88" customWidth="1"/>
    <col min="1028" max="1028" width="12" style="88" customWidth="1"/>
    <col min="1029" max="1032" width="9.140625" style="88"/>
    <col min="1033" max="1033" width="9.42578125" style="88" customWidth="1"/>
    <col min="1034" max="1279" width="9.140625" style="88"/>
    <col min="1280" max="1280" width="30.85546875" style="88" customWidth="1"/>
    <col min="1281" max="1281" width="9.140625" style="88" customWidth="1"/>
    <col min="1282" max="1282" width="9.7109375" style="88" customWidth="1"/>
    <col min="1283" max="1283" width="15.140625" style="88" customWidth="1"/>
    <col min="1284" max="1284" width="12" style="88" customWidth="1"/>
    <col min="1285" max="1288" width="9.140625" style="88"/>
    <col min="1289" max="1289" width="9.42578125" style="88" customWidth="1"/>
    <col min="1290" max="1535" width="9.140625" style="88"/>
    <col min="1536" max="1536" width="30.85546875" style="88" customWidth="1"/>
    <col min="1537" max="1537" width="9.140625" style="88" customWidth="1"/>
    <col min="1538" max="1538" width="9.7109375" style="88" customWidth="1"/>
    <col min="1539" max="1539" width="15.140625" style="88" customWidth="1"/>
    <col min="1540" max="1540" width="12" style="88" customWidth="1"/>
    <col min="1541" max="1544" width="9.140625" style="88"/>
    <col min="1545" max="1545" width="9.42578125" style="88" customWidth="1"/>
    <col min="1546" max="1791" width="9.140625" style="88"/>
    <col min="1792" max="1792" width="30.85546875" style="88" customWidth="1"/>
    <col min="1793" max="1793" width="9.140625" style="88" customWidth="1"/>
    <col min="1794" max="1794" width="9.7109375" style="88" customWidth="1"/>
    <col min="1795" max="1795" width="15.140625" style="88" customWidth="1"/>
    <col min="1796" max="1796" width="12" style="88" customWidth="1"/>
    <col min="1797" max="1800" width="9.140625" style="88"/>
    <col min="1801" max="1801" width="9.42578125" style="88" customWidth="1"/>
    <col min="1802" max="2047" width="9.140625" style="88"/>
    <col min="2048" max="2048" width="30.85546875" style="88" customWidth="1"/>
    <col min="2049" max="2049" width="9.140625" style="88" customWidth="1"/>
    <col min="2050" max="2050" width="9.7109375" style="88" customWidth="1"/>
    <col min="2051" max="2051" width="15.140625" style="88" customWidth="1"/>
    <col min="2052" max="2052" width="12" style="88" customWidth="1"/>
    <col min="2053" max="2056" width="9.140625" style="88"/>
    <col min="2057" max="2057" width="9.42578125" style="88" customWidth="1"/>
    <col min="2058" max="2303" width="9.140625" style="88"/>
    <col min="2304" max="2304" width="30.85546875" style="88" customWidth="1"/>
    <col min="2305" max="2305" width="9.140625" style="88" customWidth="1"/>
    <col min="2306" max="2306" width="9.7109375" style="88" customWidth="1"/>
    <col min="2307" max="2307" width="15.140625" style="88" customWidth="1"/>
    <col min="2308" max="2308" width="12" style="88" customWidth="1"/>
    <col min="2309" max="2312" width="9.140625" style="88"/>
    <col min="2313" max="2313" width="9.42578125" style="88" customWidth="1"/>
    <col min="2314" max="2559" width="9.140625" style="88"/>
    <col min="2560" max="2560" width="30.85546875" style="88" customWidth="1"/>
    <col min="2561" max="2561" width="9.140625" style="88" customWidth="1"/>
    <col min="2562" max="2562" width="9.7109375" style="88" customWidth="1"/>
    <col min="2563" max="2563" width="15.140625" style="88" customWidth="1"/>
    <col min="2564" max="2564" width="12" style="88" customWidth="1"/>
    <col min="2565" max="2568" width="9.140625" style="88"/>
    <col min="2569" max="2569" width="9.42578125" style="88" customWidth="1"/>
    <col min="2570" max="2815" width="9.140625" style="88"/>
    <col min="2816" max="2816" width="30.85546875" style="88" customWidth="1"/>
    <col min="2817" max="2817" width="9.140625" style="88" customWidth="1"/>
    <col min="2818" max="2818" width="9.7109375" style="88" customWidth="1"/>
    <col min="2819" max="2819" width="15.140625" style="88" customWidth="1"/>
    <col min="2820" max="2820" width="12" style="88" customWidth="1"/>
    <col min="2821" max="2824" width="9.140625" style="88"/>
    <col min="2825" max="2825" width="9.42578125" style="88" customWidth="1"/>
    <col min="2826" max="3071" width="9.140625" style="88"/>
    <col min="3072" max="3072" width="30.85546875" style="88" customWidth="1"/>
    <col min="3073" max="3073" width="9.140625" style="88" customWidth="1"/>
    <col min="3074" max="3074" width="9.7109375" style="88" customWidth="1"/>
    <col min="3075" max="3075" width="15.140625" style="88" customWidth="1"/>
    <col min="3076" max="3076" width="12" style="88" customWidth="1"/>
    <col min="3077" max="3080" width="9.140625" style="88"/>
    <col min="3081" max="3081" width="9.42578125" style="88" customWidth="1"/>
    <col min="3082" max="3327" width="9.140625" style="88"/>
    <col min="3328" max="3328" width="30.85546875" style="88" customWidth="1"/>
    <col min="3329" max="3329" width="9.140625" style="88" customWidth="1"/>
    <col min="3330" max="3330" width="9.7109375" style="88" customWidth="1"/>
    <col min="3331" max="3331" width="15.140625" style="88" customWidth="1"/>
    <col min="3332" max="3332" width="12" style="88" customWidth="1"/>
    <col min="3333" max="3336" width="9.140625" style="88"/>
    <col min="3337" max="3337" width="9.42578125" style="88" customWidth="1"/>
    <col min="3338" max="3583" width="9.140625" style="88"/>
    <col min="3584" max="3584" width="30.85546875" style="88" customWidth="1"/>
    <col min="3585" max="3585" width="9.140625" style="88" customWidth="1"/>
    <col min="3586" max="3586" width="9.7109375" style="88" customWidth="1"/>
    <col min="3587" max="3587" width="15.140625" style="88" customWidth="1"/>
    <col min="3588" max="3588" width="12" style="88" customWidth="1"/>
    <col min="3589" max="3592" width="9.140625" style="88"/>
    <col min="3593" max="3593" width="9.42578125" style="88" customWidth="1"/>
    <col min="3594" max="3839" width="9.140625" style="88"/>
    <col min="3840" max="3840" width="30.85546875" style="88" customWidth="1"/>
    <col min="3841" max="3841" width="9.140625" style="88" customWidth="1"/>
    <col min="3842" max="3842" width="9.7109375" style="88" customWidth="1"/>
    <col min="3843" max="3843" width="15.140625" style="88" customWidth="1"/>
    <col min="3844" max="3844" width="12" style="88" customWidth="1"/>
    <col min="3845" max="3848" width="9.140625" style="88"/>
    <col min="3849" max="3849" width="9.42578125" style="88" customWidth="1"/>
    <col min="3850" max="4095" width="9.140625" style="88"/>
    <col min="4096" max="4096" width="30.85546875" style="88" customWidth="1"/>
    <col min="4097" max="4097" width="9.140625" style="88" customWidth="1"/>
    <col min="4098" max="4098" width="9.7109375" style="88" customWidth="1"/>
    <col min="4099" max="4099" width="15.140625" style="88" customWidth="1"/>
    <col min="4100" max="4100" width="12" style="88" customWidth="1"/>
    <col min="4101" max="4104" width="9.140625" style="88"/>
    <col min="4105" max="4105" width="9.42578125" style="88" customWidth="1"/>
    <col min="4106" max="4351" width="9.140625" style="88"/>
    <col min="4352" max="4352" width="30.85546875" style="88" customWidth="1"/>
    <col min="4353" max="4353" width="9.140625" style="88" customWidth="1"/>
    <col min="4354" max="4354" width="9.7109375" style="88" customWidth="1"/>
    <col min="4355" max="4355" width="15.140625" style="88" customWidth="1"/>
    <col min="4356" max="4356" width="12" style="88" customWidth="1"/>
    <col min="4357" max="4360" width="9.140625" style="88"/>
    <col min="4361" max="4361" width="9.42578125" style="88" customWidth="1"/>
    <col min="4362" max="4607" width="9.140625" style="88"/>
    <col min="4608" max="4608" width="30.85546875" style="88" customWidth="1"/>
    <col min="4609" max="4609" width="9.140625" style="88" customWidth="1"/>
    <col min="4610" max="4610" width="9.7109375" style="88" customWidth="1"/>
    <col min="4611" max="4611" width="15.140625" style="88" customWidth="1"/>
    <col min="4612" max="4612" width="12" style="88" customWidth="1"/>
    <col min="4613" max="4616" width="9.140625" style="88"/>
    <col min="4617" max="4617" width="9.42578125" style="88" customWidth="1"/>
    <col min="4618" max="4863" width="9.140625" style="88"/>
    <col min="4864" max="4864" width="30.85546875" style="88" customWidth="1"/>
    <col min="4865" max="4865" width="9.140625" style="88" customWidth="1"/>
    <col min="4866" max="4866" width="9.7109375" style="88" customWidth="1"/>
    <col min="4867" max="4867" width="15.140625" style="88" customWidth="1"/>
    <col min="4868" max="4868" width="12" style="88" customWidth="1"/>
    <col min="4869" max="4872" width="9.140625" style="88"/>
    <col min="4873" max="4873" width="9.42578125" style="88" customWidth="1"/>
    <col min="4874" max="5119" width="9.140625" style="88"/>
    <col min="5120" max="5120" width="30.85546875" style="88" customWidth="1"/>
    <col min="5121" max="5121" width="9.140625" style="88" customWidth="1"/>
    <col min="5122" max="5122" width="9.7109375" style="88" customWidth="1"/>
    <col min="5123" max="5123" width="15.140625" style="88" customWidth="1"/>
    <col min="5124" max="5124" width="12" style="88" customWidth="1"/>
    <col min="5125" max="5128" width="9.140625" style="88"/>
    <col min="5129" max="5129" width="9.42578125" style="88" customWidth="1"/>
    <col min="5130" max="5375" width="9.140625" style="88"/>
    <col min="5376" max="5376" width="30.85546875" style="88" customWidth="1"/>
    <col min="5377" max="5377" width="9.140625" style="88" customWidth="1"/>
    <col min="5378" max="5378" width="9.7109375" style="88" customWidth="1"/>
    <col min="5379" max="5379" width="15.140625" style="88" customWidth="1"/>
    <col min="5380" max="5380" width="12" style="88" customWidth="1"/>
    <col min="5381" max="5384" width="9.140625" style="88"/>
    <col min="5385" max="5385" width="9.42578125" style="88" customWidth="1"/>
    <col min="5386" max="5631" width="9.140625" style="88"/>
    <col min="5632" max="5632" width="30.85546875" style="88" customWidth="1"/>
    <col min="5633" max="5633" width="9.140625" style="88" customWidth="1"/>
    <col min="5634" max="5634" width="9.7109375" style="88" customWidth="1"/>
    <col min="5635" max="5635" width="15.140625" style="88" customWidth="1"/>
    <col min="5636" max="5636" width="12" style="88" customWidth="1"/>
    <col min="5637" max="5640" width="9.140625" style="88"/>
    <col min="5641" max="5641" width="9.42578125" style="88" customWidth="1"/>
    <col min="5642" max="5887" width="9.140625" style="88"/>
    <col min="5888" max="5888" width="30.85546875" style="88" customWidth="1"/>
    <col min="5889" max="5889" width="9.140625" style="88" customWidth="1"/>
    <col min="5890" max="5890" width="9.7109375" style="88" customWidth="1"/>
    <col min="5891" max="5891" width="15.140625" style="88" customWidth="1"/>
    <col min="5892" max="5892" width="12" style="88" customWidth="1"/>
    <col min="5893" max="5896" width="9.140625" style="88"/>
    <col min="5897" max="5897" width="9.42578125" style="88" customWidth="1"/>
    <col min="5898" max="6143" width="9.140625" style="88"/>
    <col min="6144" max="6144" width="30.85546875" style="88" customWidth="1"/>
    <col min="6145" max="6145" width="9.140625" style="88" customWidth="1"/>
    <col min="6146" max="6146" width="9.7109375" style="88" customWidth="1"/>
    <col min="6147" max="6147" width="15.140625" style="88" customWidth="1"/>
    <col min="6148" max="6148" width="12" style="88" customWidth="1"/>
    <col min="6149" max="6152" width="9.140625" style="88"/>
    <col min="6153" max="6153" width="9.42578125" style="88" customWidth="1"/>
    <col min="6154" max="6399" width="9.140625" style="88"/>
    <col min="6400" max="6400" width="30.85546875" style="88" customWidth="1"/>
    <col min="6401" max="6401" width="9.140625" style="88" customWidth="1"/>
    <col min="6402" max="6402" width="9.7109375" style="88" customWidth="1"/>
    <col min="6403" max="6403" width="15.140625" style="88" customWidth="1"/>
    <col min="6404" max="6404" width="12" style="88" customWidth="1"/>
    <col min="6405" max="6408" width="9.140625" style="88"/>
    <col min="6409" max="6409" width="9.42578125" style="88" customWidth="1"/>
    <col min="6410" max="6655" width="9.140625" style="88"/>
    <col min="6656" max="6656" width="30.85546875" style="88" customWidth="1"/>
    <col min="6657" max="6657" width="9.140625" style="88" customWidth="1"/>
    <col min="6658" max="6658" width="9.7109375" style="88" customWidth="1"/>
    <col min="6659" max="6659" width="15.140625" style="88" customWidth="1"/>
    <col min="6660" max="6660" width="12" style="88" customWidth="1"/>
    <col min="6661" max="6664" width="9.140625" style="88"/>
    <col min="6665" max="6665" width="9.42578125" style="88" customWidth="1"/>
    <col min="6666" max="6911" width="9.140625" style="88"/>
    <col min="6912" max="6912" width="30.85546875" style="88" customWidth="1"/>
    <col min="6913" max="6913" width="9.140625" style="88" customWidth="1"/>
    <col min="6914" max="6914" width="9.7109375" style="88" customWidth="1"/>
    <col min="6915" max="6915" width="15.140625" style="88" customWidth="1"/>
    <col min="6916" max="6916" width="12" style="88" customWidth="1"/>
    <col min="6917" max="6920" width="9.140625" style="88"/>
    <col min="6921" max="6921" width="9.42578125" style="88" customWidth="1"/>
    <col min="6922" max="7167" width="9.140625" style="88"/>
    <col min="7168" max="7168" width="30.85546875" style="88" customWidth="1"/>
    <col min="7169" max="7169" width="9.140625" style="88" customWidth="1"/>
    <col min="7170" max="7170" width="9.7109375" style="88" customWidth="1"/>
    <col min="7171" max="7171" width="15.140625" style="88" customWidth="1"/>
    <col min="7172" max="7172" width="12" style="88" customWidth="1"/>
    <col min="7173" max="7176" width="9.140625" style="88"/>
    <col min="7177" max="7177" width="9.42578125" style="88" customWidth="1"/>
    <col min="7178" max="7423" width="9.140625" style="88"/>
    <col min="7424" max="7424" width="30.85546875" style="88" customWidth="1"/>
    <col min="7425" max="7425" width="9.140625" style="88" customWidth="1"/>
    <col min="7426" max="7426" width="9.7109375" style="88" customWidth="1"/>
    <col min="7427" max="7427" width="15.140625" style="88" customWidth="1"/>
    <col min="7428" max="7428" width="12" style="88" customWidth="1"/>
    <col min="7429" max="7432" width="9.140625" style="88"/>
    <col min="7433" max="7433" width="9.42578125" style="88" customWidth="1"/>
    <col min="7434" max="7679" width="9.140625" style="88"/>
    <col min="7680" max="7680" width="30.85546875" style="88" customWidth="1"/>
    <col min="7681" max="7681" width="9.140625" style="88" customWidth="1"/>
    <col min="7682" max="7682" width="9.7109375" style="88" customWidth="1"/>
    <col min="7683" max="7683" width="15.140625" style="88" customWidth="1"/>
    <col min="7684" max="7684" width="12" style="88" customWidth="1"/>
    <col min="7685" max="7688" width="9.140625" style="88"/>
    <col min="7689" max="7689" width="9.42578125" style="88" customWidth="1"/>
    <col min="7690" max="7935" width="9.140625" style="88"/>
    <col min="7936" max="7936" width="30.85546875" style="88" customWidth="1"/>
    <col min="7937" max="7937" width="9.140625" style="88" customWidth="1"/>
    <col min="7938" max="7938" width="9.7109375" style="88" customWidth="1"/>
    <col min="7939" max="7939" width="15.140625" style="88" customWidth="1"/>
    <col min="7940" max="7940" width="12" style="88" customWidth="1"/>
    <col min="7941" max="7944" width="9.140625" style="88"/>
    <col min="7945" max="7945" width="9.42578125" style="88" customWidth="1"/>
    <col min="7946" max="8191" width="9.140625" style="88"/>
    <col min="8192" max="8192" width="30.85546875" style="88" customWidth="1"/>
    <col min="8193" max="8193" width="9.140625" style="88" customWidth="1"/>
    <col min="8194" max="8194" width="9.7109375" style="88" customWidth="1"/>
    <col min="8195" max="8195" width="15.140625" style="88" customWidth="1"/>
    <col min="8196" max="8196" width="12" style="88" customWidth="1"/>
    <col min="8197" max="8200" width="9.140625" style="88"/>
    <col min="8201" max="8201" width="9.42578125" style="88" customWidth="1"/>
    <col min="8202" max="8447" width="9.140625" style="88"/>
    <col min="8448" max="8448" width="30.85546875" style="88" customWidth="1"/>
    <col min="8449" max="8449" width="9.140625" style="88" customWidth="1"/>
    <col min="8450" max="8450" width="9.7109375" style="88" customWidth="1"/>
    <col min="8451" max="8451" width="15.140625" style="88" customWidth="1"/>
    <col min="8452" max="8452" width="12" style="88" customWidth="1"/>
    <col min="8453" max="8456" width="9.140625" style="88"/>
    <col min="8457" max="8457" width="9.42578125" style="88" customWidth="1"/>
    <col min="8458" max="8703" width="9.140625" style="88"/>
    <col min="8704" max="8704" width="30.85546875" style="88" customWidth="1"/>
    <col min="8705" max="8705" width="9.140625" style="88" customWidth="1"/>
    <col min="8706" max="8706" width="9.7109375" style="88" customWidth="1"/>
    <col min="8707" max="8707" width="15.140625" style="88" customWidth="1"/>
    <col min="8708" max="8708" width="12" style="88" customWidth="1"/>
    <col min="8709" max="8712" width="9.140625" style="88"/>
    <col min="8713" max="8713" width="9.42578125" style="88" customWidth="1"/>
    <col min="8714" max="8959" width="9.140625" style="88"/>
    <col min="8960" max="8960" width="30.85546875" style="88" customWidth="1"/>
    <col min="8961" max="8961" width="9.140625" style="88" customWidth="1"/>
    <col min="8962" max="8962" width="9.7109375" style="88" customWidth="1"/>
    <col min="8963" max="8963" width="15.140625" style="88" customWidth="1"/>
    <col min="8964" max="8964" width="12" style="88" customWidth="1"/>
    <col min="8965" max="8968" width="9.140625" style="88"/>
    <col min="8969" max="8969" width="9.42578125" style="88" customWidth="1"/>
    <col min="8970" max="9215" width="9.140625" style="88"/>
    <col min="9216" max="9216" width="30.85546875" style="88" customWidth="1"/>
    <col min="9217" max="9217" width="9.140625" style="88" customWidth="1"/>
    <col min="9218" max="9218" width="9.7109375" style="88" customWidth="1"/>
    <col min="9219" max="9219" width="15.140625" style="88" customWidth="1"/>
    <col min="9220" max="9220" width="12" style="88" customWidth="1"/>
    <col min="9221" max="9224" width="9.140625" style="88"/>
    <col min="9225" max="9225" width="9.42578125" style="88" customWidth="1"/>
    <col min="9226" max="9471" width="9.140625" style="88"/>
    <col min="9472" max="9472" width="30.85546875" style="88" customWidth="1"/>
    <col min="9473" max="9473" width="9.140625" style="88" customWidth="1"/>
    <col min="9474" max="9474" width="9.7109375" style="88" customWidth="1"/>
    <col min="9475" max="9475" width="15.140625" style="88" customWidth="1"/>
    <col min="9476" max="9476" width="12" style="88" customWidth="1"/>
    <col min="9477" max="9480" width="9.140625" style="88"/>
    <col min="9481" max="9481" width="9.42578125" style="88" customWidth="1"/>
    <col min="9482" max="9727" width="9.140625" style="88"/>
    <col min="9728" max="9728" width="30.85546875" style="88" customWidth="1"/>
    <col min="9729" max="9729" width="9.140625" style="88" customWidth="1"/>
    <col min="9730" max="9730" width="9.7109375" style="88" customWidth="1"/>
    <col min="9731" max="9731" width="15.140625" style="88" customWidth="1"/>
    <col min="9732" max="9732" width="12" style="88" customWidth="1"/>
    <col min="9733" max="9736" width="9.140625" style="88"/>
    <col min="9737" max="9737" width="9.42578125" style="88" customWidth="1"/>
    <col min="9738" max="9983" width="9.140625" style="88"/>
    <col min="9984" max="9984" width="30.85546875" style="88" customWidth="1"/>
    <col min="9985" max="9985" width="9.140625" style="88" customWidth="1"/>
    <col min="9986" max="9986" width="9.7109375" style="88" customWidth="1"/>
    <col min="9987" max="9987" width="15.140625" style="88" customWidth="1"/>
    <col min="9988" max="9988" width="12" style="88" customWidth="1"/>
    <col min="9989" max="9992" width="9.140625" style="88"/>
    <col min="9993" max="9993" width="9.42578125" style="88" customWidth="1"/>
    <col min="9994" max="10239" width="9.140625" style="88"/>
    <col min="10240" max="10240" width="30.85546875" style="88" customWidth="1"/>
    <col min="10241" max="10241" width="9.140625" style="88" customWidth="1"/>
    <col min="10242" max="10242" width="9.7109375" style="88" customWidth="1"/>
    <col min="10243" max="10243" width="15.140625" style="88" customWidth="1"/>
    <col min="10244" max="10244" width="12" style="88" customWidth="1"/>
    <col min="10245" max="10248" width="9.140625" style="88"/>
    <col min="10249" max="10249" width="9.42578125" style="88" customWidth="1"/>
    <col min="10250" max="10495" width="9.140625" style="88"/>
    <col min="10496" max="10496" width="30.85546875" style="88" customWidth="1"/>
    <col min="10497" max="10497" width="9.140625" style="88" customWidth="1"/>
    <col min="10498" max="10498" width="9.7109375" style="88" customWidth="1"/>
    <col min="10499" max="10499" width="15.140625" style="88" customWidth="1"/>
    <col min="10500" max="10500" width="12" style="88" customWidth="1"/>
    <col min="10501" max="10504" width="9.140625" style="88"/>
    <col min="10505" max="10505" width="9.42578125" style="88" customWidth="1"/>
    <col min="10506" max="10751" width="9.140625" style="88"/>
    <col min="10752" max="10752" width="30.85546875" style="88" customWidth="1"/>
    <col min="10753" max="10753" width="9.140625" style="88" customWidth="1"/>
    <col min="10754" max="10754" width="9.7109375" style="88" customWidth="1"/>
    <col min="10755" max="10755" width="15.140625" style="88" customWidth="1"/>
    <col min="10756" max="10756" width="12" style="88" customWidth="1"/>
    <col min="10757" max="10760" width="9.140625" style="88"/>
    <col min="10761" max="10761" width="9.42578125" style="88" customWidth="1"/>
    <col min="10762" max="11007" width="9.140625" style="88"/>
    <col min="11008" max="11008" width="30.85546875" style="88" customWidth="1"/>
    <col min="11009" max="11009" width="9.140625" style="88" customWidth="1"/>
    <col min="11010" max="11010" width="9.7109375" style="88" customWidth="1"/>
    <col min="11011" max="11011" width="15.140625" style="88" customWidth="1"/>
    <col min="11012" max="11012" width="12" style="88" customWidth="1"/>
    <col min="11013" max="11016" width="9.140625" style="88"/>
    <col min="11017" max="11017" width="9.42578125" style="88" customWidth="1"/>
    <col min="11018" max="11263" width="9.140625" style="88"/>
    <col min="11264" max="11264" width="30.85546875" style="88" customWidth="1"/>
    <col min="11265" max="11265" width="9.140625" style="88" customWidth="1"/>
    <col min="11266" max="11266" width="9.7109375" style="88" customWidth="1"/>
    <col min="11267" max="11267" width="15.140625" style="88" customWidth="1"/>
    <col min="11268" max="11268" width="12" style="88" customWidth="1"/>
    <col min="11269" max="11272" width="9.140625" style="88"/>
    <col min="11273" max="11273" width="9.42578125" style="88" customWidth="1"/>
    <col min="11274" max="11519" width="9.140625" style="88"/>
    <col min="11520" max="11520" width="30.85546875" style="88" customWidth="1"/>
    <col min="11521" max="11521" width="9.140625" style="88" customWidth="1"/>
    <col min="11522" max="11522" width="9.7109375" style="88" customWidth="1"/>
    <col min="11523" max="11523" width="15.140625" style="88" customWidth="1"/>
    <col min="11524" max="11524" width="12" style="88" customWidth="1"/>
    <col min="11525" max="11528" width="9.140625" style="88"/>
    <col min="11529" max="11529" width="9.42578125" style="88" customWidth="1"/>
    <col min="11530" max="11775" width="9.140625" style="88"/>
    <col min="11776" max="11776" width="30.85546875" style="88" customWidth="1"/>
    <col min="11777" max="11777" width="9.140625" style="88" customWidth="1"/>
    <col min="11778" max="11778" width="9.7109375" style="88" customWidth="1"/>
    <col min="11779" max="11779" width="15.140625" style="88" customWidth="1"/>
    <col min="11780" max="11780" width="12" style="88" customWidth="1"/>
    <col min="11781" max="11784" width="9.140625" style="88"/>
    <col min="11785" max="11785" width="9.42578125" style="88" customWidth="1"/>
    <col min="11786" max="12031" width="9.140625" style="88"/>
    <col min="12032" max="12032" width="30.85546875" style="88" customWidth="1"/>
    <col min="12033" max="12033" width="9.140625" style="88" customWidth="1"/>
    <col min="12034" max="12034" width="9.7109375" style="88" customWidth="1"/>
    <col min="12035" max="12035" width="15.140625" style="88" customWidth="1"/>
    <col min="12036" max="12036" width="12" style="88" customWidth="1"/>
    <col min="12037" max="12040" width="9.140625" style="88"/>
    <col min="12041" max="12041" width="9.42578125" style="88" customWidth="1"/>
    <col min="12042" max="12287" width="9.140625" style="88"/>
    <col min="12288" max="12288" width="30.85546875" style="88" customWidth="1"/>
    <col min="12289" max="12289" width="9.140625" style="88" customWidth="1"/>
    <col min="12290" max="12290" width="9.7109375" style="88" customWidth="1"/>
    <col min="12291" max="12291" width="15.140625" style="88" customWidth="1"/>
    <col min="12292" max="12292" width="12" style="88" customWidth="1"/>
    <col min="12293" max="12296" width="9.140625" style="88"/>
    <col min="12297" max="12297" width="9.42578125" style="88" customWidth="1"/>
    <col min="12298" max="12543" width="9.140625" style="88"/>
    <col min="12544" max="12544" width="30.85546875" style="88" customWidth="1"/>
    <col min="12545" max="12545" width="9.140625" style="88" customWidth="1"/>
    <col min="12546" max="12546" width="9.7109375" style="88" customWidth="1"/>
    <col min="12547" max="12547" width="15.140625" style="88" customWidth="1"/>
    <col min="12548" max="12548" width="12" style="88" customWidth="1"/>
    <col min="12549" max="12552" width="9.140625" style="88"/>
    <col min="12553" max="12553" width="9.42578125" style="88" customWidth="1"/>
    <col min="12554" max="12799" width="9.140625" style="88"/>
    <col min="12800" max="12800" width="30.85546875" style="88" customWidth="1"/>
    <col min="12801" max="12801" width="9.140625" style="88" customWidth="1"/>
    <col min="12802" max="12802" width="9.7109375" style="88" customWidth="1"/>
    <col min="12803" max="12803" width="15.140625" style="88" customWidth="1"/>
    <col min="12804" max="12804" width="12" style="88" customWidth="1"/>
    <col min="12805" max="12808" width="9.140625" style="88"/>
    <col min="12809" max="12809" width="9.42578125" style="88" customWidth="1"/>
    <col min="12810" max="13055" width="9.140625" style="88"/>
    <col min="13056" max="13056" width="30.85546875" style="88" customWidth="1"/>
    <col min="13057" max="13057" width="9.140625" style="88" customWidth="1"/>
    <col min="13058" max="13058" width="9.7109375" style="88" customWidth="1"/>
    <col min="13059" max="13059" width="15.140625" style="88" customWidth="1"/>
    <col min="13060" max="13060" width="12" style="88" customWidth="1"/>
    <col min="13061" max="13064" width="9.140625" style="88"/>
    <col min="13065" max="13065" width="9.42578125" style="88" customWidth="1"/>
    <col min="13066" max="13311" width="9.140625" style="88"/>
    <col min="13312" max="13312" width="30.85546875" style="88" customWidth="1"/>
    <col min="13313" max="13313" width="9.140625" style="88" customWidth="1"/>
    <col min="13314" max="13314" width="9.7109375" style="88" customWidth="1"/>
    <col min="13315" max="13315" width="15.140625" style="88" customWidth="1"/>
    <col min="13316" max="13316" width="12" style="88" customWidth="1"/>
    <col min="13317" max="13320" width="9.140625" style="88"/>
    <col min="13321" max="13321" width="9.42578125" style="88" customWidth="1"/>
    <col min="13322" max="13567" width="9.140625" style="88"/>
    <col min="13568" max="13568" width="30.85546875" style="88" customWidth="1"/>
    <col min="13569" max="13569" width="9.140625" style="88" customWidth="1"/>
    <col min="13570" max="13570" width="9.7109375" style="88" customWidth="1"/>
    <col min="13571" max="13571" width="15.140625" style="88" customWidth="1"/>
    <col min="13572" max="13572" width="12" style="88" customWidth="1"/>
    <col min="13573" max="13576" width="9.140625" style="88"/>
    <col min="13577" max="13577" width="9.42578125" style="88" customWidth="1"/>
    <col min="13578" max="13823" width="9.140625" style="88"/>
    <col min="13824" max="13824" width="30.85546875" style="88" customWidth="1"/>
    <col min="13825" max="13825" width="9.140625" style="88" customWidth="1"/>
    <col min="13826" max="13826" width="9.7109375" style="88" customWidth="1"/>
    <col min="13827" max="13827" width="15.140625" style="88" customWidth="1"/>
    <col min="13828" max="13828" width="12" style="88" customWidth="1"/>
    <col min="13829" max="13832" width="9.140625" style="88"/>
    <col min="13833" max="13833" width="9.42578125" style="88" customWidth="1"/>
    <col min="13834" max="14079" width="9.140625" style="88"/>
    <col min="14080" max="14080" width="30.85546875" style="88" customWidth="1"/>
    <col min="14081" max="14081" width="9.140625" style="88" customWidth="1"/>
    <col min="14082" max="14082" width="9.7109375" style="88" customWidth="1"/>
    <col min="14083" max="14083" width="15.140625" style="88" customWidth="1"/>
    <col min="14084" max="14084" width="12" style="88" customWidth="1"/>
    <col min="14085" max="14088" width="9.140625" style="88"/>
    <col min="14089" max="14089" width="9.42578125" style="88" customWidth="1"/>
    <col min="14090" max="14335" width="9.140625" style="88"/>
    <col min="14336" max="14336" width="30.85546875" style="88" customWidth="1"/>
    <col min="14337" max="14337" width="9.140625" style="88" customWidth="1"/>
    <col min="14338" max="14338" width="9.7109375" style="88" customWidth="1"/>
    <col min="14339" max="14339" width="15.140625" style="88" customWidth="1"/>
    <col min="14340" max="14340" width="12" style="88" customWidth="1"/>
    <col min="14341" max="14344" width="9.140625" style="88"/>
    <col min="14345" max="14345" width="9.42578125" style="88" customWidth="1"/>
    <col min="14346" max="14591" width="9.140625" style="88"/>
    <col min="14592" max="14592" width="30.85546875" style="88" customWidth="1"/>
    <col min="14593" max="14593" width="9.140625" style="88" customWidth="1"/>
    <col min="14594" max="14594" width="9.7109375" style="88" customWidth="1"/>
    <col min="14595" max="14595" width="15.140625" style="88" customWidth="1"/>
    <col min="14596" max="14596" width="12" style="88" customWidth="1"/>
    <col min="14597" max="14600" width="9.140625" style="88"/>
    <col min="14601" max="14601" width="9.42578125" style="88" customWidth="1"/>
    <col min="14602" max="14847" width="9.140625" style="88"/>
    <col min="14848" max="14848" width="30.85546875" style="88" customWidth="1"/>
    <col min="14849" max="14849" width="9.140625" style="88" customWidth="1"/>
    <col min="14850" max="14850" width="9.7109375" style="88" customWidth="1"/>
    <col min="14851" max="14851" width="15.140625" style="88" customWidth="1"/>
    <col min="14852" max="14852" width="12" style="88" customWidth="1"/>
    <col min="14853" max="14856" width="9.140625" style="88"/>
    <col min="14857" max="14857" width="9.42578125" style="88" customWidth="1"/>
    <col min="14858" max="15103" width="9.140625" style="88"/>
    <col min="15104" max="15104" width="30.85546875" style="88" customWidth="1"/>
    <col min="15105" max="15105" width="9.140625" style="88" customWidth="1"/>
    <col min="15106" max="15106" width="9.7109375" style="88" customWidth="1"/>
    <col min="15107" max="15107" width="15.140625" style="88" customWidth="1"/>
    <col min="15108" max="15108" width="12" style="88" customWidth="1"/>
    <col min="15109" max="15112" width="9.140625" style="88"/>
    <col min="15113" max="15113" width="9.42578125" style="88" customWidth="1"/>
    <col min="15114" max="15359" width="9.140625" style="88"/>
    <col min="15360" max="15360" width="30.85546875" style="88" customWidth="1"/>
    <col min="15361" max="15361" width="9.140625" style="88" customWidth="1"/>
    <col min="15362" max="15362" width="9.7109375" style="88" customWidth="1"/>
    <col min="15363" max="15363" width="15.140625" style="88" customWidth="1"/>
    <col min="15364" max="15364" width="12" style="88" customWidth="1"/>
    <col min="15365" max="15368" width="9.140625" style="88"/>
    <col min="15369" max="15369" width="9.42578125" style="88" customWidth="1"/>
    <col min="15370" max="15615" width="9.140625" style="88"/>
    <col min="15616" max="15616" width="30.85546875" style="88" customWidth="1"/>
    <col min="15617" max="15617" width="9.140625" style="88" customWidth="1"/>
    <col min="15618" max="15618" width="9.7109375" style="88" customWidth="1"/>
    <col min="15619" max="15619" width="15.140625" style="88" customWidth="1"/>
    <col min="15620" max="15620" width="12" style="88" customWidth="1"/>
    <col min="15621" max="15624" width="9.140625" style="88"/>
    <col min="15625" max="15625" width="9.42578125" style="88" customWidth="1"/>
    <col min="15626" max="15871" width="9.140625" style="88"/>
    <col min="15872" max="15872" width="30.85546875" style="88" customWidth="1"/>
    <col min="15873" max="15873" width="9.140625" style="88" customWidth="1"/>
    <col min="15874" max="15874" width="9.7109375" style="88" customWidth="1"/>
    <col min="15875" max="15875" width="15.140625" style="88" customWidth="1"/>
    <col min="15876" max="15876" width="12" style="88" customWidth="1"/>
    <col min="15877" max="15880" width="9.140625" style="88"/>
    <col min="15881" max="15881" width="9.42578125" style="88" customWidth="1"/>
    <col min="15882" max="16127" width="9.140625" style="88"/>
    <col min="16128" max="16128" width="30.85546875" style="88" customWidth="1"/>
    <col min="16129" max="16129" width="9.140625" style="88" customWidth="1"/>
    <col min="16130" max="16130" width="9.7109375" style="88" customWidth="1"/>
    <col min="16131" max="16131" width="15.140625" style="88" customWidth="1"/>
    <col min="16132" max="16132" width="12" style="88" customWidth="1"/>
    <col min="16133" max="16136" width="9.140625" style="88"/>
    <col min="16137" max="16137" width="9.42578125" style="88" customWidth="1"/>
    <col min="16138" max="16384" width="9.140625" style="88"/>
  </cols>
  <sheetData>
    <row r="1" spans="1:5" s="85" customFormat="1">
      <c r="A1" s="84" t="str">
        <f>[2]SharedInputs!B4</f>
        <v>AVISTA UTILITIES</v>
      </c>
      <c r="B1" s="84"/>
      <c r="C1" s="84"/>
      <c r="D1" s="84"/>
      <c r="E1" s="84"/>
    </row>
    <row r="2" spans="1:5" s="85" customFormat="1">
      <c r="A2" s="84" t="s">
        <v>53</v>
      </c>
      <c r="B2" s="84"/>
      <c r="C2" s="84"/>
      <c r="D2" s="84"/>
    </row>
    <row r="3" spans="1:5" s="85" customFormat="1">
      <c r="A3" s="84" t="s">
        <v>76</v>
      </c>
      <c r="B3" s="84"/>
      <c r="C3" s="84"/>
      <c r="D3" s="84"/>
      <c r="E3" s="86"/>
    </row>
    <row r="4" spans="1:5" s="85" customFormat="1">
      <c r="A4" s="84"/>
      <c r="B4" s="84"/>
      <c r="C4" s="84"/>
      <c r="D4" s="84"/>
      <c r="E4" s="86"/>
    </row>
    <row r="5" spans="1:5" s="85" customFormat="1">
      <c r="A5" s="84"/>
      <c r="B5" s="84"/>
      <c r="C5" s="84"/>
      <c r="D5" s="84"/>
      <c r="E5" s="84" t="s">
        <v>63</v>
      </c>
    </row>
    <row r="6" spans="1:5">
      <c r="A6" s="84"/>
      <c r="B6" s="87"/>
      <c r="C6" s="87"/>
      <c r="E6" s="84" t="s">
        <v>75</v>
      </c>
    </row>
    <row r="7" spans="1:5">
      <c r="A7" s="87"/>
      <c r="B7" s="87"/>
      <c r="C7" s="87"/>
      <c r="E7" s="87"/>
    </row>
    <row r="8" spans="1:5">
      <c r="A8" s="87" t="s">
        <v>54</v>
      </c>
      <c r="B8" s="87"/>
      <c r="C8" s="87"/>
      <c r="E8" s="87">
        <v>1</v>
      </c>
    </row>
    <row r="9" spans="1:5">
      <c r="A9" s="87"/>
      <c r="B9" s="87"/>
      <c r="C9" s="87"/>
      <c r="E9" s="87"/>
    </row>
    <row r="10" spans="1:5">
      <c r="A10" s="87" t="s">
        <v>41</v>
      </c>
      <c r="B10" s="87"/>
      <c r="C10" s="87"/>
      <c r="E10" s="87"/>
    </row>
    <row r="11" spans="1:5">
      <c r="A11" s="87"/>
      <c r="B11" s="87"/>
      <c r="C11" s="87"/>
      <c r="E11" s="87"/>
    </row>
    <row r="12" spans="1:5">
      <c r="A12" s="87" t="s">
        <v>55</v>
      </c>
      <c r="B12" s="87"/>
      <c r="C12" s="87"/>
      <c r="E12" s="87">
        <v>3.3262885794710221E-3</v>
      </c>
    </row>
    <row r="13" spans="1:5">
      <c r="A13" s="87"/>
      <c r="B13" s="87"/>
      <c r="C13" s="87"/>
      <c r="E13" s="87"/>
    </row>
    <row r="14" spans="1:5">
      <c r="A14" s="87" t="s">
        <v>56</v>
      </c>
      <c r="B14" s="87"/>
      <c r="C14" s="87"/>
      <c r="E14" s="87">
        <v>2E-3</v>
      </c>
    </row>
    <row r="15" spans="1:5">
      <c r="A15" s="87"/>
      <c r="B15" s="87"/>
      <c r="C15" s="87"/>
      <c r="E15" s="87"/>
    </row>
    <row r="16" spans="1:5">
      <c r="A16" s="87" t="s">
        <v>57</v>
      </c>
      <c r="B16" s="87"/>
      <c r="C16" s="87"/>
      <c r="E16" s="87">
        <v>3.8605159538162764E-2</v>
      </c>
    </row>
    <row r="17" spans="1:10">
      <c r="A17" s="87"/>
      <c r="B17" s="87"/>
      <c r="C17" s="87"/>
      <c r="E17" s="87"/>
    </row>
    <row r="18" spans="1:10">
      <c r="A18" s="87"/>
      <c r="B18" s="87"/>
      <c r="C18" s="87"/>
    </row>
    <row r="19" spans="1:10">
      <c r="A19" s="87" t="s">
        <v>42</v>
      </c>
      <c r="B19" s="87"/>
      <c r="C19" s="87"/>
      <c r="E19" s="89">
        <f>SUM(E11:E17)</f>
        <v>4.393144811763379E-2</v>
      </c>
      <c r="J19" s="90"/>
    </row>
    <row r="20" spans="1:10" ht="15.75" thickBot="1">
      <c r="A20" s="87"/>
      <c r="B20" s="87"/>
      <c r="C20" s="87"/>
    </row>
    <row r="21" spans="1:10" ht="16.5" thickTop="1" thickBot="1">
      <c r="A21" s="87" t="s">
        <v>43</v>
      </c>
      <c r="B21" s="87"/>
      <c r="C21" s="87"/>
      <c r="E21" s="91">
        <f>E8-E19</f>
        <v>0.95606855188236617</v>
      </c>
    </row>
    <row r="22" spans="1:10" ht="15.75" thickTop="1">
      <c r="A22" s="87"/>
      <c r="B22" s="87"/>
      <c r="C22" s="87"/>
      <c r="E22" s="87"/>
    </row>
    <row r="23" spans="1:10">
      <c r="A23" s="87" t="s">
        <v>58</v>
      </c>
      <c r="B23" s="92">
        <v>0.21</v>
      </c>
      <c r="C23" s="93"/>
      <c r="E23" s="87">
        <v>0.20077439589529689</v>
      </c>
    </row>
    <row r="24" spans="1:10">
      <c r="A24" s="87"/>
      <c r="B24" s="87"/>
      <c r="C24" s="87"/>
      <c r="E24" s="87"/>
    </row>
    <row r="25" spans="1:10">
      <c r="A25" s="87" t="s">
        <v>40</v>
      </c>
      <c r="B25" s="87"/>
      <c r="C25" s="87"/>
      <c r="E25" s="89">
        <f>E21-E23</f>
        <v>0.75529415598706928</v>
      </c>
    </row>
    <row r="26" spans="1:10">
      <c r="A26" s="87"/>
      <c r="B26" s="87"/>
      <c r="C26" s="87"/>
      <c r="E26" s="87"/>
    </row>
    <row r="27" spans="1:10">
      <c r="A27" s="87"/>
      <c r="B27" s="87"/>
      <c r="C27" s="87"/>
      <c r="E27" s="87"/>
    </row>
    <row r="28" spans="1:10">
      <c r="A28" s="87"/>
      <c r="B28" s="87"/>
      <c r="C28" s="87"/>
      <c r="D28" s="87"/>
      <c r="E28" s="87"/>
    </row>
    <row r="33" spans="2:6">
      <c r="F33" s="94"/>
    </row>
    <row r="41" spans="2:6">
      <c r="B41" s="95"/>
    </row>
    <row r="42" spans="2:6">
      <c r="C42" s="96"/>
    </row>
    <row r="43" spans="2:6">
      <c r="C43" s="60"/>
    </row>
    <row r="44" spans="2:6">
      <c r="C44" s="60"/>
    </row>
  </sheetData>
  <pageMargins left="0.7" right="0.7" top="0.75" bottom="0.75" header="0.3" footer="0.3"/>
  <pageSetup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C8A8-2F00-4223-BF6C-03D8B0574749}">
  <dimension ref="B1:I18"/>
  <sheetViews>
    <sheetView tabSelected="1" workbookViewId="0">
      <selection activeCell="D17" sqref="D17"/>
    </sheetView>
  </sheetViews>
  <sheetFormatPr defaultRowHeight="12.75"/>
  <cols>
    <col min="1" max="1" width="9.140625" style="145"/>
    <col min="2" max="2" width="36.42578125" style="145" customWidth="1"/>
    <col min="3" max="3" width="16.28515625" style="145" customWidth="1"/>
    <col min="4" max="4" width="13.28515625" style="145" customWidth="1"/>
    <col min="5" max="5" width="20" style="145" customWidth="1"/>
    <col min="6" max="6" width="9.140625" style="145"/>
    <col min="7" max="7" width="19.5703125" style="145" customWidth="1"/>
    <col min="8" max="8" width="31.140625" style="145" customWidth="1"/>
    <col min="9" max="9" width="32" style="145" customWidth="1"/>
    <col min="10" max="16384" width="9.140625" style="145"/>
  </cols>
  <sheetData>
    <row r="1" spans="2:9" ht="15.75">
      <c r="B1" s="150" t="s">
        <v>157</v>
      </c>
      <c r="C1" s="151"/>
      <c r="D1" s="151"/>
      <c r="E1" s="152"/>
      <c r="F1" s="99"/>
      <c r="G1" s="99"/>
      <c r="H1" s="99"/>
      <c r="I1" s="99"/>
    </row>
    <row r="2" spans="2:9" s="146" customFormat="1" ht="47.25">
      <c r="B2" s="100" t="s">
        <v>156</v>
      </c>
      <c r="C2" s="101" t="s">
        <v>97</v>
      </c>
      <c r="D2" s="101" t="s">
        <v>160</v>
      </c>
      <c r="E2" s="102" t="s">
        <v>93</v>
      </c>
      <c r="F2" s="103"/>
      <c r="G2" s="103"/>
      <c r="H2" s="103"/>
      <c r="I2" s="103"/>
    </row>
    <row r="3" spans="2:9" ht="15.75">
      <c r="B3" s="104" t="s">
        <v>94</v>
      </c>
      <c r="C3" s="105" t="s">
        <v>98</v>
      </c>
      <c r="D3" s="106">
        <v>50000</v>
      </c>
      <c r="E3" s="107">
        <v>37402</v>
      </c>
      <c r="F3" s="99"/>
      <c r="G3" s="99"/>
      <c r="H3" s="99"/>
      <c r="I3" s="99"/>
    </row>
    <row r="4" spans="2:9" ht="15.75">
      <c r="B4" s="104" t="s">
        <v>95</v>
      </c>
      <c r="C4" s="105" t="s">
        <v>99</v>
      </c>
      <c r="D4" s="106">
        <v>50000</v>
      </c>
      <c r="E4" s="107">
        <v>37402</v>
      </c>
      <c r="F4" s="99"/>
      <c r="G4" s="99"/>
      <c r="H4" s="99"/>
      <c r="I4" s="99"/>
    </row>
    <row r="5" spans="2:9" ht="15.75">
      <c r="B5" s="104" t="s">
        <v>88</v>
      </c>
      <c r="C5" s="105" t="s">
        <v>101</v>
      </c>
      <c r="D5" s="106">
        <v>29340</v>
      </c>
      <c r="E5" s="107">
        <v>21947</v>
      </c>
      <c r="F5" s="99"/>
      <c r="G5" s="99"/>
      <c r="H5" s="99"/>
      <c r="I5" s="99"/>
    </row>
    <row r="6" spans="2:9" ht="15.75">
      <c r="B6" s="108" t="s">
        <v>96</v>
      </c>
      <c r="C6" s="109" t="s">
        <v>100</v>
      </c>
      <c r="D6" s="110">
        <v>20000</v>
      </c>
      <c r="E6" s="111">
        <v>14961</v>
      </c>
      <c r="F6" s="99"/>
      <c r="G6" s="99"/>
      <c r="H6" s="99"/>
      <c r="I6" s="99"/>
    </row>
    <row r="7" spans="2:9" ht="15.75">
      <c r="B7" s="104" t="s">
        <v>0</v>
      </c>
      <c r="C7" s="105"/>
      <c r="D7" s="106">
        <f>SUM(D3:D6)</f>
        <v>149340</v>
      </c>
      <c r="E7" s="107">
        <f>SUM(E3:E6)</f>
        <v>111712</v>
      </c>
      <c r="F7" s="99"/>
      <c r="G7" s="99"/>
      <c r="H7" s="99"/>
      <c r="I7" s="99"/>
    </row>
    <row r="8" spans="2:9" ht="15.75">
      <c r="B8" s="104" t="s">
        <v>161</v>
      </c>
      <c r="C8" s="105"/>
      <c r="D8" s="106"/>
      <c r="E8" s="111">
        <f>'Rate Design'!C9-'For Cover Letter'!E7</f>
        <v>7240.5742266539019</v>
      </c>
      <c r="F8" s="99"/>
      <c r="G8" s="99"/>
      <c r="H8" s="99"/>
      <c r="I8" s="99"/>
    </row>
    <row r="9" spans="2:9" ht="15.75">
      <c r="B9" s="108" t="s">
        <v>162</v>
      </c>
      <c r="C9" s="109"/>
      <c r="D9" s="110"/>
      <c r="E9" s="111">
        <f>E7+E8</f>
        <v>118952.5742266539</v>
      </c>
      <c r="F9" s="99"/>
      <c r="G9" s="99"/>
      <c r="H9" s="99"/>
      <c r="I9" s="99"/>
    </row>
    <row r="10" spans="2:9" ht="15.75">
      <c r="B10" s="99"/>
      <c r="C10" s="99"/>
      <c r="D10" s="99"/>
      <c r="E10" s="99"/>
      <c r="F10" s="99"/>
      <c r="G10" s="150" t="s">
        <v>102</v>
      </c>
      <c r="H10" s="151"/>
      <c r="I10" s="152"/>
    </row>
    <row r="11" spans="2:9" s="147" customFormat="1" ht="15.75">
      <c r="B11" s="112"/>
      <c r="C11" s="112"/>
      <c r="D11" s="112"/>
      <c r="E11" s="112"/>
      <c r="F11" s="112"/>
      <c r="G11" s="113" t="s">
        <v>103</v>
      </c>
      <c r="H11" s="114" t="s">
        <v>109</v>
      </c>
      <c r="I11" s="115" t="s">
        <v>113</v>
      </c>
    </row>
    <row r="12" spans="2:9" ht="15.75">
      <c r="B12" s="99"/>
      <c r="C12" s="99"/>
      <c r="D12" s="99"/>
      <c r="E12" s="99"/>
      <c r="F12" s="99"/>
      <c r="G12" s="116" t="s">
        <v>104</v>
      </c>
      <c r="H12" s="105" t="s">
        <v>99</v>
      </c>
      <c r="I12" s="117">
        <f>'Rate Design'!D23</f>
        <v>1.989510896898368E-4</v>
      </c>
    </row>
    <row r="13" spans="2:9" ht="15.75">
      <c r="B13" s="99"/>
      <c r="C13" s="99"/>
      <c r="D13" s="99"/>
      <c r="E13" s="99"/>
      <c r="F13" s="99"/>
      <c r="G13" s="116" t="s">
        <v>105</v>
      </c>
      <c r="H13" s="105" t="s">
        <v>114</v>
      </c>
      <c r="I13" s="117">
        <f>'Rate Design'!E23</f>
        <v>1.2082590586171546E-4</v>
      </c>
    </row>
    <row r="14" spans="2:9" ht="15.75">
      <c r="B14" s="99"/>
      <c r="C14" s="99"/>
      <c r="D14" s="99"/>
      <c r="E14" s="99"/>
      <c r="F14" s="99"/>
      <c r="G14" s="116" t="s">
        <v>136</v>
      </c>
      <c r="H14" s="105" t="s">
        <v>115</v>
      </c>
      <c r="I14" s="117">
        <f>'Rate Design'!F23</f>
        <v>1.2086729316062844E-4</v>
      </c>
    </row>
    <row r="15" spans="2:9" ht="15.75">
      <c r="B15" s="99"/>
      <c r="C15" s="99"/>
      <c r="D15" s="99"/>
      <c r="E15" s="99"/>
      <c r="F15" s="99"/>
      <c r="G15" s="116" t="s">
        <v>106</v>
      </c>
      <c r="H15" s="105" t="s">
        <v>110</v>
      </c>
      <c r="I15" s="117">
        <f>'Rate Design'!G23</f>
        <v>6.5666669407079886E-4</v>
      </c>
    </row>
    <row r="16" spans="2:9" ht="15.75">
      <c r="B16" s="99"/>
      <c r="C16" s="99"/>
      <c r="D16" s="99"/>
      <c r="E16" s="99"/>
      <c r="F16" s="99"/>
      <c r="G16" s="116" t="s">
        <v>107</v>
      </c>
      <c r="H16" s="105" t="s">
        <v>111</v>
      </c>
      <c r="I16" s="117">
        <f>'Rate Design'!H23</f>
        <v>0</v>
      </c>
    </row>
    <row r="17" spans="2:9" ht="15.75">
      <c r="B17" s="99"/>
      <c r="C17" s="99"/>
      <c r="D17" s="99"/>
      <c r="E17" s="99"/>
      <c r="F17" s="99"/>
      <c r="G17" s="118" t="s">
        <v>108</v>
      </c>
      <c r="H17" s="109" t="s">
        <v>112</v>
      </c>
      <c r="I17" s="119">
        <f>'Rate Design'!I23</f>
        <v>0</v>
      </c>
    </row>
    <row r="18" spans="2:9" ht="15.75">
      <c r="B18" s="99"/>
      <c r="C18" s="99"/>
      <c r="D18" s="99"/>
      <c r="E18" s="99"/>
      <c r="F18" s="99"/>
      <c r="G18" s="120"/>
      <c r="H18" s="109" t="s">
        <v>116</v>
      </c>
      <c r="I18" s="119">
        <f>'Rate Design'!C23</f>
        <v>2.1670856886463484E-4</v>
      </c>
    </row>
  </sheetData>
  <mergeCells count="2">
    <mergeCell ref="B1:E1"/>
    <mergeCell ref="G10:I10"/>
  </mergeCells>
  <pageMargins left="0.7" right="0.7" top="0.75" bottom="0.75" header="0.3" footer="0.3"/>
  <pageSetup orientation="portrait" r:id="rId1"/>
  <ignoredErrors>
    <ignoredError sqref="G13 G15:G1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51501EA42D2014285D38FF394D4E727" ma:contentTypeVersion="16" ma:contentTypeDescription="" ma:contentTypeScope="" ma:versionID="49094379c92c002436ceb020fba6b2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394C01C4-24DC-4F3A-8458-14B7CE2B3D58}"/>
</file>

<file path=customXml/itemProps3.xml><?xml version="1.0" encoding="utf-8"?>
<ds:datastoreItem xmlns:ds="http://schemas.openxmlformats.org/officeDocument/2006/customXml" ds:itemID="{CBE588F4-E9D4-4C14-AF01-D8EBA4AC3A1B}"/>
</file>

<file path=customXml/itemProps4.xml><?xml version="1.0" encoding="utf-8"?>
<ds:datastoreItem xmlns:ds="http://schemas.openxmlformats.org/officeDocument/2006/customXml" ds:itemID="{D0876FEE-0657-4D62-9786-A00210299DBF}"/>
</file>

<file path=customXml/itemProps5.xml><?xml version="1.0" encoding="utf-8"?>
<ds:datastoreItem xmlns:ds="http://schemas.openxmlformats.org/officeDocument/2006/customXml" ds:itemID="{55319B4B-3BB6-48E6-961A-504E06BFF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Rate Design</vt:lpstr>
      <vt:lpstr>Balance Forecast</vt:lpstr>
      <vt:lpstr>Payments - Allocation</vt:lpstr>
      <vt:lpstr>kWh Forecast</vt:lpstr>
      <vt:lpstr>CF WA Elec</vt:lpstr>
      <vt:lpstr>For Cover Letter</vt:lpstr>
      <vt:lpstr>'Balance Forecast'!Print_Area</vt:lpstr>
      <vt:lpstr>'CF WA Elec'!Print_Area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Miller, Joe</cp:lastModifiedBy>
  <cp:lastPrinted>2022-03-30T23:12:01Z</cp:lastPrinted>
  <dcterms:created xsi:type="dcterms:W3CDTF">2016-02-09T19:01:57Z</dcterms:created>
  <dcterms:modified xsi:type="dcterms:W3CDTF">2023-05-30T15:46:25Z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0x0101006E56B4D1795A2E4DB2F0B01679ED314A00A51501EA42D2014285D38FF394D4E727</vt:lpwstr>
  </property>
  <property fmtid="{D5CDD505-2E9C-101B-9397-08002B2CF9AE}" pid="3" name="_docset_NoMedatataSyncRequired">
    <vt:lpwstr>False</vt:lpwstr>
  </property>
</Properties>
</file>